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ccident Investigation\Accident Investigation Access Only\NIRS\2022 NIRS Requests\N79NX\"/>
    </mc:Choice>
  </mc:AlternateContent>
  <bookViews>
    <workbookView xWindow="0" yWindow="0" windowWidth="17256" windowHeight="5784"/>
  </bookViews>
  <sheets>
    <sheet name="20220213_AAB6EE_476361675_ADSB" sheetId="1" r:id="rId1"/>
  </sheets>
  <calcPr calcId="0"/>
</workbook>
</file>

<file path=xl/calcChain.xml><?xml version="1.0" encoding="utf-8"?>
<calcChain xmlns="http://schemas.openxmlformats.org/spreadsheetml/2006/main">
  <c r="A2" i="1" l="1"/>
  <c r="C2" i="1"/>
  <c r="S2" i="1"/>
  <c r="T2" i="1"/>
  <c r="U2" i="1"/>
  <c r="BW2" i="1"/>
  <c r="A3" i="1"/>
  <c r="C3" i="1"/>
  <c r="S3" i="1"/>
  <c r="T3" i="1"/>
  <c r="U3" i="1"/>
  <c r="BW3" i="1"/>
  <c r="A4" i="1"/>
  <c r="C4" i="1"/>
  <c r="S4" i="1"/>
  <c r="T4" i="1"/>
  <c r="U4" i="1"/>
  <c r="BW4" i="1"/>
  <c r="A5" i="1"/>
  <c r="C5" i="1"/>
  <c r="S5" i="1"/>
  <c r="T5" i="1"/>
  <c r="U5" i="1"/>
  <c r="BB5" i="1"/>
  <c r="BW5" i="1"/>
  <c r="A6" i="1"/>
  <c r="C6" i="1"/>
  <c r="S6" i="1"/>
  <c r="T6" i="1"/>
  <c r="U6" i="1"/>
  <c r="BB6" i="1"/>
  <c r="BW6" i="1"/>
  <c r="A7" i="1"/>
  <c r="C7" i="1"/>
  <c r="S7" i="1"/>
  <c r="T7" i="1"/>
  <c r="U7" i="1"/>
  <c r="BB7" i="1"/>
  <c r="BW7" i="1"/>
  <c r="A8" i="1"/>
  <c r="C8" i="1"/>
  <c r="S8" i="1"/>
  <c r="T8" i="1"/>
  <c r="U8" i="1"/>
  <c r="BB8" i="1"/>
  <c r="BW8" i="1"/>
  <c r="A9" i="1"/>
  <c r="C9" i="1"/>
  <c r="S9" i="1"/>
  <c r="T9" i="1"/>
  <c r="U9" i="1"/>
  <c r="BB9" i="1"/>
  <c r="BW9" i="1"/>
  <c r="A10" i="1"/>
  <c r="C10" i="1"/>
  <c r="S10" i="1"/>
  <c r="T10" i="1"/>
  <c r="U10" i="1"/>
  <c r="BB10" i="1"/>
  <c r="BW10" i="1"/>
  <c r="A11" i="1"/>
  <c r="C11" i="1"/>
  <c r="S11" i="1"/>
  <c r="T11" i="1"/>
  <c r="U11" i="1"/>
  <c r="BB11" i="1"/>
  <c r="BW11" i="1"/>
  <c r="A12" i="1"/>
  <c r="C12" i="1"/>
  <c r="S12" i="1"/>
  <c r="T12" i="1"/>
  <c r="U12" i="1"/>
  <c r="BB12" i="1"/>
  <c r="BW12" i="1"/>
  <c r="A13" i="1"/>
  <c r="C13" i="1"/>
  <c r="S13" i="1"/>
  <c r="T13" i="1"/>
  <c r="U13" i="1"/>
  <c r="BB13" i="1"/>
  <c r="BW13" i="1"/>
  <c r="A14" i="1"/>
  <c r="C14" i="1"/>
  <c r="S14" i="1"/>
  <c r="T14" i="1"/>
  <c r="U14" i="1"/>
  <c r="BB14" i="1"/>
  <c r="BW14" i="1"/>
  <c r="A15" i="1"/>
  <c r="C15" i="1"/>
  <c r="S15" i="1"/>
  <c r="T15" i="1"/>
  <c r="U15" i="1"/>
  <c r="BB15" i="1"/>
  <c r="BW15" i="1"/>
  <c r="A16" i="1"/>
  <c r="C16" i="1"/>
  <c r="S16" i="1"/>
  <c r="T16" i="1"/>
  <c r="U16" i="1"/>
  <c r="BB16" i="1"/>
  <c r="BW16" i="1"/>
  <c r="A17" i="1"/>
  <c r="C17" i="1"/>
  <c r="S17" i="1"/>
  <c r="T17" i="1"/>
  <c r="U17" i="1"/>
  <c r="BB17" i="1"/>
  <c r="BW17" i="1"/>
  <c r="A18" i="1"/>
  <c r="C18" i="1"/>
  <c r="S18" i="1"/>
  <c r="T18" i="1"/>
  <c r="U18" i="1"/>
  <c r="BB18" i="1"/>
  <c r="BW18" i="1"/>
  <c r="A19" i="1"/>
  <c r="C19" i="1"/>
  <c r="S19" i="1"/>
  <c r="T19" i="1"/>
  <c r="U19" i="1"/>
  <c r="BB19" i="1"/>
  <c r="BW19" i="1"/>
  <c r="A20" i="1"/>
  <c r="C20" i="1"/>
  <c r="S20" i="1"/>
  <c r="T20" i="1"/>
  <c r="U20" i="1"/>
  <c r="BB20" i="1"/>
  <c r="BW20" i="1"/>
  <c r="A21" i="1"/>
  <c r="C21" i="1"/>
  <c r="S21" i="1"/>
  <c r="T21" i="1"/>
  <c r="U21" i="1"/>
  <c r="BB21" i="1"/>
  <c r="BW21" i="1"/>
  <c r="A22" i="1"/>
  <c r="C22" i="1"/>
  <c r="S22" i="1"/>
  <c r="T22" i="1"/>
  <c r="U22" i="1"/>
  <c r="BB22" i="1"/>
  <c r="BW22" i="1"/>
  <c r="A23" i="1"/>
  <c r="C23" i="1"/>
  <c r="S23" i="1"/>
  <c r="T23" i="1"/>
  <c r="U23" i="1"/>
  <c r="BB23" i="1"/>
  <c r="BW23" i="1"/>
  <c r="A24" i="1"/>
  <c r="C24" i="1"/>
  <c r="S24" i="1"/>
  <c r="T24" i="1"/>
  <c r="U24" i="1"/>
  <c r="BB24" i="1"/>
  <c r="BW24" i="1"/>
  <c r="A25" i="1"/>
  <c r="C25" i="1"/>
  <c r="S25" i="1"/>
  <c r="T25" i="1"/>
  <c r="U25" i="1"/>
  <c r="BB25" i="1"/>
  <c r="BW25" i="1"/>
  <c r="A26" i="1"/>
  <c r="C26" i="1"/>
  <c r="S26" i="1"/>
  <c r="T26" i="1"/>
  <c r="U26" i="1"/>
  <c r="BB26" i="1"/>
  <c r="BW26" i="1"/>
  <c r="A27" i="1"/>
  <c r="C27" i="1"/>
  <c r="S27" i="1"/>
  <c r="T27" i="1"/>
  <c r="U27" i="1"/>
  <c r="BB27" i="1"/>
  <c r="BW27" i="1"/>
  <c r="A28" i="1"/>
  <c r="C28" i="1"/>
  <c r="S28" i="1"/>
  <c r="T28" i="1"/>
  <c r="U28" i="1"/>
  <c r="BB28" i="1"/>
  <c r="BW28" i="1"/>
  <c r="A29" i="1"/>
  <c r="C29" i="1"/>
  <c r="S29" i="1"/>
  <c r="T29" i="1"/>
  <c r="U29" i="1"/>
  <c r="BB29" i="1"/>
  <c r="BW29" i="1"/>
  <c r="A30" i="1"/>
  <c r="C30" i="1"/>
  <c r="S30" i="1"/>
  <c r="T30" i="1"/>
  <c r="U30" i="1"/>
  <c r="BB30" i="1"/>
  <c r="BW30" i="1"/>
  <c r="A31" i="1"/>
  <c r="C31" i="1"/>
  <c r="S31" i="1"/>
  <c r="T31" i="1"/>
  <c r="U31" i="1"/>
  <c r="BB31" i="1"/>
  <c r="BW31" i="1"/>
  <c r="A32" i="1"/>
  <c r="C32" i="1"/>
  <c r="S32" i="1"/>
  <c r="T32" i="1"/>
  <c r="U32" i="1"/>
  <c r="BB32" i="1"/>
  <c r="BW32" i="1"/>
  <c r="A33" i="1"/>
  <c r="C33" i="1"/>
  <c r="S33" i="1"/>
  <c r="T33" i="1"/>
  <c r="U33" i="1"/>
  <c r="BB33" i="1"/>
  <c r="BW33" i="1"/>
  <c r="A34" i="1"/>
  <c r="C34" i="1"/>
  <c r="S34" i="1"/>
  <c r="T34" i="1"/>
  <c r="U34" i="1"/>
  <c r="BB34" i="1"/>
  <c r="BW34" i="1"/>
  <c r="A35" i="1"/>
  <c r="C35" i="1"/>
  <c r="S35" i="1"/>
  <c r="T35" i="1"/>
  <c r="U35" i="1"/>
  <c r="BB35" i="1"/>
  <c r="BW35" i="1"/>
  <c r="A36" i="1"/>
  <c r="C36" i="1"/>
  <c r="S36" i="1"/>
  <c r="T36" i="1"/>
  <c r="U36" i="1"/>
  <c r="BB36" i="1"/>
  <c r="BW36" i="1"/>
  <c r="A37" i="1"/>
  <c r="C37" i="1"/>
  <c r="S37" i="1"/>
  <c r="T37" i="1"/>
  <c r="U37" i="1"/>
  <c r="BB37" i="1"/>
  <c r="BW37" i="1"/>
  <c r="A38" i="1"/>
  <c r="C38" i="1"/>
  <c r="S38" i="1"/>
  <c r="T38" i="1"/>
  <c r="U38" i="1"/>
  <c r="BB38" i="1"/>
  <c r="BW38" i="1"/>
  <c r="A39" i="1"/>
  <c r="C39" i="1"/>
  <c r="S39" i="1"/>
  <c r="T39" i="1"/>
  <c r="U39" i="1"/>
  <c r="BB39" i="1"/>
  <c r="BW39" i="1"/>
  <c r="A40" i="1"/>
  <c r="C40" i="1"/>
  <c r="S40" i="1"/>
  <c r="T40" i="1"/>
  <c r="U40" i="1"/>
  <c r="BB40" i="1"/>
  <c r="BW40" i="1"/>
  <c r="A41" i="1"/>
  <c r="C41" i="1"/>
  <c r="S41" i="1"/>
  <c r="T41" i="1"/>
  <c r="U41" i="1"/>
  <c r="BB41" i="1"/>
  <c r="BW41" i="1"/>
  <c r="A42" i="1"/>
  <c r="C42" i="1"/>
  <c r="S42" i="1"/>
  <c r="T42" i="1"/>
  <c r="U42" i="1"/>
  <c r="BB42" i="1"/>
  <c r="BW42" i="1"/>
  <c r="A43" i="1"/>
  <c r="C43" i="1"/>
  <c r="S43" i="1"/>
  <c r="T43" i="1"/>
  <c r="U43" i="1"/>
  <c r="BB43" i="1"/>
  <c r="BW43" i="1"/>
  <c r="A44" i="1"/>
  <c r="C44" i="1"/>
  <c r="S44" i="1"/>
  <c r="T44" i="1"/>
  <c r="U44" i="1"/>
  <c r="BB44" i="1"/>
  <c r="BW44" i="1"/>
  <c r="A45" i="1"/>
  <c r="C45" i="1"/>
  <c r="S45" i="1"/>
  <c r="T45" i="1"/>
  <c r="U45" i="1"/>
  <c r="BB45" i="1"/>
  <c r="BW45" i="1"/>
  <c r="A46" i="1"/>
  <c r="C46" i="1"/>
  <c r="S46" i="1"/>
  <c r="T46" i="1"/>
  <c r="U46" i="1"/>
  <c r="BB46" i="1"/>
  <c r="BW46" i="1"/>
  <c r="A47" i="1"/>
  <c r="C47" i="1"/>
  <c r="S47" i="1"/>
  <c r="T47" i="1"/>
  <c r="U47" i="1"/>
  <c r="BB47" i="1"/>
  <c r="BW47" i="1"/>
  <c r="A48" i="1"/>
  <c r="C48" i="1"/>
  <c r="S48" i="1"/>
  <c r="T48" i="1"/>
  <c r="U48" i="1"/>
  <c r="BB48" i="1"/>
  <c r="BW48" i="1"/>
  <c r="A49" i="1"/>
  <c r="C49" i="1"/>
  <c r="S49" i="1"/>
  <c r="T49" i="1"/>
  <c r="U49" i="1"/>
  <c r="BB49" i="1"/>
  <c r="BW49" i="1"/>
  <c r="A50" i="1"/>
  <c r="C50" i="1"/>
  <c r="S50" i="1"/>
  <c r="T50" i="1"/>
  <c r="U50" i="1"/>
  <c r="BB50" i="1"/>
  <c r="BW50" i="1"/>
  <c r="A51" i="1"/>
  <c r="C51" i="1"/>
  <c r="S51" i="1"/>
  <c r="T51" i="1"/>
  <c r="U51" i="1"/>
  <c r="BB51" i="1"/>
  <c r="BW51" i="1"/>
  <c r="A52" i="1"/>
  <c r="C52" i="1"/>
  <c r="S52" i="1"/>
  <c r="T52" i="1"/>
  <c r="U52" i="1"/>
  <c r="BB52" i="1"/>
  <c r="BW52" i="1"/>
  <c r="A53" i="1"/>
  <c r="C53" i="1"/>
  <c r="S53" i="1"/>
  <c r="T53" i="1"/>
  <c r="U53" i="1"/>
  <c r="BB53" i="1"/>
  <c r="BW53" i="1"/>
  <c r="A54" i="1"/>
  <c r="C54" i="1"/>
  <c r="S54" i="1"/>
  <c r="T54" i="1"/>
  <c r="U54" i="1"/>
  <c r="BB54" i="1"/>
  <c r="BW54" i="1"/>
  <c r="A55" i="1"/>
  <c r="C55" i="1"/>
  <c r="S55" i="1"/>
  <c r="T55" i="1"/>
  <c r="U55" i="1"/>
  <c r="BB55" i="1"/>
  <c r="BW55" i="1"/>
  <c r="A56" i="1"/>
  <c r="C56" i="1"/>
  <c r="S56" i="1"/>
  <c r="T56" i="1"/>
  <c r="U56" i="1"/>
  <c r="BB56" i="1"/>
  <c r="BW56" i="1"/>
  <c r="A57" i="1"/>
  <c r="C57" i="1"/>
  <c r="S57" i="1"/>
  <c r="T57" i="1"/>
  <c r="U57" i="1"/>
  <c r="BB57" i="1"/>
  <c r="BW57" i="1"/>
  <c r="A58" i="1"/>
  <c r="C58" i="1"/>
  <c r="S58" i="1"/>
  <c r="T58" i="1"/>
  <c r="U58" i="1"/>
  <c r="BB58" i="1"/>
  <c r="BW58" i="1"/>
  <c r="A59" i="1"/>
  <c r="C59" i="1"/>
  <c r="S59" i="1"/>
  <c r="T59" i="1"/>
  <c r="U59" i="1"/>
  <c r="BB59" i="1"/>
  <c r="BW59" i="1"/>
  <c r="A60" i="1"/>
  <c r="C60" i="1"/>
  <c r="S60" i="1"/>
  <c r="T60" i="1"/>
  <c r="U60" i="1"/>
  <c r="BB60" i="1"/>
  <c r="BW60" i="1"/>
  <c r="A61" i="1"/>
  <c r="C61" i="1"/>
  <c r="S61" i="1"/>
  <c r="T61" i="1"/>
  <c r="U61" i="1"/>
  <c r="BB61" i="1"/>
  <c r="BW61" i="1"/>
  <c r="A62" i="1"/>
  <c r="C62" i="1"/>
  <c r="S62" i="1"/>
  <c r="T62" i="1"/>
  <c r="U62" i="1"/>
  <c r="BB62" i="1"/>
  <c r="BW62" i="1"/>
  <c r="A63" i="1"/>
  <c r="C63" i="1"/>
  <c r="S63" i="1"/>
  <c r="T63" i="1"/>
  <c r="U63" i="1"/>
  <c r="BB63" i="1"/>
  <c r="BW63" i="1"/>
  <c r="A64" i="1"/>
  <c r="C64" i="1"/>
  <c r="S64" i="1"/>
  <c r="T64" i="1"/>
  <c r="U64" i="1"/>
  <c r="BB64" i="1"/>
  <c r="BW64" i="1"/>
  <c r="A65" i="1"/>
  <c r="C65" i="1"/>
  <c r="S65" i="1"/>
  <c r="T65" i="1"/>
  <c r="U65" i="1"/>
  <c r="BB65" i="1"/>
  <c r="BW65" i="1"/>
  <c r="A66" i="1"/>
  <c r="C66" i="1"/>
  <c r="S66" i="1"/>
  <c r="T66" i="1"/>
  <c r="U66" i="1"/>
  <c r="BB66" i="1"/>
  <c r="BW66" i="1"/>
  <c r="A67" i="1"/>
  <c r="C67" i="1"/>
  <c r="S67" i="1"/>
  <c r="T67" i="1"/>
  <c r="U67" i="1"/>
  <c r="BB67" i="1"/>
  <c r="BW67" i="1"/>
  <c r="A68" i="1"/>
  <c r="C68" i="1"/>
  <c r="S68" i="1"/>
  <c r="T68" i="1"/>
  <c r="U68" i="1"/>
  <c r="BB68" i="1"/>
  <c r="BW68" i="1"/>
  <c r="A69" i="1"/>
  <c r="C69" i="1"/>
  <c r="S69" i="1"/>
  <c r="T69" i="1"/>
  <c r="U69" i="1"/>
  <c r="BB69" i="1"/>
  <c r="BW69" i="1"/>
  <c r="A70" i="1"/>
  <c r="C70" i="1"/>
  <c r="S70" i="1"/>
  <c r="T70" i="1"/>
  <c r="U70" i="1"/>
  <c r="BB70" i="1"/>
  <c r="BW70" i="1"/>
  <c r="A71" i="1"/>
  <c r="C71" i="1"/>
  <c r="S71" i="1"/>
  <c r="T71" i="1"/>
  <c r="U71" i="1"/>
  <c r="BB71" i="1"/>
  <c r="BW71" i="1"/>
  <c r="A72" i="1"/>
  <c r="C72" i="1"/>
  <c r="S72" i="1"/>
  <c r="T72" i="1"/>
  <c r="U72" i="1"/>
  <c r="BB72" i="1"/>
  <c r="BW72" i="1"/>
  <c r="A73" i="1"/>
  <c r="C73" i="1"/>
  <c r="S73" i="1"/>
  <c r="T73" i="1"/>
  <c r="U73" i="1"/>
  <c r="BB73" i="1"/>
  <c r="BW73" i="1"/>
  <c r="A74" i="1"/>
  <c r="C74" i="1"/>
  <c r="S74" i="1"/>
  <c r="T74" i="1"/>
  <c r="U74" i="1"/>
  <c r="BB74" i="1"/>
  <c r="BW74" i="1"/>
  <c r="A75" i="1"/>
  <c r="C75" i="1"/>
  <c r="S75" i="1"/>
  <c r="T75" i="1"/>
  <c r="U75" i="1"/>
  <c r="BB75" i="1"/>
  <c r="BW75" i="1"/>
  <c r="A76" i="1"/>
  <c r="C76" i="1"/>
  <c r="S76" i="1"/>
  <c r="T76" i="1"/>
  <c r="U76" i="1"/>
  <c r="BB76" i="1"/>
  <c r="BW76" i="1"/>
  <c r="A77" i="1"/>
  <c r="C77" i="1"/>
  <c r="S77" i="1"/>
  <c r="T77" i="1"/>
  <c r="U77" i="1"/>
  <c r="BB77" i="1"/>
  <c r="BW77" i="1"/>
  <c r="A78" i="1"/>
  <c r="C78" i="1"/>
  <c r="S78" i="1"/>
  <c r="T78" i="1"/>
  <c r="U78" i="1"/>
  <c r="BB78" i="1"/>
  <c r="BW78" i="1"/>
  <c r="A79" i="1"/>
  <c r="C79" i="1"/>
  <c r="S79" i="1"/>
  <c r="T79" i="1"/>
  <c r="U79" i="1"/>
  <c r="BB79" i="1"/>
  <c r="BW79" i="1"/>
  <c r="A80" i="1"/>
  <c r="C80" i="1"/>
  <c r="S80" i="1"/>
  <c r="T80" i="1"/>
  <c r="U80" i="1"/>
  <c r="BB80" i="1"/>
  <c r="BW80" i="1"/>
  <c r="A81" i="1"/>
  <c r="C81" i="1"/>
  <c r="S81" i="1"/>
  <c r="T81" i="1"/>
  <c r="U81" i="1"/>
  <c r="BB81" i="1"/>
  <c r="BW81" i="1"/>
  <c r="A82" i="1"/>
  <c r="C82" i="1"/>
  <c r="S82" i="1"/>
  <c r="T82" i="1"/>
  <c r="U82" i="1"/>
  <c r="BB82" i="1"/>
  <c r="BW82" i="1"/>
  <c r="A83" i="1"/>
  <c r="C83" i="1"/>
  <c r="S83" i="1"/>
  <c r="T83" i="1"/>
  <c r="U83" i="1"/>
  <c r="BB83" i="1"/>
  <c r="BW83" i="1"/>
  <c r="A84" i="1"/>
  <c r="C84" i="1"/>
  <c r="S84" i="1"/>
  <c r="T84" i="1"/>
  <c r="U84" i="1"/>
  <c r="BB84" i="1"/>
  <c r="BW84" i="1"/>
  <c r="A85" i="1"/>
  <c r="C85" i="1"/>
  <c r="S85" i="1"/>
  <c r="T85" i="1"/>
  <c r="U85" i="1"/>
  <c r="BB85" i="1"/>
  <c r="BW85" i="1"/>
  <c r="A86" i="1"/>
  <c r="C86" i="1"/>
  <c r="S86" i="1"/>
  <c r="T86" i="1"/>
  <c r="U86" i="1"/>
  <c r="BB86" i="1"/>
  <c r="BW86" i="1"/>
  <c r="A87" i="1"/>
  <c r="C87" i="1"/>
  <c r="S87" i="1"/>
  <c r="T87" i="1"/>
  <c r="U87" i="1"/>
  <c r="BB87" i="1"/>
  <c r="BW87" i="1"/>
  <c r="A88" i="1"/>
  <c r="C88" i="1"/>
  <c r="S88" i="1"/>
  <c r="T88" i="1"/>
  <c r="U88" i="1"/>
  <c r="BB88" i="1"/>
  <c r="BW88" i="1"/>
  <c r="A89" i="1"/>
  <c r="C89" i="1"/>
  <c r="S89" i="1"/>
  <c r="T89" i="1"/>
  <c r="U89" i="1"/>
  <c r="BB89" i="1"/>
  <c r="BW89" i="1"/>
  <c r="A90" i="1"/>
  <c r="C90" i="1"/>
  <c r="S90" i="1"/>
  <c r="T90" i="1"/>
  <c r="U90" i="1"/>
  <c r="BB90" i="1"/>
  <c r="BW90" i="1"/>
  <c r="A91" i="1"/>
  <c r="C91" i="1"/>
  <c r="S91" i="1"/>
  <c r="T91" i="1"/>
  <c r="U91" i="1"/>
  <c r="BB91" i="1"/>
  <c r="BW91" i="1"/>
  <c r="A92" i="1"/>
  <c r="C92" i="1"/>
  <c r="S92" i="1"/>
  <c r="T92" i="1"/>
  <c r="U92" i="1"/>
  <c r="BB92" i="1"/>
  <c r="BW92" i="1"/>
  <c r="A93" i="1"/>
  <c r="C93" i="1"/>
  <c r="S93" i="1"/>
  <c r="T93" i="1"/>
  <c r="U93" i="1"/>
  <c r="BB93" i="1"/>
  <c r="BW93" i="1"/>
  <c r="A94" i="1"/>
  <c r="C94" i="1"/>
  <c r="S94" i="1"/>
  <c r="T94" i="1"/>
  <c r="U94" i="1"/>
  <c r="BB94" i="1"/>
  <c r="BW94" i="1"/>
  <c r="A95" i="1"/>
  <c r="C95" i="1"/>
  <c r="S95" i="1"/>
  <c r="T95" i="1"/>
  <c r="U95" i="1"/>
  <c r="BB95" i="1"/>
  <c r="BW95" i="1"/>
  <c r="A96" i="1"/>
  <c r="C96" i="1"/>
  <c r="S96" i="1"/>
  <c r="T96" i="1"/>
  <c r="U96" i="1"/>
  <c r="BB96" i="1"/>
  <c r="BW96" i="1"/>
  <c r="A97" i="1"/>
  <c r="C97" i="1"/>
  <c r="S97" i="1"/>
  <c r="T97" i="1"/>
  <c r="U97" i="1"/>
  <c r="BB97" i="1"/>
  <c r="BW97" i="1"/>
  <c r="A98" i="1"/>
  <c r="C98" i="1"/>
  <c r="S98" i="1"/>
  <c r="T98" i="1"/>
  <c r="U98" i="1"/>
  <c r="BB98" i="1"/>
  <c r="BW98" i="1"/>
  <c r="A99" i="1"/>
  <c r="C99" i="1"/>
  <c r="S99" i="1"/>
  <c r="T99" i="1"/>
  <c r="U99" i="1"/>
  <c r="BB99" i="1"/>
  <c r="BW99" i="1"/>
  <c r="A100" i="1"/>
  <c r="C100" i="1"/>
  <c r="S100" i="1"/>
  <c r="T100" i="1"/>
  <c r="U100" i="1"/>
  <c r="BB100" i="1"/>
  <c r="BW100" i="1"/>
  <c r="A101" i="1"/>
  <c r="C101" i="1"/>
  <c r="S101" i="1"/>
  <c r="T101" i="1"/>
  <c r="U101" i="1"/>
  <c r="BB101" i="1"/>
  <c r="BW101" i="1"/>
  <c r="A102" i="1"/>
  <c r="C102" i="1"/>
  <c r="S102" i="1"/>
  <c r="T102" i="1"/>
  <c r="U102" i="1"/>
  <c r="BB102" i="1"/>
  <c r="BW102" i="1"/>
  <c r="A103" i="1"/>
  <c r="C103" i="1"/>
  <c r="S103" i="1"/>
  <c r="T103" i="1"/>
  <c r="U103" i="1"/>
  <c r="BB103" i="1"/>
  <c r="BW103" i="1"/>
  <c r="A104" i="1"/>
  <c r="C104" i="1"/>
  <c r="S104" i="1"/>
  <c r="T104" i="1"/>
  <c r="U104" i="1"/>
  <c r="BB104" i="1"/>
  <c r="BW104" i="1"/>
  <c r="A105" i="1"/>
  <c r="C105" i="1"/>
  <c r="S105" i="1"/>
  <c r="T105" i="1"/>
  <c r="U105" i="1"/>
  <c r="BB105" i="1"/>
  <c r="BW105" i="1"/>
  <c r="A106" i="1"/>
  <c r="C106" i="1"/>
  <c r="S106" i="1"/>
  <c r="T106" i="1"/>
  <c r="U106" i="1"/>
  <c r="BB106" i="1"/>
  <c r="BW106" i="1"/>
  <c r="A107" i="1"/>
  <c r="C107" i="1"/>
  <c r="S107" i="1"/>
  <c r="T107" i="1"/>
  <c r="U107" i="1"/>
  <c r="BB107" i="1"/>
  <c r="BW107" i="1"/>
  <c r="A108" i="1"/>
  <c r="C108" i="1"/>
  <c r="S108" i="1"/>
  <c r="T108" i="1"/>
  <c r="U108" i="1"/>
  <c r="BB108" i="1"/>
  <c r="BW108" i="1"/>
  <c r="A109" i="1"/>
  <c r="C109" i="1"/>
  <c r="S109" i="1"/>
  <c r="T109" i="1"/>
  <c r="U109" i="1"/>
  <c r="BB109" i="1"/>
  <c r="BW109" i="1"/>
  <c r="A110" i="1"/>
  <c r="C110" i="1"/>
  <c r="S110" i="1"/>
  <c r="T110" i="1"/>
  <c r="U110" i="1"/>
  <c r="BB110" i="1"/>
  <c r="BW110" i="1"/>
  <c r="A111" i="1"/>
  <c r="C111" i="1"/>
  <c r="S111" i="1"/>
  <c r="T111" i="1"/>
  <c r="U111" i="1"/>
  <c r="BB111" i="1"/>
  <c r="BW111" i="1"/>
  <c r="A112" i="1"/>
  <c r="C112" i="1"/>
  <c r="S112" i="1"/>
  <c r="T112" i="1"/>
  <c r="U112" i="1"/>
  <c r="BB112" i="1"/>
  <c r="BW112" i="1"/>
  <c r="A113" i="1"/>
  <c r="C113" i="1"/>
  <c r="S113" i="1"/>
  <c r="T113" i="1"/>
  <c r="U113" i="1"/>
  <c r="BB113" i="1"/>
  <c r="BW113" i="1"/>
  <c r="A114" i="1"/>
  <c r="C114" i="1"/>
  <c r="S114" i="1"/>
  <c r="T114" i="1"/>
  <c r="U114" i="1"/>
  <c r="BB114" i="1"/>
  <c r="BW114" i="1"/>
  <c r="A115" i="1"/>
  <c r="C115" i="1"/>
  <c r="S115" i="1"/>
  <c r="T115" i="1"/>
  <c r="U115" i="1"/>
  <c r="BB115" i="1"/>
  <c r="BW115" i="1"/>
  <c r="A116" i="1"/>
  <c r="C116" i="1"/>
  <c r="S116" i="1"/>
  <c r="T116" i="1"/>
  <c r="U116" i="1"/>
  <c r="BB116" i="1"/>
  <c r="BW116" i="1"/>
  <c r="A117" i="1"/>
  <c r="C117" i="1"/>
  <c r="S117" i="1"/>
  <c r="T117" i="1"/>
  <c r="U117" i="1"/>
  <c r="BB117" i="1"/>
  <c r="BW117" i="1"/>
  <c r="A118" i="1"/>
  <c r="C118" i="1"/>
  <c r="S118" i="1"/>
  <c r="T118" i="1"/>
  <c r="U118" i="1"/>
  <c r="BB118" i="1"/>
  <c r="BW118" i="1"/>
  <c r="A119" i="1"/>
  <c r="C119" i="1"/>
  <c r="S119" i="1"/>
  <c r="T119" i="1"/>
  <c r="U119" i="1"/>
  <c r="BB119" i="1"/>
  <c r="BW119" i="1"/>
  <c r="A120" i="1"/>
  <c r="C120" i="1"/>
  <c r="S120" i="1"/>
  <c r="T120" i="1"/>
  <c r="U120" i="1"/>
  <c r="BB120" i="1"/>
  <c r="BW120" i="1"/>
  <c r="A121" i="1"/>
  <c r="C121" i="1"/>
  <c r="S121" i="1"/>
  <c r="T121" i="1"/>
  <c r="U121" i="1"/>
  <c r="BB121" i="1"/>
  <c r="BW121" i="1"/>
  <c r="A122" i="1"/>
  <c r="C122" i="1"/>
  <c r="S122" i="1"/>
  <c r="T122" i="1"/>
  <c r="U122" i="1"/>
  <c r="BB122" i="1"/>
  <c r="BW122" i="1"/>
  <c r="A123" i="1"/>
  <c r="C123" i="1"/>
  <c r="S123" i="1"/>
  <c r="T123" i="1"/>
  <c r="U123" i="1"/>
  <c r="BB123" i="1"/>
  <c r="BW123" i="1"/>
  <c r="A124" i="1"/>
  <c r="C124" i="1"/>
  <c r="S124" i="1"/>
  <c r="T124" i="1"/>
  <c r="U124" i="1"/>
  <c r="BB124" i="1"/>
  <c r="BW124" i="1"/>
  <c r="A125" i="1"/>
  <c r="C125" i="1"/>
  <c r="S125" i="1"/>
  <c r="T125" i="1"/>
  <c r="U125" i="1"/>
  <c r="BB125" i="1"/>
  <c r="BW125" i="1"/>
  <c r="A126" i="1"/>
  <c r="C126" i="1"/>
  <c r="S126" i="1"/>
  <c r="T126" i="1"/>
  <c r="U126" i="1"/>
  <c r="BB126" i="1"/>
  <c r="BW126" i="1"/>
  <c r="A127" i="1"/>
  <c r="C127" i="1"/>
  <c r="S127" i="1"/>
  <c r="T127" i="1"/>
  <c r="U127" i="1"/>
  <c r="BB127" i="1"/>
  <c r="BW127" i="1"/>
  <c r="A128" i="1"/>
  <c r="C128" i="1"/>
  <c r="S128" i="1"/>
  <c r="T128" i="1"/>
  <c r="U128" i="1"/>
  <c r="BB128" i="1"/>
  <c r="BW128" i="1"/>
  <c r="A129" i="1"/>
  <c r="C129" i="1"/>
  <c r="S129" i="1"/>
  <c r="T129" i="1"/>
  <c r="U129" i="1"/>
  <c r="BB129" i="1"/>
  <c r="BW129" i="1"/>
  <c r="A130" i="1"/>
  <c r="C130" i="1"/>
  <c r="S130" i="1"/>
  <c r="T130" i="1"/>
  <c r="U130" i="1"/>
  <c r="BB130" i="1"/>
  <c r="BW130" i="1"/>
  <c r="A131" i="1"/>
  <c r="C131" i="1"/>
  <c r="S131" i="1"/>
  <c r="T131" i="1"/>
  <c r="U131" i="1"/>
  <c r="BB131" i="1"/>
  <c r="BW131" i="1"/>
  <c r="A132" i="1"/>
  <c r="C132" i="1"/>
  <c r="S132" i="1"/>
  <c r="T132" i="1"/>
  <c r="U132" i="1"/>
  <c r="BB132" i="1"/>
  <c r="BW132" i="1"/>
  <c r="A133" i="1"/>
  <c r="C133" i="1"/>
  <c r="S133" i="1"/>
  <c r="T133" i="1"/>
  <c r="U133" i="1"/>
  <c r="BB133" i="1"/>
  <c r="BW133" i="1"/>
  <c r="A134" i="1"/>
  <c r="C134" i="1"/>
  <c r="S134" i="1"/>
  <c r="T134" i="1"/>
  <c r="U134" i="1"/>
  <c r="BB134" i="1"/>
  <c r="BW134" i="1"/>
  <c r="A135" i="1"/>
  <c r="C135" i="1"/>
  <c r="S135" i="1"/>
  <c r="T135" i="1"/>
  <c r="U135" i="1"/>
  <c r="BB135" i="1"/>
  <c r="BW135" i="1"/>
  <c r="A136" i="1"/>
  <c r="C136" i="1"/>
  <c r="S136" i="1"/>
  <c r="T136" i="1"/>
  <c r="U136" i="1"/>
  <c r="BB136" i="1"/>
  <c r="BW136" i="1"/>
  <c r="A137" i="1"/>
  <c r="C137" i="1"/>
  <c r="S137" i="1"/>
  <c r="T137" i="1"/>
  <c r="U137" i="1"/>
  <c r="BB137" i="1"/>
  <c r="BW137" i="1"/>
  <c r="A138" i="1"/>
  <c r="C138" i="1"/>
  <c r="S138" i="1"/>
  <c r="T138" i="1"/>
  <c r="U138" i="1"/>
  <c r="BB138" i="1"/>
  <c r="BW138" i="1"/>
  <c r="A139" i="1"/>
  <c r="C139" i="1"/>
  <c r="S139" i="1"/>
  <c r="T139" i="1"/>
  <c r="U139" i="1"/>
  <c r="BB139" i="1"/>
  <c r="BW139" i="1"/>
  <c r="A140" i="1"/>
  <c r="C140" i="1"/>
  <c r="S140" i="1"/>
  <c r="T140" i="1"/>
  <c r="U140" i="1"/>
  <c r="BB140" i="1"/>
  <c r="BW140" i="1"/>
  <c r="A141" i="1"/>
  <c r="C141" i="1"/>
  <c r="S141" i="1"/>
  <c r="T141" i="1"/>
  <c r="U141" i="1"/>
  <c r="BB141" i="1"/>
  <c r="BW141" i="1"/>
  <c r="A142" i="1"/>
  <c r="C142" i="1"/>
  <c r="S142" i="1"/>
  <c r="T142" i="1"/>
  <c r="U142" i="1"/>
  <c r="BB142" i="1"/>
  <c r="BW142" i="1"/>
  <c r="A143" i="1"/>
  <c r="C143" i="1"/>
  <c r="S143" i="1"/>
  <c r="T143" i="1"/>
  <c r="U143" i="1"/>
  <c r="BB143" i="1"/>
  <c r="BW143" i="1"/>
  <c r="A144" i="1"/>
  <c r="C144" i="1"/>
  <c r="S144" i="1"/>
  <c r="T144" i="1"/>
  <c r="U144" i="1"/>
  <c r="BB144" i="1"/>
  <c r="BW144" i="1"/>
  <c r="A145" i="1"/>
  <c r="C145" i="1"/>
  <c r="S145" i="1"/>
  <c r="T145" i="1"/>
  <c r="U145" i="1"/>
  <c r="BB145" i="1"/>
  <c r="BW145" i="1"/>
  <c r="A146" i="1"/>
  <c r="C146" i="1"/>
  <c r="S146" i="1"/>
  <c r="T146" i="1"/>
  <c r="U146" i="1"/>
  <c r="BB146" i="1"/>
  <c r="BW146" i="1"/>
  <c r="A147" i="1"/>
  <c r="C147" i="1"/>
  <c r="S147" i="1"/>
  <c r="T147" i="1"/>
  <c r="U147" i="1"/>
  <c r="BB147" i="1"/>
  <c r="BW147" i="1"/>
  <c r="A148" i="1"/>
  <c r="C148" i="1"/>
  <c r="S148" i="1"/>
  <c r="T148" i="1"/>
  <c r="U148" i="1"/>
  <c r="BB148" i="1"/>
  <c r="BW148" i="1"/>
  <c r="A149" i="1"/>
  <c r="C149" i="1"/>
  <c r="S149" i="1"/>
  <c r="T149" i="1"/>
  <c r="U149" i="1"/>
  <c r="BB149" i="1"/>
  <c r="BW149" i="1"/>
  <c r="A150" i="1"/>
  <c r="C150" i="1"/>
  <c r="S150" i="1"/>
  <c r="T150" i="1"/>
  <c r="U150" i="1"/>
  <c r="BB150" i="1"/>
  <c r="BW150" i="1"/>
  <c r="A151" i="1"/>
  <c r="C151" i="1"/>
  <c r="S151" i="1"/>
  <c r="T151" i="1"/>
  <c r="U151" i="1"/>
  <c r="BB151" i="1"/>
  <c r="BW151" i="1"/>
  <c r="A152" i="1"/>
  <c r="C152" i="1"/>
  <c r="S152" i="1"/>
  <c r="T152" i="1"/>
  <c r="U152" i="1"/>
  <c r="BB152" i="1"/>
  <c r="BW152" i="1"/>
  <c r="A153" i="1"/>
  <c r="C153" i="1"/>
  <c r="S153" i="1"/>
  <c r="T153" i="1"/>
  <c r="U153" i="1"/>
  <c r="BB153" i="1"/>
  <c r="BW153" i="1"/>
  <c r="A154" i="1"/>
  <c r="C154" i="1"/>
  <c r="S154" i="1"/>
  <c r="T154" i="1"/>
  <c r="U154" i="1"/>
  <c r="BB154" i="1"/>
  <c r="BW154" i="1"/>
  <c r="A155" i="1"/>
  <c r="C155" i="1"/>
  <c r="S155" i="1"/>
  <c r="T155" i="1"/>
  <c r="U155" i="1"/>
  <c r="BB155" i="1"/>
  <c r="BW155" i="1"/>
  <c r="A156" i="1"/>
  <c r="C156" i="1"/>
  <c r="S156" i="1"/>
  <c r="T156" i="1"/>
  <c r="U156" i="1"/>
  <c r="BB156" i="1"/>
  <c r="BW156" i="1"/>
  <c r="A157" i="1"/>
  <c r="C157" i="1"/>
  <c r="S157" i="1"/>
  <c r="T157" i="1"/>
  <c r="U157" i="1"/>
  <c r="BB157" i="1"/>
  <c r="BW157" i="1"/>
  <c r="A158" i="1"/>
  <c r="C158" i="1"/>
  <c r="S158" i="1"/>
  <c r="T158" i="1"/>
  <c r="U158" i="1"/>
  <c r="BB158" i="1"/>
  <c r="BW158" i="1"/>
  <c r="A159" i="1"/>
  <c r="C159" i="1"/>
  <c r="S159" i="1"/>
  <c r="T159" i="1"/>
  <c r="U159" i="1"/>
  <c r="BB159" i="1"/>
  <c r="BW159" i="1"/>
  <c r="A160" i="1"/>
  <c r="C160" i="1"/>
  <c r="S160" i="1"/>
  <c r="T160" i="1"/>
  <c r="U160" i="1"/>
  <c r="BB160" i="1"/>
  <c r="BW160" i="1"/>
  <c r="A161" i="1"/>
  <c r="C161" i="1"/>
  <c r="S161" i="1"/>
  <c r="T161" i="1"/>
  <c r="U161" i="1"/>
  <c r="BB161" i="1"/>
  <c r="BW161" i="1"/>
  <c r="A162" i="1"/>
  <c r="C162" i="1"/>
  <c r="S162" i="1"/>
  <c r="T162" i="1"/>
  <c r="U162" i="1"/>
  <c r="BB162" i="1"/>
  <c r="BW162" i="1"/>
  <c r="A163" i="1"/>
  <c r="C163" i="1"/>
  <c r="S163" i="1"/>
  <c r="T163" i="1"/>
  <c r="U163" i="1"/>
  <c r="BB163" i="1"/>
  <c r="BW163" i="1"/>
  <c r="A164" i="1"/>
  <c r="C164" i="1"/>
  <c r="S164" i="1"/>
  <c r="T164" i="1"/>
  <c r="U164" i="1"/>
  <c r="BB164" i="1"/>
  <c r="BW164" i="1"/>
  <c r="A165" i="1"/>
  <c r="C165" i="1"/>
  <c r="S165" i="1"/>
  <c r="T165" i="1"/>
  <c r="U165" i="1"/>
  <c r="BB165" i="1"/>
  <c r="BW165" i="1"/>
  <c r="A166" i="1"/>
  <c r="C166" i="1"/>
  <c r="S166" i="1"/>
  <c r="T166" i="1"/>
  <c r="U166" i="1"/>
  <c r="BB166" i="1"/>
  <c r="BW166" i="1"/>
  <c r="A167" i="1"/>
  <c r="C167" i="1"/>
  <c r="S167" i="1"/>
  <c r="T167" i="1"/>
  <c r="U167" i="1"/>
  <c r="BB167" i="1"/>
  <c r="BW167" i="1"/>
  <c r="A168" i="1"/>
  <c r="C168" i="1"/>
  <c r="S168" i="1"/>
  <c r="T168" i="1"/>
  <c r="U168" i="1"/>
  <c r="BB168" i="1"/>
  <c r="BW168" i="1"/>
  <c r="A169" i="1"/>
  <c r="C169" i="1"/>
  <c r="S169" i="1"/>
  <c r="T169" i="1"/>
  <c r="U169" i="1"/>
  <c r="BB169" i="1"/>
  <c r="BW169" i="1"/>
  <c r="A170" i="1"/>
  <c r="C170" i="1"/>
  <c r="S170" i="1"/>
  <c r="T170" i="1"/>
  <c r="U170" i="1"/>
  <c r="BB170" i="1"/>
  <c r="BW170" i="1"/>
  <c r="A171" i="1"/>
  <c r="C171" i="1"/>
  <c r="S171" i="1"/>
  <c r="T171" i="1"/>
  <c r="U171" i="1"/>
  <c r="BB171" i="1"/>
  <c r="BW171" i="1"/>
  <c r="A172" i="1"/>
  <c r="C172" i="1"/>
  <c r="S172" i="1"/>
  <c r="T172" i="1"/>
  <c r="U172" i="1"/>
  <c r="BB172" i="1"/>
  <c r="BW172" i="1"/>
  <c r="A173" i="1"/>
  <c r="C173" i="1"/>
  <c r="S173" i="1"/>
  <c r="T173" i="1"/>
  <c r="U173" i="1"/>
  <c r="BB173" i="1"/>
  <c r="BW173" i="1"/>
  <c r="A174" i="1"/>
  <c r="C174" i="1"/>
  <c r="S174" i="1"/>
  <c r="T174" i="1"/>
  <c r="U174" i="1"/>
  <c r="BB174" i="1"/>
  <c r="BW174" i="1"/>
  <c r="A175" i="1"/>
  <c r="C175" i="1"/>
  <c r="S175" i="1"/>
  <c r="T175" i="1"/>
  <c r="U175" i="1"/>
  <c r="BB175" i="1"/>
  <c r="BW175" i="1"/>
  <c r="A176" i="1"/>
  <c r="C176" i="1"/>
  <c r="S176" i="1"/>
  <c r="T176" i="1"/>
  <c r="U176" i="1"/>
  <c r="BB176" i="1"/>
  <c r="BW176" i="1"/>
  <c r="A177" i="1"/>
  <c r="C177" i="1"/>
  <c r="S177" i="1"/>
  <c r="T177" i="1"/>
  <c r="U177" i="1"/>
  <c r="BB177" i="1"/>
  <c r="BW177" i="1"/>
  <c r="A178" i="1"/>
  <c r="C178" i="1"/>
  <c r="S178" i="1"/>
  <c r="T178" i="1"/>
  <c r="U178" i="1"/>
  <c r="BB178" i="1"/>
  <c r="BW178" i="1"/>
  <c r="A179" i="1"/>
  <c r="C179" i="1"/>
  <c r="S179" i="1"/>
  <c r="T179" i="1"/>
  <c r="U179" i="1"/>
  <c r="BB179" i="1"/>
  <c r="BW179" i="1"/>
  <c r="A180" i="1"/>
  <c r="C180" i="1"/>
  <c r="S180" i="1"/>
  <c r="T180" i="1"/>
  <c r="U180" i="1"/>
  <c r="BB180" i="1"/>
  <c r="BW180" i="1"/>
  <c r="A181" i="1"/>
  <c r="C181" i="1"/>
  <c r="S181" i="1"/>
  <c r="T181" i="1"/>
  <c r="U181" i="1"/>
  <c r="BB181" i="1"/>
  <c r="BW181" i="1"/>
  <c r="A182" i="1"/>
  <c r="C182" i="1"/>
  <c r="S182" i="1"/>
  <c r="T182" i="1"/>
  <c r="U182" i="1"/>
  <c r="BB182" i="1"/>
  <c r="BW182" i="1"/>
  <c r="A183" i="1"/>
  <c r="C183" i="1"/>
  <c r="S183" i="1"/>
  <c r="T183" i="1"/>
  <c r="U183" i="1"/>
  <c r="BB183" i="1"/>
  <c r="BW183" i="1"/>
  <c r="A184" i="1"/>
  <c r="C184" i="1"/>
  <c r="S184" i="1"/>
  <c r="T184" i="1"/>
  <c r="U184" i="1"/>
  <c r="BB184" i="1"/>
  <c r="BW184" i="1"/>
  <c r="A185" i="1"/>
  <c r="C185" i="1"/>
  <c r="S185" i="1"/>
  <c r="T185" i="1"/>
  <c r="U185" i="1"/>
  <c r="BB185" i="1"/>
  <c r="BW185" i="1"/>
  <c r="A186" i="1"/>
  <c r="C186" i="1"/>
  <c r="S186" i="1"/>
  <c r="T186" i="1"/>
  <c r="U186" i="1"/>
  <c r="BB186" i="1"/>
  <c r="BW186" i="1"/>
  <c r="A187" i="1"/>
  <c r="C187" i="1"/>
  <c r="S187" i="1"/>
  <c r="T187" i="1"/>
  <c r="U187" i="1"/>
  <c r="BB187" i="1"/>
  <c r="BW187" i="1"/>
  <c r="A188" i="1"/>
  <c r="C188" i="1"/>
  <c r="S188" i="1"/>
  <c r="T188" i="1"/>
  <c r="U188" i="1"/>
  <c r="BB188" i="1"/>
  <c r="BW188" i="1"/>
  <c r="A189" i="1"/>
  <c r="C189" i="1"/>
  <c r="S189" i="1"/>
  <c r="T189" i="1"/>
  <c r="U189" i="1"/>
  <c r="BB189" i="1"/>
  <c r="BW189" i="1"/>
  <c r="A190" i="1"/>
  <c r="C190" i="1"/>
  <c r="S190" i="1"/>
  <c r="T190" i="1"/>
  <c r="U190" i="1"/>
  <c r="BB190" i="1"/>
  <c r="BW190" i="1"/>
  <c r="A191" i="1"/>
  <c r="C191" i="1"/>
  <c r="S191" i="1"/>
  <c r="T191" i="1"/>
  <c r="U191" i="1"/>
  <c r="BB191" i="1"/>
  <c r="BW191" i="1"/>
  <c r="A192" i="1"/>
  <c r="C192" i="1"/>
  <c r="S192" i="1"/>
  <c r="T192" i="1"/>
  <c r="U192" i="1"/>
  <c r="BB192" i="1"/>
  <c r="BW192" i="1"/>
  <c r="A193" i="1"/>
  <c r="C193" i="1"/>
  <c r="S193" i="1"/>
  <c r="T193" i="1"/>
  <c r="U193" i="1"/>
  <c r="BB193" i="1"/>
  <c r="BW193" i="1"/>
  <c r="A194" i="1"/>
  <c r="C194" i="1"/>
  <c r="S194" i="1"/>
  <c r="T194" i="1"/>
  <c r="U194" i="1"/>
  <c r="BB194" i="1"/>
  <c r="BW194" i="1"/>
  <c r="A195" i="1"/>
  <c r="C195" i="1"/>
  <c r="S195" i="1"/>
  <c r="T195" i="1"/>
  <c r="U195" i="1"/>
  <c r="BB195" i="1"/>
  <c r="BW195" i="1"/>
  <c r="A196" i="1"/>
  <c r="C196" i="1"/>
  <c r="S196" i="1"/>
  <c r="T196" i="1"/>
  <c r="U196" i="1"/>
  <c r="BB196" i="1"/>
  <c r="BW196" i="1"/>
  <c r="A197" i="1"/>
  <c r="C197" i="1"/>
  <c r="S197" i="1"/>
  <c r="T197" i="1"/>
  <c r="U197" i="1"/>
  <c r="BB197" i="1"/>
  <c r="BW197" i="1"/>
  <c r="A198" i="1"/>
  <c r="C198" i="1"/>
  <c r="S198" i="1"/>
  <c r="T198" i="1"/>
  <c r="U198" i="1"/>
  <c r="BB198" i="1"/>
  <c r="BW198" i="1"/>
  <c r="A199" i="1"/>
  <c r="C199" i="1"/>
  <c r="S199" i="1"/>
  <c r="T199" i="1"/>
  <c r="U199" i="1"/>
  <c r="BB199" i="1"/>
  <c r="BW199" i="1"/>
  <c r="A200" i="1"/>
  <c r="C200" i="1"/>
  <c r="S200" i="1"/>
  <c r="T200" i="1"/>
  <c r="U200" i="1"/>
  <c r="BB200" i="1"/>
  <c r="BW200" i="1"/>
  <c r="A201" i="1"/>
  <c r="C201" i="1"/>
  <c r="S201" i="1"/>
  <c r="T201" i="1"/>
  <c r="U201" i="1"/>
  <c r="BB201" i="1"/>
  <c r="BW201" i="1"/>
  <c r="A202" i="1"/>
  <c r="C202" i="1"/>
  <c r="S202" i="1"/>
  <c r="T202" i="1"/>
  <c r="U202" i="1"/>
  <c r="BB202" i="1"/>
  <c r="BW202" i="1"/>
  <c r="A203" i="1"/>
  <c r="C203" i="1"/>
  <c r="S203" i="1"/>
  <c r="T203" i="1"/>
  <c r="U203" i="1"/>
  <c r="BB203" i="1"/>
  <c r="BW203" i="1"/>
  <c r="A204" i="1"/>
  <c r="C204" i="1"/>
  <c r="S204" i="1"/>
  <c r="T204" i="1"/>
  <c r="U204" i="1"/>
  <c r="BB204" i="1"/>
  <c r="BW204" i="1"/>
  <c r="A205" i="1"/>
  <c r="C205" i="1"/>
  <c r="S205" i="1"/>
  <c r="T205" i="1"/>
  <c r="U205" i="1"/>
  <c r="BB205" i="1"/>
  <c r="BW205" i="1"/>
  <c r="A206" i="1"/>
  <c r="C206" i="1"/>
  <c r="S206" i="1"/>
  <c r="T206" i="1"/>
  <c r="U206" i="1"/>
  <c r="BB206" i="1"/>
  <c r="BW206" i="1"/>
  <c r="A207" i="1"/>
  <c r="C207" i="1"/>
  <c r="S207" i="1"/>
  <c r="T207" i="1"/>
  <c r="U207" i="1"/>
  <c r="BB207" i="1"/>
  <c r="BW207" i="1"/>
  <c r="A208" i="1"/>
  <c r="C208" i="1"/>
  <c r="S208" i="1"/>
  <c r="T208" i="1"/>
  <c r="U208" i="1"/>
  <c r="BB208" i="1"/>
  <c r="BW208" i="1"/>
  <c r="A209" i="1"/>
  <c r="C209" i="1"/>
  <c r="S209" i="1"/>
  <c r="T209" i="1"/>
  <c r="U209" i="1"/>
  <c r="BB209" i="1"/>
  <c r="BW209" i="1"/>
  <c r="A210" i="1"/>
  <c r="C210" i="1"/>
  <c r="S210" i="1"/>
  <c r="T210" i="1"/>
  <c r="U210" i="1"/>
  <c r="BB210" i="1"/>
  <c r="BW210" i="1"/>
  <c r="A211" i="1"/>
  <c r="C211" i="1"/>
  <c r="S211" i="1"/>
  <c r="T211" i="1"/>
  <c r="U211" i="1"/>
  <c r="BB211" i="1"/>
  <c r="BW211" i="1"/>
  <c r="A212" i="1"/>
  <c r="C212" i="1"/>
  <c r="S212" i="1"/>
  <c r="T212" i="1"/>
  <c r="U212" i="1"/>
  <c r="BB212" i="1"/>
  <c r="BW212" i="1"/>
  <c r="A213" i="1"/>
  <c r="C213" i="1"/>
  <c r="S213" i="1"/>
  <c r="T213" i="1"/>
  <c r="U213" i="1"/>
  <c r="BB213" i="1"/>
  <c r="BW213" i="1"/>
  <c r="A214" i="1"/>
  <c r="C214" i="1"/>
  <c r="S214" i="1"/>
  <c r="T214" i="1"/>
  <c r="U214" i="1"/>
  <c r="BB214" i="1"/>
  <c r="BW214" i="1"/>
  <c r="A215" i="1"/>
  <c r="C215" i="1"/>
  <c r="S215" i="1"/>
  <c r="T215" i="1"/>
  <c r="U215" i="1"/>
  <c r="BB215" i="1"/>
  <c r="BW215" i="1"/>
  <c r="A216" i="1"/>
  <c r="C216" i="1"/>
  <c r="S216" i="1"/>
  <c r="T216" i="1"/>
  <c r="U216" i="1"/>
  <c r="BB216" i="1"/>
  <c r="BW216" i="1"/>
  <c r="A217" i="1"/>
  <c r="C217" i="1"/>
  <c r="S217" i="1"/>
  <c r="T217" i="1"/>
  <c r="U217" i="1"/>
  <c r="BB217" i="1"/>
  <c r="BW217" i="1"/>
  <c r="A218" i="1"/>
  <c r="C218" i="1"/>
  <c r="S218" i="1"/>
  <c r="T218" i="1"/>
  <c r="U218" i="1"/>
  <c r="BB218" i="1"/>
  <c r="BW218" i="1"/>
  <c r="A219" i="1"/>
  <c r="C219" i="1"/>
  <c r="S219" i="1"/>
  <c r="T219" i="1"/>
  <c r="U219" i="1"/>
  <c r="BB219" i="1"/>
  <c r="BW219" i="1"/>
  <c r="A220" i="1"/>
  <c r="C220" i="1"/>
  <c r="S220" i="1"/>
  <c r="T220" i="1"/>
  <c r="U220" i="1"/>
  <c r="BB220" i="1"/>
  <c r="BW220" i="1"/>
  <c r="A221" i="1"/>
  <c r="C221" i="1"/>
  <c r="S221" i="1"/>
  <c r="T221" i="1"/>
  <c r="U221" i="1"/>
  <c r="BB221" i="1"/>
  <c r="BW221" i="1"/>
  <c r="A222" i="1"/>
  <c r="C222" i="1"/>
  <c r="S222" i="1"/>
  <c r="T222" i="1"/>
  <c r="U222" i="1"/>
  <c r="BB222" i="1"/>
  <c r="BW222" i="1"/>
  <c r="A223" i="1"/>
  <c r="C223" i="1"/>
  <c r="S223" i="1"/>
  <c r="T223" i="1"/>
  <c r="U223" i="1"/>
  <c r="BB223" i="1"/>
  <c r="BW223" i="1"/>
  <c r="A224" i="1"/>
  <c r="C224" i="1"/>
  <c r="S224" i="1"/>
  <c r="T224" i="1"/>
  <c r="U224" i="1"/>
  <c r="BB224" i="1"/>
  <c r="BW224" i="1"/>
  <c r="A225" i="1"/>
  <c r="C225" i="1"/>
  <c r="S225" i="1"/>
  <c r="T225" i="1"/>
  <c r="U225" i="1"/>
  <c r="BB225" i="1"/>
  <c r="BW225" i="1"/>
  <c r="A226" i="1"/>
  <c r="C226" i="1"/>
  <c r="S226" i="1"/>
  <c r="T226" i="1"/>
  <c r="U226" i="1"/>
  <c r="BB226" i="1"/>
  <c r="BW226" i="1"/>
  <c r="A227" i="1"/>
  <c r="C227" i="1"/>
  <c r="S227" i="1"/>
  <c r="T227" i="1"/>
  <c r="U227" i="1"/>
  <c r="BB227" i="1"/>
  <c r="BW227" i="1"/>
  <c r="A228" i="1"/>
  <c r="C228" i="1"/>
  <c r="S228" i="1"/>
  <c r="T228" i="1"/>
  <c r="U228" i="1"/>
  <c r="BB228" i="1"/>
  <c r="BW228" i="1"/>
  <c r="A229" i="1"/>
  <c r="C229" i="1"/>
  <c r="S229" i="1"/>
  <c r="T229" i="1"/>
  <c r="U229" i="1"/>
  <c r="BB229" i="1"/>
  <c r="BW229" i="1"/>
  <c r="A230" i="1"/>
  <c r="C230" i="1"/>
  <c r="S230" i="1"/>
  <c r="T230" i="1"/>
  <c r="U230" i="1"/>
  <c r="BB230" i="1"/>
  <c r="BW230" i="1"/>
  <c r="A231" i="1"/>
  <c r="C231" i="1"/>
  <c r="S231" i="1"/>
  <c r="T231" i="1"/>
  <c r="U231" i="1"/>
  <c r="BB231" i="1"/>
  <c r="BW231" i="1"/>
  <c r="A232" i="1"/>
  <c r="C232" i="1"/>
  <c r="S232" i="1"/>
  <c r="T232" i="1"/>
  <c r="U232" i="1"/>
  <c r="BB232" i="1"/>
  <c r="BW232" i="1"/>
  <c r="A233" i="1"/>
  <c r="C233" i="1"/>
  <c r="S233" i="1"/>
  <c r="T233" i="1"/>
  <c r="U233" i="1"/>
  <c r="BB233" i="1"/>
  <c r="BW233" i="1"/>
  <c r="A234" i="1"/>
  <c r="C234" i="1"/>
  <c r="S234" i="1"/>
  <c r="T234" i="1"/>
  <c r="U234" i="1"/>
  <c r="BB234" i="1"/>
  <c r="BW234" i="1"/>
  <c r="A235" i="1"/>
  <c r="C235" i="1"/>
  <c r="S235" i="1"/>
  <c r="T235" i="1"/>
  <c r="U235" i="1"/>
  <c r="BB235" i="1"/>
  <c r="BW235" i="1"/>
  <c r="A236" i="1"/>
  <c r="C236" i="1"/>
  <c r="S236" i="1"/>
  <c r="T236" i="1"/>
  <c r="U236" i="1"/>
  <c r="BB236" i="1"/>
  <c r="BW236" i="1"/>
  <c r="A237" i="1"/>
  <c r="C237" i="1"/>
  <c r="S237" i="1"/>
  <c r="T237" i="1"/>
  <c r="U237" i="1"/>
  <c r="BB237" i="1"/>
  <c r="BW237" i="1"/>
  <c r="A238" i="1"/>
  <c r="C238" i="1"/>
  <c r="S238" i="1"/>
  <c r="T238" i="1"/>
  <c r="U238" i="1"/>
  <c r="BB238" i="1"/>
  <c r="BW238" i="1"/>
  <c r="A239" i="1"/>
  <c r="C239" i="1"/>
  <c r="S239" i="1"/>
  <c r="T239" i="1"/>
  <c r="U239" i="1"/>
  <c r="BB239" i="1"/>
  <c r="BW239" i="1"/>
  <c r="A240" i="1"/>
  <c r="C240" i="1"/>
  <c r="S240" i="1"/>
  <c r="T240" i="1"/>
  <c r="U240" i="1"/>
  <c r="BB240" i="1"/>
  <c r="BW240" i="1"/>
  <c r="A241" i="1"/>
  <c r="C241" i="1"/>
  <c r="S241" i="1"/>
  <c r="T241" i="1"/>
  <c r="U241" i="1"/>
  <c r="BB241" i="1"/>
  <c r="BW241" i="1"/>
  <c r="A242" i="1"/>
  <c r="C242" i="1"/>
  <c r="S242" i="1"/>
  <c r="T242" i="1"/>
  <c r="U242" i="1"/>
  <c r="BB242" i="1"/>
  <c r="BW242" i="1"/>
  <c r="A243" i="1"/>
  <c r="C243" i="1"/>
  <c r="S243" i="1"/>
  <c r="T243" i="1"/>
  <c r="U243" i="1"/>
  <c r="BB243" i="1"/>
  <c r="BW243" i="1"/>
  <c r="A244" i="1"/>
  <c r="C244" i="1"/>
  <c r="S244" i="1"/>
  <c r="T244" i="1"/>
  <c r="U244" i="1"/>
  <c r="BB244" i="1"/>
  <c r="BW244" i="1"/>
  <c r="A245" i="1"/>
  <c r="C245" i="1"/>
  <c r="S245" i="1"/>
  <c r="T245" i="1"/>
  <c r="U245" i="1"/>
  <c r="BB245" i="1"/>
  <c r="BW245" i="1"/>
  <c r="A246" i="1"/>
  <c r="C246" i="1"/>
  <c r="S246" i="1"/>
  <c r="T246" i="1"/>
  <c r="U246" i="1"/>
  <c r="BB246" i="1"/>
  <c r="BW246" i="1"/>
  <c r="A247" i="1"/>
  <c r="C247" i="1"/>
  <c r="S247" i="1"/>
  <c r="T247" i="1"/>
  <c r="U247" i="1"/>
  <c r="BB247" i="1"/>
  <c r="BW247" i="1"/>
  <c r="A248" i="1"/>
  <c r="C248" i="1"/>
  <c r="S248" i="1"/>
  <c r="T248" i="1"/>
  <c r="U248" i="1"/>
  <c r="BB248" i="1"/>
  <c r="BW248" i="1"/>
  <c r="A249" i="1"/>
  <c r="C249" i="1"/>
  <c r="S249" i="1"/>
  <c r="T249" i="1"/>
  <c r="U249" i="1"/>
  <c r="BB249" i="1"/>
  <c r="BW249" i="1"/>
  <c r="A250" i="1"/>
  <c r="C250" i="1"/>
  <c r="S250" i="1"/>
  <c r="T250" i="1"/>
  <c r="U250" i="1"/>
  <c r="BB250" i="1"/>
  <c r="BW250" i="1"/>
  <c r="A251" i="1"/>
  <c r="C251" i="1"/>
  <c r="S251" i="1"/>
  <c r="T251" i="1"/>
  <c r="U251" i="1"/>
  <c r="BB251" i="1"/>
  <c r="BW251" i="1"/>
  <c r="A252" i="1"/>
  <c r="C252" i="1"/>
  <c r="S252" i="1"/>
  <c r="T252" i="1"/>
  <c r="U252" i="1"/>
  <c r="BB252" i="1"/>
  <c r="BW252" i="1"/>
  <c r="A253" i="1"/>
  <c r="C253" i="1"/>
  <c r="S253" i="1"/>
  <c r="T253" i="1"/>
  <c r="U253" i="1"/>
  <c r="BB253" i="1"/>
  <c r="BW253" i="1"/>
  <c r="A254" i="1"/>
  <c r="C254" i="1"/>
  <c r="S254" i="1"/>
  <c r="T254" i="1"/>
  <c r="U254" i="1"/>
  <c r="BB254" i="1"/>
  <c r="BW254" i="1"/>
  <c r="A255" i="1"/>
  <c r="C255" i="1"/>
  <c r="S255" i="1"/>
  <c r="T255" i="1"/>
  <c r="U255" i="1"/>
  <c r="BB255" i="1"/>
  <c r="BW255" i="1"/>
  <c r="A256" i="1"/>
  <c r="C256" i="1"/>
  <c r="S256" i="1"/>
  <c r="T256" i="1"/>
  <c r="U256" i="1"/>
  <c r="BB256" i="1"/>
  <c r="BW256" i="1"/>
  <c r="A257" i="1"/>
  <c r="C257" i="1"/>
  <c r="S257" i="1"/>
  <c r="T257" i="1"/>
  <c r="U257" i="1"/>
  <c r="BB257" i="1"/>
  <c r="BW257" i="1"/>
  <c r="A258" i="1"/>
  <c r="C258" i="1"/>
  <c r="S258" i="1"/>
  <c r="T258" i="1"/>
  <c r="U258" i="1"/>
  <c r="BB258" i="1"/>
  <c r="BW258" i="1"/>
  <c r="A259" i="1"/>
  <c r="C259" i="1"/>
  <c r="S259" i="1"/>
  <c r="T259" i="1"/>
  <c r="U259" i="1"/>
  <c r="BB259" i="1"/>
  <c r="BW259" i="1"/>
  <c r="A260" i="1"/>
  <c r="C260" i="1"/>
  <c r="S260" i="1"/>
  <c r="T260" i="1"/>
  <c r="U260" i="1"/>
  <c r="BB260" i="1"/>
  <c r="BW260" i="1"/>
  <c r="A261" i="1"/>
  <c r="C261" i="1"/>
  <c r="S261" i="1"/>
  <c r="T261" i="1"/>
  <c r="U261" i="1"/>
  <c r="BB261" i="1"/>
  <c r="BW261" i="1"/>
  <c r="A262" i="1"/>
  <c r="C262" i="1"/>
  <c r="S262" i="1"/>
  <c r="T262" i="1"/>
  <c r="U262" i="1"/>
  <c r="BB262" i="1"/>
  <c r="BW262" i="1"/>
  <c r="A263" i="1"/>
  <c r="C263" i="1"/>
  <c r="S263" i="1"/>
  <c r="T263" i="1"/>
  <c r="U263" i="1"/>
  <c r="BB263" i="1"/>
  <c r="BW263" i="1"/>
  <c r="A264" i="1"/>
  <c r="C264" i="1"/>
  <c r="S264" i="1"/>
  <c r="T264" i="1"/>
  <c r="U264" i="1"/>
  <c r="BB264" i="1"/>
  <c r="BW264" i="1"/>
  <c r="A265" i="1"/>
  <c r="C265" i="1"/>
  <c r="S265" i="1"/>
  <c r="T265" i="1"/>
  <c r="U265" i="1"/>
  <c r="BB265" i="1"/>
  <c r="BW265" i="1"/>
  <c r="A266" i="1"/>
  <c r="C266" i="1"/>
  <c r="S266" i="1"/>
  <c r="T266" i="1"/>
  <c r="U266" i="1"/>
  <c r="BB266" i="1"/>
  <c r="BW266" i="1"/>
  <c r="A267" i="1"/>
  <c r="C267" i="1"/>
  <c r="S267" i="1"/>
  <c r="T267" i="1"/>
  <c r="U267" i="1"/>
  <c r="BB267" i="1"/>
  <c r="BW267" i="1"/>
  <c r="A268" i="1"/>
  <c r="C268" i="1"/>
  <c r="S268" i="1"/>
  <c r="T268" i="1"/>
  <c r="U268" i="1"/>
  <c r="BB268" i="1"/>
  <c r="BW268" i="1"/>
  <c r="A269" i="1"/>
  <c r="C269" i="1"/>
  <c r="S269" i="1"/>
  <c r="T269" i="1"/>
  <c r="U269" i="1"/>
  <c r="BB269" i="1"/>
  <c r="BW269" i="1"/>
  <c r="A270" i="1"/>
  <c r="C270" i="1"/>
  <c r="S270" i="1"/>
  <c r="T270" i="1"/>
  <c r="U270" i="1"/>
  <c r="BB270" i="1"/>
  <c r="BW270" i="1"/>
  <c r="A271" i="1"/>
  <c r="C271" i="1"/>
  <c r="S271" i="1"/>
  <c r="T271" i="1"/>
  <c r="U271" i="1"/>
  <c r="BB271" i="1"/>
  <c r="BW271" i="1"/>
  <c r="A272" i="1"/>
  <c r="C272" i="1"/>
  <c r="S272" i="1"/>
  <c r="T272" i="1"/>
  <c r="U272" i="1"/>
  <c r="BB272" i="1"/>
  <c r="BW272" i="1"/>
  <c r="A273" i="1"/>
  <c r="C273" i="1"/>
  <c r="S273" i="1"/>
  <c r="T273" i="1"/>
  <c r="U273" i="1"/>
  <c r="BB273" i="1"/>
  <c r="BW273" i="1"/>
  <c r="A274" i="1"/>
  <c r="C274" i="1"/>
  <c r="S274" i="1"/>
  <c r="T274" i="1"/>
  <c r="U274" i="1"/>
  <c r="BB274" i="1"/>
  <c r="BW274" i="1"/>
  <c r="A275" i="1"/>
  <c r="C275" i="1"/>
  <c r="S275" i="1"/>
  <c r="T275" i="1"/>
  <c r="U275" i="1"/>
  <c r="BB275" i="1"/>
  <c r="BW275" i="1"/>
  <c r="A276" i="1"/>
  <c r="C276" i="1"/>
  <c r="S276" i="1"/>
  <c r="T276" i="1"/>
  <c r="U276" i="1"/>
  <c r="BB276" i="1"/>
  <c r="BW276" i="1"/>
  <c r="A277" i="1"/>
  <c r="C277" i="1"/>
  <c r="S277" i="1"/>
  <c r="T277" i="1"/>
  <c r="U277" i="1"/>
  <c r="BB277" i="1"/>
  <c r="BW277" i="1"/>
  <c r="A278" i="1"/>
  <c r="C278" i="1"/>
  <c r="S278" i="1"/>
  <c r="T278" i="1"/>
  <c r="U278" i="1"/>
  <c r="BB278" i="1"/>
  <c r="BW278" i="1"/>
  <c r="A279" i="1"/>
  <c r="C279" i="1"/>
  <c r="S279" i="1"/>
  <c r="T279" i="1"/>
  <c r="U279" i="1"/>
  <c r="BB279" i="1"/>
  <c r="BW279" i="1"/>
  <c r="A280" i="1"/>
  <c r="C280" i="1"/>
  <c r="S280" i="1"/>
  <c r="T280" i="1"/>
  <c r="U280" i="1"/>
  <c r="BB280" i="1"/>
  <c r="BW280" i="1"/>
  <c r="A281" i="1"/>
  <c r="C281" i="1"/>
  <c r="S281" i="1"/>
  <c r="T281" i="1"/>
  <c r="U281" i="1"/>
  <c r="BB281" i="1"/>
  <c r="BW281" i="1"/>
  <c r="A282" i="1"/>
  <c r="C282" i="1"/>
  <c r="S282" i="1"/>
  <c r="T282" i="1"/>
  <c r="U282" i="1"/>
  <c r="BB282" i="1"/>
  <c r="BW282" i="1"/>
  <c r="A283" i="1"/>
  <c r="C283" i="1"/>
  <c r="S283" i="1"/>
  <c r="T283" i="1"/>
  <c r="U283" i="1"/>
  <c r="BB283" i="1"/>
  <c r="BW283" i="1"/>
  <c r="A284" i="1"/>
  <c r="C284" i="1"/>
  <c r="S284" i="1"/>
  <c r="T284" i="1"/>
  <c r="U284" i="1"/>
  <c r="BB284" i="1"/>
  <c r="BW284" i="1"/>
  <c r="A285" i="1"/>
  <c r="C285" i="1"/>
  <c r="S285" i="1"/>
  <c r="T285" i="1"/>
  <c r="U285" i="1"/>
  <c r="BB285" i="1"/>
  <c r="BW285" i="1"/>
  <c r="A286" i="1"/>
  <c r="C286" i="1"/>
  <c r="S286" i="1"/>
  <c r="T286" i="1"/>
  <c r="U286" i="1"/>
  <c r="BB286" i="1"/>
  <c r="BW286" i="1"/>
  <c r="A287" i="1"/>
  <c r="C287" i="1"/>
  <c r="S287" i="1"/>
  <c r="T287" i="1"/>
  <c r="U287" i="1"/>
  <c r="BB287" i="1"/>
  <c r="BW287" i="1"/>
  <c r="A288" i="1"/>
  <c r="C288" i="1"/>
  <c r="S288" i="1"/>
  <c r="T288" i="1"/>
  <c r="U288" i="1"/>
  <c r="BB288" i="1"/>
  <c r="BW288" i="1"/>
  <c r="A289" i="1"/>
  <c r="C289" i="1"/>
  <c r="S289" i="1"/>
  <c r="T289" i="1"/>
  <c r="U289" i="1"/>
  <c r="BB289" i="1"/>
  <c r="BW289" i="1"/>
  <c r="A290" i="1"/>
  <c r="C290" i="1"/>
  <c r="S290" i="1"/>
  <c r="T290" i="1"/>
  <c r="U290" i="1"/>
  <c r="BB290" i="1"/>
  <c r="BW290" i="1"/>
  <c r="A291" i="1"/>
  <c r="C291" i="1"/>
  <c r="S291" i="1"/>
  <c r="T291" i="1"/>
  <c r="U291" i="1"/>
  <c r="BB291" i="1"/>
  <c r="BW291" i="1"/>
  <c r="A292" i="1"/>
  <c r="C292" i="1"/>
  <c r="S292" i="1"/>
  <c r="T292" i="1"/>
  <c r="U292" i="1"/>
  <c r="BB292" i="1"/>
  <c r="BW292" i="1"/>
  <c r="A293" i="1"/>
  <c r="C293" i="1"/>
  <c r="S293" i="1"/>
  <c r="T293" i="1"/>
  <c r="U293" i="1"/>
  <c r="BB293" i="1"/>
  <c r="BW293" i="1"/>
  <c r="A294" i="1"/>
  <c r="C294" i="1"/>
  <c r="S294" i="1"/>
  <c r="T294" i="1"/>
  <c r="U294" i="1"/>
  <c r="BB294" i="1"/>
  <c r="BW294" i="1"/>
  <c r="A295" i="1"/>
  <c r="C295" i="1"/>
  <c r="S295" i="1"/>
  <c r="T295" i="1"/>
  <c r="U295" i="1"/>
  <c r="BB295" i="1"/>
  <c r="BW295" i="1"/>
  <c r="A296" i="1"/>
  <c r="C296" i="1"/>
  <c r="S296" i="1"/>
  <c r="T296" i="1"/>
  <c r="U296" i="1"/>
  <c r="BB296" i="1"/>
  <c r="BW296" i="1"/>
  <c r="A297" i="1"/>
  <c r="C297" i="1"/>
  <c r="S297" i="1"/>
  <c r="T297" i="1"/>
  <c r="U297" i="1"/>
  <c r="BB297" i="1"/>
  <c r="BW297" i="1"/>
  <c r="A298" i="1"/>
  <c r="C298" i="1"/>
  <c r="S298" i="1"/>
  <c r="T298" i="1"/>
  <c r="U298" i="1"/>
  <c r="BB298" i="1"/>
  <c r="BW298" i="1"/>
  <c r="A299" i="1"/>
  <c r="C299" i="1"/>
  <c r="S299" i="1"/>
  <c r="T299" i="1"/>
  <c r="U299" i="1"/>
  <c r="BB299" i="1"/>
  <c r="BW299" i="1"/>
  <c r="A300" i="1"/>
  <c r="C300" i="1"/>
  <c r="S300" i="1"/>
  <c r="T300" i="1"/>
  <c r="U300" i="1"/>
  <c r="BB300" i="1"/>
  <c r="BW300" i="1"/>
  <c r="A301" i="1"/>
  <c r="C301" i="1"/>
  <c r="S301" i="1"/>
  <c r="T301" i="1"/>
  <c r="U301" i="1"/>
  <c r="BB301" i="1"/>
  <c r="BW301" i="1"/>
  <c r="A302" i="1"/>
  <c r="C302" i="1"/>
  <c r="S302" i="1"/>
  <c r="T302" i="1"/>
  <c r="U302" i="1"/>
  <c r="BB302" i="1"/>
  <c r="BW302" i="1"/>
  <c r="A303" i="1"/>
  <c r="C303" i="1"/>
  <c r="S303" i="1"/>
  <c r="T303" i="1"/>
  <c r="U303" i="1"/>
  <c r="BB303" i="1"/>
  <c r="BW303" i="1"/>
  <c r="A304" i="1"/>
  <c r="C304" i="1"/>
  <c r="S304" i="1"/>
  <c r="T304" i="1"/>
  <c r="U304" i="1"/>
  <c r="BB304" i="1"/>
  <c r="BW304" i="1"/>
  <c r="A305" i="1"/>
  <c r="C305" i="1"/>
  <c r="S305" i="1"/>
  <c r="T305" i="1"/>
  <c r="U305" i="1"/>
  <c r="BB305" i="1"/>
  <c r="BW305" i="1"/>
  <c r="A306" i="1"/>
  <c r="C306" i="1"/>
  <c r="S306" i="1"/>
  <c r="T306" i="1"/>
  <c r="U306" i="1"/>
  <c r="BB306" i="1"/>
  <c r="BW306" i="1"/>
  <c r="A307" i="1"/>
  <c r="C307" i="1"/>
  <c r="S307" i="1"/>
  <c r="T307" i="1"/>
  <c r="U307" i="1"/>
  <c r="BB307" i="1"/>
  <c r="BW307" i="1"/>
  <c r="A308" i="1"/>
  <c r="C308" i="1"/>
  <c r="S308" i="1"/>
  <c r="T308" i="1"/>
  <c r="U308" i="1"/>
  <c r="BB308" i="1"/>
  <c r="BW308" i="1"/>
  <c r="A309" i="1"/>
  <c r="C309" i="1"/>
  <c r="S309" i="1"/>
  <c r="T309" i="1"/>
  <c r="U309" i="1"/>
  <c r="BB309" i="1"/>
  <c r="BW309" i="1"/>
  <c r="A310" i="1"/>
  <c r="C310" i="1"/>
  <c r="S310" i="1"/>
  <c r="T310" i="1"/>
  <c r="U310" i="1"/>
  <c r="BB310" i="1"/>
  <c r="BW310" i="1"/>
  <c r="A311" i="1"/>
  <c r="C311" i="1"/>
  <c r="S311" i="1"/>
  <c r="T311" i="1"/>
  <c r="U311" i="1"/>
  <c r="BB311" i="1"/>
  <c r="BW311" i="1"/>
  <c r="A312" i="1"/>
  <c r="C312" i="1"/>
  <c r="S312" i="1"/>
  <c r="T312" i="1"/>
  <c r="U312" i="1"/>
  <c r="BB312" i="1"/>
  <c r="BW312" i="1"/>
  <c r="A313" i="1"/>
  <c r="C313" i="1"/>
  <c r="S313" i="1"/>
  <c r="T313" i="1"/>
  <c r="U313" i="1"/>
  <c r="BB313" i="1"/>
  <c r="BW313" i="1"/>
  <c r="A314" i="1"/>
  <c r="C314" i="1"/>
  <c r="S314" i="1"/>
  <c r="T314" i="1"/>
  <c r="U314" i="1"/>
  <c r="BB314" i="1"/>
  <c r="BW314" i="1"/>
  <c r="A315" i="1"/>
  <c r="C315" i="1"/>
  <c r="S315" i="1"/>
  <c r="T315" i="1"/>
  <c r="U315" i="1"/>
  <c r="BB315" i="1"/>
  <c r="BW315" i="1"/>
  <c r="A316" i="1"/>
  <c r="C316" i="1"/>
  <c r="S316" i="1"/>
  <c r="T316" i="1"/>
  <c r="U316" i="1"/>
  <c r="BB316" i="1"/>
  <c r="BW316" i="1"/>
  <c r="A317" i="1"/>
  <c r="C317" i="1"/>
  <c r="S317" i="1"/>
  <c r="T317" i="1"/>
  <c r="U317" i="1"/>
  <c r="BB317" i="1"/>
  <c r="BW317" i="1"/>
  <c r="A318" i="1"/>
  <c r="C318" i="1"/>
  <c r="S318" i="1"/>
  <c r="T318" i="1"/>
  <c r="U318" i="1"/>
  <c r="BB318" i="1"/>
  <c r="BW318" i="1"/>
  <c r="A319" i="1"/>
  <c r="C319" i="1"/>
  <c r="S319" i="1"/>
  <c r="T319" i="1"/>
  <c r="U319" i="1"/>
  <c r="BB319" i="1"/>
  <c r="BW319" i="1"/>
  <c r="A320" i="1"/>
  <c r="C320" i="1"/>
  <c r="S320" i="1"/>
  <c r="T320" i="1"/>
  <c r="U320" i="1"/>
  <c r="BB320" i="1"/>
  <c r="BW320" i="1"/>
  <c r="A321" i="1"/>
  <c r="C321" i="1"/>
  <c r="S321" i="1"/>
  <c r="T321" i="1"/>
  <c r="U321" i="1"/>
  <c r="BB321" i="1"/>
  <c r="BW321" i="1"/>
  <c r="A322" i="1"/>
  <c r="C322" i="1"/>
  <c r="S322" i="1"/>
  <c r="T322" i="1"/>
  <c r="U322" i="1"/>
  <c r="BB322" i="1"/>
  <c r="BW322" i="1"/>
  <c r="A323" i="1"/>
  <c r="C323" i="1"/>
  <c r="S323" i="1"/>
  <c r="T323" i="1"/>
  <c r="U323" i="1"/>
  <c r="BB323" i="1"/>
  <c r="BW323" i="1"/>
  <c r="A324" i="1"/>
  <c r="C324" i="1"/>
  <c r="S324" i="1"/>
  <c r="T324" i="1"/>
  <c r="U324" i="1"/>
  <c r="BB324" i="1"/>
  <c r="BW324" i="1"/>
  <c r="A325" i="1"/>
  <c r="C325" i="1"/>
  <c r="S325" i="1"/>
  <c r="T325" i="1"/>
  <c r="U325" i="1"/>
  <c r="BB325" i="1"/>
  <c r="BW325" i="1"/>
  <c r="A326" i="1"/>
  <c r="C326" i="1"/>
  <c r="S326" i="1"/>
  <c r="T326" i="1"/>
  <c r="U326" i="1"/>
  <c r="BB326" i="1"/>
  <c r="BW326" i="1"/>
  <c r="A327" i="1"/>
  <c r="C327" i="1"/>
  <c r="S327" i="1"/>
  <c r="T327" i="1"/>
  <c r="U327" i="1"/>
  <c r="BB327" i="1"/>
  <c r="BW327" i="1"/>
  <c r="A328" i="1"/>
  <c r="C328" i="1"/>
  <c r="S328" i="1"/>
  <c r="T328" i="1"/>
  <c r="U328" i="1"/>
  <c r="BB328" i="1"/>
  <c r="BW328" i="1"/>
  <c r="A329" i="1"/>
  <c r="C329" i="1"/>
  <c r="S329" i="1"/>
  <c r="T329" i="1"/>
  <c r="U329" i="1"/>
  <c r="BB329" i="1"/>
  <c r="BW329" i="1"/>
  <c r="A330" i="1"/>
  <c r="C330" i="1"/>
  <c r="S330" i="1"/>
  <c r="T330" i="1"/>
  <c r="U330" i="1"/>
  <c r="BB330" i="1"/>
  <c r="BW330" i="1"/>
  <c r="A331" i="1"/>
  <c r="C331" i="1"/>
  <c r="S331" i="1"/>
  <c r="T331" i="1"/>
  <c r="U331" i="1"/>
  <c r="BB331" i="1"/>
  <c r="BW331" i="1"/>
  <c r="A332" i="1"/>
  <c r="C332" i="1"/>
  <c r="S332" i="1"/>
  <c r="T332" i="1"/>
  <c r="U332" i="1"/>
  <c r="BB332" i="1"/>
  <c r="BW332" i="1"/>
  <c r="A333" i="1"/>
  <c r="C333" i="1"/>
  <c r="S333" i="1"/>
  <c r="T333" i="1"/>
  <c r="U333" i="1"/>
  <c r="BB333" i="1"/>
  <c r="BW333" i="1"/>
  <c r="A334" i="1"/>
  <c r="C334" i="1"/>
  <c r="S334" i="1"/>
  <c r="T334" i="1"/>
  <c r="U334" i="1"/>
  <c r="BB334" i="1"/>
  <c r="BW334" i="1"/>
  <c r="A335" i="1"/>
  <c r="C335" i="1"/>
  <c r="S335" i="1"/>
  <c r="T335" i="1"/>
  <c r="U335" i="1"/>
  <c r="BB335" i="1"/>
  <c r="BW335" i="1"/>
  <c r="A336" i="1"/>
  <c r="C336" i="1"/>
  <c r="S336" i="1"/>
  <c r="T336" i="1"/>
  <c r="U336" i="1"/>
  <c r="BB336" i="1"/>
  <c r="BW336" i="1"/>
  <c r="A337" i="1"/>
  <c r="C337" i="1"/>
  <c r="S337" i="1"/>
  <c r="T337" i="1"/>
  <c r="U337" i="1"/>
  <c r="BB337" i="1"/>
  <c r="BW337" i="1"/>
  <c r="A338" i="1"/>
  <c r="C338" i="1"/>
  <c r="S338" i="1"/>
  <c r="T338" i="1"/>
  <c r="U338" i="1"/>
  <c r="BB338" i="1"/>
  <c r="BW338" i="1"/>
  <c r="A339" i="1"/>
  <c r="C339" i="1"/>
  <c r="S339" i="1"/>
  <c r="T339" i="1"/>
  <c r="U339" i="1"/>
  <c r="BB339" i="1"/>
  <c r="BW339" i="1"/>
  <c r="A340" i="1"/>
  <c r="C340" i="1"/>
  <c r="S340" i="1"/>
  <c r="T340" i="1"/>
  <c r="U340" i="1"/>
  <c r="BB340" i="1"/>
  <c r="BW340" i="1"/>
  <c r="A341" i="1"/>
  <c r="C341" i="1"/>
  <c r="S341" i="1"/>
  <c r="T341" i="1"/>
  <c r="U341" i="1"/>
  <c r="BB341" i="1"/>
  <c r="BW341" i="1"/>
  <c r="A342" i="1"/>
  <c r="C342" i="1"/>
  <c r="S342" i="1"/>
  <c r="T342" i="1"/>
  <c r="U342" i="1"/>
  <c r="BB342" i="1"/>
  <c r="BW342" i="1"/>
  <c r="A343" i="1"/>
  <c r="C343" i="1"/>
  <c r="S343" i="1"/>
  <c r="T343" i="1"/>
  <c r="U343" i="1"/>
  <c r="BB343" i="1"/>
  <c r="BW343" i="1"/>
  <c r="A344" i="1"/>
  <c r="C344" i="1"/>
  <c r="S344" i="1"/>
  <c r="T344" i="1"/>
  <c r="U344" i="1"/>
  <c r="BB344" i="1"/>
  <c r="BW344" i="1"/>
  <c r="A345" i="1"/>
  <c r="C345" i="1"/>
  <c r="S345" i="1"/>
  <c r="T345" i="1"/>
  <c r="U345" i="1"/>
  <c r="BB345" i="1"/>
  <c r="BW345" i="1"/>
  <c r="A346" i="1"/>
  <c r="C346" i="1"/>
  <c r="S346" i="1"/>
  <c r="T346" i="1"/>
  <c r="U346" i="1"/>
  <c r="BB346" i="1"/>
  <c r="BW346" i="1"/>
  <c r="A347" i="1"/>
  <c r="C347" i="1"/>
  <c r="S347" i="1"/>
  <c r="T347" i="1"/>
  <c r="U347" i="1"/>
  <c r="BB347" i="1"/>
  <c r="BW347" i="1"/>
  <c r="A348" i="1"/>
  <c r="C348" i="1"/>
  <c r="S348" i="1"/>
  <c r="T348" i="1"/>
  <c r="U348" i="1"/>
  <c r="BB348" i="1"/>
  <c r="BW348" i="1"/>
  <c r="A349" i="1"/>
  <c r="C349" i="1"/>
  <c r="S349" i="1"/>
  <c r="T349" i="1"/>
  <c r="U349" i="1"/>
  <c r="BB349" i="1"/>
  <c r="BW349" i="1"/>
  <c r="A350" i="1"/>
  <c r="C350" i="1"/>
  <c r="S350" i="1"/>
  <c r="T350" i="1"/>
  <c r="U350" i="1"/>
  <c r="BB350" i="1"/>
  <c r="BW350" i="1"/>
  <c r="A351" i="1"/>
  <c r="C351" i="1"/>
  <c r="S351" i="1"/>
  <c r="T351" i="1"/>
  <c r="U351" i="1"/>
  <c r="BB351" i="1"/>
  <c r="BW351" i="1"/>
  <c r="A352" i="1"/>
  <c r="C352" i="1"/>
  <c r="S352" i="1"/>
  <c r="T352" i="1"/>
  <c r="U352" i="1"/>
  <c r="BB352" i="1"/>
  <c r="BW352" i="1"/>
  <c r="A353" i="1"/>
  <c r="C353" i="1"/>
  <c r="S353" i="1"/>
  <c r="T353" i="1"/>
  <c r="U353" i="1"/>
  <c r="BB353" i="1"/>
  <c r="BW353" i="1"/>
  <c r="A354" i="1"/>
  <c r="C354" i="1"/>
  <c r="S354" i="1"/>
  <c r="T354" i="1"/>
  <c r="U354" i="1"/>
  <c r="BB354" i="1"/>
  <c r="BW354" i="1"/>
  <c r="A355" i="1"/>
  <c r="C355" i="1"/>
  <c r="S355" i="1"/>
  <c r="T355" i="1"/>
  <c r="U355" i="1"/>
  <c r="BB355" i="1"/>
  <c r="BW355" i="1"/>
  <c r="A356" i="1"/>
  <c r="C356" i="1"/>
  <c r="S356" i="1"/>
  <c r="T356" i="1"/>
  <c r="U356" i="1"/>
  <c r="BB356" i="1"/>
  <c r="BW356" i="1"/>
  <c r="A357" i="1"/>
  <c r="C357" i="1"/>
  <c r="S357" i="1"/>
  <c r="T357" i="1"/>
  <c r="U357" i="1"/>
  <c r="BB357" i="1"/>
  <c r="BW357" i="1"/>
  <c r="A358" i="1"/>
  <c r="C358" i="1"/>
  <c r="S358" i="1"/>
  <c r="T358" i="1"/>
  <c r="U358" i="1"/>
  <c r="BB358" i="1"/>
  <c r="BW358" i="1"/>
  <c r="A359" i="1"/>
  <c r="C359" i="1"/>
  <c r="S359" i="1"/>
  <c r="T359" i="1"/>
  <c r="U359" i="1"/>
  <c r="BB359" i="1"/>
  <c r="BW359" i="1"/>
  <c r="A360" i="1"/>
  <c r="C360" i="1"/>
  <c r="S360" i="1"/>
  <c r="T360" i="1"/>
  <c r="U360" i="1"/>
  <c r="BB360" i="1"/>
  <c r="BW360" i="1"/>
  <c r="A361" i="1"/>
  <c r="C361" i="1"/>
  <c r="S361" i="1"/>
  <c r="T361" i="1"/>
  <c r="U361" i="1"/>
  <c r="BB361" i="1"/>
  <c r="BW361" i="1"/>
  <c r="A362" i="1"/>
  <c r="C362" i="1"/>
  <c r="S362" i="1"/>
  <c r="T362" i="1"/>
  <c r="U362" i="1"/>
  <c r="BB362" i="1"/>
  <c r="BW362" i="1"/>
  <c r="A363" i="1"/>
  <c r="C363" i="1"/>
  <c r="S363" i="1"/>
  <c r="T363" i="1"/>
  <c r="U363" i="1"/>
  <c r="BB363" i="1"/>
  <c r="BW363" i="1"/>
  <c r="A364" i="1"/>
  <c r="C364" i="1"/>
  <c r="S364" i="1"/>
  <c r="T364" i="1"/>
  <c r="U364" i="1"/>
  <c r="BB364" i="1"/>
  <c r="BW364" i="1"/>
  <c r="A365" i="1"/>
  <c r="C365" i="1"/>
  <c r="S365" i="1"/>
  <c r="T365" i="1"/>
  <c r="U365" i="1"/>
  <c r="BB365" i="1"/>
  <c r="BW365" i="1"/>
  <c r="A366" i="1"/>
  <c r="C366" i="1"/>
  <c r="S366" i="1"/>
  <c r="T366" i="1"/>
  <c r="U366" i="1"/>
  <c r="BB366" i="1"/>
  <c r="BW366" i="1"/>
  <c r="A367" i="1"/>
  <c r="C367" i="1"/>
  <c r="S367" i="1"/>
  <c r="T367" i="1"/>
  <c r="U367" i="1"/>
  <c r="BB367" i="1"/>
  <c r="BW367" i="1"/>
  <c r="A368" i="1"/>
  <c r="C368" i="1"/>
  <c r="S368" i="1"/>
  <c r="T368" i="1"/>
  <c r="U368" i="1"/>
  <c r="BB368" i="1"/>
  <c r="BW368" i="1"/>
  <c r="A369" i="1"/>
  <c r="C369" i="1"/>
  <c r="S369" i="1"/>
  <c r="T369" i="1"/>
  <c r="U369" i="1"/>
  <c r="BB369" i="1"/>
  <c r="BW369" i="1"/>
  <c r="A370" i="1"/>
  <c r="C370" i="1"/>
  <c r="S370" i="1"/>
  <c r="T370" i="1"/>
  <c r="U370" i="1"/>
  <c r="BB370" i="1"/>
  <c r="BW370" i="1"/>
  <c r="A371" i="1"/>
  <c r="C371" i="1"/>
  <c r="S371" i="1"/>
  <c r="T371" i="1"/>
  <c r="U371" i="1"/>
  <c r="BB371" i="1"/>
  <c r="BW371" i="1"/>
  <c r="A372" i="1"/>
  <c r="C372" i="1"/>
  <c r="S372" i="1"/>
  <c r="T372" i="1"/>
  <c r="U372" i="1"/>
  <c r="BB372" i="1"/>
  <c r="BW372" i="1"/>
  <c r="A373" i="1"/>
  <c r="C373" i="1"/>
  <c r="S373" i="1"/>
  <c r="T373" i="1"/>
  <c r="U373" i="1"/>
  <c r="BB373" i="1"/>
  <c r="BW373" i="1"/>
  <c r="A374" i="1"/>
  <c r="C374" i="1"/>
  <c r="S374" i="1"/>
  <c r="T374" i="1"/>
  <c r="U374" i="1"/>
  <c r="BB374" i="1"/>
  <c r="BW374" i="1"/>
  <c r="A375" i="1"/>
  <c r="C375" i="1"/>
  <c r="S375" i="1"/>
  <c r="T375" i="1"/>
  <c r="U375" i="1"/>
  <c r="BB375" i="1"/>
  <c r="BW375" i="1"/>
  <c r="A376" i="1"/>
  <c r="C376" i="1"/>
  <c r="S376" i="1"/>
  <c r="T376" i="1"/>
  <c r="U376" i="1"/>
  <c r="BB376" i="1"/>
  <c r="BW376" i="1"/>
  <c r="A377" i="1"/>
  <c r="C377" i="1"/>
  <c r="S377" i="1"/>
  <c r="T377" i="1"/>
  <c r="U377" i="1"/>
  <c r="BB377" i="1"/>
  <c r="BW377" i="1"/>
  <c r="A378" i="1"/>
  <c r="C378" i="1"/>
  <c r="S378" i="1"/>
  <c r="T378" i="1"/>
  <c r="U378" i="1"/>
  <c r="BB378" i="1"/>
  <c r="BW378" i="1"/>
  <c r="A379" i="1"/>
  <c r="C379" i="1"/>
  <c r="S379" i="1"/>
  <c r="T379" i="1"/>
  <c r="U379" i="1"/>
  <c r="BB379" i="1"/>
  <c r="BW379" i="1"/>
  <c r="A380" i="1"/>
  <c r="C380" i="1"/>
  <c r="S380" i="1"/>
  <c r="T380" i="1"/>
  <c r="U380" i="1"/>
  <c r="BB380" i="1"/>
  <c r="BW380" i="1"/>
  <c r="A381" i="1"/>
  <c r="C381" i="1"/>
  <c r="S381" i="1"/>
  <c r="T381" i="1"/>
  <c r="U381" i="1"/>
  <c r="BB381" i="1"/>
  <c r="BW381" i="1"/>
  <c r="A382" i="1"/>
  <c r="C382" i="1"/>
  <c r="S382" i="1"/>
  <c r="T382" i="1"/>
  <c r="U382" i="1"/>
  <c r="BB382" i="1"/>
  <c r="BW382" i="1"/>
  <c r="A383" i="1"/>
  <c r="C383" i="1"/>
  <c r="S383" i="1"/>
  <c r="T383" i="1"/>
  <c r="U383" i="1"/>
  <c r="BB383" i="1"/>
  <c r="BW383" i="1"/>
  <c r="A384" i="1"/>
  <c r="C384" i="1"/>
  <c r="S384" i="1"/>
  <c r="T384" i="1"/>
  <c r="U384" i="1"/>
  <c r="BB384" i="1"/>
  <c r="BW384" i="1"/>
  <c r="A385" i="1"/>
  <c r="C385" i="1"/>
  <c r="S385" i="1"/>
  <c r="T385" i="1"/>
  <c r="U385" i="1"/>
  <c r="BB385" i="1"/>
  <c r="BW385" i="1"/>
  <c r="A386" i="1"/>
  <c r="C386" i="1"/>
  <c r="S386" i="1"/>
  <c r="T386" i="1"/>
  <c r="U386" i="1"/>
  <c r="BB386" i="1"/>
  <c r="BW386" i="1"/>
  <c r="A387" i="1"/>
  <c r="C387" i="1"/>
  <c r="S387" i="1"/>
  <c r="T387" i="1"/>
  <c r="U387" i="1"/>
  <c r="BB387" i="1"/>
  <c r="BW387" i="1"/>
  <c r="A388" i="1"/>
  <c r="C388" i="1"/>
  <c r="S388" i="1"/>
  <c r="T388" i="1"/>
  <c r="U388" i="1"/>
  <c r="BB388" i="1"/>
  <c r="BW388" i="1"/>
  <c r="A389" i="1"/>
  <c r="C389" i="1"/>
  <c r="S389" i="1"/>
  <c r="T389" i="1"/>
  <c r="U389" i="1"/>
  <c r="BB389" i="1"/>
  <c r="BW389" i="1"/>
  <c r="A390" i="1"/>
  <c r="C390" i="1"/>
  <c r="S390" i="1"/>
  <c r="T390" i="1"/>
  <c r="U390" i="1"/>
  <c r="BB390" i="1"/>
  <c r="BW390" i="1"/>
  <c r="A391" i="1"/>
  <c r="C391" i="1"/>
  <c r="S391" i="1"/>
  <c r="T391" i="1"/>
  <c r="U391" i="1"/>
  <c r="BB391" i="1"/>
  <c r="BW391" i="1"/>
  <c r="A392" i="1"/>
  <c r="C392" i="1"/>
  <c r="S392" i="1"/>
  <c r="T392" i="1"/>
  <c r="U392" i="1"/>
  <c r="BB392" i="1"/>
  <c r="BW392" i="1"/>
  <c r="A393" i="1"/>
  <c r="C393" i="1"/>
  <c r="S393" i="1"/>
  <c r="T393" i="1"/>
  <c r="U393" i="1"/>
  <c r="BB393" i="1"/>
  <c r="BW393" i="1"/>
  <c r="A394" i="1"/>
  <c r="C394" i="1"/>
  <c r="S394" i="1"/>
  <c r="T394" i="1"/>
  <c r="U394" i="1"/>
  <c r="BB394" i="1"/>
  <c r="BW394" i="1"/>
  <c r="A395" i="1"/>
  <c r="C395" i="1"/>
  <c r="S395" i="1"/>
  <c r="T395" i="1"/>
  <c r="U395" i="1"/>
  <c r="BB395" i="1"/>
  <c r="BW395" i="1"/>
  <c r="A396" i="1"/>
  <c r="C396" i="1"/>
  <c r="S396" i="1"/>
  <c r="T396" i="1"/>
  <c r="U396" i="1"/>
  <c r="BB396" i="1"/>
  <c r="BW396" i="1"/>
  <c r="A397" i="1"/>
  <c r="C397" i="1"/>
  <c r="S397" i="1"/>
  <c r="T397" i="1"/>
  <c r="U397" i="1"/>
  <c r="BB397" i="1"/>
  <c r="BW397" i="1"/>
  <c r="A398" i="1"/>
  <c r="C398" i="1"/>
  <c r="S398" i="1"/>
  <c r="T398" i="1"/>
  <c r="U398" i="1"/>
  <c r="BB398" i="1"/>
  <c r="BW398" i="1"/>
  <c r="A399" i="1"/>
  <c r="C399" i="1"/>
  <c r="S399" i="1"/>
  <c r="T399" i="1"/>
  <c r="U399" i="1"/>
  <c r="BB399" i="1"/>
  <c r="BW399" i="1"/>
  <c r="A400" i="1"/>
  <c r="C400" i="1"/>
  <c r="S400" i="1"/>
  <c r="T400" i="1"/>
  <c r="U400" i="1"/>
  <c r="BB400" i="1"/>
  <c r="BW400" i="1"/>
  <c r="A401" i="1"/>
  <c r="C401" i="1"/>
  <c r="S401" i="1"/>
  <c r="T401" i="1"/>
  <c r="U401" i="1"/>
  <c r="BB401" i="1"/>
  <c r="BW401" i="1"/>
  <c r="A402" i="1"/>
  <c r="C402" i="1"/>
  <c r="S402" i="1"/>
  <c r="T402" i="1"/>
  <c r="U402" i="1"/>
  <c r="BB402" i="1"/>
  <c r="BW402" i="1"/>
  <c r="A403" i="1"/>
  <c r="C403" i="1"/>
  <c r="S403" i="1"/>
  <c r="T403" i="1"/>
  <c r="U403" i="1"/>
  <c r="BB403" i="1"/>
  <c r="BW403" i="1"/>
  <c r="A404" i="1"/>
  <c r="C404" i="1"/>
  <c r="S404" i="1"/>
  <c r="T404" i="1"/>
  <c r="U404" i="1"/>
  <c r="BB404" i="1"/>
  <c r="BW404" i="1"/>
  <c r="A405" i="1"/>
  <c r="C405" i="1"/>
  <c r="S405" i="1"/>
  <c r="T405" i="1"/>
  <c r="U405" i="1"/>
  <c r="BB405" i="1"/>
  <c r="BW405" i="1"/>
  <c r="A406" i="1"/>
  <c r="C406" i="1"/>
  <c r="S406" i="1"/>
  <c r="T406" i="1"/>
  <c r="U406" i="1"/>
  <c r="BB406" i="1"/>
  <c r="BW406" i="1"/>
  <c r="A407" i="1"/>
  <c r="C407" i="1"/>
  <c r="S407" i="1"/>
  <c r="T407" i="1"/>
  <c r="U407" i="1"/>
  <c r="BB407" i="1"/>
  <c r="BW407" i="1"/>
  <c r="A408" i="1"/>
  <c r="C408" i="1"/>
  <c r="S408" i="1"/>
  <c r="T408" i="1"/>
  <c r="U408" i="1"/>
  <c r="BB408" i="1"/>
  <c r="BW408" i="1"/>
  <c r="A409" i="1"/>
  <c r="C409" i="1"/>
  <c r="S409" i="1"/>
  <c r="T409" i="1"/>
  <c r="U409" i="1"/>
  <c r="BB409" i="1"/>
  <c r="BW409" i="1"/>
  <c r="A410" i="1"/>
  <c r="C410" i="1"/>
  <c r="S410" i="1"/>
  <c r="T410" i="1"/>
  <c r="U410" i="1"/>
  <c r="BB410" i="1"/>
  <c r="BW410" i="1"/>
  <c r="A411" i="1"/>
  <c r="C411" i="1"/>
  <c r="S411" i="1"/>
  <c r="T411" i="1"/>
  <c r="U411" i="1"/>
  <c r="BB411" i="1"/>
  <c r="BW411" i="1"/>
  <c r="A412" i="1"/>
  <c r="C412" i="1"/>
  <c r="S412" i="1"/>
  <c r="T412" i="1"/>
  <c r="U412" i="1"/>
  <c r="BB412" i="1"/>
  <c r="BW412" i="1"/>
  <c r="A413" i="1"/>
  <c r="C413" i="1"/>
  <c r="S413" i="1"/>
  <c r="T413" i="1"/>
  <c r="U413" i="1"/>
  <c r="BB413" i="1"/>
  <c r="BW413" i="1"/>
  <c r="A414" i="1"/>
  <c r="C414" i="1"/>
  <c r="S414" i="1"/>
  <c r="T414" i="1"/>
  <c r="U414" i="1"/>
  <c r="BB414" i="1"/>
  <c r="BW414" i="1"/>
  <c r="A415" i="1"/>
  <c r="C415" i="1"/>
  <c r="S415" i="1"/>
  <c r="T415" i="1"/>
  <c r="U415" i="1"/>
  <c r="BB415" i="1"/>
  <c r="BW415" i="1"/>
  <c r="A416" i="1"/>
  <c r="C416" i="1"/>
  <c r="S416" i="1"/>
  <c r="T416" i="1"/>
  <c r="U416" i="1"/>
  <c r="BB416" i="1"/>
  <c r="BW416" i="1"/>
  <c r="A417" i="1"/>
  <c r="C417" i="1"/>
  <c r="S417" i="1"/>
  <c r="T417" i="1"/>
  <c r="U417" i="1"/>
  <c r="BB417" i="1"/>
  <c r="BW417" i="1"/>
  <c r="A418" i="1"/>
  <c r="C418" i="1"/>
  <c r="S418" i="1"/>
  <c r="T418" i="1"/>
  <c r="U418" i="1"/>
  <c r="BB418" i="1"/>
  <c r="BW418" i="1"/>
  <c r="A419" i="1"/>
  <c r="C419" i="1"/>
  <c r="S419" i="1"/>
  <c r="T419" i="1"/>
  <c r="U419" i="1"/>
  <c r="BB419" i="1"/>
  <c r="BW419" i="1"/>
  <c r="A420" i="1"/>
  <c r="C420" i="1"/>
  <c r="S420" i="1"/>
  <c r="T420" i="1"/>
  <c r="U420" i="1"/>
  <c r="BB420" i="1"/>
  <c r="BW420" i="1"/>
  <c r="A421" i="1"/>
  <c r="C421" i="1"/>
  <c r="S421" i="1"/>
  <c r="T421" i="1"/>
  <c r="U421" i="1"/>
  <c r="BB421" i="1"/>
  <c r="BW421" i="1"/>
  <c r="A422" i="1"/>
  <c r="C422" i="1"/>
  <c r="S422" i="1"/>
  <c r="T422" i="1"/>
  <c r="U422" i="1"/>
  <c r="BB422" i="1"/>
  <c r="BW422" i="1"/>
  <c r="A423" i="1"/>
  <c r="C423" i="1"/>
  <c r="S423" i="1"/>
  <c r="T423" i="1"/>
  <c r="U423" i="1"/>
  <c r="BB423" i="1"/>
  <c r="BW423" i="1"/>
  <c r="A424" i="1"/>
  <c r="C424" i="1"/>
  <c r="S424" i="1"/>
  <c r="T424" i="1"/>
  <c r="U424" i="1"/>
  <c r="BB424" i="1"/>
  <c r="BW424" i="1"/>
  <c r="A425" i="1"/>
  <c r="C425" i="1"/>
  <c r="S425" i="1"/>
  <c r="T425" i="1"/>
  <c r="U425" i="1"/>
  <c r="BB425" i="1"/>
  <c r="BW425" i="1"/>
  <c r="A426" i="1"/>
  <c r="C426" i="1"/>
  <c r="S426" i="1"/>
  <c r="T426" i="1"/>
  <c r="U426" i="1"/>
  <c r="BB426" i="1"/>
  <c r="BW426" i="1"/>
  <c r="A427" i="1"/>
  <c r="C427" i="1"/>
  <c r="S427" i="1"/>
  <c r="T427" i="1"/>
  <c r="U427" i="1"/>
  <c r="BB427" i="1"/>
  <c r="BW427" i="1"/>
  <c r="A428" i="1"/>
  <c r="C428" i="1"/>
  <c r="S428" i="1"/>
  <c r="T428" i="1"/>
  <c r="U428" i="1"/>
  <c r="BB428" i="1"/>
  <c r="BW428" i="1"/>
  <c r="A429" i="1"/>
  <c r="C429" i="1"/>
  <c r="S429" i="1"/>
  <c r="T429" i="1"/>
  <c r="U429" i="1"/>
  <c r="BB429" i="1"/>
  <c r="BW429" i="1"/>
  <c r="A430" i="1"/>
  <c r="C430" i="1"/>
  <c r="S430" i="1"/>
  <c r="T430" i="1"/>
  <c r="U430" i="1"/>
  <c r="BB430" i="1"/>
  <c r="BW430" i="1"/>
  <c r="A431" i="1"/>
  <c r="C431" i="1"/>
  <c r="S431" i="1"/>
  <c r="T431" i="1"/>
  <c r="U431" i="1"/>
  <c r="BB431" i="1"/>
  <c r="BW431" i="1"/>
  <c r="A432" i="1"/>
  <c r="C432" i="1"/>
  <c r="S432" i="1"/>
  <c r="T432" i="1"/>
  <c r="U432" i="1"/>
  <c r="BB432" i="1"/>
  <c r="BW432" i="1"/>
  <c r="A433" i="1"/>
  <c r="C433" i="1"/>
  <c r="S433" i="1"/>
  <c r="T433" i="1"/>
  <c r="U433" i="1"/>
  <c r="BB433" i="1"/>
  <c r="BW433" i="1"/>
  <c r="A434" i="1"/>
  <c r="C434" i="1"/>
  <c r="S434" i="1"/>
  <c r="T434" i="1"/>
  <c r="U434" i="1"/>
  <c r="BB434" i="1"/>
  <c r="BW434" i="1"/>
  <c r="A435" i="1"/>
  <c r="C435" i="1"/>
  <c r="S435" i="1"/>
  <c r="T435" i="1"/>
  <c r="U435" i="1"/>
  <c r="BB435" i="1"/>
  <c r="BW435" i="1"/>
  <c r="A436" i="1"/>
  <c r="C436" i="1"/>
  <c r="S436" i="1"/>
  <c r="T436" i="1"/>
  <c r="U436" i="1"/>
  <c r="BB436" i="1"/>
  <c r="BW436" i="1"/>
  <c r="A437" i="1"/>
  <c r="C437" i="1"/>
  <c r="S437" i="1"/>
  <c r="T437" i="1"/>
  <c r="U437" i="1"/>
  <c r="BB437" i="1"/>
  <c r="BW437" i="1"/>
  <c r="A438" i="1"/>
  <c r="C438" i="1"/>
  <c r="S438" i="1"/>
  <c r="T438" i="1"/>
  <c r="U438" i="1"/>
  <c r="BB438" i="1"/>
  <c r="BW438" i="1"/>
  <c r="A439" i="1"/>
  <c r="C439" i="1"/>
  <c r="S439" i="1"/>
  <c r="T439" i="1"/>
  <c r="U439" i="1"/>
  <c r="BB439" i="1"/>
  <c r="BW439" i="1"/>
  <c r="A440" i="1"/>
  <c r="C440" i="1"/>
  <c r="S440" i="1"/>
  <c r="T440" i="1"/>
  <c r="U440" i="1"/>
  <c r="BB440" i="1"/>
  <c r="BW440" i="1"/>
  <c r="A441" i="1"/>
  <c r="C441" i="1"/>
  <c r="S441" i="1"/>
  <c r="T441" i="1"/>
  <c r="U441" i="1"/>
  <c r="BB441" i="1"/>
  <c r="BW441" i="1"/>
  <c r="A442" i="1"/>
  <c r="C442" i="1"/>
  <c r="S442" i="1"/>
  <c r="T442" i="1"/>
  <c r="U442" i="1"/>
  <c r="BB442" i="1"/>
  <c r="BW442" i="1"/>
  <c r="A443" i="1"/>
  <c r="C443" i="1"/>
  <c r="S443" i="1"/>
  <c r="T443" i="1"/>
  <c r="U443" i="1"/>
  <c r="BB443" i="1"/>
  <c r="BW443" i="1"/>
  <c r="A444" i="1"/>
  <c r="C444" i="1"/>
  <c r="S444" i="1"/>
  <c r="T444" i="1"/>
  <c r="U444" i="1"/>
  <c r="BB444" i="1"/>
  <c r="BW444" i="1"/>
  <c r="A445" i="1"/>
  <c r="C445" i="1"/>
  <c r="S445" i="1"/>
  <c r="T445" i="1"/>
  <c r="U445" i="1"/>
  <c r="BB445" i="1"/>
  <c r="BW445" i="1"/>
  <c r="A446" i="1"/>
  <c r="C446" i="1"/>
  <c r="S446" i="1"/>
  <c r="T446" i="1"/>
  <c r="U446" i="1"/>
  <c r="BB446" i="1"/>
  <c r="BW446" i="1"/>
  <c r="A447" i="1"/>
  <c r="C447" i="1"/>
  <c r="S447" i="1"/>
  <c r="T447" i="1"/>
  <c r="U447" i="1"/>
  <c r="BB447" i="1"/>
  <c r="BW447" i="1"/>
  <c r="A448" i="1"/>
  <c r="C448" i="1"/>
  <c r="S448" i="1"/>
  <c r="T448" i="1"/>
  <c r="U448" i="1"/>
  <c r="BB448" i="1"/>
  <c r="BW448" i="1"/>
  <c r="A449" i="1"/>
  <c r="C449" i="1"/>
  <c r="S449" i="1"/>
  <c r="T449" i="1"/>
  <c r="U449" i="1"/>
  <c r="BB449" i="1"/>
  <c r="BW449" i="1"/>
  <c r="A450" i="1"/>
  <c r="C450" i="1"/>
  <c r="S450" i="1"/>
  <c r="T450" i="1"/>
  <c r="U450" i="1"/>
  <c r="BB450" i="1"/>
  <c r="BW450" i="1"/>
  <c r="A451" i="1"/>
  <c r="C451" i="1"/>
  <c r="S451" i="1"/>
  <c r="T451" i="1"/>
  <c r="U451" i="1"/>
  <c r="BB451" i="1"/>
  <c r="BW451" i="1"/>
  <c r="A452" i="1"/>
  <c r="C452" i="1"/>
  <c r="S452" i="1"/>
  <c r="T452" i="1"/>
  <c r="U452" i="1"/>
  <c r="BB452" i="1"/>
  <c r="BW452" i="1"/>
  <c r="A453" i="1"/>
  <c r="C453" i="1"/>
  <c r="S453" i="1"/>
  <c r="T453" i="1"/>
  <c r="U453" i="1"/>
  <c r="BB453" i="1"/>
  <c r="BW453" i="1"/>
  <c r="A454" i="1"/>
  <c r="C454" i="1"/>
  <c r="S454" i="1"/>
  <c r="T454" i="1"/>
  <c r="U454" i="1"/>
  <c r="BB454" i="1"/>
  <c r="BW454" i="1"/>
  <c r="A455" i="1"/>
  <c r="C455" i="1"/>
  <c r="S455" i="1"/>
  <c r="T455" i="1"/>
  <c r="U455" i="1"/>
  <c r="BB455" i="1"/>
  <c r="BW455" i="1"/>
  <c r="A456" i="1"/>
  <c r="C456" i="1"/>
  <c r="S456" i="1"/>
  <c r="T456" i="1"/>
  <c r="U456" i="1"/>
  <c r="BB456" i="1"/>
  <c r="BW456" i="1"/>
  <c r="A457" i="1"/>
  <c r="C457" i="1"/>
  <c r="S457" i="1"/>
  <c r="T457" i="1"/>
  <c r="U457" i="1"/>
  <c r="BB457" i="1"/>
  <c r="BW457" i="1"/>
  <c r="A458" i="1"/>
  <c r="C458" i="1"/>
  <c r="S458" i="1"/>
  <c r="T458" i="1"/>
  <c r="U458" i="1"/>
  <c r="BB458" i="1"/>
  <c r="BW458" i="1"/>
  <c r="A459" i="1"/>
  <c r="C459" i="1"/>
  <c r="S459" i="1"/>
  <c r="T459" i="1"/>
  <c r="U459" i="1"/>
  <c r="BB459" i="1"/>
  <c r="BW459" i="1"/>
  <c r="A460" i="1"/>
  <c r="C460" i="1"/>
  <c r="S460" i="1"/>
  <c r="T460" i="1"/>
  <c r="U460" i="1"/>
  <c r="BB460" i="1"/>
  <c r="BW460" i="1"/>
  <c r="A461" i="1"/>
  <c r="C461" i="1"/>
  <c r="S461" i="1"/>
  <c r="T461" i="1"/>
  <c r="U461" i="1"/>
  <c r="BB461" i="1"/>
  <c r="BW461" i="1"/>
  <c r="A462" i="1"/>
  <c r="C462" i="1"/>
  <c r="S462" i="1"/>
  <c r="T462" i="1"/>
  <c r="U462" i="1"/>
  <c r="BB462" i="1"/>
  <c r="BW462" i="1"/>
  <c r="A463" i="1"/>
  <c r="C463" i="1"/>
  <c r="S463" i="1"/>
  <c r="T463" i="1"/>
  <c r="U463" i="1"/>
  <c r="BB463" i="1"/>
  <c r="BW463" i="1"/>
  <c r="A464" i="1"/>
  <c r="C464" i="1"/>
  <c r="S464" i="1"/>
  <c r="T464" i="1"/>
  <c r="U464" i="1"/>
  <c r="BB464" i="1"/>
  <c r="BW464" i="1"/>
  <c r="A465" i="1"/>
  <c r="C465" i="1"/>
  <c r="S465" i="1"/>
  <c r="T465" i="1"/>
  <c r="U465" i="1"/>
  <c r="BB465" i="1"/>
  <c r="BW465" i="1"/>
  <c r="A466" i="1"/>
  <c r="C466" i="1"/>
  <c r="S466" i="1"/>
  <c r="T466" i="1"/>
  <c r="U466" i="1"/>
  <c r="BB466" i="1"/>
  <c r="BW466" i="1"/>
  <c r="A467" i="1"/>
  <c r="C467" i="1"/>
  <c r="S467" i="1"/>
  <c r="T467" i="1"/>
  <c r="U467" i="1"/>
  <c r="BB467" i="1"/>
  <c r="BW467" i="1"/>
  <c r="A468" i="1"/>
  <c r="C468" i="1"/>
  <c r="S468" i="1"/>
  <c r="T468" i="1"/>
  <c r="U468" i="1"/>
  <c r="BB468" i="1"/>
  <c r="BW468" i="1"/>
  <c r="A469" i="1"/>
  <c r="C469" i="1"/>
  <c r="S469" i="1"/>
  <c r="T469" i="1"/>
  <c r="U469" i="1"/>
  <c r="BB469" i="1"/>
  <c r="BW469" i="1"/>
  <c r="A470" i="1"/>
  <c r="C470" i="1"/>
  <c r="S470" i="1"/>
  <c r="T470" i="1"/>
  <c r="U470" i="1"/>
  <c r="BB470" i="1"/>
  <c r="BW470" i="1"/>
  <c r="A471" i="1"/>
  <c r="C471" i="1"/>
  <c r="S471" i="1"/>
  <c r="T471" i="1"/>
  <c r="U471" i="1"/>
  <c r="BB471" i="1"/>
  <c r="BW471" i="1"/>
  <c r="A472" i="1"/>
  <c r="C472" i="1"/>
  <c r="S472" i="1"/>
  <c r="T472" i="1"/>
  <c r="U472" i="1"/>
  <c r="BB472" i="1"/>
  <c r="BW472" i="1"/>
  <c r="A473" i="1"/>
  <c r="C473" i="1"/>
  <c r="S473" i="1"/>
  <c r="T473" i="1"/>
  <c r="U473" i="1"/>
  <c r="BB473" i="1"/>
  <c r="BW473" i="1"/>
  <c r="A474" i="1"/>
  <c r="C474" i="1"/>
  <c r="S474" i="1"/>
  <c r="T474" i="1"/>
  <c r="U474" i="1"/>
  <c r="BB474" i="1"/>
  <c r="BW474" i="1"/>
  <c r="A475" i="1"/>
  <c r="C475" i="1"/>
  <c r="S475" i="1"/>
  <c r="T475" i="1"/>
  <c r="U475" i="1"/>
  <c r="BB475" i="1"/>
  <c r="BW475" i="1"/>
  <c r="A476" i="1"/>
  <c r="C476" i="1"/>
  <c r="S476" i="1"/>
  <c r="T476" i="1"/>
  <c r="U476" i="1"/>
  <c r="BB476" i="1"/>
  <c r="BW476" i="1"/>
  <c r="A477" i="1"/>
  <c r="C477" i="1"/>
  <c r="S477" i="1"/>
  <c r="T477" i="1"/>
  <c r="U477" i="1"/>
  <c r="BB477" i="1"/>
  <c r="BW477" i="1"/>
  <c r="A478" i="1"/>
  <c r="C478" i="1"/>
  <c r="S478" i="1"/>
  <c r="T478" i="1"/>
  <c r="U478" i="1"/>
  <c r="BB478" i="1"/>
  <c r="BW478" i="1"/>
  <c r="A479" i="1"/>
  <c r="C479" i="1"/>
  <c r="S479" i="1"/>
  <c r="T479" i="1"/>
  <c r="U479" i="1"/>
  <c r="BB479" i="1"/>
  <c r="BW479" i="1"/>
  <c r="A480" i="1"/>
  <c r="C480" i="1"/>
  <c r="S480" i="1"/>
  <c r="T480" i="1"/>
  <c r="U480" i="1"/>
  <c r="BB480" i="1"/>
  <c r="BW480" i="1"/>
  <c r="A481" i="1"/>
  <c r="C481" i="1"/>
  <c r="S481" i="1"/>
  <c r="T481" i="1"/>
  <c r="U481" i="1"/>
  <c r="BB481" i="1"/>
  <c r="BW481" i="1"/>
  <c r="A482" i="1"/>
  <c r="C482" i="1"/>
  <c r="S482" i="1"/>
  <c r="T482" i="1"/>
  <c r="U482" i="1"/>
  <c r="BB482" i="1"/>
  <c r="BW482" i="1"/>
  <c r="A483" i="1"/>
  <c r="C483" i="1"/>
  <c r="S483" i="1"/>
  <c r="T483" i="1"/>
  <c r="U483" i="1"/>
  <c r="BB483" i="1"/>
  <c r="BW483" i="1"/>
  <c r="A484" i="1"/>
  <c r="C484" i="1"/>
  <c r="S484" i="1"/>
  <c r="T484" i="1"/>
  <c r="U484" i="1"/>
  <c r="BB484" i="1"/>
  <c r="BW484" i="1"/>
  <c r="A485" i="1"/>
  <c r="C485" i="1"/>
  <c r="S485" i="1"/>
  <c r="T485" i="1"/>
  <c r="U485" i="1"/>
  <c r="BB485" i="1"/>
  <c r="BW485" i="1"/>
  <c r="A486" i="1"/>
  <c r="C486" i="1"/>
  <c r="S486" i="1"/>
  <c r="T486" i="1"/>
  <c r="U486" i="1"/>
  <c r="BB486" i="1"/>
  <c r="BW486" i="1"/>
  <c r="A487" i="1"/>
  <c r="C487" i="1"/>
  <c r="S487" i="1"/>
  <c r="T487" i="1"/>
  <c r="U487" i="1"/>
  <c r="BB487" i="1"/>
  <c r="BW487" i="1"/>
  <c r="A488" i="1"/>
  <c r="C488" i="1"/>
  <c r="S488" i="1"/>
  <c r="T488" i="1"/>
  <c r="U488" i="1"/>
  <c r="BB488" i="1"/>
  <c r="BW488" i="1"/>
  <c r="A489" i="1"/>
  <c r="C489" i="1"/>
  <c r="S489" i="1"/>
  <c r="T489" i="1"/>
  <c r="U489" i="1"/>
  <c r="BB489" i="1"/>
  <c r="BW489" i="1"/>
  <c r="A490" i="1"/>
  <c r="C490" i="1"/>
  <c r="S490" i="1"/>
  <c r="T490" i="1"/>
  <c r="U490" i="1"/>
  <c r="BB490" i="1"/>
  <c r="BW490" i="1"/>
  <c r="A491" i="1"/>
  <c r="C491" i="1"/>
  <c r="S491" i="1"/>
  <c r="T491" i="1"/>
  <c r="U491" i="1"/>
  <c r="BB491" i="1"/>
  <c r="BW491" i="1"/>
  <c r="A492" i="1"/>
  <c r="C492" i="1"/>
  <c r="S492" i="1"/>
  <c r="T492" i="1"/>
  <c r="U492" i="1"/>
  <c r="BB492" i="1"/>
  <c r="BW492" i="1"/>
  <c r="A493" i="1"/>
  <c r="C493" i="1"/>
  <c r="S493" i="1"/>
  <c r="T493" i="1"/>
  <c r="U493" i="1"/>
  <c r="BB493" i="1"/>
  <c r="BW493" i="1"/>
  <c r="A494" i="1"/>
  <c r="C494" i="1"/>
  <c r="S494" i="1"/>
  <c r="T494" i="1"/>
  <c r="U494" i="1"/>
  <c r="BB494" i="1"/>
  <c r="BW494" i="1"/>
  <c r="A495" i="1"/>
  <c r="C495" i="1"/>
  <c r="S495" i="1"/>
  <c r="T495" i="1"/>
  <c r="U495" i="1"/>
  <c r="BB495" i="1"/>
  <c r="BW495" i="1"/>
  <c r="A496" i="1"/>
  <c r="C496" i="1"/>
  <c r="S496" i="1"/>
  <c r="T496" i="1"/>
  <c r="U496" i="1"/>
  <c r="BB496" i="1"/>
  <c r="BW496" i="1"/>
  <c r="A497" i="1"/>
  <c r="C497" i="1"/>
  <c r="S497" i="1"/>
  <c r="T497" i="1"/>
  <c r="U497" i="1"/>
  <c r="BB497" i="1"/>
  <c r="BW497" i="1"/>
  <c r="A498" i="1"/>
  <c r="C498" i="1"/>
  <c r="S498" i="1"/>
  <c r="T498" i="1"/>
  <c r="U498" i="1"/>
  <c r="BB498" i="1"/>
  <c r="BW498" i="1"/>
  <c r="A499" i="1"/>
  <c r="C499" i="1"/>
  <c r="S499" i="1"/>
  <c r="T499" i="1"/>
  <c r="U499" i="1"/>
  <c r="BB499" i="1"/>
  <c r="BW499" i="1"/>
  <c r="A500" i="1"/>
  <c r="C500" i="1"/>
  <c r="S500" i="1"/>
  <c r="T500" i="1"/>
  <c r="U500" i="1"/>
  <c r="BB500" i="1"/>
  <c r="BW500" i="1"/>
  <c r="A501" i="1"/>
  <c r="C501" i="1"/>
  <c r="S501" i="1"/>
  <c r="T501" i="1"/>
  <c r="U501" i="1"/>
  <c r="BB501" i="1"/>
  <c r="BW501" i="1"/>
  <c r="A502" i="1"/>
  <c r="C502" i="1"/>
  <c r="S502" i="1"/>
  <c r="T502" i="1"/>
  <c r="U502" i="1"/>
  <c r="BB502" i="1"/>
  <c r="BW502" i="1"/>
  <c r="A503" i="1"/>
  <c r="C503" i="1"/>
  <c r="S503" i="1"/>
  <c r="T503" i="1"/>
  <c r="U503" i="1"/>
  <c r="BB503" i="1"/>
  <c r="BW503" i="1"/>
  <c r="A504" i="1"/>
  <c r="C504" i="1"/>
  <c r="S504" i="1"/>
  <c r="T504" i="1"/>
  <c r="U504" i="1"/>
  <c r="BB504" i="1"/>
  <c r="BW504" i="1"/>
  <c r="A505" i="1"/>
  <c r="C505" i="1"/>
  <c r="S505" i="1"/>
  <c r="T505" i="1"/>
  <c r="U505" i="1"/>
  <c r="BB505" i="1"/>
  <c r="BW505" i="1"/>
  <c r="A506" i="1"/>
  <c r="C506" i="1"/>
  <c r="S506" i="1"/>
  <c r="T506" i="1"/>
  <c r="U506" i="1"/>
  <c r="BB506" i="1"/>
  <c r="BW506" i="1"/>
  <c r="A507" i="1"/>
  <c r="C507" i="1"/>
  <c r="S507" i="1"/>
  <c r="T507" i="1"/>
  <c r="U507" i="1"/>
  <c r="BB507" i="1"/>
  <c r="BW507" i="1"/>
  <c r="A508" i="1"/>
  <c r="C508" i="1"/>
  <c r="S508" i="1"/>
  <c r="T508" i="1"/>
  <c r="U508" i="1"/>
  <c r="BB508" i="1"/>
  <c r="BW508" i="1"/>
  <c r="A509" i="1"/>
  <c r="C509" i="1"/>
  <c r="S509" i="1"/>
  <c r="T509" i="1"/>
  <c r="U509" i="1"/>
  <c r="BB509" i="1"/>
  <c r="BW509" i="1"/>
  <c r="A510" i="1"/>
  <c r="C510" i="1"/>
  <c r="S510" i="1"/>
  <c r="T510" i="1"/>
  <c r="U510" i="1"/>
  <c r="BB510" i="1"/>
  <c r="BW510" i="1"/>
  <c r="A511" i="1"/>
  <c r="C511" i="1"/>
  <c r="S511" i="1"/>
  <c r="T511" i="1"/>
  <c r="U511" i="1"/>
  <c r="BB511" i="1"/>
  <c r="BW511" i="1"/>
  <c r="A512" i="1"/>
  <c r="C512" i="1"/>
  <c r="S512" i="1"/>
  <c r="T512" i="1"/>
  <c r="U512" i="1"/>
  <c r="BB512" i="1"/>
  <c r="BW512" i="1"/>
  <c r="A513" i="1"/>
  <c r="C513" i="1"/>
  <c r="S513" i="1"/>
  <c r="T513" i="1"/>
  <c r="U513" i="1"/>
  <c r="BB513" i="1"/>
  <c r="BW513" i="1"/>
  <c r="A514" i="1"/>
  <c r="C514" i="1"/>
  <c r="S514" i="1"/>
  <c r="T514" i="1"/>
  <c r="U514" i="1"/>
  <c r="BB514" i="1"/>
  <c r="BW514" i="1"/>
  <c r="A515" i="1"/>
  <c r="C515" i="1"/>
  <c r="S515" i="1"/>
  <c r="T515" i="1"/>
  <c r="U515" i="1"/>
  <c r="BB515" i="1"/>
  <c r="BW515" i="1"/>
  <c r="A516" i="1"/>
  <c r="C516" i="1"/>
  <c r="S516" i="1"/>
  <c r="T516" i="1"/>
  <c r="U516" i="1"/>
  <c r="BB516" i="1"/>
  <c r="BW516" i="1"/>
  <c r="A517" i="1"/>
  <c r="C517" i="1"/>
  <c r="S517" i="1"/>
  <c r="T517" i="1"/>
  <c r="U517" i="1"/>
  <c r="BB517" i="1"/>
  <c r="BW517" i="1"/>
  <c r="A518" i="1"/>
  <c r="C518" i="1"/>
  <c r="S518" i="1"/>
  <c r="T518" i="1"/>
  <c r="U518" i="1"/>
  <c r="BB518" i="1"/>
  <c r="BW518" i="1"/>
  <c r="A519" i="1"/>
  <c r="C519" i="1"/>
  <c r="S519" i="1"/>
  <c r="T519" i="1"/>
  <c r="U519" i="1"/>
  <c r="BB519" i="1"/>
  <c r="BW519" i="1"/>
  <c r="A520" i="1"/>
  <c r="C520" i="1"/>
  <c r="S520" i="1"/>
  <c r="T520" i="1"/>
  <c r="U520" i="1"/>
  <c r="BB520" i="1"/>
  <c r="BW520" i="1"/>
  <c r="A521" i="1"/>
  <c r="C521" i="1"/>
  <c r="S521" i="1"/>
  <c r="T521" i="1"/>
  <c r="U521" i="1"/>
  <c r="BB521" i="1"/>
  <c r="BW521" i="1"/>
  <c r="A522" i="1"/>
  <c r="C522" i="1"/>
  <c r="S522" i="1"/>
  <c r="T522" i="1"/>
  <c r="U522" i="1"/>
  <c r="BB522" i="1"/>
  <c r="BW522" i="1"/>
  <c r="A523" i="1"/>
  <c r="C523" i="1"/>
  <c r="S523" i="1"/>
  <c r="T523" i="1"/>
  <c r="U523" i="1"/>
  <c r="BB523" i="1"/>
  <c r="BW523" i="1"/>
  <c r="A524" i="1"/>
  <c r="C524" i="1"/>
  <c r="S524" i="1"/>
  <c r="T524" i="1"/>
  <c r="U524" i="1"/>
  <c r="BB524" i="1"/>
  <c r="BW524" i="1"/>
  <c r="A525" i="1"/>
  <c r="C525" i="1"/>
  <c r="S525" i="1"/>
  <c r="T525" i="1"/>
  <c r="U525" i="1"/>
  <c r="BB525" i="1"/>
  <c r="BW525" i="1"/>
  <c r="A526" i="1"/>
  <c r="C526" i="1"/>
  <c r="S526" i="1"/>
  <c r="T526" i="1"/>
  <c r="U526" i="1"/>
  <c r="BB526" i="1"/>
  <c r="BW526" i="1"/>
  <c r="A527" i="1"/>
  <c r="C527" i="1"/>
  <c r="S527" i="1"/>
  <c r="T527" i="1"/>
  <c r="U527" i="1"/>
  <c r="BB527" i="1"/>
  <c r="BW527" i="1"/>
  <c r="A528" i="1"/>
  <c r="C528" i="1"/>
  <c r="S528" i="1"/>
  <c r="T528" i="1"/>
  <c r="U528" i="1"/>
  <c r="BB528" i="1"/>
  <c r="BW528" i="1"/>
  <c r="A529" i="1"/>
  <c r="C529" i="1"/>
  <c r="S529" i="1"/>
  <c r="T529" i="1"/>
  <c r="U529" i="1"/>
  <c r="BB529" i="1"/>
  <c r="BW529" i="1"/>
  <c r="A530" i="1"/>
  <c r="C530" i="1"/>
  <c r="S530" i="1"/>
  <c r="T530" i="1"/>
  <c r="U530" i="1"/>
  <c r="BB530" i="1"/>
  <c r="BW530" i="1"/>
  <c r="A531" i="1"/>
  <c r="C531" i="1"/>
  <c r="S531" i="1"/>
  <c r="T531" i="1"/>
  <c r="U531" i="1"/>
  <c r="BB531" i="1"/>
  <c r="BW531" i="1"/>
  <c r="A532" i="1"/>
  <c r="C532" i="1"/>
  <c r="S532" i="1"/>
  <c r="T532" i="1"/>
  <c r="U532" i="1"/>
  <c r="BB532" i="1"/>
  <c r="BW532" i="1"/>
  <c r="A533" i="1"/>
  <c r="C533" i="1"/>
  <c r="S533" i="1"/>
  <c r="T533" i="1"/>
  <c r="U533" i="1"/>
  <c r="BB533" i="1"/>
  <c r="BW533" i="1"/>
  <c r="A534" i="1"/>
  <c r="C534" i="1"/>
  <c r="S534" i="1"/>
  <c r="T534" i="1"/>
  <c r="U534" i="1"/>
  <c r="BB534" i="1"/>
  <c r="BW534" i="1"/>
  <c r="A535" i="1"/>
  <c r="C535" i="1"/>
  <c r="S535" i="1"/>
  <c r="T535" i="1"/>
  <c r="U535" i="1"/>
  <c r="BB535" i="1"/>
  <c r="BW535" i="1"/>
  <c r="A536" i="1"/>
  <c r="C536" i="1"/>
  <c r="S536" i="1"/>
  <c r="T536" i="1"/>
  <c r="U536" i="1"/>
  <c r="BB536" i="1"/>
  <c r="BW536" i="1"/>
  <c r="A537" i="1"/>
  <c r="C537" i="1"/>
  <c r="S537" i="1"/>
  <c r="T537" i="1"/>
  <c r="U537" i="1"/>
  <c r="BB537" i="1"/>
  <c r="BW537" i="1"/>
  <c r="A538" i="1"/>
  <c r="C538" i="1"/>
  <c r="S538" i="1"/>
  <c r="T538" i="1"/>
  <c r="U538" i="1"/>
  <c r="BB538" i="1"/>
  <c r="BW538" i="1"/>
  <c r="A539" i="1"/>
  <c r="C539" i="1"/>
  <c r="S539" i="1"/>
  <c r="T539" i="1"/>
  <c r="U539" i="1"/>
  <c r="BB539" i="1"/>
  <c r="BW539" i="1"/>
  <c r="A540" i="1"/>
  <c r="C540" i="1"/>
  <c r="S540" i="1"/>
  <c r="T540" i="1"/>
  <c r="U540" i="1"/>
  <c r="BB540" i="1"/>
  <c r="BW540" i="1"/>
  <c r="A541" i="1"/>
  <c r="C541" i="1"/>
  <c r="S541" i="1"/>
  <c r="T541" i="1"/>
  <c r="U541" i="1"/>
  <c r="BB541" i="1"/>
  <c r="BW541" i="1"/>
  <c r="A542" i="1"/>
  <c r="C542" i="1"/>
  <c r="S542" i="1"/>
  <c r="T542" i="1"/>
  <c r="U542" i="1"/>
  <c r="BB542" i="1"/>
  <c r="BW542" i="1"/>
  <c r="A543" i="1"/>
  <c r="C543" i="1"/>
  <c r="S543" i="1"/>
  <c r="T543" i="1"/>
  <c r="U543" i="1"/>
  <c r="BB543" i="1"/>
  <c r="BW543" i="1"/>
  <c r="A544" i="1"/>
  <c r="C544" i="1"/>
  <c r="S544" i="1"/>
  <c r="T544" i="1"/>
  <c r="U544" i="1"/>
  <c r="BB544" i="1"/>
  <c r="BW544" i="1"/>
  <c r="A545" i="1"/>
  <c r="C545" i="1"/>
  <c r="S545" i="1"/>
  <c r="T545" i="1"/>
  <c r="U545" i="1"/>
  <c r="BB545" i="1"/>
  <c r="BW545" i="1"/>
  <c r="A546" i="1"/>
  <c r="C546" i="1"/>
  <c r="S546" i="1"/>
  <c r="T546" i="1"/>
  <c r="U546" i="1"/>
  <c r="BB546" i="1"/>
  <c r="BW546" i="1"/>
  <c r="A547" i="1"/>
  <c r="C547" i="1"/>
  <c r="S547" i="1"/>
  <c r="T547" i="1"/>
  <c r="U547" i="1"/>
  <c r="BB547" i="1"/>
  <c r="BW547" i="1"/>
  <c r="A548" i="1"/>
  <c r="C548" i="1"/>
  <c r="S548" i="1"/>
  <c r="T548" i="1"/>
  <c r="U548" i="1"/>
  <c r="BB548" i="1"/>
  <c r="BW548" i="1"/>
  <c r="A549" i="1"/>
  <c r="C549" i="1"/>
  <c r="S549" i="1"/>
  <c r="T549" i="1"/>
  <c r="U549" i="1"/>
  <c r="BB549" i="1"/>
  <c r="BW549" i="1"/>
  <c r="A550" i="1"/>
  <c r="C550" i="1"/>
  <c r="S550" i="1"/>
  <c r="T550" i="1"/>
  <c r="U550" i="1"/>
  <c r="BB550" i="1"/>
  <c r="BW550" i="1"/>
  <c r="A551" i="1"/>
  <c r="C551" i="1"/>
  <c r="S551" i="1"/>
  <c r="T551" i="1"/>
  <c r="U551" i="1"/>
  <c r="BB551" i="1"/>
  <c r="BW551" i="1"/>
  <c r="A552" i="1"/>
  <c r="C552" i="1"/>
  <c r="S552" i="1"/>
  <c r="T552" i="1"/>
  <c r="U552" i="1"/>
  <c r="BB552" i="1"/>
  <c r="BW552" i="1"/>
  <c r="A553" i="1"/>
  <c r="C553" i="1"/>
  <c r="S553" i="1"/>
  <c r="T553" i="1"/>
  <c r="U553" i="1"/>
  <c r="BB553" i="1"/>
  <c r="BW553" i="1"/>
  <c r="A554" i="1"/>
  <c r="C554" i="1"/>
  <c r="S554" i="1"/>
  <c r="T554" i="1"/>
  <c r="U554" i="1"/>
  <c r="BB554" i="1"/>
  <c r="BW554" i="1"/>
  <c r="A555" i="1"/>
  <c r="C555" i="1"/>
  <c r="S555" i="1"/>
  <c r="T555" i="1"/>
  <c r="U555" i="1"/>
  <c r="BB555" i="1"/>
  <c r="BW555" i="1"/>
  <c r="A556" i="1"/>
  <c r="C556" i="1"/>
  <c r="S556" i="1"/>
  <c r="T556" i="1"/>
  <c r="U556" i="1"/>
  <c r="BB556" i="1"/>
  <c r="BW556" i="1"/>
  <c r="A557" i="1"/>
  <c r="C557" i="1"/>
  <c r="S557" i="1"/>
  <c r="T557" i="1"/>
  <c r="U557" i="1"/>
  <c r="BB557" i="1"/>
  <c r="BW557" i="1"/>
  <c r="A558" i="1"/>
  <c r="C558" i="1"/>
  <c r="S558" i="1"/>
  <c r="T558" i="1"/>
  <c r="U558" i="1"/>
  <c r="BB558" i="1"/>
  <c r="BW558" i="1"/>
  <c r="A559" i="1"/>
  <c r="C559" i="1"/>
  <c r="S559" i="1"/>
  <c r="T559" i="1"/>
  <c r="U559" i="1"/>
  <c r="BB559" i="1"/>
  <c r="BW559" i="1"/>
  <c r="A560" i="1"/>
  <c r="C560" i="1"/>
  <c r="S560" i="1"/>
  <c r="T560" i="1"/>
  <c r="U560" i="1"/>
  <c r="BB560" i="1"/>
  <c r="BW560" i="1"/>
  <c r="A561" i="1"/>
  <c r="C561" i="1"/>
  <c r="S561" i="1"/>
  <c r="T561" i="1"/>
  <c r="U561" i="1"/>
  <c r="BB561" i="1"/>
  <c r="BW561" i="1"/>
  <c r="A562" i="1"/>
  <c r="C562" i="1"/>
  <c r="S562" i="1"/>
  <c r="T562" i="1"/>
  <c r="U562" i="1"/>
  <c r="BB562" i="1"/>
  <c r="BW562" i="1"/>
  <c r="A563" i="1"/>
  <c r="C563" i="1"/>
  <c r="S563" i="1"/>
  <c r="T563" i="1"/>
  <c r="U563" i="1"/>
  <c r="BB563" i="1"/>
  <c r="BW563" i="1"/>
  <c r="A564" i="1"/>
  <c r="C564" i="1"/>
  <c r="S564" i="1"/>
  <c r="T564" i="1"/>
  <c r="U564" i="1"/>
  <c r="BB564" i="1"/>
  <c r="BW564" i="1"/>
  <c r="A565" i="1"/>
  <c r="C565" i="1"/>
  <c r="S565" i="1"/>
  <c r="T565" i="1"/>
  <c r="U565" i="1"/>
  <c r="BB565" i="1"/>
  <c r="BW565" i="1"/>
  <c r="A566" i="1"/>
  <c r="C566" i="1"/>
  <c r="S566" i="1"/>
  <c r="T566" i="1"/>
  <c r="U566" i="1"/>
  <c r="BB566" i="1"/>
  <c r="BW566" i="1"/>
  <c r="A567" i="1"/>
  <c r="C567" i="1"/>
  <c r="S567" i="1"/>
  <c r="T567" i="1"/>
  <c r="U567" i="1"/>
  <c r="BB567" i="1"/>
  <c r="BW567" i="1"/>
  <c r="A568" i="1"/>
  <c r="C568" i="1"/>
  <c r="S568" i="1"/>
  <c r="T568" i="1"/>
  <c r="U568" i="1"/>
  <c r="BB568" i="1"/>
  <c r="BW568" i="1"/>
  <c r="A569" i="1"/>
  <c r="C569" i="1"/>
  <c r="S569" i="1"/>
  <c r="T569" i="1"/>
  <c r="U569" i="1"/>
  <c r="BB569" i="1"/>
  <c r="BW569" i="1"/>
  <c r="A570" i="1"/>
  <c r="C570" i="1"/>
  <c r="S570" i="1"/>
  <c r="T570" i="1"/>
  <c r="U570" i="1"/>
  <c r="BB570" i="1"/>
  <c r="BW570" i="1"/>
  <c r="A571" i="1"/>
  <c r="C571" i="1"/>
  <c r="S571" i="1"/>
  <c r="T571" i="1"/>
  <c r="U571" i="1"/>
  <c r="BB571" i="1"/>
  <c r="BW571" i="1"/>
  <c r="A572" i="1"/>
  <c r="C572" i="1"/>
  <c r="S572" i="1"/>
  <c r="T572" i="1"/>
  <c r="U572" i="1"/>
  <c r="BB572" i="1"/>
  <c r="BW572" i="1"/>
  <c r="A573" i="1"/>
  <c r="C573" i="1"/>
  <c r="S573" i="1"/>
  <c r="T573" i="1"/>
  <c r="U573" i="1"/>
  <c r="BB573" i="1"/>
  <c r="BW573" i="1"/>
  <c r="A574" i="1"/>
  <c r="C574" i="1"/>
  <c r="S574" i="1"/>
  <c r="T574" i="1"/>
  <c r="U574" i="1"/>
  <c r="BB574" i="1"/>
  <c r="BW574" i="1"/>
  <c r="A575" i="1"/>
  <c r="C575" i="1"/>
  <c r="S575" i="1"/>
  <c r="T575" i="1"/>
  <c r="U575" i="1"/>
  <c r="BB575" i="1"/>
  <c r="BW575" i="1"/>
  <c r="A576" i="1"/>
  <c r="C576" i="1"/>
  <c r="S576" i="1"/>
  <c r="T576" i="1"/>
  <c r="U576" i="1"/>
  <c r="BB576" i="1"/>
  <c r="BW576" i="1"/>
  <c r="A577" i="1"/>
  <c r="C577" i="1"/>
  <c r="S577" i="1"/>
  <c r="T577" i="1"/>
  <c r="U577" i="1"/>
  <c r="BB577" i="1"/>
  <c r="BW577" i="1"/>
  <c r="A578" i="1"/>
  <c r="C578" i="1"/>
  <c r="S578" i="1"/>
  <c r="T578" i="1"/>
  <c r="U578" i="1"/>
  <c r="BB578" i="1"/>
  <c r="BW578" i="1"/>
  <c r="A579" i="1"/>
  <c r="C579" i="1"/>
  <c r="S579" i="1"/>
  <c r="T579" i="1"/>
  <c r="U579" i="1"/>
  <c r="BB579" i="1"/>
  <c r="BW579" i="1"/>
  <c r="A580" i="1"/>
  <c r="C580" i="1"/>
  <c r="S580" i="1"/>
  <c r="T580" i="1"/>
  <c r="U580" i="1"/>
  <c r="BB580" i="1"/>
  <c r="BW580" i="1"/>
  <c r="A581" i="1"/>
  <c r="C581" i="1"/>
  <c r="S581" i="1"/>
  <c r="T581" i="1"/>
  <c r="U581" i="1"/>
  <c r="BB581" i="1"/>
  <c r="BW581" i="1"/>
  <c r="A582" i="1"/>
  <c r="C582" i="1"/>
  <c r="S582" i="1"/>
  <c r="T582" i="1"/>
  <c r="U582" i="1"/>
  <c r="BB582" i="1"/>
  <c r="BW582" i="1"/>
  <c r="A583" i="1"/>
  <c r="C583" i="1"/>
  <c r="S583" i="1"/>
  <c r="T583" i="1"/>
  <c r="U583" i="1"/>
  <c r="BB583" i="1"/>
  <c r="BW583" i="1"/>
  <c r="A584" i="1"/>
  <c r="C584" i="1"/>
  <c r="S584" i="1"/>
  <c r="T584" i="1"/>
  <c r="U584" i="1"/>
  <c r="BB584" i="1"/>
  <c r="BW584" i="1"/>
  <c r="A585" i="1"/>
  <c r="C585" i="1"/>
  <c r="S585" i="1"/>
  <c r="T585" i="1"/>
  <c r="U585" i="1"/>
  <c r="BB585" i="1"/>
  <c r="BW585" i="1"/>
  <c r="A586" i="1"/>
  <c r="C586" i="1"/>
  <c r="S586" i="1"/>
  <c r="T586" i="1"/>
  <c r="U586" i="1"/>
  <c r="BB586" i="1"/>
  <c r="BW586" i="1"/>
  <c r="A587" i="1"/>
  <c r="C587" i="1"/>
  <c r="S587" i="1"/>
  <c r="T587" i="1"/>
  <c r="U587" i="1"/>
  <c r="BB587" i="1"/>
  <c r="BW587" i="1"/>
  <c r="A588" i="1"/>
  <c r="C588" i="1"/>
  <c r="S588" i="1"/>
  <c r="T588" i="1"/>
  <c r="U588" i="1"/>
  <c r="BB588" i="1"/>
  <c r="BW588" i="1"/>
  <c r="A589" i="1"/>
  <c r="C589" i="1"/>
  <c r="S589" i="1"/>
  <c r="T589" i="1"/>
  <c r="U589" i="1"/>
  <c r="BB589" i="1"/>
  <c r="BW589" i="1"/>
  <c r="A590" i="1"/>
  <c r="C590" i="1"/>
  <c r="S590" i="1"/>
  <c r="T590" i="1"/>
  <c r="U590" i="1"/>
  <c r="BB590" i="1"/>
  <c r="BW590" i="1"/>
  <c r="A591" i="1"/>
  <c r="C591" i="1"/>
  <c r="S591" i="1"/>
  <c r="T591" i="1"/>
  <c r="U591" i="1"/>
  <c r="BB591" i="1"/>
  <c r="BW591" i="1"/>
  <c r="A592" i="1"/>
  <c r="C592" i="1"/>
  <c r="S592" i="1"/>
  <c r="T592" i="1"/>
  <c r="U592" i="1"/>
  <c r="BB592" i="1"/>
  <c r="BW592" i="1"/>
  <c r="A593" i="1"/>
  <c r="C593" i="1"/>
  <c r="S593" i="1"/>
  <c r="T593" i="1"/>
  <c r="U593" i="1"/>
  <c r="BB593" i="1"/>
  <c r="BW593" i="1"/>
  <c r="A594" i="1"/>
  <c r="C594" i="1"/>
  <c r="S594" i="1"/>
  <c r="T594" i="1"/>
  <c r="U594" i="1"/>
  <c r="BB594" i="1"/>
  <c r="BW594" i="1"/>
  <c r="A595" i="1"/>
  <c r="C595" i="1"/>
  <c r="S595" i="1"/>
  <c r="T595" i="1"/>
  <c r="U595" i="1"/>
  <c r="BB595" i="1"/>
  <c r="BW595" i="1"/>
  <c r="A596" i="1"/>
  <c r="C596" i="1"/>
  <c r="S596" i="1"/>
  <c r="T596" i="1"/>
  <c r="U596" i="1"/>
  <c r="BB596" i="1"/>
  <c r="BW596" i="1"/>
  <c r="A597" i="1"/>
  <c r="C597" i="1"/>
  <c r="S597" i="1"/>
  <c r="T597" i="1"/>
  <c r="U597" i="1"/>
  <c r="BB597" i="1"/>
  <c r="BW597" i="1"/>
  <c r="A598" i="1"/>
  <c r="C598" i="1"/>
  <c r="S598" i="1"/>
  <c r="T598" i="1"/>
  <c r="U598" i="1"/>
  <c r="BB598" i="1"/>
  <c r="BW598" i="1"/>
  <c r="A599" i="1"/>
  <c r="C599" i="1"/>
  <c r="S599" i="1"/>
  <c r="T599" i="1"/>
  <c r="U599" i="1"/>
  <c r="BB599" i="1"/>
  <c r="BW599" i="1"/>
  <c r="A600" i="1"/>
  <c r="C600" i="1"/>
  <c r="S600" i="1"/>
  <c r="T600" i="1"/>
  <c r="U600" i="1"/>
  <c r="BB600" i="1"/>
  <c r="BW600" i="1"/>
  <c r="A601" i="1"/>
  <c r="C601" i="1"/>
  <c r="S601" i="1"/>
  <c r="T601" i="1"/>
  <c r="U601" i="1"/>
  <c r="BB601" i="1"/>
  <c r="BW601" i="1"/>
  <c r="A602" i="1"/>
  <c r="C602" i="1"/>
  <c r="S602" i="1"/>
  <c r="T602" i="1"/>
  <c r="U602" i="1"/>
  <c r="BB602" i="1"/>
  <c r="BW602" i="1"/>
  <c r="A603" i="1"/>
  <c r="C603" i="1"/>
  <c r="S603" i="1"/>
  <c r="T603" i="1"/>
  <c r="U603" i="1"/>
  <c r="BB603" i="1"/>
  <c r="BW603" i="1"/>
  <c r="A604" i="1"/>
  <c r="C604" i="1"/>
  <c r="S604" i="1"/>
  <c r="T604" i="1"/>
  <c r="U604" i="1"/>
  <c r="BB604" i="1"/>
  <c r="BW604" i="1"/>
  <c r="A605" i="1"/>
  <c r="C605" i="1"/>
  <c r="S605" i="1"/>
  <c r="T605" i="1"/>
  <c r="U605" i="1"/>
  <c r="BB605" i="1"/>
  <c r="BW605" i="1"/>
  <c r="A606" i="1"/>
  <c r="C606" i="1"/>
  <c r="S606" i="1"/>
  <c r="T606" i="1"/>
  <c r="U606" i="1"/>
  <c r="BB606" i="1"/>
  <c r="BW606" i="1"/>
  <c r="A607" i="1"/>
  <c r="C607" i="1"/>
  <c r="S607" i="1"/>
  <c r="T607" i="1"/>
  <c r="U607" i="1"/>
  <c r="BB607" i="1"/>
  <c r="BW607" i="1"/>
  <c r="A608" i="1"/>
  <c r="C608" i="1"/>
  <c r="S608" i="1"/>
  <c r="T608" i="1"/>
  <c r="U608" i="1"/>
  <c r="BB608" i="1"/>
  <c r="BW608" i="1"/>
  <c r="A609" i="1"/>
  <c r="C609" i="1"/>
  <c r="S609" i="1"/>
  <c r="T609" i="1"/>
  <c r="U609" i="1"/>
  <c r="BB609" i="1"/>
  <c r="BW609" i="1"/>
  <c r="A610" i="1"/>
  <c r="C610" i="1"/>
  <c r="S610" i="1"/>
  <c r="T610" i="1"/>
  <c r="U610" i="1"/>
  <c r="BB610" i="1"/>
  <c r="BW610" i="1"/>
  <c r="A611" i="1"/>
  <c r="C611" i="1"/>
  <c r="S611" i="1"/>
  <c r="T611" i="1"/>
  <c r="U611" i="1"/>
  <c r="BB611" i="1"/>
  <c r="BW611" i="1"/>
  <c r="A612" i="1"/>
  <c r="C612" i="1"/>
  <c r="S612" i="1"/>
  <c r="T612" i="1"/>
  <c r="U612" i="1"/>
  <c r="BB612" i="1"/>
  <c r="BW612" i="1"/>
  <c r="A613" i="1"/>
  <c r="C613" i="1"/>
  <c r="S613" i="1"/>
  <c r="T613" i="1"/>
  <c r="U613" i="1"/>
  <c r="BB613" i="1"/>
  <c r="BW613" i="1"/>
  <c r="A614" i="1"/>
  <c r="C614" i="1"/>
  <c r="S614" i="1"/>
  <c r="T614" i="1"/>
  <c r="U614" i="1"/>
  <c r="BB614" i="1"/>
  <c r="BW614" i="1"/>
  <c r="A615" i="1"/>
  <c r="C615" i="1"/>
  <c r="S615" i="1"/>
  <c r="T615" i="1"/>
  <c r="U615" i="1"/>
  <c r="BB615" i="1"/>
  <c r="BW615" i="1"/>
  <c r="A616" i="1"/>
  <c r="C616" i="1"/>
  <c r="S616" i="1"/>
  <c r="T616" i="1"/>
  <c r="U616" i="1"/>
  <c r="BB616" i="1"/>
  <c r="BW616" i="1"/>
  <c r="A617" i="1"/>
  <c r="C617" i="1"/>
  <c r="S617" i="1"/>
  <c r="T617" i="1"/>
  <c r="U617" i="1"/>
  <c r="BB617" i="1"/>
  <c r="BW617" i="1"/>
  <c r="A618" i="1"/>
  <c r="C618" i="1"/>
  <c r="S618" i="1"/>
  <c r="T618" i="1"/>
  <c r="U618" i="1"/>
  <c r="BB618" i="1"/>
  <c r="BW618" i="1"/>
  <c r="A619" i="1"/>
  <c r="C619" i="1"/>
  <c r="S619" i="1"/>
  <c r="T619" i="1"/>
  <c r="U619" i="1"/>
  <c r="BB619" i="1"/>
  <c r="BW619" i="1"/>
  <c r="A620" i="1"/>
  <c r="C620" i="1"/>
  <c r="S620" i="1"/>
  <c r="T620" i="1"/>
  <c r="U620" i="1"/>
  <c r="BB620" i="1"/>
  <c r="BW620" i="1"/>
  <c r="A621" i="1"/>
  <c r="C621" i="1"/>
  <c r="S621" i="1"/>
  <c r="T621" i="1"/>
  <c r="U621" i="1"/>
  <c r="BB621" i="1"/>
  <c r="BW621" i="1"/>
  <c r="A622" i="1"/>
  <c r="C622" i="1"/>
  <c r="S622" i="1"/>
  <c r="T622" i="1"/>
  <c r="U622" i="1"/>
  <c r="BB622" i="1"/>
  <c r="BW622" i="1"/>
  <c r="A623" i="1"/>
  <c r="C623" i="1"/>
  <c r="S623" i="1"/>
  <c r="T623" i="1"/>
  <c r="U623" i="1"/>
  <c r="BB623" i="1"/>
  <c r="BW623" i="1"/>
  <c r="A624" i="1"/>
  <c r="C624" i="1"/>
  <c r="S624" i="1"/>
  <c r="T624" i="1"/>
  <c r="U624" i="1"/>
  <c r="BB624" i="1"/>
  <c r="BW624" i="1"/>
  <c r="A625" i="1"/>
  <c r="C625" i="1"/>
  <c r="S625" i="1"/>
  <c r="T625" i="1"/>
  <c r="U625" i="1"/>
  <c r="BB625" i="1"/>
  <c r="BW625" i="1"/>
  <c r="A626" i="1"/>
  <c r="C626" i="1"/>
  <c r="S626" i="1"/>
  <c r="T626" i="1"/>
  <c r="U626" i="1"/>
  <c r="BB626" i="1"/>
  <c r="BW626" i="1"/>
  <c r="A627" i="1"/>
  <c r="C627" i="1"/>
  <c r="S627" i="1"/>
  <c r="T627" i="1"/>
  <c r="U627" i="1"/>
  <c r="BB627" i="1"/>
  <c r="BW627" i="1"/>
  <c r="A628" i="1"/>
  <c r="C628" i="1"/>
  <c r="S628" i="1"/>
  <c r="T628" i="1"/>
  <c r="U628" i="1"/>
  <c r="BB628" i="1"/>
  <c r="BW628" i="1"/>
  <c r="A629" i="1"/>
  <c r="C629" i="1"/>
  <c r="S629" i="1"/>
  <c r="T629" i="1"/>
  <c r="U629" i="1"/>
  <c r="BB629" i="1"/>
  <c r="BW629" i="1"/>
  <c r="A630" i="1"/>
  <c r="C630" i="1"/>
  <c r="S630" i="1"/>
  <c r="T630" i="1"/>
  <c r="U630" i="1"/>
  <c r="BB630" i="1"/>
  <c r="BW630" i="1"/>
  <c r="A631" i="1"/>
  <c r="C631" i="1"/>
  <c r="S631" i="1"/>
  <c r="T631" i="1"/>
  <c r="U631" i="1"/>
  <c r="BB631" i="1"/>
  <c r="BW631" i="1"/>
  <c r="A632" i="1"/>
  <c r="C632" i="1"/>
  <c r="S632" i="1"/>
  <c r="T632" i="1"/>
  <c r="U632" i="1"/>
  <c r="BB632" i="1"/>
  <c r="BW632" i="1"/>
  <c r="A633" i="1"/>
  <c r="C633" i="1"/>
  <c r="S633" i="1"/>
  <c r="T633" i="1"/>
  <c r="U633" i="1"/>
  <c r="BB633" i="1"/>
  <c r="BW633" i="1"/>
  <c r="A634" i="1"/>
  <c r="C634" i="1"/>
  <c r="S634" i="1"/>
  <c r="T634" i="1"/>
  <c r="U634" i="1"/>
  <c r="BB634" i="1"/>
  <c r="BW634" i="1"/>
  <c r="A635" i="1"/>
  <c r="C635" i="1"/>
  <c r="S635" i="1"/>
  <c r="T635" i="1"/>
  <c r="U635" i="1"/>
  <c r="BB635" i="1"/>
  <c r="BW635" i="1"/>
  <c r="A636" i="1"/>
  <c r="C636" i="1"/>
  <c r="S636" i="1"/>
  <c r="T636" i="1"/>
  <c r="U636" i="1"/>
  <c r="BB636" i="1"/>
  <c r="BW636" i="1"/>
  <c r="A637" i="1"/>
  <c r="C637" i="1"/>
  <c r="S637" i="1"/>
  <c r="T637" i="1"/>
  <c r="U637" i="1"/>
  <c r="BB637" i="1"/>
  <c r="BW637" i="1"/>
  <c r="A638" i="1"/>
  <c r="C638" i="1"/>
  <c r="S638" i="1"/>
  <c r="T638" i="1"/>
  <c r="U638" i="1"/>
  <c r="BB638" i="1"/>
  <c r="BW638" i="1"/>
  <c r="A639" i="1"/>
  <c r="C639" i="1"/>
  <c r="S639" i="1"/>
  <c r="T639" i="1"/>
  <c r="U639" i="1"/>
  <c r="BB639" i="1"/>
  <c r="BW639" i="1"/>
  <c r="A640" i="1"/>
  <c r="C640" i="1"/>
  <c r="S640" i="1"/>
  <c r="T640" i="1"/>
  <c r="U640" i="1"/>
  <c r="BB640" i="1"/>
  <c r="BW640" i="1"/>
  <c r="A641" i="1"/>
  <c r="C641" i="1"/>
  <c r="S641" i="1"/>
  <c r="T641" i="1"/>
  <c r="U641" i="1"/>
  <c r="BB641" i="1"/>
  <c r="BW641" i="1"/>
  <c r="A642" i="1"/>
  <c r="C642" i="1"/>
  <c r="S642" i="1"/>
  <c r="T642" i="1"/>
  <c r="U642" i="1"/>
  <c r="BB642" i="1"/>
  <c r="BW642" i="1"/>
  <c r="A643" i="1"/>
  <c r="C643" i="1"/>
  <c r="S643" i="1"/>
  <c r="T643" i="1"/>
  <c r="U643" i="1"/>
  <c r="BB643" i="1"/>
  <c r="BW643" i="1"/>
  <c r="A644" i="1"/>
  <c r="C644" i="1"/>
  <c r="S644" i="1"/>
  <c r="T644" i="1"/>
  <c r="U644" i="1"/>
  <c r="BB644" i="1"/>
  <c r="BW644" i="1"/>
  <c r="A645" i="1"/>
  <c r="C645" i="1"/>
  <c r="S645" i="1"/>
  <c r="T645" i="1"/>
  <c r="U645" i="1"/>
  <c r="BB645" i="1"/>
  <c r="BW645" i="1"/>
  <c r="A646" i="1"/>
  <c r="C646" i="1"/>
  <c r="S646" i="1"/>
  <c r="T646" i="1"/>
  <c r="U646" i="1"/>
  <c r="BB646" i="1"/>
  <c r="BW646" i="1"/>
  <c r="A647" i="1"/>
  <c r="C647" i="1"/>
  <c r="S647" i="1"/>
  <c r="T647" i="1"/>
  <c r="U647" i="1"/>
  <c r="BB647" i="1"/>
  <c r="BW647" i="1"/>
  <c r="A648" i="1"/>
  <c r="C648" i="1"/>
  <c r="S648" i="1"/>
  <c r="T648" i="1"/>
  <c r="U648" i="1"/>
  <c r="BB648" i="1"/>
  <c r="BW648" i="1"/>
  <c r="A649" i="1"/>
  <c r="C649" i="1"/>
  <c r="S649" i="1"/>
  <c r="T649" i="1"/>
  <c r="U649" i="1"/>
  <c r="BB649" i="1"/>
  <c r="BW649" i="1"/>
  <c r="A650" i="1"/>
  <c r="C650" i="1"/>
  <c r="S650" i="1"/>
  <c r="T650" i="1"/>
  <c r="U650" i="1"/>
  <c r="BB650" i="1"/>
  <c r="BW650" i="1"/>
  <c r="A651" i="1"/>
  <c r="C651" i="1"/>
  <c r="S651" i="1"/>
  <c r="T651" i="1"/>
  <c r="U651" i="1"/>
  <c r="BB651" i="1"/>
  <c r="BW651" i="1"/>
  <c r="A652" i="1"/>
  <c r="C652" i="1"/>
  <c r="S652" i="1"/>
  <c r="T652" i="1"/>
  <c r="U652" i="1"/>
  <c r="BB652" i="1"/>
  <c r="BW652" i="1"/>
  <c r="A653" i="1"/>
  <c r="C653" i="1"/>
  <c r="S653" i="1"/>
  <c r="T653" i="1"/>
  <c r="U653" i="1"/>
  <c r="BB653" i="1"/>
  <c r="BW653" i="1"/>
  <c r="A654" i="1"/>
  <c r="C654" i="1"/>
  <c r="S654" i="1"/>
  <c r="T654" i="1"/>
  <c r="U654" i="1"/>
  <c r="BB654" i="1"/>
  <c r="BW654" i="1"/>
  <c r="A655" i="1"/>
  <c r="C655" i="1"/>
  <c r="S655" i="1"/>
  <c r="T655" i="1"/>
  <c r="U655" i="1"/>
  <c r="BB655" i="1"/>
  <c r="BW655" i="1"/>
  <c r="A656" i="1"/>
  <c r="C656" i="1"/>
  <c r="S656" i="1"/>
  <c r="T656" i="1"/>
  <c r="U656" i="1"/>
  <c r="BB656" i="1"/>
  <c r="BW656" i="1"/>
  <c r="A657" i="1"/>
  <c r="C657" i="1"/>
  <c r="S657" i="1"/>
  <c r="T657" i="1"/>
  <c r="U657" i="1"/>
  <c r="BB657" i="1"/>
  <c r="BW657" i="1"/>
  <c r="A658" i="1"/>
  <c r="C658" i="1"/>
  <c r="S658" i="1"/>
  <c r="T658" i="1"/>
  <c r="U658" i="1"/>
  <c r="BB658" i="1"/>
  <c r="BW658" i="1"/>
  <c r="A659" i="1"/>
  <c r="C659" i="1"/>
  <c r="S659" i="1"/>
  <c r="T659" i="1"/>
  <c r="U659" i="1"/>
  <c r="BB659" i="1"/>
  <c r="BW659" i="1"/>
  <c r="A660" i="1"/>
  <c r="C660" i="1"/>
  <c r="S660" i="1"/>
  <c r="T660" i="1"/>
  <c r="U660" i="1"/>
  <c r="BB660" i="1"/>
  <c r="BW660" i="1"/>
  <c r="A661" i="1"/>
  <c r="C661" i="1"/>
  <c r="S661" i="1"/>
  <c r="T661" i="1"/>
  <c r="U661" i="1"/>
  <c r="BB661" i="1"/>
  <c r="BW661" i="1"/>
  <c r="A662" i="1"/>
  <c r="C662" i="1"/>
  <c r="S662" i="1"/>
  <c r="T662" i="1"/>
  <c r="U662" i="1"/>
  <c r="BB662" i="1"/>
  <c r="BW662" i="1"/>
  <c r="A663" i="1"/>
  <c r="C663" i="1"/>
  <c r="S663" i="1"/>
  <c r="T663" i="1"/>
  <c r="U663" i="1"/>
  <c r="BB663" i="1"/>
  <c r="BW663" i="1"/>
  <c r="A664" i="1"/>
  <c r="C664" i="1"/>
  <c r="S664" i="1"/>
  <c r="T664" i="1"/>
  <c r="U664" i="1"/>
  <c r="BB664" i="1"/>
  <c r="BW664" i="1"/>
  <c r="A665" i="1"/>
  <c r="C665" i="1"/>
  <c r="S665" i="1"/>
  <c r="T665" i="1"/>
  <c r="U665" i="1"/>
  <c r="BB665" i="1"/>
  <c r="BW665" i="1"/>
  <c r="A666" i="1"/>
  <c r="C666" i="1"/>
  <c r="S666" i="1"/>
  <c r="T666" i="1"/>
  <c r="U666" i="1"/>
  <c r="BB666" i="1"/>
  <c r="BW666" i="1"/>
  <c r="A667" i="1"/>
  <c r="C667" i="1"/>
  <c r="S667" i="1"/>
  <c r="T667" i="1"/>
  <c r="U667" i="1"/>
  <c r="BB667" i="1"/>
  <c r="BW667" i="1"/>
  <c r="A668" i="1"/>
  <c r="C668" i="1"/>
  <c r="S668" i="1"/>
  <c r="T668" i="1"/>
  <c r="U668" i="1"/>
  <c r="BB668" i="1"/>
  <c r="BW668" i="1"/>
  <c r="A669" i="1"/>
  <c r="C669" i="1"/>
  <c r="S669" i="1"/>
  <c r="T669" i="1"/>
  <c r="U669" i="1"/>
  <c r="BB669" i="1"/>
  <c r="BW669" i="1"/>
  <c r="A670" i="1"/>
  <c r="C670" i="1"/>
  <c r="S670" i="1"/>
  <c r="T670" i="1"/>
  <c r="U670" i="1"/>
  <c r="BB670" i="1"/>
  <c r="BW670" i="1"/>
  <c r="A671" i="1"/>
  <c r="C671" i="1"/>
  <c r="S671" i="1"/>
  <c r="T671" i="1"/>
  <c r="U671" i="1"/>
  <c r="BB671" i="1"/>
  <c r="BW671" i="1"/>
  <c r="A672" i="1"/>
  <c r="C672" i="1"/>
  <c r="S672" i="1"/>
  <c r="T672" i="1"/>
  <c r="U672" i="1"/>
  <c r="BB672" i="1"/>
  <c r="BW672" i="1"/>
  <c r="A673" i="1"/>
  <c r="C673" i="1"/>
  <c r="S673" i="1"/>
  <c r="T673" i="1"/>
  <c r="U673" i="1"/>
  <c r="BB673" i="1"/>
  <c r="BW673" i="1"/>
  <c r="A674" i="1"/>
  <c r="C674" i="1"/>
  <c r="S674" i="1"/>
  <c r="T674" i="1"/>
  <c r="U674" i="1"/>
  <c r="BB674" i="1"/>
  <c r="BW674" i="1"/>
  <c r="A675" i="1"/>
  <c r="C675" i="1"/>
  <c r="S675" i="1"/>
  <c r="T675" i="1"/>
  <c r="U675" i="1"/>
  <c r="BB675" i="1"/>
  <c r="BW675" i="1"/>
  <c r="A676" i="1"/>
  <c r="C676" i="1"/>
  <c r="S676" i="1"/>
  <c r="T676" i="1"/>
  <c r="U676" i="1"/>
  <c r="BB676" i="1"/>
  <c r="BW676" i="1"/>
  <c r="A677" i="1"/>
  <c r="C677" i="1"/>
  <c r="S677" i="1"/>
  <c r="T677" i="1"/>
  <c r="U677" i="1"/>
  <c r="BB677" i="1"/>
  <c r="BW677" i="1"/>
  <c r="A678" i="1"/>
  <c r="C678" i="1"/>
  <c r="S678" i="1"/>
  <c r="T678" i="1"/>
  <c r="U678" i="1"/>
  <c r="BB678" i="1"/>
  <c r="BW678" i="1"/>
  <c r="A679" i="1"/>
  <c r="C679" i="1"/>
  <c r="S679" i="1"/>
  <c r="T679" i="1"/>
  <c r="U679" i="1"/>
  <c r="BB679" i="1"/>
  <c r="BW679" i="1"/>
  <c r="A680" i="1"/>
  <c r="C680" i="1"/>
  <c r="S680" i="1"/>
  <c r="T680" i="1"/>
  <c r="U680" i="1"/>
  <c r="BB680" i="1"/>
  <c r="BW680" i="1"/>
  <c r="A681" i="1"/>
  <c r="C681" i="1"/>
  <c r="S681" i="1"/>
  <c r="T681" i="1"/>
  <c r="U681" i="1"/>
  <c r="BB681" i="1"/>
  <c r="BW681" i="1"/>
  <c r="A682" i="1"/>
  <c r="C682" i="1"/>
  <c r="S682" i="1"/>
  <c r="T682" i="1"/>
  <c r="U682" i="1"/>
  <c r="BB682" i="1"/>
  <c r="BW682" i="1"/>
  <c r="A683" i="1"/>
  <c r="C683" i="1"/>
  <c r="S683" i="1"/>
  <c r="T683" i="1"/>
  <c r="U683" i="1"/>
  <c r="BB683" i="1"/>
  <c r="BW683" i="1"/>
  <c r="A684" i="1"/>
  <c r="C684" i="1"/>
  <c r="S684" i="1"/>
  <c r="T684" i="1"/>
  <c r="U684" i="1"/>
  <c r="BB684" i="1"/>
  <c r="BW684" i="1"/>
  <c r="A685" i="1"/>
  <c r="C685" i="1"/>
  <c r="S685" i="1"/>
  <c r="T685" i="1"/>
  <c r="U685" i="1"/>
  <c r="BB685" i="1"/>
  <c r="BW685" i="1"/>
  <c r="A686" i="1"/>
  <c r="C686" i="1"/>
  <c r="S686" i="1"/>
  <c r="T686" i="1"/>
  <c r="U686" i="1"/>
  <c r="BB686" i="1"/>
  <c r="BW686" i="1"/>
  <c r="A687" i="1"/>
  <c r="C687" i="1"/>
  <c r="S687" i="1"/>
  <c r="T687" i="1"/>
  <c r="U687" i="1"/>
  <c r="BB687" i="1"/>
  <c r="BW687" i="1"/>
  <c r="A688" i="1"/>
  <c r="C688" i="1"/>
  <c r="S688" i="1"/>
  <c r="T688" i="1"/>
  <c r="U688" i="1"/>
  <c r="BB688" i="1"/>
  <c r="BW688" i="1"/>
  <c r="A689" i="1"/>
  <c r="C689" i="1"/>
  <c r="S689" i="1"/>
  <c r="T689" i="1"/>
  <c r="U689" i="1"/>
  <c r="BB689" i="1"/>
  <c r="BW689" i="1"/>
  <c r="A690" i="1"/>
  <c r="C690" i="1"/>
  <c r="S690" i="1"/>
  <c r="T690" i="1"/>
  <c r="U690" i="1"/>
  <c r="BB690" i="1"/>
  <c r="BW690" i="1"/>
  <c r="A691" i="1"/>
  <c r="C691" i="1"/>
  <c r="S691" i="1"/>
  <c r="T691" i="1"/>
  <c r="U691" i="1"/>
  <c r="BB691" i="1"/>
  <c r="BW691" i="1"/>
  <c r="A692" i="1"/>
  <c r="C692" i="1"/>
  <c r="S692" i="1"/>
  <c r="T692" i="1"/>
  <c r="U692" i="1"/>
  <c r="BB692" i="1"/>
  <c r="BW692" i="1"/>
  <c r="A693" i="1"/>
  <c r="C693" i="1"/>
  <c r="S693" i="1"/>
  <c r="T693" i="1"/>
  <c r="U693" i="1"/>
  <c r="BB693" i="1"/>
  <c r="BW693" i="1"/>
  <c r="A694" i="1"/>
  <c r="C694" i="1"/>
  <c r="S694" i="1"/>
  <c r="T694" i="1"/>
  <c r="U694" i="1"/>
  <c r="BB694" i="1"/>
  <c r="BW694" i="1"/>
  <c r="A695" i="1"/>
  <c r="C695" i="1"/>
  <c r="S695" i="1"/>
  <c r="T695" i="1"/>
  <c r="U695" i="1"/>
  <c r="BB695" i="1"/>
  <c r="BW695" i="1"/>
  <c r="A696" i="1"/>
  <c r="C696" i="1"/>
  <c r="S696" i="1"/>
  <c r="T696" i="1"/>
  <c r="U696" i="1"/>
  <c r="BB696" i="1"/>
  <c r="BW696" i="1"/>
  <c r="A697" i="1"/>
  <c r="C697" i="1"/>
  <c r="S697" i="1"/>
  <c r="T697" i="1"/>
  <c r="U697" i="1"/>
  <c r="BB697" i="1"/>
  <c r="BW697" i="1"/>
  <c r="A698" i="1"/>
  <c r="C698" i="1"/>
  <c r="S698" i="1"/>
  <c r="T698" i="1"/>
  <c r="U698" i="1"/>
  <c r="BB698" i="1"/>
  <c r="BW698" i="1"/>
  <c r="A699" i="1"/>
  <c r="C699" i="1"/>
  <c r="S699" i="1"/>
  <c r="T699" i="1"/>
  <c r="U699" i="1"/>
  <c r="BB699" i="1"/>
  <c r="BW699" i="1"/>
  <c r="A700" i="1"/>
  <c r="C700" i="1"/>
  <c r="S700" i="1"/>
  <c r="T700" i="1"/>
  <c r="U700" i="1"/>
  <c r="BB700" i="1"/>
  <c r="BW700" i="1"/>
  <c r="A701" i="1"/>
  <c r="C701" i="1"/>
  <c r="S701" i="1"/>
  <c r="T701" i="1"/>
  <c r="U701" i="1"/>
  <c r="BB701" i="1"/>
  <c r="BW701" i="1"/>
  <c r="A702" i="1"/>
  <c r="C702" i="1"/>
  <c r="S702" i="1"/>
  <c r="T702" i="1"/>
  <c r="U702" i="1"/>
  <c r="BB702" i="1"/>
  <c r="BW702" i="1"/>
  <c r="A703" i="1"/>
  <c r="C703" i="1"/>
  <c r="S703" i="1"/>
  <c r="T703" i="1"/>
  <c r="U703" i="1"/>
  <c r="BB703" i="1"/>
  <c r="BW703" i="1"/>
  <c r="A704" i="1"/>
  <c r="C704" i="1"/>
  <c r="S704" i="1"/>
  <c r="T704" i="1"/>
  <c r="U704" i="1"/>
  <c r="BB704" i="1"/>
  <c r="BW704" i="1"/>
  <c r="A705" i="1"/>
  <c r="C705" i="1"/>
  <c r="S705" i="1"/>
  <c r="T705" i="1"/>
  <c r="U705" i="1"/>
  <c r="BB705" i="1"/>
  <c r="BW705" i="1"/>
  <c r="A706" i="1"/>
  <c r="C706" i="1"/>
  <c r="S706" i="1"/>
  <c r="T706" i="1"/>
  <c r="U706" i="1"/>
  <c r="BB706" i="1"/>
  <c r="BW706" i="1"/>
  <c r="A707" i="1"/>
  <c r="C707" i="1"/>
  <c r="S707" i="1"/>
  <c r="T707" i="1"/>
  <c r="U707" i="1"/>
  <c r="BB707" i="1"/>
  <c r="BW707" i="1"/>
  <c r="A708" i="1"/>
  <c r="C708" i="1"/>
  <c r="S708" i="1"/>
  <c r="T708" i="1"/>
  <c r="U708" i="1"/>
  <c r="BB708" i="1"/>
  <c r="BW708" i="1"/>
  <c r="A709" i="1"/>
  <c r="C709" i="1"/>
  <c r="S709" i="1"/>
  <c r="T709" i="1"/>
  <c r="U709" i="1"/>
  <c r="BB709" i="1"/>
  <c r="BW709" i="1"/>
  <c r="A710" i="1"/>
  <c r="C710" i="1"/>
  <c r="S710" i="1"/>
  <c r="T710" i="1"/>
  <c r="U710" i="1"/>
  <c r="BB710" i="1"/>
  <c r="BW710" i="1"/>
  <c r="A711" i="1"/>
  <c r="C711" i="1"/>
  <c r="S711" i="1"/>
  <c r="T711" i="1"/>
  <c r="U711" i="1"/>
  <c r="BB711" i="1"/>
  <c r="BW711" i="1"/>
  <c r="A712" i="1"/>
  <c r="C712" i="1"/>
  <c r="S712" i="1"/>
  <c r="T712" i="1"/>
  <c r="U712" i="1"/>
  <c r="BB712" i="1"/>
  <c r="BW712" i="1"/>
  <c r="A713" i="1"/>
  <c r="C713" i="1"/>
  <c r="S713" i="1"/>
  <c r="T713" i="1"/>
  <c r="U713" i="1"/>
  <c r="BB713" i="1"/>
  <c r="BW713" i="1"/>
  <c r="A714" i="1"/>
  <c r="C714" i="1"/>
  <c r="S714" i="1"/>
  <c r="T714" i="1"/>
  <c r="U714" i="1"/>
  <c r="BB714" i="1"/>
  <c r="BW714" i="1"/>
  <c r="A715" i="1"/>
  <c r="C715" i="1"/>
  <c r="S715" i="1"/>
  <c r="T715" i="1"/>
  <c r="U715" i="1"/>
  <c r="BB715" i="1"/>
  <c r="BW715" i="1"/>
  <c r="A716" i="1"/>
  <c r="C716" i="1"/>
  <c r="S716" i="1"/>
  <c r="T716" i="1"/>
  <c r="U716" i="1"/>
  <c r="BB716" i="1"/>
  <c r="BW716" i="1"/>
  <c r="A717" i="1"/>
  <c r="C717" i="1"/>
  <c r="S717" i="1"/>
  <c r="T717" i="1"/>
  <c r="U717" i="1"/>
  <c r="BB717" i="1"/>
  <c r="BW717" i="1"/>
  <c r="A718" i="1"/>
  <c r="C718" i="1"/>
  <c r="S718" i="1"/>
  <c r="T718" i="1"/>
  <c r="U718" i="1"/>
  <c r="BB718" i="1"/>
  <c r="BW718" i="1"/>
  <c r="A719" i="1"/>
  <c r="C719" i="1"/>
  <c r="S719" i="1"/>
  <c r="T719" i="1"/>
  <c r="U719" i="1"/>
  <c r="BB719" i="1"/>
  <c r="BW719" i="1"/>
  <c r="A720" i="1"/>
  <c r="C720" i="1"/>
  <c r="S720" i="1"/>
  <c r="T720" i="1"/>
  <c r="U720" i="1"/>
  <c r="BB720" i="1"/>
  <c r="BW720" i="1"/>
  <c r="A721" i="1"/>
  <c r="C721" i="1"/>
  <c r="S721" i="1"/>
  <c r="T721" i="1"/>
  <c r="U721" i="1"/>
  <c r="BB721" i="1"/>
  <c r="BW721" i="1"/>
  <c r="A722" i="1"/>
  <c r="C722" i="1"/>
  <c r="S722" i="1"/>
  <c r="T722" i="1"/>
  <c r="U722" i="1"/>
  <c r="BB722" i="1"/>
  <c r="BW722" i="1"/>
  <c r="A723" i="1"/>
  <c r="C723" i="1"/>
  <c r="S723" i="1"/>
  <c r="T723" i="1"/>
  <c r="U723" i="1"/>
  <c r="BB723" i="1"/>
  <c r="BW723" i="1"/>
  <c r="A724" i="1"/>
  <c r="C724" i="1"/>
  <c r="S724" i="1"/>
  <c r="T724" i="1"/>
  <c r="U724" i="1"/>
  <c r="BB724" i="1"/>
  <c r="BW724" i="1"/>
  <c r="A725" i="1"/>
  <c r="C725" i="1"/>
  <c r="S725" i="1"/>
  <c r="T725" i="1"/>
  <c r="U725" i="1"/>
  <c r="BB725" i="1"/>
  <c r="BW725" i="1"/>
  <c r="A726" i="1"/>
  <c r="C726" i="1"/>
  <c r="S726" i="1"/>
  <c r="T726" i="1"/>
  <c r="U726" i="1"/>
  <c r="BB726" i="1"/>
  <c r="BW726" i="1"/>
  <c r="A727" i="1"/>
  <c r="C727" i="1"/>
  <c r="S727" i="1"/>
  <c r="T727" i="1"/>
  <c r="U727" i="1"/>
  <c r="BB727" i="1"/>
  <c r="BW727" i="1"/>
  <c r="A728" i="1"/>
  <c r="C728" i="1"/>
  <c r="S728" i="1"/>
  <c r="T728" i="1"/>
  <c r="U728" i="1"/>
  <c r="BB728" i="1"/>
  <c r="BW728" i="1"/>
  <c r="A729" i="1"/>
  <c r="C729" i="1"/>
  <c r="S729" i="1"/>
  <c r="T729" i="1"/>
  <c r="U729" i="1"/>
  <c r="BB729" i="1"/>
  <c r="BW729" i="1"/>
  <c r="A730" i="1"/>
  <c r="C730" i="1"/>
  <c r="S730" i="1"/>
  <c r="T730" i="1"/>
  <c r="U730" i="1"/>
  <c r="BB730" i="1"/>
  <c r="BW730" i="1"/>
  <c r="A731" i="1"/>
  <c r="C731" i="1"/>
  <c r="S731" i="1"/>
  <c r="T731" i="1"/>
  <c r="U731" i="1"/>
  <c r="BB731" i="1"/>
  <c r="BW731" i="1"/>
  <c r="A732" i="1"/>
  <c r="C732" i="1"/>
  <c r="S732" i="1"/>
  <c r="T732" i="1"/>
  <c r="U732" i="1"/>
  <c r="BB732" i="1"/>
  <c r="BW732" i="1"/>
  <c r="A733" i="1"/>
  <c r="C733" i="1"/>
  <c r="S733" i="1"/>
  <c r="T733" i="1"/>
  <c r="U733" i="1"/>
  <c r="BB733" i="1"/>
  <c r="BW733" i="1"/>
  <c r="A734" i="1"/>
  <c r="C734" i="1"/>
  <c r="S734" i="1"/>
  <c r="T734" i="1"/>
  <c r="U734" i="1"/>
  <c r="BB734" i="1"/>
  <c r="BW734" i="1"/>
  <c r="A735" i="1"/>
  <c r="C735" i="1"/>
  <c r="S735" i="1"/>
  <c r="T735" i="1"/>
  <c r="U735" i="1"/>
  <c r="BB735" i="1"/>
  <c r="BW735" i="1"/>
  <c r="A736" i="1"/>
  <c r="C736" i="1"/>
  <c r="S736" i="1"/>
  <c r="T736" i="1"/>
  <c r="U736" i="1"/>
  <c r="BB736" i="1"/>
  <c r="BW736" i="1"/>
  <c r="A737" i="1"/>
  <c r="C737" i="1"/>
  <c r="S737" i="1"/>
  <c r="T737" i="1"/>
  <c r="U737" i="1"/>
  <c r="BB737" i="1"/>
  <c r="BW737" i="1"/>
  <c r="A738" i="1"/>
  <c r="C738" i="1"/>
  <c r="S738" i="1"/>
  <c r="T738" i="1"/>
  <c r="U738" i="1"/>
  <c r="BB738" i="1"/>
  <c r="BW738" i="1"/>
  <c r="A739" i="1"/>
  <c r="C739" i="1"/>
  <c r="S739" i="1"/>
  <c r="T739" i="1"/>
  <c r="U739" i="1"/>
  <c r="BB739" i="1"/>
  <c r="BW739" i="1"/>
  <c r="A740" i="1"/>
  <c r="C740" i="1"/>
  <c r="S740" i="1"/>
  <c r="T740" i="1"/>
  <c r="U740" i="1"/>
  <c r="BB740" i="1"/>
  <c r="BW740" i="1"/>
  <c r="A741" i="1"/>
  <c r="C741" i="1"/>
  <c r="S741" i="1"/>
  <c r="T741" i="1"/>
  <c r="U741" i="1"/>
  <c r="BB741" i="1"/>
  <c r="BW741" i="1"/>
  <c r="A742" i="1"/>
  <c r="C742" i="1"/>
  <c r="S742" i="1"/>
  <c r="T742" i="1"/>
  <c r="U742" i="1"/>
  <c r="BB742" i="1"/>
  <c r="BW742" i="1"/>
  <c r="A743" i="1"/>
  <c r="C743" i="1"/>
  <c r="S743" i="1"/>
  <c r="T743" i="1"/>
  <c r="U743" i="1"/>
  <c r="BB743" i="1"/>
  <c r="BW743" i="1"/>
  <c r="A744" i="1"/>
  <c r="C744" i="1"/>
  <c r="S744" i="1"/>
  <c r="T744" i="1"/>
  <c r="U744" i="1"/>
  <c r="BB744" i="1"/>
  <c r="BW744" i="1"/>
  <c r="A745" i="1"/>
  <c r="C745" i="1"/>
  <c r="S745" i="1"/>
  <c r="T745" i="1"/>
  <c r="U745" i="1"/>
  <c r="BB745" i="1"/>
  <c r="BW745" i="1"/>
  <c r="A746" i="1"/>
  <c r="C746" i="1"/>
  <c r="S746" i="1"/>
  <c r="T746" i="1"/>
  <c r="U746" i="1"/>
  <c r="BB746" i="1"/>
  <c r="BW746" i="1"/>
  <c r="A747" i="1"/>
  <c r="C747" i="1"/>
  <c r="S747" i="1"/>
  <c r="T747" i="1"/>
  <c r="U747" i="1"/>
  <c r="BB747" i="1"/>
  <c r="BW747" i="1"/>
  <c r="A748" i="1"/>
  <c r="C748" i="1"/>
  <c r="S748" i="1"/>
  <c r="T748" i="1"/>
  <c r="U748" i="1"/>
  <c r="BB748" i="1"/>
  <c r="BW748" i="1"/>
  <c r="A749" i="1"/>
  <c r="C749" i="1"/>
  <c r="S749" i="1"/>
  <c r="T749" i="1"/>
  <c r="U749" i="1"/>
  <c r="BB749" i="1"/>
  <c r="BW749" i="1"/>
  <c r="A750" i="1"/>
  <c r="C750" i="1"/>
  <c r="S750" i="1"/>
  <c r="T750" i="1"/>
  <c r="U750" i="1"/>
  <c r="BB750" i="1"/>
  <c r="BW750" i="1"/>
  <c r="A751" i="1"/>
  <c r="C751" i="1"/>
  <c r="S751" i="1"/>
  <c r="T751" i="1"/>
  <c r="U751" i="1"/>
  <c r="BB751" i="1"/>
  <c r="BW751" i="1"/>
  <c r="A752" i="1"/>
  <c r="C752" i="1"/>
  <c r="S752" i="1"/>
  <c r="T752" i="1"/>
  <c r="U752" i="1"/>
  <c r="BB752" i="1"/>
  <c r="BW752" i="1"/>
  <c r="A753" i="1"/>
  <c r="C753" i="1"/>
  <c r="S753" i="1"/>
  <c r="T753" i="1"/>
  <c r="U753" i="1"/>
  <c r="BB753" i="1"/>
  <c r="BW753" i="1"/>
  <c r="A754" i="1"/>
  <c r="C754" i="1"/>
  <c r="S754" i="1"/>
  <c r="T754" i="1"/>
  <c r="U754" i="1"/>
  <c r="BB754" i="1"/>
  <c r="BW754" i="1"/>
  <c r="A755" i="1"/>
  <c r="C755" i="1"/>
  <c r="S755" i="1"/>
  <c r="T755" i="1"/>
  <c r="U755" i="1"/>
  <c r="BB755" i="1"/>
  <c r="BW755" i="1"/>
  <c r="A756" i="1"/>
  <c r="C756" i="1"/>
  <c r="S756" i="1"/>
  <c r="T756" i="1"/>
  <c r="U756" i="1"/>
  <c r="BB756" i="1"/>
  <c r="BW756" i="1"/>
  <c r="A757" i="1"/>
  <c r="C757" i="1"/>
  <c r="S757" i="1"/>
  <c r="T757" i="1"/>
  <c r="U757" i="1"/>
  <c r="BB757" i="1"/>
  <c r="BW757" i="1"/>
  <c r="A758" i="1"/>
  <c r="C758" i="1"/>
  <c r="S758" i="1"/>
  <c r="T758" i="1"/>
  <c r="U758" i="1"/>
  <c r="BB758" i="1"/>
  <c r="BW758" i="1"/>
  <c r="A759" i="1"/>
  <c r="C759" i="1"/>
  <c r="S759" i="1"/>
  <c r="T759" i="1"/>
  <c r="U759" i="1"/>
  <c r="BB759" i="1"/>
  <c r="BW759" i="1"/>
  <c r="A760" i="1"/>
  <c r="C760" i="1"/>
  <c r="S760" i="1"/>
  <c r="T760" i="1"/>
  <c r="U760" i="1"/>
  <c r="BB760" i="1"/>
  <c r="BW760" i="1"/>
  <c r="A761" i="1"/>
  <c r="C761" i="1"/>
  <c r="S761" i="1"/>
  <c r="T761" i="1"/>
  <c r="U761" i="1"/>
  <c r="BB761" i="1"/>
  <c r="BW761" i="1"/>
  <c r="A762" i="1"/>
  <c r="C762" i="1"/>
  <c r="S762" i="1"/>
  <c r="T762" i="1"/>
  <c r="U762" i="1"/>
  <c r="BB762" i="1"/>
  <c r="BW762" i="1"/>
  <c r="A763" i="1"/>
  <c r="C763" i="1"/>
  <c r="S763" i="1"/>
  <c r="T763" i="1"/>
  <c r="U763" i="1"/>
  <c r="BB763" i="1"/>
  <c r="BW763" i="1"/>
  <c r="A764" i="1"/>
  <c r="C764" i="1"/>
  <c r="S764" i="1"/>
  <c r="T764" i="1"/>
  <c r="U764" i="1"/>
  <c r="BB764" i="1"/>
  <c r="BW764" i="1"/>
  <c r="A765" i="1"/>
  <c r="C765" i="1"/>
  <c r="S765" i="1"/>
  <c r="T765" i="1"/>
  <c r="U765" i="1"/>
  <c r="BB765" i="1"/>
  <c r="BW765" i="1"/>
  <c r="A766" i="1"/>
  <c r="C766" i="1"/>
  <c r="S766" i="1"/>
  <c r="T766" i="1"/>
  <c r="U766" i="1"/>
  <c r="BB766" i="1"/>
  <c r="BW766" i="1"/>
  <c r="A767" i="1"/>
  <c r="C767" i="1"/>
  <c r="S767" i="1"/>
  <c r="T767" i="1"/>
  <c r="U767" i="1"/>
  <c r="BB767" i="1"/>
  <c r="BW767" i="1"/>
  <c r="A768" i="1"/>
  <c r="C768" i="1"/>
  <c r="S768" i="1"/>
  <c r="T768" i="1"/>
  <c r="U768" i="1"/>
  <c r="BB768" i="1"/>
  <c r="BW768" i="1"/>
  <c r="A769" i="1"/>
  <c r="C769" i="1"/>
  <c r="S769" i="1"/>
  <c r="T769" i="1"/>
  <c r="U769" i="1"/>
  <c r="BB769" i="1"/>
  <c r="BW769" i="1"/>
  <c r="A770" i="1"/>
  <c r="C770" i="1"/>
  <c r="S770" i="1"/>
  <c r="T770" i="1"/>
  <c r="U770" i="1"/>
  <c r="BB770" i="1"/>
  <c r="BW770" i="1"/>
  <c r="A771" i="1"/>
  <c r="C771" i="1"/>
  <c r="S771" i="1"/>
  <c r="T771" i="1"/>
  <c r="U771" i="1"/>
  <c r="BB771" i="1"/>
  <c r="BW771" i="1"/>
  <c r="A772" i="1"/>
  <c r="C772" i="1"/>
  <c r="S772" i="1"/>
  <c r="T772" i="1"/>
  <c r="U772" i="1"/>
  <c r="BB772" i="1"/>
  <c r="BW772" i="1"/>
  <c r="A773" i="1"/>
  <c r="C773" i="1"/>
  <c r="S773" i="1"/>
  <c r="T773" i="1"/>
  <c r="U773" i="1"/>
  <c r="BB773" i="1"/>
  <c r="BW773" i="1"/>
  <c r="A774" i="1"/>
  <c r="C774" i="1"/>
  <c r="S774" i="1"/>
  <c r="T774" i="1"/>
  <c r="U774" i="1"/>
  <c r="BB774" i="1"/>
  <c r="BW774" i="1"/>
  <c r="A775" i="1"/>
  <c r="C775" i="1"/>
  <c r="S775" i="1"/>
  <c r="T775" i="1"/>
  <c r="U775" i="1"/>
  <c r="BB775" i="1"/>
  <c r="BW775" i="1"/>
  <c r="A776" i="1"/>
  <c r="C776" i="1"/>
  <c r="S776" i="1"/>
  <c r="T776" i="1"/>
  <c r="U776" i="1"/>
  <c r="BB776" i="1"/>
  <c r="BW776" i="1"/>
  <c r="A777" i="1"/>
  <c r="C777" i="1"/>
  <c r="S777" i="1"/>
  <c r="T777" i="1"/>
  <c r="U777" i="1"/>
  <c r="BB777" i="1"/>
  <c r="BW777" i="1"/>
  <c r="A778" i="1"/>
  <c r="C778" i="1"/>
  <c r="S778" i="1"/>
  <c r="T778" i="1"/>
  <c r="U778" i="1"/>
  <c r="BB778" i="1"/>
  <c r="BW778" i="1"/>
  <c r="A779" i="1"/>
  <c r="C779" i="1"/>
  <c r="S779" i="1"/>
  <c r="T779" i="1"/>
  <c r="U779" i="1"/>
  <c r="BB779" i="1"/>
  <c r="BW779" i="1"/>
  <c r="A780" i="1"/>
  <c r="C780" i="1"/>
  <c r="S780" i="1"/>
  <c r="T780" i="1"/>
  <c r="U780" i="1"/>
  <c r="BB780" i="1"/>
  <c r="BW780" i="1"/>
  <c r="A781" i="1"/>
  <c r="C781" i="1"/>
  <c r="S781" i="1"/>
  <c r="T781" i="1"/>
  <c r="U781" i="1"/>
  <c r="BB781" i="1"/>
  <c r="BW781" i="1"/>
  <c r="A782" i="1"/>
  <c r="C782" i="1"/>
  <c r="S782" i="1"/>
  <c r="T782" i="1"/>
  <c r="U782" i="1"/>
  <c r="BB782" i="1"/>
  <c r="BW782" i="1"/>
  <c r="A783" i="1"/>
  <c r="C783" i="1"/>
  <c r="S783" i="1"/>
  <c r="T783" i="1"/>
  <c r="U783" i="1"/>
  <c r="BB783" i="1"/>
  <c r="BW783" i="1"/>
  <c r="A784" i="1"/>
  <c r="C784" i="1"/>
  <c r="S784" i="1"/>
  <c r="T784" i="1"/>
  <c r="U784" i="1"/>
  <c r="BB784" i="1"/>
  <c r="BW784" i="1"/>
  <c r="A785" i="1"/>
  <c r="C785" i="1"/>
  <c r="S785" i="1"/>
  <c r="T785" i="1"/>
  <c r="U785" i="1"/>
  <c r="BB785" i="1"/>
  <c r="BW785" i="1"/>
  <c r="A786" i="1"/>
  <c r="C786" i="1"/>
  <c r="S786" i="1"/>
  <c r="T786" i="1"/>
  <c r="U786" i="1"/>
  <c r="BB786" i="1"/>
  <c r="BW786" i="1"/>
  <c r="A787" i="1"/>
  <c r="C787" i="1"/>
  <c r="S787" i="1"/>
  <c r="T787" i="1"/>
  <c r="U787" i="1"/>
  <c r="BB787" i="1"/>
  <c r="BW787" i="1"/>
  <c r="A788" i="1"/>
  <c r="C788" i="1"/>
  <c r="S788" i="1"/>
  <c r="T788" i="1"/>
  <c r="U788" i="1"/>
  <c r="BB788" i="1"/>
  <c r="BW788" i="1"/>
  <c r="A789" i="1"/>
  <c r="C789" i="1"/>
  <c r="S789" i="1"/>
  <c r="T789" i="1"/>
  <c r="U789" i="1"/>
  <c r="BB789" i="1"/>
  <c r="BW789" i="1"/>
  <c r="A790" i="1"/>
  <c r="C790" i="1"/>
  <c r="S790" i="1"/>
  <c r="T790" i="1"/>
  <c r="U790" i="1"/>
  <c r="BB790" i="1"/>
  <c r="BW790" i="1"/>
  <c r="A791" i="1"/>
  <c r="C791" i="1"/>
  <c r="S791" i="1"/>
  <c r="T791" i="1"/>
  <c r="U791" i="1"/>
  <c r="BB791" i="1"/>
  <c r="BW791" i="1"/>
  <c r="A792" i="1"/>
  <c r="C792" i="1"/>
  <c r="S792" i="1"/>
  <c r="T792" i="1"/>
  <c r="U792" i="1"/>
  <c r="BB792" i="1"/>
  <c r="BW792" i="1"/>
  <c r="A793" i="1"/>
  <c r="C793" i="1"/>
  <c r="S793" i="1"/>
  <c r="T793" i="1"/>
  <c r="U793" i="1"/>
  <c r="BB793" i="1"/>
  <c r="BW793" i="1"/>
  <c r="A794" i="1"/>
  <c r="C794" i="1"/>
  <c r="S794" i="1"/>
  <c r="T794" i="1"/>
  <c r="U794" i="1"/>
  <c r="BB794" i="1"/>
  <c r="BW794" i="1"/>
  <c r="A795" i="1"/>
  <c r="C795" i="1"/>
  <c r="S795" i="1"/>
  <c r="T795" i="1"/>
  <c r="U795" i="1"/>
  <c r="BB795" i="1"/>
  <c r="BW795" i="1"/>
  <c r="A796" i="1"/>
  <c r="C796" i="1"/>
  <c r="S796" i="1"/>
  <c r="T796" i="1"/>
  <c r="U796" i="1"/>
  <c r="BB796" i="1"/>
  <c r="BW796" i="1"/>
  <c r="A797" i="1"/>
  <c r="C797" i="1"/>
  <c r="S797" i="1"/>
  <c r="T797" i="1"/>
  <c r="U797" i="1"/>
  <c r="BB797" i="1"/>
  <c r="BW797" i="1"/>
  <c r="A798" i="1"/>
  <c r="C798" i="1"/>
  <c r="S798" i="1"/>
  <c r="T798" i="1"/>
  <c r="U798" i="1"/>
  <c r="BB798" i="1"/>
  <c r="BW798" i="1"/>
  <c r="A799" i="1"/>
  <c r="C799" i="1"/>
  <c r="S799" i="1"/>
  <c r="T799" i="1"/>
  <c r="U799" i="1"/>
  <c r="BB799" i="1"/>
  <c r="BW799" i="1"/>
  <c r="A800" i="1"/>
  <c r="C800" i="1"/>
  <c r="S800" i="1"/>
  <c r="T800" i="1"/>
  <c r="U800" i="1"/>
  <c r="BB800" i="1"/>
  <c r="BW800" i="1"/>
  <c r="A801" i="1"/>
  <c r="C801" i="1"/>
  <c r="S801" i="1"/>
  <c r="T801" i="1"/>
  <c r="U801" i="1"/>
  <c r="BB801" i="1"/>
  <c r="BW801" i="1"/>
  <c r="A802" i="1"/>
  <c r="C802" i="1"/>
  <c r="S802" i="1"/>
  <c r="T802" i="1"/>
  <c r="U802" i="1"/>
  <c r="BB802" i="1"/>
  <c r="BW802" i="1"/>
  <c r="A803" i="1"/>
  <c r="C803" i="1"/>
  <c r="S803" i="1"/>
  <c r="T803" i="1"/>
  <c r="U803" i="1"/>
  <c r="BB803" i="1"/>
  <c r="BW803" i="1"/>
  <c r="A804" i="1"/>
  <c r="C804" i="1"/>
  <c r="S804" i="1"/>
  <c r="T804" i="1"/>
  <c r="U804" i="1"/>
  <c r="BB804" i="1"/>
  <c r="BW804" i="1"/>
  <c r="A805" i="1"/>
  <c r="C805" i="1"/>
  <c r="S805" i="1"/>
  <c r="T805" i="1"/>
  <c r="U805" i="1"/>
  <c r="BB805" i="1"/>
  <c r="BW805" i="1"/>
  <c r="A806" i="1"/>
  <c r="C806" i="1"/>
  <c r="S806" i="1"/>
  <c r="T806" i="1"/>
  <c r="U806" i="1"/>
  <c r="BB806" i="1"/>
  <c r="BW806" i="1"/>
  <c r="A807" i="1"/>
  <c r="C807" i="1"/>
  <c r="S807" i="1"/>
  <c r="T807" i="1"/>
  <c r="U807" i="1"/>
  <c r="BB807" i="1"/>
  <c r="BW807" i="1"/>
  <c r="A808" i="1"/>
  <c r="C808" i="1"/>
  <c r="S808" i="1"/>
  <c r="T808" i="1"/>
  <c r="U808" i="1"/>
  <c r="BB808" i="1"/>
  <c r="BW808" i="1"/>
  <c r="A809" i="1"/>
  <c r="C809" i="1"/>
  <c r="S809" i="1"/>
  <c r="T809" i="1"/>
  <c r="U809" i="1"/>
  <c r="BB809" i="1"/>
  <c r="BW809" i="1"/>
  <c r="A810" i="1"/>
  <c r="C810" i="1"/>
  <c r="S810" i="1"/>
  <c r="T810" i="1"/>
  <c r="U810" i="1"/>
  <c r="BB810" i="1"/>
  <c r="BW810" i="1"/>
  <c r="A811" i="1"/>
  <c r="C811" i="1"/>
  <c r="S811" i="1"/>
  <c r="T811" i="1"/>
  <c r="U811" i="1"/>
  <c r="BB811" i="1"/>
  <c r="BW811" i="1"/>
  <c r="A812" i="1"/>
  <c r="C812" i="1"/>
  <c r="S812" i="1"/>
  <c r="T812" i="1"/>
  <c r="U812" i="1"/>
  <c r="BB812" i="1"/>
  <c r="BW812" i="1"/>
  <c r="A813" i="1"/>
  <c r="C813" i="1"/>
  <c r="S813" i="1"/>
  <c r="T813" i="1"/>
  <c r="U813" i="1"/>
  <c r="BB813" i="1"/>
  <c r="BW813" i="1"/>
  <c r="A814" i="1"/>
  <c r="C814" i="1"/>
  <c r="S814" i="1"/>
  <c r="T814" i="1"/>
  <c r="U814" i="1"/>
  <c r="BB814" i="1"/>
  <c r="BW814" i="1"/>
  <c r="A815" i="1"/>
  <c r="C815" i="1"/>
  <c r="S815" i="1"/>
  <c r="T815" i="1"/>
  <c r="U815" i="1"/>
  <c r="BB815" i="1"/>
  <c r="BW815" i="1"/>
  <c r="A816" i="1"/>
  <c r="C816" i="1"/>
  <c r="S816" i="1"/>
  <c r="T816" i="1"/>
  <c r="U816" i="1"/>
  <c r="BB816" i="1"/>
  <c r="BW816" i="1"/>
  <c r="A817" i="1"/>
  <c r="C817" i="1"/>
  <c r="S817" i="1"/>
  <c r="T817" i="1"/>
  <c r="U817" i="1"/>
  <c r="BB817" i="1"/>
  <c r="BW817" i="1"/>
  <c r="A818" i="1"/>
  <c r="C818" i="1"/>
  <c r="S818" i="1"/>
  <c r="T818" i="1"/>
  <c r="U818" i="1"/>
  <c r="BB818" i="1"/>
  <c r="BW818" i="1"/>
  <c r="A819" i="1"/>
  <c r="C819" i="1"/>
  <c r="S819" i="1"/>
  <c r="T819" i="1"/>
  <c r="U819" i="1"/>
  <c r="BB819" i="1"/>
  <c r="BW819" i="1"/>
  <c r="A820" i="1"/>
  <c r="C820" i="1"/>
  <c r="S820" i="1"/>
  <c r="T820" i="1"/>
  <c r="U820" i="1"/>
  <c r="BB820" i="1"/>
  <c r="BW820" i="1"/>
  <c r="A821" i="1"/>
  <c r="C821" i="1"/>
  <c r="S821" i="1"/>
  <c r="T821" i="1"/>
  <c r="U821" i="1"/>
  <c r="BB821" i="1"/>
  <c r="BW821" i="1"/>
  <c r="A822" i="1"/>
  <c r="C822" i="1"/>
  <c r="S822" i="1"/>
  <c r="T822" i="1"/>
  <c r="U822" i="1"/>
  <c r="BB822" i="1"/>
  <c r="BW822" i="1"/>
  <c r="A823" i="1"/>
  <c r="C823" i="1"/>
  <c r="S823" i="1"/>
  <c r="T823" i="1"/>
  <c r="U823" i="1"/>
  <c r="BB823" i="1"/>
  <c r="BW823" i="1"/>
  <c r="A824" i="1"/>
  <c r="C824" i="1"/>
  <c r="S824" i="1"/>
  <c r="T824" i="1"/>
  <c r="U824" i="1"/>
  <c r="BB824" i="1"/>
  <c r="BW824" i="1"/>
  <c r="A825" i="1"/>
  <c r="C825" i="1"/>
  <c r="S825" i="1"/>
  <c r="T825" i="1"/>
  <c r="U825" i="1"/>
  <c r="BB825" i="1"/>
  <c r="BW825" i="1"/>
  <c r="A826" i="1"/>
  <c r="C826" i="1"/>
  <c r="S826" i="1"/>
  <c r="T826" i="1"/>
  <c r="U826" i="1"/>
  <c r="BB826" i="1"/>
  <c r="BW826" i="1"/>
  <c r="A827" i="1"/>
  <c r="C827" i="1"/>
  <c r="S827" i="1"/>
  <c r="T827" i="1"/>
  <c r="U827" i="1"/>
  <c r="BB827" i="1"/>
  <c r="BW827" i="1"/>
  <c r="A828" i="1"/>
  <c r="C828" i="1"/>
  <c r="S828" i="1"/>
  <c r="T828" i="1"/>
  <c r="U828" i="1"/>
  <c r="BB828" i="1"/>
  <c r="BW828" i="1"/>
  <c r="A829" i="1"/>
  <c r="C829" i="1"/>
  <c r="S829" i="1"/>
  <c r="T829" i="1"/>
  <c r="U829" i="1"/>
  <c r="BB829" i="1"/>
  <c r="BW829" i="1"/>
  <c r="A830" i="1"/>
  <c r="C830" i="1"/>
  <c r="S830" i="1"/>
  <c r="T830" i="1"/>
  <c r="U830" i="1"/>
  <c r="BB830" i="1"/>
  <c r="BW830" i="1"/>
  <c r="A831" i="1"/>
  <c r="C831" i="1"/>
  <c r="S831" i="1"/>
  <c r="T831" i="1"/>
  <c r="U831" i="1"/>
  <c r="BB831" i="1"/>
  <c r="BW831" i="1"/>
  <c r="A832" i="1"/>
  <c r="C832" i="1"/>
  <c r="S832" i="1"/>
  <c r="T832" i="1"/>
  <c r="U832" i="1"/>
  <c r="BB832" i="1"/>
  <c r="BW832" i="1"/>
  <c r="A833" i="1"/>
  <c r="C833" i="1"/>
  <c r="S833" i="1"/>
  <c r="T833" i="1"/>
  <c r="U833" i="1"/>
  <c r="BB833" i="1"/>
  <c r="BW833" i="1"/>
  <c r="A834" i="1"/>
  <c r="C834" i="1"/>
  <c r="S834" i="1"/>
  <c r="T834" i="1"/>
  <c r="U834" i="1"/>
  <c r="BB834" i="1"/>
  <c r="BW834" i="1"/>
  <c r="A835" i="1"/>
  <c r="C835" i="1"/>
  <c r="S835" i="1"/>
  <c r="T835" i="1"/>
  <c r="U835" i="1"/>
  <c r="BB835" i="1"/>
  <c r="BW835" i="1"/>
  <c r="A836" i="1"/>
  <c r="C836" i="1"/>
  <c r="S836" i="1"/>
  <c r="T836" i="1"/>
  <c r="U836" i="1"/>
  <c r="BB836" i="1"/>
  <c r="BW836" i="1"/>
  <c r="A837" i="1"/>
  <c r="C837" i="1"/>
  <c r="S837" i="1"/>
  <c r="T837" i="1"/>
  <c r="U837" i="1"/>
  <c r="BB837" i="1"/>
  <c r="BW837" i="1"/>
  <c r="A838" i="1"/>
  <c r="C838" i="1"/>
  <c r="S838" i="1"/>
  <c r="T838" i="1"/>
  <c r="U838" i="1"/>
  <c r="BB838" i="1"/>
  <c r="BW838" i="1"/>
  <c r="A839" i="1"/>
  <c r="C839" i="1"/>
  <c r="S839" i="1"/>
  <c r="T839" i="1"/>
  <c r="U839" i="1"/>
  <c r="BB839" i="1"/>
  <c r="BW839" i="1"/>
  <c r="A840" i="1"/>
  <c r="C840" i="1"/>
  <c r="S840" i="1"/>
  <c r="T840" i="1"/>
  <c r="U840" i="1"/>
  <c r="BB840" i="1"/>
  <c r="BW840" i="1"/>
  <c r="A841" i="1"/>
  <c r="C841" i="1"/>
  <c r="S841" i="1"/>
  <c r="T841" i="1"/>
  <c r="U841" i="1"/>
  <c r="BB841" i="1"/>
  <c r="BW841" i="1"/>
  <c r="A842" i="1"/>
  <c r="C842" i="1"/>
  <c r="S842" i="1"/>
  <c r="T842" i="1"/>
  <c r="U842" i="1"/>
  <c r="BB842" i="1"/>
  <c r="BW842" i="1"/>
  <c r="A843" i="1"/>
  <c r="C843" i="1"/>
  <c r="S843" i="1"/>
  <c r="T843" i="1"/>
  <c r="U843" i="1"/>
  <c r="BB843" i="1"/>
  <c r="BW843" i="1"/>
  <c r="A844" i="1"/>
  <c r="C844" i="1"/>
  <c r="S844" i="1"/>
  <c r="T844" i="1"/>
  <c r="U844" i="1"/>
  <c r="BB844" i="1"/>
  <c r="BW844" i="1"/>
  <c r="A845" i="1"/>
  <c r="C845" i="1"/>
  <c r="S845" i="1"/>
  <c r="T845" i="1"/>
  <c r="U845" i="1"/>
  <c r="BB845" i="1"/>
  <c r="BW845" i="1"/>
  <c r="A846" i="1"/>
  <c r="C846" i="1"/>
  <c r="S846" i="1"/>
  <c r="T846" i="1"/>
  <c r="U846" i="1"/>
  <c r="BB846" i="1"/>
  <c r="BW846" i="1"/>
  <c r="A847" i="1"/>
  <c r="C847" i="1"/>
  <c r="S847" i="1"/>
  <c r="T847" i="1"/>
  <c r="U847" i="1"/>
  <c r="BB847" i="1"/>
  <c r="BW847" i="1"/>
  <c r="A848" i="1"/>
  <c r="C848" i="1"/>
  <c r="S848" i="1"/>
  <c r="T848" i="1"/>
  <c r="U848" i="1"/>
  <c r="BB848" i="1"/>
  <c r="BW848" i="1"/>
  <c r="A849" i="1"/>
  <c r="C849" i="1"/>
  <c r="S849" i="1"/>
  <c r="T849" i="1"/>
  <c r="U849" i="1"/>
  <c r="BB849" i="1"/>
  <c r="BW849" i="1"/>
  <c r="A850" i="1"/>
  <c r="C850" i="1"/>
  <c r="S850" i="1"/>
  <c r="T850" i="1"/>
  <c r="U850" i="1"/>
  <c r="BB850" i="1"/>
  <c r="BW850" i="1"/>
  <c r="A851" i="1"/>
  <c r="C851" i="1"/>
  <c r="S851" i="1"/>
  <c r="T851" i="1"/>
  <c r="U851" i="1"/>
  <c r="BB851" i="1"/>
  <c r="BW851" i="1"/>
  <c r="A852" i="1"/>
  <c r="C852" i="1"/>
  <c r="S852" i="1"/>
  <c r="T852" i="1"/>
  <c r="U852" i="1"/>
  <c r="BB852" i="1"/>
  <c r="BW852" i="1"/>
  <c r="A853" i="1"/>
  <c r="C853" i="1"/>
  <c r="S853" i="1"/>
  <c r="T853" i="1"/>
  <c r="U853" i="1"/>
  <c r="BB853" i="1"/>
  <c r="BW853" i="1"/>
  <c r="A854" i="1"/>
  <c r="C854" i="1"/>
  <c r="S854" i="1"/>
  <c r="T854" i="1"/>
  <c r="U854" i="1"/>
  <c r="BB854" i="1"/>
  <c r="BW854" i="1"/>
  <c r="A855" i="1"/>
  <c r="C855" i="1"/>
  <c r="S855" i="1"/>
  <c r="T855" i="1"/>
  <c r="U855" i="1"/>
  <c r="BB855" i="1"/>
  <c r="BW855" i="1"/>
  <c r="A856" i="1"/>
  <c r="C856" i="1"/>
  <c r="S856" i="1"/>
  <c r="T856" i="1"/>
  <c r="U856" i="1"/>
  <c r="BB856" i="1"/>
  <c r="BW856" i="1"/>
  <c r="A857" i="1"/>
  <c r="C857" i="1"/>
  <c r="S857" i="1"/>
  <c r="T857" i="1"/>
  <c r="U857" i="1"/>
  <c r="BB857" i="1"/>
  <c r="BW857" i="1"/>
  <c r="A858" i="1"/>
  <c r="C858" i="1"/>
  <c r="S858" i="1"/>
  <c r="T858" i="1"/>
  <c r="U858" i="1"/>
  <c r="BB858" i="1"/>
  <c r="BW858" i="1"/>
  <c r="A859" i="1"/>
  <c r="C859" i="1"/>
  <c r="S859" i="1"/>
  <c r="T859" i="1"/>
  <c r="U859" i="1"/>
  <c r="BB859" i="1"/>
  <c r="BW859" i="1"/>
  <c r="A860" i="1"/>
  <c r="C860" i="1"/>
  <c r="S860" i="1"/>
  <c r="T860" i="1"/>
  <c r="U860" i="1"/>
  <c r="BB860" i="1"/>
  <c r="BW860" i="1"/>
  <c r="A861" i="1"/>
  <c r="C861" i="1"/>
  <c r="S861" i="1"/>
  <c r="T861" i="1"/>
  <c r="U861" i="1"/>
  <c r="BB861" i="1"/>
  <c r="BW861" i="1"/>
  <c r="A862" i="1"/>
  <c r="C862" i="1"/>
  <c r="S862" i="1"/>
  <c r="T862" i="1"/>
  <c r="U862" i="1"/>
  <c r="BB862" i="1"/>
  <c r="BW862" i="1"/>
  <c r="A863" i="1"/>
  <c r="C863" i="1"/>
  <c r="S863" i="1"/>
  <c r="T863" i="1"/>
  <c r="U863" i="1"/>
  <c r="BB863" i="1"/>
  <c r="BW863" i="1"/>
  <c r="A864" i="1"/>
  <c r="C864" i="1"/>
  <c r="S864" i="1"/>
  <c r="T864" i="1"/>
  <c r="U864" i="1"/>
  <c r="BB864" i="1"/>
  <c r="BW864" i="1"/>
  <c r="A865" i="1"/>
  <c r="C865" i="1"/>
  <c r="S865" i="1"/>
  <c r="T865" i="1"/>
  <c r="U865" i="1"/>
  <c r="BB865" i="1"/>
  <c r="BW865" i="1"/>
  <c r="A866" i="1"/>
  <c r="C866" i="1"/>
  <c r="S866" i="1"/>
  <c r="T866" i="1"/>
  <c r="U866" i="1"/>
  <c r="BB866" i="1"/>
  <c r="BW866" i="1"/>
  <c r="A867" i="1"/>
  <c r="C867" i="1"/>
  <c r="S867" i="1"/>
  <c r="T867" i="1"/>
  <c r="U867" i="1"/>
  <c r="BB867" i="1"/>
  <c r="BW867" i="1"/>
  <c r="A868" i="1"/>
  <c r="C868" i="1"/>
  <c r="S868" i="1"/>
  <c r="T868" i="1"/>
  <c r="U868" i="1"/>
  <c r="BB868" i="1"/>
  <c r="BW868" i="1"/>
  <c r="A869" i="1"/>
  <c r="C869" i="1"/>
  <c r="S869" i="1"/>
  <c r="T869" i="1"/>
  <c r="U869" i="1"/>
  <c r="BB869" i="1"/>
  <c r="BW869" i="1"/>
  <c r="A870" i="1"/>
  <c r="C870" i="1"/>
  <c r="S870" i="1"/>
  <c r="T870" i="1"/>
  <c r="U870" i="1"/>
  <c r="BB870" i="1"/>
  <c r="BW870" i="1"/>
  <c r="A871" i="1"/>
  <c r="C871" i="1"/>
  <c r="S871" i="1"/>
  <c r="T871" i="1"/>
  <c r="U871" i="1"/>
  <c r="BB871" i="1"/>
  <c r="BW871" i="1"/>
  <c r="A872" i="1"/>
  <c r="C872" i="1"/>
  <c r="S872" i="1"/>
  <c r="T872" i="1"/>
  <c r="U872" i="1"/>
  <c r="BB872" i="1"/>
  <c r="BW872" i="1"/>
  <c r="A873" i="1"/>
  <c r="C873" i="1"/>
  <c r="S873" i="1"/>
  <c r="T873" i="1"/>
  <c r="U873" i="1"/>
  <c r="BB873" i="1"/>
  <c r="BW873" i="1"/>
  <c r="A874" i="1"/>
  <c r="C874" i="1"/>
  <c r="S874" i="1"/>
  <c r="T874" i="1"/>
  <c r="U874" i="1"/>
  <c r="BB874" i="1"/>
  <c r="BW874" i="1"/>
  <c r="A875" i="1"/>
  <c r="C875" i="1"/>
  <c r="S875" i="1"/>
  <c r="T875" i="1"/>
  <c r="U875" i="1"/>
  <c r="BB875" i="1"/>
  <c r="BW875" i="1"/>
  <c r="A876" i="1"/>
  <c r="C876" i="1"/>
  <c r="S876" i="1"/>
  <c r="T876" i="1"/>
  <c r="U876" i="1"/>
  <c r="BB876" i="1"/>
  <c r="BW876" i="1"/>
  <c r="A877" i="1"/>
  <c r="C877" i="1"/>
  <c r="S877" i="1"/>
  <c r="T877" i="1"/>
  <c r="U877" i="1"/>
  <c r="BB877" i="1"/>
  <c r="BW877" i="1"/>
  <c r="A878" i="1"/>
  <c r="C878" i="1"/>
  <c r="S878" i="1"/>
  <c r="T878" i="1"/>
  <c r="U878" i="1"/>
  <c r="BB878" i="1"/>
  <c r="BW878" i="1"/>
  <c r="A879" i="1"/>
  <c r="C879" i="1"/>
  <c r="S879" i="1"/>
  <c r="T879" i="1"/>
  <c r="U879" i="1"/>
  <c r="BB879" i="1"/>
  <c r="BW879" i="1"/>
  <c r="A880" i="1"/>
  <c r="C880" i="1"/>
  <c r="S880" i="1"/>
  <c r="T880" i="1"/>
  <c r="U880" i="1"/>
  <c r="BB880" i="1"/>
  <c r="BW880" i="1"/>
  <c r="A881" i="1"/>
  <c r="C881" i="1"/>
  <c r="S881" i="1"/>
  <c r="T881" i="1"/>
  <c r="U881" i="1"/>
  <c r="BB881" i="1"/>
  <c r="BW881" i="1"/>
  <c r="A882" i="1"/>
  <c r="C882" i="1"/>
  <c r="S882" i="1"/>
  <c r="T882" i="1"/>
  <c r="U882" i="1"/>
  <c r="BB882" i="1"/>
  <c r="BW882" i="1"/>
  <c r="A883" i="1"/>
  <c r="C883" i="1"/>
  <c r="S883" i="1"/>
  <c r="T883" i="1"/>
  <c r="U883" i="1"/>
  <c r="BB883" i="1"/>
  <c r="BW883" i="1"/>
  <c r="A884" i="1"/>
  <c r="C884" i="1"/>
  <c r="S884" i="1"/>
  <c r="T884" i="1"/>
  <c r="U884" i="1"/>
  <c r="BB884" i="1"/>
  <c r="BW884" i="1"/>
  <c r="A885" i="1"/>
  <c r="C885" i="1"/>
  <c r="S885" i="1"/>
  <c r="T885" i="1"/>
  <c r="U885" i="1"/>
  <c r="BB885" i="1"/>
  <c r="BW885" i="1"/>
  <c r="A886" i="1"/>
  <c r="C886" i="1"/>
  <c r="S886" i="1"/>
  <c r="T886" i="1"/>
  <c r="U886" i="1"/>
  <c r="BB886" i="1"/>
  <c r="BW886" i="1"/>
  <c r="A887" i="1"/>
  <c r="C887" i="1"/>
  <c r="S887" i="1"/>
  <c r="T887" i="1"/>
  <c r="U887" i="1"/>
  <c r="BB887" i="1"/>
  <c r="BW887" i="1"/>
  <c r="A888" i="1"/>
  <c r="C888" i="1"/>
  <c r="S888" i="1"/>
  <c r="T888" i="1"/>
  <c r="U888" i="1"/>
  <c r="BB888" i="1"/>
  <c r="BW888" i="1"/>
  <c r="A889" i="1"/>
  <c r="C889" i="1"/>
  <c r="S889" i="1"/>
  <c r="T889" i="1"/>
  <c r="U889" i="1"/>
  <c r="BB889" i="1"/>
  <c r="BW889" i="1"/>
  <c r="A890" i="1"/>
  <c r="C890" i="1"/>
  <c r="S890" i="1"/>
  <c r="T890" i="1"/>
  <c r="U890" i="1"/>
  <c r="BB890" i="1"/>
  <c r="BW890" i="1"/>
  <c r="A891" i="1"/>
  <c r="C891" i="1"/>
  <c r="S891" i="1"/>
  <c r="T891" i="1"/>
  <c r="U891" i="1"/>
  <c r="BB891" i="1"/>
  <c r="BW891" i="1"/>
  <c r="A892" i="1"/>
  <c r="C892" i="1"/>
  <c r="S892" i="1"/>
  <c r="T892" i="1"/>
  <c r="U892" i="1"/>
  <c r="BB892" i="1"/>
  <c r="BW892" i="1"/>
  <c r="A893" i="1"/>
  <c r="C893" i="1"/>
  <c r="S893" i="1"/>
  <c r="T893" i="1"/>
  <c r="U893" i="1"/>
  <c r="BB893" i="1"/>
  <c r="BW893" i="1"/>
  <c r="A894" i="1"/>
  <c r="C894" i="1"/>
  <c r="S894" i="1"/>
  <c r="T894" i="1"/>
  <c r="U894" i="1"/>
  <c r="BB894" i="1"/>
  <c r="BW894" i="1"/>
  <c r="A895" i="1"/>
  <c r="C895" i="1"/>
  <c r="S895" i="1"/>
  <c r="T895" i="1"/>
  <c r="U895" i="1"/>
  <c r="BB895" i="1"/>
  <c r="BW895" i="1"/>
  <c r="A896" i="1"/>
  <c r="C896" i="1"/>
  <c r="S896" i="1"/>
  <c r="T896" i="1"/>
  <c r="U896" i="1"/>
  <c r="BB896" i="1"/>
  <c r="BW896" i="1"/>
  <c r="A897" i="1"/>
  <c r="C897" i="1"/>
  <c r="S897" i="1"/>
  <c r="T897" i="1"/>
  <c r="U897" i="1"/>
  <c r="BB897" i="1"/>
  <c r="BW897" i="1"/>
  <c r="A898" i="1"/>
  <c r="C898" i="1"/>
  <c r="S898" i="1"/>
  <c r="T898" i="1"/>
  <c r="U898" i="1"/>
  <c r="BB898" i="1"/>
  <c r="BW898" i="1"/>
  <c r="A899" i="1"/>
  <c r="C899" i="1"/>
  <c r="S899" i="1"/>
  <c r="T899" i="1"/>
  <c r="U899" i="1"/>
  <c r="BB899" i="1"/>
  <c r="BW899" i="1"/>
  <c r="A900" i="1"/>
  <c r="C900" i="1"/>
  <c r="S900" i="1"/>
  <c r="T900" i="1"/>
  <c r="U900" i="1"/>
  <c r="BB900" i="1"/>
  <c r="BW900" i="1"/>
  <c r="A901" i="1"/>
  <c r="C901" i="1"/>
  <c r="S901" i="1"/>
  <c r="T901" i="1"/>
  <c r="U901" i="1"/>
  <c r="BB901" i="1"/>
  <c r="BW901" i="1"/>
  <c r="A902" i="1"/>
  <c r="C902" i="1"/>
  <c r="S902" i="1"/>
  <c r="T902" i="1"/>
  <c r="U902" i="1"/>
  <c r="BB902" i="1"/>
  <c r="BW902" i="1"/>
  <c r="A903" i="1"/>
  <c r="C903" i="1"/>
  <c r="S903" i="1"/>
  <c r="T903" i="1"/>
  <c r="U903" i="1"/>
  <c r="BB903" i="1"/>
  <c r="BW903" i="1"/>
  <c r="A904" i="1"/>
  <c r="C904" i="1"/>
  <c r="S904" i="1"/>
  <c r="T904" i="1"/>
  <c r="U904" i="1"/>
  <c r="BB904" i="1"/>
  <c r="BW904" i="1"/>
  <c r="A905" i="1"/>
  <c r="C905" i="1"/>
  <c r="S905" i="1"/>
  <c r="T905" i="1"/>
  <c r="U905" i="1"/>
  <c r="BB905" i="1"/>
  <c r="BW905" i="1"/>
  <c r="A906" i="1"/>
  <c r="C906" i="1"/>
  <c r="S906" i="1"/>
  <c r="T906" i="1"/>
  <c r="U906" i="1"/>
  <c r="BB906" i="1"/>
  <c r="BW906" i="1"/>
  <c r="A907" i="1"/>
  <c r="C907" i="1"/>
  <c r="S907" i="1"/>
  <c r="T907" i="1"/>
  <c r="U907" i="1"/>
  <c r="BB907" i="1"/>
  <c r="BW907" i="1"/>
  <c r="A908" i="1"/>
  <c r="C908" i="1"/>
  <c r="S908" i="1"/>
  <c r="T908" i="1"/>
  <c r="U908" i="1"/>
  <c r="BB908" i="1"/>
  <c r="BW908" i="1"/>
  <c r="A909" i="1"/>
  <c r="C909" i="1"/>
  <c r="S909" i="1"/>
  <c r="T909" i="1"/>
  <c r="U909" i="1"/>
  <c r="BB909" i="1"/>
  <c r="BW909" i="1"/>
  <c r="A910" i="1"/>
  <c r="C910" i="1"/>
  <c r="S910" i="1"/>
  <c r="T910" i="1"/>
  <c r="U910" i="1"/>
  <c r="BB910" i="1"/>
  <c r="BW910" i="1"/>
  <c r="A911" i="1"/>
  <c r="C911" i="1"/>
  <c r="S911" i="1"/>
  <c r="T911" i="1"/>
  <c r="U911" i="1"/>
  <c r="BB911" i="1"/>
  <c r="BW911" i="1"/>
  <c r="A912" i="1"/>
  <c r="C912" i="1"/>
  <c r="S912" i="1"/>
  <c r="T912" i="1"/>
  <c r="U912" i="1"/>
  <c r="BB912" i="1"/>
  <c r="BW912" i="1"/>
  <c r="A913" i="1"/>
  <c r="C913" i="1"/>
  <c r="S913" i="1"/>
  <c r="T913" i="1"/>
  <c r="U913" i="1"/>
  <c r="BB913" i="1"/>
  <c r="BW913" i="1"/>
  <c r="A914" i="1"/>
  <c r="C914" i="1"/>
  <c r="S914" i="1"/>
  <c r="T914" i="1"/>
  <c r="U914" i="1"/>
  <c r="BB914" i="1"/>
  <c r="BW914" i="1"/>
  <c r="A915" i="1"/>
  <c r="C915" i="1"/>
  <c r="S915" i="1"/>
  <c r="T915" i="1"/>
  <c r="U915" i="1"/>
  <c r="BB915" i="1"/>
  <c r="BW915" i="1"/>
  <c r="A916" i="1"/>
  <c r="C916" i="1"/>
  <c r="S916" i="1"/>
  <c r="T916" i="1"/>
  <c r="U916" i="1"/>
  <c r="BB916" i="1"/>
  <c r="BW916" i="1"/>
  <c r="A917" i="1"/>
  <c r="C917" i="1"/>
  <c r="S917" i="1"/>
  <c r="T917" i="1"/>
  <c r="U917" i="1"/>
  <c r="BB917" i="1"/>
  <c r="BW917" i="1"/>
  <c r="A918" i="1"/>
  <c r="C918" i="1"/>
  <c r="S918" i="1"/>
  <c r="T918" i="1"/>
  <c r="U918" i="1"/>
  <c r="BB918" i="1"/>
  <c r="BW918" i="1"/>
  <c r="A919" i="1"/>
  <c r="C919" i="1"/>
  <c r="S919" i="1"/>
  <c r="T919" i="1"/>
  <c r="U919" i="1"/>
  <c r="BB919" i="1"/>
  <c r="BW919" i="1"/>
  <c r="A920" i="1"/>
  <c r="C920" i="1"/>
  <c r="S920" i="1"/>
  <c r="T920" i="1"/>
  <c r="U920" i="1"/>
  <c r="BB920" i="1"/>
  <c r="BW920" i="1"/>
  <c r="A921" i="1"/>
  <c r="C921" i="1"/>
  <c r="S921" i="1"/>
  <c r="T921" i="1"/>
  <c r="U921" i="1"/>
  <c r="BB921" i="1"/>
  <c r="BW921" i="1"/>
  <c r="A922" i="1"/>
  <c r="C922" i="1"/>
  <c r="S922" i="1"/>
  <c r="T922" i="1"/>
  <c r="U922" i="1"/>
  <c r="BB922" i="1"/>
  <c r="BW922" i="1"/>
  <c r="A923" i="1"/>
  <c r="C923" i="1"/>
  <c r="S923" i="1"/>
  <c r="T923" i="1"/>
  <c r="U923" i="1"/>
  <c r="BB923" i="1"/>
  <c r="BW923" i="1"/>
  <c r="A924" i="1"/>
  <c r="C924" i="1"/>
  <c r="S924" i="1"/>
  <c r="T924" i="1"/>
  <c r="U924" i="1"/>
  <c r="BB924" i="1"/>
  <c r="BW924" i="1"/>
  <c r="A925" i="1"/>
  <c r="C925" i="1"/>
  <c r="S925" i="1"/>
  <c r="T925" i="1"/>
  <c r="U925" i="1"/>
  <c r="BB925" i="1"/>
  <c r="BW925" i="1"/>
  <c r="A926" i="1"/>
  <c r="C926" i="1"/>
  <c r="S926" i="1"/>
  <c r="T926" i="1"/>
  <c r="U926" i="1"/>
  <c r="BB926" i="1"/>
  <c r="BW926" i="1"/>
  <c r="A927" i="1"/>
  <c r="C927" i="1"/>
  <c r="S927" i="1"/>
  <c r="T927" i="1"/>
  <c r="U927" i="1"/>
  <c r="BB927" i="1"/>
  <c r="BW927" i="1"/>
  <c r="A928" i="1"/>
  <c r="C928" i="1"/>
  <c r="S928" i="1"/>
  <c r="T928" i="1"/>
  <c r="U928" i="1"/>
  <c r="BB928" i="1"/>
  <c r="BW928" i="1"/>
  <c r="A929" i="1"/>
  <c r="C929" i="1"/>
  <c r="S929" i="1"/>
  <c r="T929" i="1"/>
  <c r="U929" i="1"/>
  <c r="BB929" i="1"/>
  <c r="BW929" i="1"/>
  <c r="A930" i="1"/>
  <c r="C930" i="1"/>
  <c r="S930" i="1"/>
  <c r="T930" i="1"/>
  <c r="U930" i="1"/>
  <c r="BB930" i="1"/>
  <c r="BW930" i="1"/>
  <c r="A931" i="1"/>
  <c r="C931" i="1"/>
  <c r="S931" i="1"/>
  <c r="T931" i="1"/>
  <c r="U931" i="1"/>
  <c r="BB931" i="1"/>
  <c r="BW931" i="1"/>
  <c r="A932" i="1"/>
  <c r="C932" i="1"/>
  <c r="S932" i="1"/>
  <c r="T932" i="1"/>
  <c r="U932" i="1"/>
  <c r="BB932" i="1"/>
  <c r="BW932" i="1"/>
  <c r="A933" i="1"/>
  <c r="C933" i="1"/>
  <c r="S933" i="1"/>
  <c r="T933" i="1"/>
  <c r="U933" i="1"/>
  <c r="BB933" i="1"/>
  <c r="BW933" i="1"/>
  <c r="A934" i="1"/>
  <c r="C934" i="1"/>
  <c r="S934" i="1"/>
  <c r="T934" i="1"/>
  <c r="U934" i="1"/>
  <c r="BB934" i="1"/>
  <c r="BW934" i="1"/>
  <c r="A935" i="1"/>
  <c r="C935" i="1"/>
  <c r="S935" i="1"/>
  <c r="T935" i="1"/>
  <c r="U935" i="1"/>
  <c r="BB935" i="1"/>
  <c r="BW935" i="1"/>
  <c r="A936" i="1"/>
  <c r="C936" i="1"/>
  <c r="S936" i="1"/>
  <c r="T936" i="1"/>
  <c r="U936" i="1"/>
  <c r="BB936" i="1"/>
  <c r="BW936" i="1"/>
  <c r="A937" i="1"/>
  <c r="C937" i="1"/>
  <c r="S937" i="1"/>
  <c r="T937" i="1"/>
  <c r="U937" i="1"/>
  <c r="BB937" i="1"/>
  <c r="BW937" i="1"/>
  <c r="A938" i="1"/>
  <c r="C938" i="1"/>
  <c r="S938" i="1"/>
  <c r="T938" i="1"/>
  <c r="U938" i="1"/>
  <c r="BB938" i="1"/>
  <c r="BW938" i="1"/>
  <c r="A939" i="1"/>
  <c r="C939" i="1"/>
  <c r="S939" i="1"/>
  <c r="T939" i="1"/>
  <c r="U939" i="1"/>
  <c r="BB939" i="1"/>
  <c r="BW939" i="1"/>
  <c r="A940" i="1"/>
  <c r="C940" i="1"/>
  <c r="S940" i="1"/>
  <c r="T940" i="1"/>
  <c r="U940" i="1"/>
  <c r="BB940" i="1"/>
  <c r="BW940" i="1"/>
  <c r="A941" i="1"/>
  <c r="C941" i="1"/>
  <c r="S941" i="1"/>
  <c r="T941" i="1"/>
  <c r="U941" i="1"/>
  <c r="BB941" i="1"/>
  <c r="BW941" i="1"/>
  <c r="A942" i="1"/>
  <c r="C942" i="1"/>
  <c r="S942" i="1"/>
  <c r="T942" i="1"/>
  <c r="U942" i="1"/>
  <c r="BB942" i="1"/>
  <c r="BW942" i="1"/>
  <c r="A943" i="1"/>
  <c r="C943" i="1"/>
  <c r="S943" i="1"/>
  <c r="T943" i="1"/>
  <c r="U943" i="1"/>
  <c r="BB943" i="1"/>
  <c r="BW943" i="1"/>
  <c r="A944" i="1"/>
  <c r="C944" i="1"/>
  <c r="S944" i="1"/>
  <c r="T944" i="1"/>
  <c r="U944" i="1"/>
  <c r="BB944" i="1"/>
  <c r="BW944" i="1"/>
  <c r="A945" i="1"/>
  <c r="C945" i="1"/>
  <c r="S945" i="1"/>
  <c r="T945" i="1"/>
  <c r="U945" i="1"/>
  <c r="BB945" i="1"/>
  <c r="BW945" i="1"/>
  <c r="A946" i="1"/>
  <c r="C946" i="1"/>
  <c r="S946" i="1"/>
  <c r="T946" i="1"/>
  <c r="U946" i="1"/>
  <c r="BB946" i="1"/>
  <c r="BW946" i="1"/>
  <c r="A947" i="1"/>
  <c r="C947" i="1"/>
  <c r="S947" i="1"/>
  <c r="T947" i="1"/>
  <c r="U947" i="1"/>
  <c r="BB947" i="1"/>
  <c r="BW947" i="1"/>
  <c r="A948" i="1"/>
  <c r="C948" i="1"/>
  <c r="S948" i="1"/>
  <c r="T948" i="1"/>
  <c r="U948" i="1"/>
  <c r="BB948" i="1"/>
  <c r="BW948" i="1"/>
  <c r="A949" i="1"/>
  <c r="C949" i="1"/>
  <c r="S949" i="1"/>
  <c r="T949" i="1"/>
  <c r="U949" i="1"/>
  <c r="BB949" i="1"/>
  <c r="BW949" i="1"/>
  <c r="A950" i="1"/>
  <c r="C950" i="1"/>
  <c r="S950" i="1"/>
  <c r="T950" i="1"/>
  <c r="U950" i="1"/>
  <c r="BB950" i="1"/>
  <c r="BW950" i="1"/>
  <c r="A951" i="1"/>
  <c r="C951" i="1"/>
  <c r="S951" i="1"/>
  <c r="T951" i="1"/>
  <c r="U951" i="1"/>
  <c r="BB951" i="1"/>
  <c r="BW951" i="1"/>
  <c r="A952" i="1"/>
  <c r="C952" i="1"/>
  <c r="S952" i="1"/>
  <c r="T952" i="1"/>
  <c r="U952" i="1"/>
  <c r="BB952" i="1"/>
  <c r="BW952" i="1"/>
  <c r="A953" i="1"/>
  <c r="C953" i="1"/>
  <c r="S953" i="1"/>
  <c r="T953" i="1"/>
  <c r="U953" i="1"/>
  <c r="BB953" i="1"/>
  <c r="BW953" i="1"/>
  <c r="A954" i="1"/>
  <c r="C954" i="1"/>
  <c r="S954" i="1"/>
  <c r="T954" i="1"/>
  <c r="U954" i="1"/>
  <c r="BB954" i="1"/>
  <c r="BW954" i="1"/>
  <c r="A955" i="1"/>
  <c r="C955" i="1"/>
  <c r="S955" i="1"/>
  <c r="T955" i="1"/>
  <c r="U955" i="1"/>
  <c r="BB955" i="1"/>
  <c r="BW955" i="1"/>
  <c r="A956" i="1"/>
  <c r="C956" i="1"/>
  <c r="S956" i="1"/>
  <c r="T956" i="1"/>
  <c r="U956" i="1"/>
  <c r="BB956" i="1"/>
  <c r="BW956" i="1"/>
  <c r="A957" i="1"/>
  <c r="C957" i="1"/>
  <c r="S957" i="1"/>
  <c r="T957" i="1"/>
  <c r="U957" i="1"/>
  <c r="BB957" i="1"/>
  <c r="BW957" i="1"/>
  <c r="A958" i="1"/>
  <c r="C958" i="1"/>
  <c r="S958" i="1"/>
  <c r="T958" i="1"/>
  <c r="U958" i="1"/>
  <c r="BB958" i="1"/>
  <c r="BW958" i="1"/>
  <c r="A959" i="1"/>
  <c r="C959" i="1"/>
  <c r="S959" i="1"/>
  <c r="T959" i="1"/>
  <c r="U959" i="1"/>
  <c r="BB959" i="1"/>
  <c r="BW959" i="1"/>
  <c r="A960" i="1"/>
  <c r="C960" i="1"/>
  <c r="S960" i="1"/>
  <c r="T960" i="1"/>
  <c r="U960" i="1"/>
  <c r="BB960" i="1"/>
  <c r="BW960" i="1"/>
  <c r="A961" i="1"/>
  <c r="C961" i="1"/>
  <c r="S961" i="1"/>
  <c r="T961" i="1"/>
  <c r="U961" i="1"/>
  <c r="BB961" i="1"/>
  <c r="BW961" i="1"/>
  <c r="A962" i="1"/>
  <c r="C962" i="1"/>
  <c r="S962" i="1"/>
  <c r="T962" i="1"/>
  <c r="U962" i="1"/>
  <c r="BB962" i="1"/>
  <c r="BW962" i="1"/>
  <c r="A963" i="1"/>
  <c r="C963" i="1"/>
  <c r="S963" i="1"/>
  <c r="T963" i="1"/>
  <c r="U963" i="1"/>
  <c r="BB963" i="1"/>
  <c r="BW963" i="1"/>
  <c r="A964" i="1"/>
  <c r="C964" i="1"/>
  <c r="S964" i="1"/>
  <c r="T964" i="1"/>
  <c r="U964" i="1"/>
  <c r="BB964" i="1"/>
  <c r="BW964" i="1"/>
  <c r="A965" i="1"/>
  <c r="C965" i="1"/>
  <c r="S965" i="1"/>
  <c r="T965" i="1"/>
  <c r="U965" i="1"/>
  <c r="BB965" i="1"/>
  <c r="BW965" i="1"/>
  <c r="A966" i="1"/>
  <c r="C966" i="1"/>
  <c r="S966" i="1"/>
  <c r="T966" i="1"/>
  <c r="U966" i="1"/>
  <c r="BB966" i="1"/>
  <c r="BW966" i="1"/>
  <c r="A967" i="1"/>
  <c r="C967" i="1"/>
  <c r="S967" i="1"/>
  <c r="T967" i="1"/>
  <c r="U967" i="1"/>
  <c r="BB967" i="1"/>
  <c r="BW967" i="1"/>
  <c r="A968" i="1"/>
  <c r="C968" i="1"/>
  <c r="S968" i="1"/>
  <c r="T968" i="1"/>
  <c r="U968" i="1"/>
  <c r="BB968" i="1"/>
  <c r="BW968" i="1"/>
  <c r="A969" i="1"/>
  <c r="C969" i="1"/>
  <c r="S969" i="1"/>
  <c r="T969" i="1"/>
  <c r="U969" i="1"/>
  <c r="BB969" i="1"/>
  <c r="BW969" i="1"/>
  <c r="A970" i="1"/>
  <c r="C970" i="1"/>
  <c r="S970" i="1"/>
  <c r="T970" i="1"/>
  <c r="U970" i="1"/>
  <c r="BB970" i="1"/>
  <c r="BW970" i="1"/>
  <c r="A971" i="1"/>
  <c r="C971" i="1"/>
  <c r="S971" i="1"/>
  <c r="T971" i="1"/>
  <c r="U971" i="1"/>
  <c r="BB971" i="1"/>
  <c r="BW971" i="1"/>
  <c r="A972" i="1"/>
  <c r="C972" i="1"/>
  <c r="S972" i="1"/>
  <c r="T972" i="1"/>
  <c r="U972" i="1"/>
  <c r="BB972" i="1"/>
  <c r="BW972" i="1"/>
  <c r="A973" i="1"/>
  <c r="C973" i="1"/>
  <c r="S973" i="1"/>
  <c r="T973" i="1"/>
  <c r="U973" i="1"/>
  <c r="BB973" i="1"/>
  <c r="BW973" i="1"/>
  <c r="A974" i="1"/>
  <c r="C974" i="1"/>
  <c r="S974" i="1"/>
  <c r="T974" i="1"/>
  <c r="U974" i="1"/>
  <c r="BB974" i="1"/>
  <c r="BW974" i="1"/>
  <c r="A975" i="1"/>
  <c r="C975" i="1"/>
  <c r="S975" i="1"/>
  <c r="T975" i="1"/>
  <c r="U975" i="1"/>
  <c r="BB975" i="1"/>
  <c r="BW975" i="1"/>
  <c r="A976" i="1"/>
  <c r="C976" i="1"/>
  <c r="S976" i="1"/>
  <c r="T976" i="1"/>
  <c r="U976" i="1"/>
  <c r="BB976" i="1"/>
  <c r="BW976" i="1"/>
  <c r="A977" i="1"/>
  <c r="C977" i="1"/>
  <c r="S977" i="1"/>
  <c r="T977" i="1"/>
  <c r="U977" i="1"/>
  <c r="BB977" i="1"/>
  <c r="BW977" i="1"/>
  <c r="A978" i="1"/>
  <c r="C978" i="1"/>
  <c r="S978" i="1"/>
  <c r="T978" i="1"/>
  <c r="U978" i="1"/>
  <c r="BB978" i="1"/>
  <c r="BW978" i="1"/>
  <c r="A979" i="1"/>
  <c r="C979" i="1"/>
  <c r="S979" i="1"/>
  <c r="T979" i="1"/>
  <c r="U979" i="1"/>
  <c r="BB979" i="1"/>
  <c r="BW979" i="1"/>
  <c r="A980" i="1"/>
  <c r="C980" i="1"/>
  <c r="S980" i="1"/>
  <c r="T980" i="1"/>
  <c r="U980" i="1"/>
  <c r="BB980" i="1"/>
  <c r="BW980" i="1"/>
  <c r="A981" i="1"/>
  <c r="C981" i="1"/>
  <c r="S981" i="1"/>
  <c r="T981" i="1"/>
  <c r="U981" i="1"/>
  <c r="BB981" i="1"/>
  <c r="BW981" i="1"/>
  <c r="A982" i="1"/>
  <c r="C982" i="1"/>
  <c r="S982" i="1"/>
  <c r="T982" i="1"/>
  <c r="U982" i="1"/>
  <c r="BB982" i="1"/>
  <c r="BW982" i="1"/>
  <c r="A983" i="1"/>
  <c r="C983" i="1"/>
  <c r="S983" i="1"/>
  <c r="T983" i="1"/>
  <c r="U983" i="1"/>
  <c r="BB983" i="1"/>
  <c r="BW983" i="1"/>
  <c r="A984" i="1"/>
  <c r="C984" i="1"/>
  <c r="S984" i="1"/>
  <c r="T984" i="1"/>
  <c r="U984" i="1"/>
  <c r="BB984" i="1"/>
  <c r="BW984" i="1"/>
  <c r="A985" i="1"/>
  <c r="C985" i="1"/>
  <c r="S985" i="1"/>
  <c r="T985" i="1"/>
  <c r="U985" i="1"/>
  <c r="BB985" i="1"/>
  <c r="BW985" i="1"/>
  <c r="A986" i="1"/>
  <c r="C986" i="1"/>
  <c r="S986" i="1"/>
  <c r="T986" i="1"/>
  <c r="U986" i="1"/>
  <c r="BB986" i="1"/>
  <c r="BW986" i="1"/>
  <c r="A987" i="1"/>
  <c r="C987" i="1"/>
  <c r="S987" i="1"/>
  <c r="T987" i="1"/>
  <c r="U987" i="1"/>
  <c r="BB987" i="1"/>
  <c r="BW987" i="1"/>
  <c r="A988" i="1"/>
  <c r="C988" i="1"/>
  <c r="S988" i="1"/>
  <c r="T988" i="1"/>
  <c r="U988" i="1"/>
  <c r="BB988" i="1"/>
  <c r="BW988" i="1"/>
  <c r="A989" i="1"/>
  <c r="C989" i="1"/>
  <c r="S989" i="1"/>
  <c r="T989" i="1"/>
  <c r="U989" i="1"/>
  <c r="BB989" i="1"/>
  <c r="BW989" i="1"/>
  <c r="A990" i="1"/>
  <c r="C990" i="1"/>
  <c r="S990" i="1"/>
  <c r="T990" i="1"/>
  <c r="U990" i="1"/>
  <c r="BB990" i="1"/>
  <c r="BW990" i="1"/>
  <c r="A991" i="1"/>
  <c r="C991" i="1"/>
  <c r="S991" i="1"/>
  <c r="T991" i="1"/>
  <c r="U991" i="1"/>
  <c r="BB991" i="1"/>
  <c r="BW991" i="1"/>
  <c r="A992" i="1"/>
  <c r="C992" i="1"/>
  <c r="S992" i="1"/>
  <c r="T992" i="1"/>
  <c r="U992" i="1"/>
  <c r="BB992" i="1"/>
  <c r="BW992" i="1"/>
  <c r="A993" i="1"/>
  <c r="C993" i="1"/>
  <c r="S993" i="1"/>
  <c r="T993" i="1"/>
  <c r="U993" i="1"/>
  <c r="BB993" i="1"/>
  <c r="BW993" i="1"/>
  <c r="A994" i="1"/>
  <c r="C994" i="1"/>
  <c r="S994" i="1"/>
  <c r="T994" i="1"/>
  <c r="U994" i="1"/>
  <c r="BB994" i="1"/>
  <c r="BW994" i="1"/>
  <c r="A995" i="1"/>
  <c r="C995" i="1"/>
  <c r="S995" i="1"/>
  <c r="T995" i="1"/>
  <c r="U995" i="1"/>
  <c r="BB995" i="1"/>
  <c r="BW995" i="1"/>
  <c r="A996" i="1"/>
  <c r="C996" i="1"/>
  <c r="S996" i="1"/>
  <c r="T996" i="1"/>
  <c r="U996" i="1"/>
  <c r="BB996" i="1"/>
  <c r="BW996" i="1"/>
  <c r="A997" i="1"/>
  <c r="C997" i="1"/>
  <c r="S997" i="1"/>
  <c r="T997" i="1"/>
  <c r="U997" i="1"/>
  <c r="BB997" i="1"/>
  <c r="BW997" i="1"/>
  <c r="A998" i="1"/>
  <c r="C998" i="1"/>
  <c r="S998" i="1"/>
  <c r="T998" i="1"/>
  <c r="U998" i="1"/>
  <c r="BB998" i="1"/>
  <c r="BW998" i="1"/>
  <c r="A999" i="1"/>
  <c r="C999" i="1"/>
  <c r="S999" i="1"/>
  <c r="T999" i="1"/>
  <c r="U999" i="1"/>
  <c r="BB999" i="1"/>
  <c r="BW999" i="1"/>
  <c r="A1000" i="1"/>
  <c r="C1000" i="1"/>
  <c r="S1000" i="1"/>
  <c r="T1000" i="1"/>
  <c r="U1000" i="1"/>
  <c r="BB1000" i="1"/>
  <c r="BW1000" i="1"/>
  <c r="A1001" i="1"/>
  <c r="C1001" i="1"/>
  <c r="S1001" i="1"/>
  <c r="T1001" i="1"/>
  <c r="U1001" i="1"/>
  <c r="BB1001" i="1"/>
  <c r="BW1001" i="1"/>
  <c r="A1002" i="1"/>
  <c r="C1002" i="1"/>
  <c r="S1002" i="1"/>
  <c r="T1002" i="1"/>
  <c r="U1002" i="1"/>
  <c r="BB1002" i="1"/>
  <c r="BW1002" i="1"/>
  <c r="A1003" i="1"/>
  <c r="C1003" i="1"/>
  <c r="S1003" i="1"/>
  <c r="T1003" i="1"/>
  <c r="U1003" i="1"/>
  <c r="BB1003" i="1"/>
  <c r="BW1003" i="1"/>
  <c r="A1004" i="1"/>
  <c r="C1004" i="1"/>
  <c r="S1004" i="1"/>
  <c r="T1004" i="1"/>
  <c r="U1004" i="1"/>
  <c r="BB1004" i="1"/>
  <c r="BW1004" i="1"/>
  <c r="A1005" i="1"/>
  <c r="C1005" i="1"/>
  <c r="S1005" i="1"/>
  <c r="T1005" i="1"/>
  <c r="U1005" i="1"/>
  <c r="BB1005" i="1"/>
  <c r="BW1005" i="1"/>
  <c r="A1006" i="1"/>
  <c r="C1006" i="1"/>
  <c r="S1006" i="1"/>
  <c r="T1006" i="1"/>
  <c r="U1006" i="1"/>
  <c r="BB1006" i="1"/>
  <c r="BW1006" i="1"/>
  <c r="A1007" i="1"/>
  <c r="C1007" i="1"/>
  <c r="S1007" i="1"/>
  <c r="T1007" i="1"/>
  <c r="U1007" i="1"/>
  <c r="BB1007" i="1"/>
  <c r="BW1007" i="1"/>
  <c r="A1008" i="1"/>
  <c r="C1008" i="1"/>
  <c r="S1008" i="1"/>
  <c r="T1008" i="1"/>
  <c r="U1008" i="1"/>
  <c r="BB1008" i="1"/>
  <c r="BW1008" i="1"/>
  <c r="A1009" i="1"/>
  <c r="C1009" i="1"/>
  <c r="S1009" i="1"/>
  <c r="T1009" i="1"/>
  <c r="U1009" i="1"/>
  <c r="BB1009" i="1"/>
  <c r="BW1009" i="1"/>
  <c r="A1010" i="1"/>
  <c r="C1010" i="1"/>
  <c r="S1010" i="1"/>
  <c r="T1010" i="1"/>
  <c r="U1010" i="1"/>
  <c r="BB1010" i="1"/>
  <c r="BW1010" i="1"/>
  <c r="A1011" i="1"/>
  <c r="C1011" i="1"/>
  <c r="S1011" i="1"/>
  <c r="T1011" i="1"/>
  <c r="U1011" i="1"/>
  <c r="BB1011" i="1"/>
  <c r="BW1011" i="1"/>
  <c r="A1012" i="1"/>
  <c r="C1012" i="1"/>
  <c r="S1012" i="1"/>
  <c r="T1012" i="1"/>
  <c r="U1012" i="1"/>
  <c r="BB1012" i="1"/>
  <c r="BW1012" i="1"/>
  <c r="A1013" i="1"/>
  <c r="C1013" i="1"/>
  <c r="S1013" i="1"/>
  <c r="T1013" i="1"/>
  <c r="U1013" i="1"/>
  <c r="BB1013" i="1"/>
  <c r="BW1013" i="1"/>
  <c r="A1014" i="1"/>
  <c r="C1014" i="1"/>
  <c r="S1014" i="1"/>
  <c r="T1014" i="1"/>
  <c r="U1014" i="1"/>
  <c r="BB1014" i="1"/>
  <c r="BW1014" i="1"/>
  <c r="A1015" i="1"/>
  <c r="C1015" i="1"/>
  <c r="S1015" i="1"/>
  <c r="T1015" i="1"/>
  <c r="U1015" i="1"/>
  <c r="BB1015" i="1"/>
  <c r="BW1015" i="1"/>
  <c r="A1016" i="1"/>
  <c r="C1016" i="1"/>
  <c r="S1016" i="1"/>
  <c r="T1016" i="1"/>
  <c r="U1016" i="1"/>
  <c r="BB1016" i="1"/>
  <c r="BW1016" i="1"/>
  <c r="A1017" i="1"/>
  <c r="C1017" i="1"/>
  <c r="S1017" i="1"/>
  <c r="T1017" i="1"/>
  <c r="U1017" i="1"/>
  <c r="BB1017" i="1"/>
  <c r="BW1017" i="1"/>
  <c r="A1018" i="1"/>
  <c r="C1018" i="1"/>
  <c r="S1018" i="1"/>
  <c r="T1018" i="1"/>
  <c r="U1018" i="1"/>
  <c r="BB1018" i="1"/>
  <c r="BW1018" i="1"/>
  <c r="A1019" i="1"/>
  <c r="C1019" i="1"/>
  <c r="S1019" i="1"/>
  <c r="T1019" i="1"/>
  <c r="U1019" i="1"/>
  <c r="BB1019" i="1"/>
  <c r="BW1019" i="1"/>
  <c r="A1020" i="1"/>
  <c r="C1020" i="1"/>
  <c r="S1020" i="1"/>
  <c r="T1020" i="1"/>
  <c r="U1020" i="1"/>
  <c r="BB1020" i="1"/>
  <c r="BW1020" i="1"/>
  <c r="A1021" i="1"/>
  <c r="C1021" i="1"/>
  <c r="S1021" i="1"/>
  <c r="T1021" i="1"/>
  <c r="U1021" i="1"/>
  <c r="BB1021" i="1"/>
  <c r="BW1021" i="1"/>
  <c r="A1022" i="1"/>
  <c r="C1022" i="1"/>
  <c r="S1022" i="1"/>
  <c r="T1022" i="1"/>
  <c r="U1022" i="1"/>
  <c r="BB1022" i="1"/>
  <c r="BW1022" i="1"/>
  <c r="A1023" i="1"/>
  <c r="C1023" i="1"/>
  <c r="S1023" i="1"/>
  <c r="T1023" i="1"/>
  <c r="U1023" i="1"/>
  <c r="BB1023" i="1"/>
  <c r="BW1023" i="1"/>
  <c r="A1024" i="1"/>
  <c r="C1024" i="1"/>
  <c r="S1024" i="1"/>
  <c r="T1024" i="1"/>
  <c r="U1024" i="1"/>
  <c r="BB1024" i="1"/>
  <c r="BW1024" i="1"/>
  <c r="A1025" i="1"/>
  <c r="C1025" i="1"/>
  <c r="S1025" i="1"/>
  <c r="T1025" i="1"/>
  <c r="U1025" i="1"/>
  <c r="BB1025" i="1"/>
  <c r="BW1025" i="1"/>
  <c r="A1026" i="1"/>
  <c r="C1026" i="1"/>
  <c r="S1026" i="1"/>
  <c r="T1026" i="1"/>
  <c r="U1026" i="1"/>
  <c r="BB1026" i="1"/>
  <c r="BW1026" i="1"/>
  <c r="A1027" i="1"/>
  <c r="C1027" i="1"/>
  <c r="S1027" i="1"/>
  <c r="T1027" i="1"/>
  <c r="U1027" i="1"/>
  <c r="BB1027" i="1"/>
  <c r="BW1027" i="1"/>
  <c r="A1028" i="1"/>
  <c r="C1028" i="1"/>
  <c r="S1028" i="1"/>
  <c r="T1028" i="1"/>
  <c r="U1028" i="1"/>
  <c r="BB1028" i="1"/>
  <c r="BW1028" i="1"/>
  <c r="A1029" i="1"/>
  <c r="C1029" i="1"/>
  <c r="S1029" i="1"/>
  <c r="T1029" i="1"/>
  <c r="U1029" i="1"/>
  <c r="BB1029" i="1"/>
  <c r="BW1029" i="1"/>
  <c r="A1030" i="1"/>
  <c r="C1030" i="1"/>
  <c r="S1030" i="1"/>
  <c r="T1030" i="1"/>
  <c r="U1030" i="1"/>
  <c r="BB1030" i="1"/>
  <c r="BW1030" i="1"/>
  <c r="A1031" i="1"/>
  <c r="C1031" i="1"/>
  <c r="S1031" i="1"/>
  <c r="T1031" i="1"/>
  <c r="U1031" i="1"/>
  <c r="BB1031" i="1"/>
  <c r="BW1031" i="1"/>
  <c r="A1032" i="1"/>
  <c r="C1032" i="1"/>
  <c r="S1032" i="1"/>
  <c r="T1032" i="1"/>
  <c r="U1032" i="1"/>
  <c r="BB1032" i="1"/>
  <c r="BW1032" i="1"/>
  <c r="A1033" i="1"/>
  <c r="C1033" i="1"/>
  <c r="S1033" i="1"/>
  <c r="T1033" i="1"/>
  <c r="U1033" i="1"/>
  <c r="BB1033" i="1"/>
  <c r="BW1033" i="1"/>
  <c r="A1034" i="1"/>
  <c r="C1034" i="1"/>
  <c r="S1034" i="1"/>
  <c r="T1034" i="1"/>
  <c r="U1034" i="1"/>
  <c r="BB1034" i="1"/>
  <c r="BW1034" i="1"/>
  <c r="A1035" i="1"/>
  <c r="C1035" i="1"/>
  <c r="S1035" i="1"/>
  <c r="T1035" i="1"/>
  <c r="U1035" i="1"/>
  <c r="BB1035" i="1"/>
  <c r="BW1035" i="1"/>
  <c r="A1036" i="1"/>
  <c r="C1036" i="1"/>
  <c r="S1036" i="1"/>
  <c r="T1036" i="1"/>
  <c r="U1036" i="1"/>
  <c r="BB1036" i="1"/>
  <c r="BW1036" i="1"/>
  <c r="A1037" i="1"/>
  <c r="C1037" i="1"/>
  <c r="S1037" i="1"/>
  <c r="T1037" i="1"/>
  <c r="U1037" i="1"/>
  <c r="BB1037" i="1"/>
  <c r="BW1037" i="1"/>
  <c r="A1038" i="1"/>
  <c r="C1038" i="1"/>
  <c r="S1038" i="1"/>
  <c r="T1038" i="1"/>
  <c r="U1038" i="1"/>
  <c r="BB1038" i="1"/>
  <c r="BW1038" i="1"/>
  <c r="A1039" i="1"/>
  <c r="C1039" i="1"/>
  <c r="S1039" i="1"/>
  <c r="T1039" i="1"/>
  <c r="U1039" i="1"/>
  <c r="BB1039" i="1"/>
  <c r="BW1039" i="1"/>
  <c r="A1040" i="1"/>
  <c r="C1040" i="1"/>
  <c r="S1040" i="1"/>
  <c r="T1040" i="1"/>
  <c r="U1040" i="1"/>
  <c r="BB1040" i="1"/>
  <c r="BW1040" i="1"/>
  <c r="A1041" i="1"/>
  <c r="C1041" i="1"/>
  <c r="S1041" i="1"/>
  <c r="T1041" i="1"/>
  <c r="U1041" i="1"/>
  <c r="BB1041" i="1"/>
  <c r="BW1041" i="1"/>
  <c r="A1042" i="1"/>
  <c r="C1042" i="1"/>
  <c r="S1042" i="1"/>
  <c r="T1042" i="1"/>
  <c r="U1042" i="1"/>
  <c r="BB1042" i="1"/>
  <c r="BW1042" i="1"/>
  <c r="A1043" i="1"/>
  <c r="C1043" i="1"/>
  <c r="S1043" i="1"/>
  <c r="T1043" i="1"/>
  <c r="U1043" i="1"/>
  <c r="BB1043" i="1"/>
  <c r="BW1043" i="1"/>
  <c r="A1044" i="1"/>
  <c r="C1044" i="1"/>
  <c r="S1044" i="1"/>
  <c r="T1044" i="1"/>
  <c r="U1044" i="1"/>
  <c r="BB1044" i="1"/>
  <c r="BW1044" i="1"/>
  <c r="A1045" i="1"/>
  <c r="C1045" i="1"/>
  <c r="S1045" i="1"/>
  <c r="T1045" i="1"/>
  <c r="U1045" i="1"/>
  <c r="BB1045" i="1"/>
  <c r="BW1045" i="1"/>
  <c r="A1046" i="1"/>
  <c r="C1046" i="1"/>
  <c r="S1046" i="1"/>
  <c r="T1046" i="1"/>
  <c r="U1046" i="1"/>
  <c r="BB1046" i="1"/>
  <c r="BW1046" i="1"/>
  <c r="A1047" i="1"/>
  <c r="C1047" i="1"/>
  <c r="S1047" i="1"/>
  <c r="T1047" i="1"/>
  <c r="U1047" i="1"/>
  <c r="BB1047" i="1"/>
  <c r="BW1047" i="1"/>
  <c r="A1048" i="1"/>
  <c r="C1048" i="1"/>
  <c r="S1048" i="1"/>
  <c r="T1048" i="1"/>
  <c r="U1048" i="1"/>
  <c r="BB1048" i="1"/>
  <c r="BW1048" i="1"/>
  <c r="A1049" i="1"/>
  <c r="C1049" i="1"/>
  <c r="S1049" i="1"/>
  <c r="T1049" i="1"/>
  <c r="U1049" i="1"/>
  <c r="BB1049" i="1"/>
  <c r="BW1049" i="1"/>
  <c r="A1050" i="1"/>
  <c r="C1050" i="1"/>
  <c r="S1050" i="1"/>
  <c r="T1050" i="1"/>
  <c r="U1050" i="1"/>
  <c r="BB1050" i="1"/>
  <c r="BW1050" i="1"/>
  <c r="A1051" i="1"/>
  <c r="C1051" i="1"/>
  <c r="S1051" i="1"/>
  <c r="T1051" i="1"/>
  <c r="U1051" i="1"/>
  <c r="BB1051" i="1"/>
  <c r="BW1051" i="1"/>
  <c r="A1052" i="1"/>
  <c r="C1052" i="1"/>
  <c r="S1052" i="1"/>
  <c r="T1052" i="1"/>
  <c r="U1052" i="1"/>
  <c r="BB1052" i="1"/>
  <c r="BW1052" i="1"/>
  <c r="A1053" i="1"/>
  <c r="C1053" i="1"/>
  <c r="S1053" i="1"/>
  <c r="T1053" i="1"/>
  <c r="U1053" i="1"/>
  <c r="BB1053" i="1"/>
  <c r="BW1053" i="1"/>
  <c r="A1054" i="1"/>
  <c r="C1054" i="1"/>
  <c r="S1054" i="1"/>
  <c r="T1054" i="1"/>
  <c r="U1054" i="1"/>
  <c r="BB1054" i="1"/>
  <c r="BW1054" i="1"/>
  <c r="A1055" i="1"/>
  <c r="C1055" i="1"/>
  <c r="S1055" i="1"/>
  <c r="T1055" i="1"/>
  <c r="U1055" i="1"/>
  <c r="BB1055" i="1"/>
  <c r="BW1055" i="1"/>
  <c r="A1056" i="1"/>
  <c r="C1056" i="1"/>
  <c r="S1056" i="1"/>
  <c r="T1056" i="1"/>
  <c r="U1056" i="1"/>
  <c r="BB1056" i="1"/>
  <c r="BW1056" i="1"/>
  <c r="A1057" i="1"/>
  <c r="C1057" i="1"/>
  <c r="S1057" i="1"/>
  <c r="T1057" i="1"/>
  <c r="U1057" i="1"/>
  <c r="BB1057" i="1"/>
  <c r="BW1057" i="1"/>
  <c r="A1058" i="1"/>
  <c r="C1058" i="1"/>
  <c r="S1058" i="1"/>
  <c r="T1058" i="1"/>
  <c r="U1058" i="1"/>
  <c r="BB1058" i="1"/>
  <c r="BW1058" i="1"/>
  <c r="A1059" i="1"/>
  <c r="C1059" i="1"/>
  <c r="S1059" i="1"/>
  <c r="T1059" i="1"/>
  <c r="U1059" i="1"/>
  <c r="BB1059" i="1"/>
  <c r="BW1059" i="1"/>
  <c r="A1060" i="1"/>
  <c r="C1060" i="1"/>
  <c r="S1060" i="1"/>
  <c r="T1060" i="1"/>
  <c r="U1060" i="1"/>
  <c r="BB1060" i="1"/>
  <c r="BW1060" i="1"/>
  <c r="A1061" i="1"/>
  <c r="C1061" i="1"/>
  <c r="S1061" i="1"/>
  <c r="T1061" i="1"/>
  <c r="U1061" i="1"/>
  <c r="BB1061" i="1"/>
  <c r="BW1061" i="1"/>
  <c r="A1062" i="1"/>
  <c r="C1062" i="1"/>
  <c r="S1062" i="1"/>
  <c r="T1062" i="1"/>
  <c r="U1062" i="1"/>
  <c r="BB1062" i="1"/>
  <c r="BW1062" i="1"/>
  <c r="A1063" i="1"/>
  <c r="C1063" i="1"/>
  <c r="S1063" i="1"/>
  <c r="T1063" i="1"/>
  <c r="U1063" i="1"/>
  <c r="BB1063" i="1"/>
  <c r="BW1063" i="1"/>
  <c r="A1064" i="1"/>
  <c r="C1064" i="1"/>
  <c r="S1064" i="1"/>
  <c r="T1064" i="1"/>
  <c r="U1064" i="1"/>
  <c r="BB1064" i="1"/>
  <c r="BW1064" i="1"/>
  <c r="A1065" i="1"/>
  <c r="C1065" i="1"/>
  <c r="S1065" i="1"/>
  <c r="T1065" i="1"/>
  <c r="U1065" i="1"/>
  <c r="BB1065" i="1"/>
  <c r="BW1065" i="1"/>
  <c r="A1066" i="1"/>
  <c r="C1066" i="1"/>
  <c r="S1066" i="1"/>
  <c r="T1066" i="1"/>
  <c r="U1066" i="1"/>
  <c r="BB1066" i="1"/>
  <c r="BW1066" i="1"/>
  <c r="A1067" i="1"/>
  <c r="C1067" i="1"/>
  <c r="S1067" i="1"/>
  <c r="T1067" i="1"/>
  <c r="U1067" i="1"/>
  <c r="BB1067" i="1"/>
  <c r="BW1067" i="1"/>
  <c r="A1068" i="1"/>
  <c r="C1068" i="1"/>
  <c r="S1068" i="1"/>
  <c r="T1068" i="1"/>
  <c r="U1068" i="1"/>
  <c r="BB1068" i="1"/>
  <c r="BW1068" i="1"/>
  <c r="A1069" i="1"/>
  <c r="C1069" i="1"/>
  <c r="S1069" i="1"/>
  <c r="T1069" i="1"/>
  <c r="U1069" i="1"/>
  <c r="BB1069" i="1"/>
  <c r="BW1069" i="1"/>
  <c r="A1070" i="1"/>
  <c r="C1070" i="1"/>
  <c r="S1070" i="1"/>
  <c r="T1070" i="1"/>
  <c r="U1070" i="1"/>
  <c r="BB1070" i="1"/>
  <c r="BW1070" i="1"/>
  <c r="A1071" i="1"/>
  <c r="C1071" i="1"/>
  <c r="S1071" i="1"/>
  <c r="T1071" i="1"/>
  <c r="U1071" i="1"/>
  <c r="BB1071" i="1"/>
  <c r="BW1071" i="1"/>
  <c r="A1072" i="1"/>
  <c r="C1072" i="1"/>
  <c r="S1072" i="1"/>
  <c r="T1072" i="1"/>
  <c r="U1072" i="1"/>
  <c r="BB1072" i="1"/>
  <c r="BW1072" i="1"/>
  <c r="A1073" i="1"/>
  <c r="C1073" i="1"/>
  <c r="S1073" i="1"/>
  <c r="T1073" i="1"/>
  <c r="U1073" i="1"/>
  <c r="BB1073" i="1"/>
  <c r="BW1073" i="1"/>
  <c r="A1074" i="1"/>
  <c r="C1074" i="1"/>
  <c r="S1074" i="1"/>
  <c r="T1074" i="1"/>
  <c r="U1074" i="1"/>
  <c r="BB1074" i="1"/>
  <c r="BW1074" i="1"/>
  <c r="A1075" i="1"/>
  <c r="C1075" i="1"/>
  <c r="S1075" i="1"/>
  <c r="T1075" i="1"/>
  <c r="U1075" i="1"/>
  <c r="BB1075" i="1"/>
  <c r="BW1075" i="1"/>
  <c r="A1076" i="1"/>
  <c r="C1076" i="1"/>
  <c r="S1076" i="1"/>
  <c r="T1076" i="1"/>
  <c r="U1076" i="1"/>
  <c r="BB1076" i="1"/>
  <c r="BW1076" i="1"/>
  <c r="A1077" i="1"/>
  <c r="C1077" i="1"/>
  <c r="S1077" i="1"/>
  <c r="T1077" i="1"/>
  <c r="U1077" i="1"/>
  <c r="BB1077" i="1"/>
  <c r="BW1077" i="1"/>
  <c r="A1078" i="1"/>
  <c r="C1078" i="1"/>
  <c r="S1078" i="1"/>
  <c r="T1078" i="1"/>
  <c r="U1078" i="1"/>
  <c r="BB1078" i="1"/>
  <c r="BW1078" i="1"/>
  <c r="A1079" i="1"/>
  <c r="C1079" i="1"/>
  <c r="S1079" i="1"/>
  <c r="T1079" i="1"/>
  <c r="U1079" i="1"/>
  <c r="BB1079" i="1"/>
  <c r="BW1079" i="1"/>
  <c r="A1080" i="1"/>
  <c r="C1080" i="1"/>
  <c r="S1080" i="1"/>
  <c r="T1080" i="1"/>
  <c r="U1080" i="1"/>
  <c r="BB1080" i="1"/>
  <c r="BW1080" i="1"/>
  <c r="A1081" i="1"/>
  <c r="C1081" i="1"/>
  <c r="S1081" i="1"/>
  <c r="T1081" i="1"/>
  <c r="U1081" i="1"/>
  <c r="BB1081" i="1"/>
  <c r="BW1081" i="1"/>
  <c r="A1082" i="1"/>
  <c r="C1082" i="1"/>
  <c r="S1082" i="1"/>
  <c r="T1082" i="1"/>
  <c r="U1082" i="1"/>
  <c r="BB1082" i="1"/>
  <c r="BW1082" i="1"/>
  <c r="A1083" i="1"/>
  <c r="C1083" i="1"/>
  <c r="S1083" i="1"/>
  <c r="T1083" i="1"/>
  <c r="U1083" i="1"/>
  <c r="BB1083" i="1"/>
  <c r="BW1083" i="1"/>
  <c r="A1084" i="1"/>
  <c r="C1084" i="1"/>
  <c r="S1084" i="1"/>
  <c r="T1084" i="1"/>
  <c r="U1084" i="1"/>
  <c r="BB1084" i="1"/>
  <c r="BW1084" i="1"/>
  <c r="A1085" i="1"/>
  <c r="C1085" i="1"/>
  <c r="S1085" i="1"/>
  <c r="T1085" i="1"/>
  <c r="U1085" i="1"/>
  <c r="BB1085" i="1"/>
  <c r="BW1085" i="1"/>
  <c r="A1086" i="1"/>
  <c r="C1086" i="1"/>
  <c r="S1086" i="1"/>
  <c r="T1086" i="1"/>
  <c r="U1086" i="1"/>
  <c r="BB1086" i="1"/>
  <c r="BW1086" i="1"/>
  <c r="A1087" i="1"/>
  <c r="C1087" i="1"/>
  <c r="S1087" i="1"/>
  <c r="T1087" i="1"/>
  <c r="U1087" i="1"/>
  <c r="BB1087" i="1"/>
  <c r="BW1087" i="1"/>
  <c r="A1088" i="1"/>
  <c r="C1088" i="1"/>
  <c r="S1088" i="1"/>
  <c r="T1088" i="1"/>
  <c r="U1088" i="1"/>
  <c r="BB1088" i="1"/>
  <c r="BW1088" i="1"/>
  <c r="A1089" i="1"/>
  <c r="C1089" i="1"/>
  <c r="S1089" i="1"/>
  <c r="T1089" i="1"/>
  <c r="U1089" i="1"/>
  <c r="BB1089" i="1"/>
  <c r="BW1089" i="1"/>
  <c r="A1090" i="1"/>
  <c r="C1090" i="1"/>
  <c r="S1090" i="1"/>
  <c r="T1090" i="1"/>
  <c r="U1090" i="1"/>
  <c r="BB1090" i="1"/>
  <c r="BW1090" i="1"/>
  <c r="A1091" i="1"/>
  <c r="C1091" i="1"/>
  <c r="S1091" i="1"/>
  <c r="T1091" i="1"/>
  <c r="U1091" i="1"/>
  <c r="BB1091" i="1"/>
  <c r="BW1091" i="1"/>
  <c r="A1092" i="1"/>
  <c r="C1092" i="1"/>
  <c r="S1092" i="1"/>
  <c r="T1092" i="1"/>
  <c r="U1092" i="1"/>
  <c r="BB1092" i="1"/>
  <c r="BW1092" i="1"/>
  <c r="A1093" i="1"/>
  <c r="C1093" i="1"/>
  <c r="S1093" i="1"/>
  <c r="T1093" i="1"/>
  <c r="U1093" i="1"/>
  <c r="BB1093" i="1"/>
  <c r="BW1093" i="1"/>
  <c r="A1094" i="1"/>
  <c r="C1094" i="1"/>
  <c r="S1094" i="1"/>
  <c r="T1094" i="1"/>
  <c r="U1094" i="1"/>
  <c r="BB1094" i="1"/>
  <c r="BW1094" i="1"/>
  <c r="A1095" i="1"/>
  <c r="C1095" i="1"/>
  <c r="S1095" i="1"/>
  <c r="T1095" i="1"/>
  <c r="U1095" i="1"/>
  <c r="BB1095" i="1"/>
  <c r="BW1095" i="1"/>
  <c r="A1096" i="1"/>
  <c r="C1096" i="1"/>
  <c r="S1096" i="1"/>
  <c r="T1096" i="1"/>
  <c r="U1096" i="1"/>
  <c r="BB1096" i="1"/>
  <c r="BW1096" i="1"/>
  <c r="A1097" i="1"/>
  <c r="C1097" i="1"/>
  <c r="S1097" i="1"/>
  <c r="T1097" i="1"/>
  <c r="U1097" i="1"/>
  <c r="BB1097" i="1"/>
  <c r="BW1097" i="1"/>
  <c r="A1098" i="1"/>
  <c r="C1098" i="1"/>
  <c r="S1098" i="1"/>
  <c r="T1098" i="1"/>
  <c r="U1098" i="1"/>
  <c r="BB1098" i="1"/>
  <c r="BW1098" i="1"/>
  <c r="A1099" i="1"/>
  <c r="C1099" i="1"/>
  <c r="S1099" i="1"/>
  <c r="T1099" i="1"/>
  <c r="U1099" i="1"/>
  <c r="BB1099" i="1"/>
  <c r="BW1099" i="1"/>
  <c r="A1100" i="1"/>
  <c r="C1100" i="1"/>
  <c r="S1100" i="1"/>
  <c r="T1100" i="1"/>
  <c r="U1100" i="1"/>
  <c r="BB1100" i="1"/>
  <c r="BW1100" i="1"/>
  <c r="A1101" i="1"/>
  <c r="C1101" i="1"/>
  <c r="S1101" i="1"/>
  <c r="T1101" i="1"/>
  <c r="U1101" i="1"/>
  <c r="BB1101" i="1"/>
  <c r="BW1101" i="1"/>
  <c r="A1102" i="1"/>
  <c r="C1102" i="1"/>
  <c r="S1102" i="1"/>
  <c r="T1102" i="1"/>
  <c r="U1102" i="1"/>
  <c r="BB1102" i="1"/>
  <c r="BW1102" i="1"/>
  <c r="A1103" i="1"/>
  <c r="C1103" i="1"/>
  <c r="S1103" i="1"/>
  <c r="T1103" i="1"/>
  <c r="U1103" i="1"/>
  <c r="BB1103" i="1"/>
  <c r="BW1103" i="1"/>
  <c r="A1104" i="1"/>
  <c r="C1104" i="1"/>
  <c r="S1104" i="1"/>
  <c r="T1104" i="1"/>
  <c r="U1104" i="1"/>
  <c r="BB1104" i="1"/>
  <c r="BW1104" i="1"/>
  <c r="A1105" i="1"/>
  <c r="C1105" i="1"/>
  <c r="S1105" i="1"/>
  <c r="T1105" i="1"/>
  <c r="U1105" i="1"/>
  <c r="BB1105" i="1"/>
  <c r="BW1105" i="1"/>
  <c r="A1106" i="1"/>
  <c r="C1106" i="1"/>
  <c r="S1106" i="1"/>
  <c r="T1106" i="1"/>
  <c r="U1106" i="1"/>
  <c r="BB1106" i="1"/>
  <c r="BW1106" i="1"/>
  <c r="A1107" i="1"/>
  <c r="C1107" i="1"/>
  <c r="S1107" i="1"/>
  <c r="T1107" i="1"/>
  <c r="U1107" i="1"/>
  <c r="BB1107" i="1"/>
  <c r="BW1107" i="1"/>
  <c r="A1108" i="1"/>
  <c r="C1108" i="1"/>
  <c r="S1108" i="1"/>
  <c r="T1108" i="1"/>
  <c r="U1108" i="1"/>
  <c r="BB1108" i="1"/>
  <c r="BW1108" i="1"/>
  <c r="A1109" i="1"/>
  <c r="C1109" i="1"/>
  <c r="S1109" i="1"/>
  <c r="T1109" i="1"/>
  <c r="U1109" i="1"/>
  <c r="BB1109" i="1"/>
  <c r="BW1109" i="1"/>
  <c r="A1110" i="1"/>
  <c r="C1110" i="1"/>
  <c r="S1110" i="1"/>
  <c r="T1110" i="1"/>
  <c r="U1110" i="1"/>
  <c r="BB1110" i="1"/>
  <c r="BW1110" i="1"/>
  <c r="A1111" i="1"/>
  <c r="C1111" i="1"/>
  <c r="S1111" i="1"/>
  <c r="T1111" i="1"/>
  <c r="U1111" i="1"/>
  <c r="BB1111" i="1"/>
  <c r="BW1111" i="1"/>
  <c r="A1112" i="1"/>
  <c r="C1112" i="1"/>
  <c r="S1112" i="1"/>
  <c r="T1112" i="1"/>
  <c r="U1112" i="1"/>
  <c r="BB1112" i="1"/>
  <c r="BW1112" i="1"/>
  <c r="A1113" i="1"/>
  <c r="C1113" i="1"/>
  <c r="S1113" i="1"/>
  <c r="T1113" i="1"/>
  <c r="U1113" i="1"/>
  <c r="BB1113" i="1"/>
  <c r="BW1113" i="1"/>
  <c r="A1114" i="1"/>
  <c r="C1114" i="1"/>
  <c r="S1114" i="1"/>
  <c r="T1114" i="1"/>
  <c r="U1114" i="1"/>
  <c r="BB1114" i="1"/>
  <c r="BW1114" i="1"/>
  <c r="A1115" i="1"/>
  <c r="C1115" i="1"/>
  <c r="S1115" i="1"/>
  <c r="T1115" i="1"/>
  <c r="U1115" i="1"/>
  <c r="BB1115" i="1"/>
  <c r="BW1115" i="1"/>
  <c r="A1116" i="1"/>
  <c r="C1116" i="1"/>
  <c r="S1116" i="1"/>
  <c r="T1116" i="1"/>
  <c r="U1116" i="1"/>
  <c r="BB1116" i="1"/>
  <c r="BW1116" i="1"/>
  <c r="A1117" i="1"/>
  <c r="C1117" i="1"/>
  <c r="S1117" i="1"/>
  <c r="T1117" i="1"/>
  <c r="U1117" i="1"/>
  <c r="BB1117" i="1"/>
  <c r="BW1117" i="1"/>
  <c r="A1118" i="1"/>
  <c r="C1118" i="1"/>
  <c r="S1118" i="1"/>
  <c r="T1118" i="1"/>
  <c r="U1118" i="1"/>
  <c r="BB1118" i="1"/>
  <c r="BW1118" i="1"/>
  <c r="A1119" i="1"/>
  <c r="C1119" i="1"/>
  <c r="S1119" i="1"/>
  <c r="T1119" i="1"/>
  <c r="U1119" i="1"/>
  <c r="BB1119" i="1"/>
  <c r="BW1119" i="1"/>
  <c r="A1120" i="1"/>
  <c r="C1120" i="1"/>
  <c r="S1120" i="1"/>
  <c r="T1120" i="1"/>
  <c r="U1120" i="1"/>
  <c r="BB1120" i="1"/>
  <c r="BW1120" i="1"/>
  <c r="A1121" i="1"/>
  <c r="C1121" i="1"/>
  <c r="S1121" i="1"/>
  <c r="T1121" i="1"/>
  <c r="U1121" i="1"/>
  <c r="BB1121" i="1"/>
  <c r="BW1121" i="1"/>
  <c r="A1122" i="1"/>
  <c r="C1122" i="1"/>
  <c r="S1122" i="1"/>
  <c r="T1122" i="1"/>
  <c r="U1122" i="1"/>
  <c r="BB1122" i="1"/>
  <c r="BW1122" i="1"/>
  <c r="A1123" i="1"/>
  <c r="C1123" i="1"/>
  <c r="S1123" i="1"/>
  <c r="T1123" i="1"/>
  <c r="U1123" i="1"/>
  <c r="BB1123" i="1"/>
  <c r="BW1123" i="1"/>
  <c r="A1124" i="1"/>
  <c r="C1124" i="1"/>
  <c r="S1124" i="1"/>
  <c r="T1124" i="1"/>
  <c r="U1124" i="1"/>
  <c r="BB1124" i="1"/>
  <c r="BW1124" i="1"/>
  <c r="A1125" i="1"/>
  <c r="C1125" i="1"/>
  <c r="S1125" i="1"/>
  <c r="T1125" i="1"/>
  <c r="U1125" i="1"/>
  <c r="BB1125" i="1"/>
  <c r="BW1125" i="1"/>
  <c r="A1126" i="1"/>
  <c r="C1126" i="1"/>
  <c r="S1126" i="1"/>
  <c r="T1126" i="1"/>
  <c r="U1126" i="1"/>
  <c r="BB1126" i="1"/>
  <c r="BW1126" i="1"/>
  <c r="A1127" i="1"/>
  <c r="C1127" i="1"/>
  <c r="S1127" i="1"/>
  <c r="T1127" i="1"/>
  <c r="U1127" i="1"/>
  <c r="BB1127" i="1"/>
  <c r="BW1127" i="1"/>
  <c r="A1128" i="1"/>
  <c r="C1128" i="1"/>
  <c r="S1128" i="1"/>
  <c r="T1128" i="1"/>
  <c r="U1128" i="1"/>
  <c r="BB1128" i="1"/>
  <c r="BW1128" i="1"/>
  <c r="A1129" i="1"/>
  <c r="C1129" i="1"/>
  <c r="S1129" i="1"/>
  <c r="T1129" i="1"/>
  <c r="U1129" i="1"/>
  <c r="BB1129" i="1"/>
  <c r="BW1129" i="1"/>
  <c r="A1130" i="1"/>
  <c r="C1130" i="1"/>
  <c r="S1130" i="1"/>
  <c r="T1130" i="1"/>
  <c r="U1130" i="1"/>
  <c r="BB1130" i="1"/>
  <c r="BW1130" i="1"/>
  <c r="A1131" i="1"/>
  <c r="C1131" i="1"/>
  <c r="S1131" i="1"/>
  <c r="T1131" i="1"/>
  <c r="U1131" i="1"/>
  <c r="BB1131" i="1"/>
  <c r="BW1131" i="1"/>
  <c r="A1132" i="1"/>
  <c r="C1132" i="1"/>
  <c r="S1132" i="1"/>
  <c r="T1132" i="1"/>
  <c r="U1132" i="1"/>
  <c r="BB1132" i="1"/>
  <c r="BW1132" i="1"/>
  <c r="A1133" i="1"/>
  <c r="C1133" i="1"/>
  <c r="S1133" i="1"/>
  <c r="T1133" i="1"/>
  <c r="U1133" i="1"/>
  <c r="BB1133" i="1"/>
  <c r="BW1133" i="1"/>
  <c r="A1134" i="1"/>
  <c r="C1134" i="1"/>
  <c r="S1134" i="1"/>
  <c r="T1134" i="1"/>
  <c r="U1134" i="1"/>
  <c r="BB1134" i="1"/>
  <c r="BW1134" i="1"/>
  <c r="A1135" i="1"/>
  <c r="C1135" i="1"/>
  <c r="S1135" i="1"/>
  <c r="T1135" i="1"/>
  <c r="U1135" i="1"/>
  <c r="BB1135" i="1"/>
  <c r="BW1135" i="1"/>
  <c r="A1136" i="1"/>
  <c r="C1136" i="1"/>
  <c r="S1136" i="1"/>
  <c r="T1136" i="1"/>
  <c r="U1136" i="1"/>
  <c r="BB1136" i="1"/>
  <c r="BW1136" i="1"/>
  <c r="A1137" i="1"/>
  <c r="C1137" i="1"/>
  <c r="S1137" i="1"/>
  <c r="T1137" i="1"/>
  <c r="U1137" i="1"/>
  <c r="BB1137" i="1"/>
  <c r="BW1137" i="1"/>
  <c r="A1138" i="1"/>
  <c r="C1138" i="1"/>
  <c r="S1138" i="1"/>
  <c r="T1138" i="1"/>
  <c r="U1138" i="1"/>
  <c r="BB1138" i="1"/>
  <c r="BW1138" i="1"/>
  <c r="A1139" i="1"/>
  <c r="C1139" i="1"/>
  <c r="S1139" i="1"/>
  <c r="T1139" i="1"/>
  <c r="U1139" i="1"/>
  <c r="BB1139" i="1"/>
  <c r="BW1139" i="1"/>
  <c r="A1140" i="1"/>
  <c r="C1140" i="1"/>
  <c r="S1140" i="1"/>
  <c r="T1140" i="1"/>
  <c r="U1140" i="1"/>
  <c r="BB1140" i="1"/>
  <c r="BW1140" i="1"/>
  <c r="A1141" i="1"/>
  <c r="C1141" i="1"/>
  <c r="S1141" i="1"/>
  <c r="T1141" i="1"/>
  <c r="U1141" i="1"/>
  <c r="BB1141" i="1"/>
  <c r="BW1141" i="1"/>
  <c r="A1142" i="1"/>
  <c r="C1142" i="1"/>
  <c r="S1142" i="1"/>
  <c r="T1142" i="1"/>
  <c r="U1142" i="1"/>
  <c r="BB1142" i="1"/>
  <c r="BW1142" i="1"/>
  <c r="A1143" i="1"/>
  <c r="C1143" i="1"/>
  <c r="S1143" i="1"/>
  <c r="T1143" i="1"/>
  <c r="U1143" i="1"/>
  <c r="BB1143" i="1"/>
  <c r="BW1143" i="1"/>
  <c r="A1144" i="1"/>
  <c r="C1144" i="1"/>
  <c r="S1144" i="1"/>
  <c r="T1144" i="1"/>
  <c r="U1144" i="1"/>
  <c r="BB1144" i="1"/>
  <c r="BW1144" i="1"/>
  <c r="A1145" i="1"/>
  <c r="C1145" i="1"/>
  <c r="S1145" i="1"/>
  <c r="T1145" i="1"/>
  <c r="U1145" i="1"/>
  <c r="BB1145" i="1"/>
  <c r="BW1145" i="1"/>
  <c r="A1146" i="1"/>
  <c r="C1146" i="1"/>
  <c r="S1146" i="1"/>
  <c r="T1146" i="1"/>
  <c r="U1146" i="1"/>
  <c r="BB1146" i="1"/>
  <c r="BW1146" i="1"/>
  <c r="A1147" i="1"/>
  <c r="C1147" i="1"/>
  <c r="S1147" i="1"/>
  <c r="T1147" i="1"/>
  <c r="U1147" i="1"/>
  <c r="BB1147" i="1"/>
  <c r="BW1147" i="1"/>
  <c r="A1148" i="1"/>
  <c r="C1148" i="1"/>
  <c r="S1148" i="1"/>
  <c r="T1148" i="1"/>
  <c r="U1148" i="1"/>
  <c r="BB1148" i="1"/>
  <c r="BW1148" i="1"/>
  <c r="A1149" i="1"/>
  <c r="C1149" i="1"/>
  <c r="S1149" i="1"/>
  <c r="T1149" i="1"/>
  <c r="U1149" i="1"/>
  <c r="BB1149" i="1"/>
  <c r="BW1149" i="1"/>
  <c r="A1150" i="1"/>
  <c r="C1150" i="1"/>
  <c r="S1150" i="1"/>
  <c r="T1150" i="1"/>
  <c r="U1150" i="1"/>
  <c r="BB1150" i="1"/>
  <c r="BW1150" i="1"/>
  <c r="A1151" i="1"/>
  <c r="C1151" i="1"/>
  <c r="S1151" i="1"/>
  <c r="T1151" i="1"/>
  <c r="U1151" i="1"/>
  <c r="BB1151" i="1"/>
  <c r="BW1151" i="1"/>
  <c r="A1152" i="1"/>
  <c r="C1152" i="1"/>
  <c r="S1152" i="1"/>
  <c r="T1152" i="1"/>
  <c r="U1152" i="1"/>
  <c r="BB1152" i="1"/>
  <c r="BW1152" i="1"/>
  <c r="A1153" i="1"/>
  <c r="C1153" i="1"/>
  <c r="S1153" i="1"/>
  <c r="T1153" i="1"/>
  <c r="U1153" i="1"/>
  <c r="BB1153" i="1"/>
  <c r="BW1153" i="1"/>
  <c r="A1154" i="1"/>
  <c r="C1154" i="1"/>
  <c r="S1154" i="1"/>
  <c r="T1154" i="1"/>
  <c r="U1154" i="1"/>
  <c r="BB1154" i="1"/>
  <c r="BW1154" i="1"/>
  <c r="A1155" i="1"/>
  <c r="C1155" i="1"/>
  <c r="S1155" i="1"/>
  <c r="T1155" i="1"/>
  <c r="U1155" i="1"/>
  <c r="BB1155" i="1"/>
  <c r="BW1155" i="1"/>
  <c r="A1156" i="1"/>
  <c r="C1156" i="1"/>
  <c r="S1156" i="1"/>
  <c r="T1156" i="1"/>
  <c r="U1156" i="1"/>
  <c r="BB1156" i="1"/>
  <c r="BW1156" i="1"/>
  <c r="A1157" i="1"/>
  <c r="C1157" i="1"/>
  <c r="S1157" i="1"/>
  <c r="T1157" i="1"/>
  <c r="U1157" i="1"/>
  <c r="BB1157" i="1"/>
  <c r="BW1157" i="1"/>
  <c r="A1158" i="1"/>
  <c r="C1158" i="1"/>
  <c r="S1158" i="1"/>
  <c r="T1158" i="1"/>
  <c r="U1158" i="1"/>
  <c r="BB1158" i="1"/>
  <c r="BW1158" i="1"/>
  <c r="A1159" i="1"/>
  <c r="C1159" i="1"/>
  <c r="S1159" i="1"/>
  <c r="T1159" i="1"/>
  <c r="U1159" i="1"/>
  <c r="BB1159" i="1"/>
  <c r="BW1159" i="1"/>
  <c r="A1160" i="1"/>
  <c r="C1160" i="1"/>
  <c r="S1160" i="1"/>
  <c r="T1160" i="1"/>
  <c r="U1160" i="1"/>
  <c r="BB1160" i="1"/>
  <c r="BW1160" i="1"/>
  <c r="A1161" i="1"/>
  <c r="C1161" i="1"/>
  <c r="S1161" i="1"/>
  <c r="T1161" i="1"/>
  <c r="U1161" i="1"/>
  <c r="BB1161" i="1"/>
  <c r="BW1161" i="1"/>
  <c r="A1162" i="1"/>
  <c r="C1162" i="1"/>
  <c r="S1162" i="1"/>
  <c r="T1162" i="1"/>
  <c r="U1162" i="1"/>
  <c r="BB1162" i="1"/>
  <c r="BW1162" i="1"/>
  <c r="A1163" i="1"/>
  <c r="C1163" i="1"/>
  <c r="S1163" i="1"/>
  <c r="T1163" i="1"/>
  <c r="U1163" i="1"/>
  <c r="BB1163" i="1"/>
  <c r="BW1163" i="1"/>
  <c r="A1164" i="1"/>
  <c r="C1164" i="1"/>
  <c r="S1164" i="1"/>
  <c r="T1164" i="1"/>
  <c r="U1164" i="1"/>
  <c r="BB1164" i="1"/>
  <c r="BW1164" i="1"/>
  <c r="A1165" i="1"/>
  <c r="C1165" i="1"/>
  <c r="S1165" i="1"/>
  <c r="T1165" i="1"/>
  <c r="U1165" i="1"/>
  <c r="BB1165" i="1"/>
  <c r="BW1165" i="1"/>
  <c r="A1166" i="1"/>
  <c r="C1166" i="1"/>
  <c r="S1166" i="1"/>
  <c r="T1166" i="1"/>
  <c r="U1166" i="1"/>
  <c r="BB1166" i="1"/>
  <c r="BW1166" i="1"/>
  <c r="A1167" i="1"/>
  <c r="C1167" i="1"/>
  <c r="S1167" i="1"/>
  <c r="T1167" i="1"/>
  <c r="U1167" i="1"/>
  <c r="BB1167" i="1"/>
  <c r="BW1167" i="1"/>
  <c r="A1168" i="1"/>
  <c r="C1168" i="1"/>
  <c r="S1168" i="1"/>
  <c r="T1168" i="1"/>
  <c r="U1168" i="1"/>
  <c r="BB1168" i="1"/>
  <c r="BW1168" i="1"/>
  <c r="A1169" i="1"/>
  <c r="C1169" i="1"/>
  <c r="S1169" i="1"/>
  <c r="T1169" i="1"/>
  <c r="U1169" i="1"/>
  <c r="BB1169" i="1"/>
  <c r="BW1169" i="1"/>
  <c r="A1170" i="1"/>
  <c r="C1170" i="1"/>
  <c r="S1170" i="1"/>
  <c r="T1170" i="1"/>
  <c r="U1170" i="1"/>
  <c r="BB1170" i="1"/>
  <c r="BW1170" i="1"/>
  <c r="A1171" i="1"/>
  <c r="C1171" i="1"/>
  <c r="S1171" i="1"/>
  <c r="T1171" i="1"/>
  <c r="U1171" i="1"/>
  <c r="BB1171" i="1"/>
  <c r="BW1171" i="1"/>
  <c r="A1172" i="1"/>
  <c r="C1172" i="1"/>
  <c r="S1172" i="1"/>
  <c r="T1172" i="1"/>
  <c r="U1172" i="1"/>
  <c r="BB1172" i="1"/>
  <c r="BW1172" i="1"/>
  <c r="A1173" i="1"/>
  <c r="C1173" i="1"/>
  <c r="S1173" i="1"/>
  <c r="T1173" i="1"/>
  <c r="U1173" i="1"/>
  <c r="BB1173" i="1"/>
  <c r="BW1173" i="1"/>
  <c r="A1174" i="1"/>
  <c r="C1174" i="1"/>
  <c r="S1174" i="1"/>
  <c r="T1174" i="1"/>
  <c r="U1174" i="1"/>
  <c r="BB1174" i="1"/>
  <c r="BW1174" i="1"/>
  <c r="A1175" i="1"/>
  <c r="C1175" i="1"/>
  <c r="S1175" i="1"/>
  <c r="T1175" i="1"/>
  <c r="U1175" i="1"/>
  <c r="BB1175" i="1"/>
  <c r="BW1175" i="1"/>
  <c r="A1176" i="1"/>
  <c r="C1176" i="1"/>
  <c r="S1176" i="1"/>
  <c r="T1176" i="1"/>
  <c r="U1176" i="1"/>
  <c r="BB1176" i="1"/>
  <c r="BW1176" i="1"/>
  <c r="A1177" i="1"/>
  <c r="C1177" i="1"/>
  <c r="S1177" i="1"/>
  <c r="T1177" i="1"/>
  <c r="U1177" i="1"/>
  <c r="BB1177" i="1"/>
  <c r="BW1177" i="1"/>
  <c r="A1178" i="1"/>
  <c r="C1178" i="1"/>
  <c r="S1178" i="1"/>
  <c r="T1178" i="1"/>
  <c r="U1178" i="1"/>
  <c r="BB1178" i="1"/>
  <c r="BW1178" i="1"/>
  <c r="A1179" i="1"/>
  <c r="C1179" i="1"/>
  <c r="S1179" i="1"/>
  <c r="T1179" i="1"/>
  <c r="U1179" i="1"/>
  <c r="BB1179" i="1"/>
  <c r="BW1179" i="1"/>
  <c r="A1180" i="1"/>
  <c r="C1180" i="1"/>
  <c r="S1180" i="1"/>
  <c r="T1180" i="1"/>
  <c r="U1180" i="1"/>
  <c r="BB1180" i="1"/>
  <c r="BW1180" i="1"/>
  <c r="A1181" i="1"/>
  <c r="C1181" i="1"/>
  <c r="S1181" i="1"/>
  <c r="T1181" i="1"/>
  <c r="U1181" i="1"/>
  <c r="BB1181" i="1"/>
  <c r="BW1181" i="1"/>
  <c r="A1182" i="1"/>
  <c r="C1182" i="1"/>
  <c r="S1182" i="1"/>
  <c r="T1182" i="1"/>
  <c r="U1182" i="1"/>
  <c r="BB1182" i="1"/>
  <c r="BW1182" i="1"/>
  <c r="A1183" i="1"/>
  <c r="C1183" i="1"/>
  <c r="S1183" i="1"/>
  <c r="T1183" i="1"/>
  <c r="U1183" i="1"/>
  <c r="BB1183" i="1"/>
  <c r="BW1183" i="1"/>
  <c r="A1184" i="1"/>
  <c r="C1184" i="1"/>
  <c r="S1184" i="1"/>
  <c r="T1184" i="1"/>
  <c r="U1184" i="1"/>
  <c r="BB1184" i="1"/>
  <c r="BW1184" i="1"/>
  <c r="A1185" i="1"/>
  <c r="C1185" i="1"/>
  <c r="S1185" i="1"/>
  <c r="T1185" i="1"/>
  <c r="U1185" i="1"/>
  <c r="BB1185" i="1"/>
  <c r="BW1185" i="1"/>
  <c r="A1186" i="1"/>
  <c r="C1186" i="1"/>
  <c r="S1186" i="1"/>
  <c r="T1186" i="1"/>
  <c r="U1186" i="1"/>
  <c r="BB1186" i="1"/>
  <c r="BW1186" i="1"/>
  <c r="A1187" i="1"/>
  <c r="C1187" i="1"/>
  <c r="S1187" i="1"/>
  <c r="T1187" i="1"/>
  <c r="U1187" i="1"/>
  <c r="BB1187" i="1"/>
  <c r="BW1187" i="1"/>
  <c r="A1188" i="1"/>
  <c r="C1188" i="1"/>
  <c r="S1188" i="1"/>
  <c r="T1188" i="1"/>
  <c r="U1188" i="1"/>
  <c r="BB1188" i="1"/>
  <c r="BW1188" i="1"/>
  <c r="A1189" i="1"/>
  <c r="C1189" i="1"/>
  <c r="S1189" i="1"/>
  <c r="T1189" i="1"/>
  <c r="U1189" i="1"/>
  <c r="BB1189" i="1"/>
  <c r="BW1189" i="1"/>
  <c r="A1190" i="1"/>
  <c r="C1190" i="1"/>
  <c r="S1190" i="1"/>
  <c r="T1190" i="1"/>
  <c r="U1190" i="1"/>
  <c r="BB1190" i="1"/>
  <c r="BW1190" i="1"/>
  <c r="A1191" i="1"/>
  <c r="C1191" i="1"/>
  <c r="S1191" i="1"/>
  <c r="T1191" i="1"/>
  <c r="U1191" i="1"/>
  <c r="BB1191" i="1"/>
  <c r="BW1191" i="1"/>
  <c r="A1192" i="1"/>
  <c r="C1192" i="1"/>
  <c r="S1192" i="1"/>
  <c r="T1192" i="1"/>
  <c r="U1192" i="1"/>
  <c r="BB1192" i="1"/>
  <c r="BW1192" i="1"/>
  <c r="A1193" i="1"/>
  <c r="C1193" i="1"/>
  <c r="S1193" i="1"/>
  <c r="T1193" i="1"/>
  <c r="U1193" i="1"/>
  <c r="BB1193" i="1"/>
  <c r="BW1193" i="1"/>
  <c r="A1194" i="1"/>
  <c r="C1194" i="1"/>
  <c r="S1194" i="1"/>
  <c r="T1194" i="1"/>
  <c r="U1194" i="1"/>
  <c r="BB1194" i="1"/>
  <c r="BW1194" i="1"/>
  <c r="A1195" i="1"/>
  <c r="C1195" i="1"/>
  <c r="S1195" i="1"/>
  <c r="T1195" i="1"/>
  <c r="U1195" i="1"/>
  <c r="BB1195" i="1"/>
  <c r="BW1195" i="1"/>
  <c r="A1196" i="1"/>
  <c r="C1196" i="1"/>
  <c r="S1196" i="1"/>
  <c r="T1196" i="1"/>
  <c r="U1196" i="1"/>
  <c r="BB1196" i="1"/>
  <c r="BW1196" i="1"/>
  <c r="A1197" i="1"/>
  <c r="C1197" i="1"/>
  <c r="S1197" i="1"/>
  <c r="T1197" i="1"/>
  <c r="U1197" i="1"/>
  <c r="BB1197" i="1"/>
  <c r="BW1197" i="1"/>
  <c r="A1198" i="1"/>
  <c r="C1198" i="1"/>
  <c r="S1198" i="1"/>
  <c r="T1198" i="1"/>
  <c r="U1198" i="1"/>
  <c r="BB1198" i="1"/>
  <c r="BW1198" i="1"/>
  <c r="A1199" i="1"/>
  <c r="C1199" i="1"/>
  <c r="S1199" i="1"/>
  <c r="T1199" i="1"/>
  <c r="U1199" i="1"/>
  <c r="BB1199" i="1"/>
  <c r="BW1199" i="1"/>
  <c r="A1200" i="1"/>
  <c r="C1200" i="1"/>
  <c r="S1200" i="1"/>
  <c r="T1200" i="1"/>
  <c r="U1200" i="1"/>
  <c r="BB1200" i="1"/>
  <c r="BW1200" i="1"/>
  <c r="A1201" i="1"/>
  <c r="C1201" i="1"/>
  <c r="S1201" i="1"/>
  <c r="T1201" i="1"/>
  <c r="U1201" i="1"/>
  <c r="BB1201" i="1"/>
  <c r="BW1201" i="1"/>
  <c r="A1202" i="1"/>
  <c r="C1202" i="1"/>
  <c r="S1202" i="1"/>
  <c r="T1202" i="1"/>
  <c r="U1202" i="1"/>
  <c r="BB1202" i="1"/>
  <c r="BW1202" i="1"/>
  <c r="A1203" i="1"/>
  <c r="C1203" i="1"/>
  <c r="S1203" i="1"/>
  <c r="T1203" i="1"/>
  <c r="U1203" i="1"/>
  <c r="BB1203" i="1"/>
  <c r="BW1203" i="1"/>
  <c r="A1204" i="1"/>
  <c r="C1204" i="1"/>
  <c r="S1204" i="1"/>
  <c r="T1204" i="1"/>
  <c r="U1204" i="1"/>
  <c r="BB1204" i="1"/>
  <c r="BW1204" i="1"/>
  <c r="A1205" i="1"/>
  <c r="C1205" i="1"/>
  <c r="S1205" i="1"/>
  <c r="T1205" i="1"/>
  <c r="U1205" i="1"/>
  <c r="BB1205" i="1"/>
  <c r="BW1205" i="1"/>
  <c r="A1206" i="1"/>
  <c r="C1206" i="1"/>
  <c r="S1206" i="1"/>
  <c r="T1206" i="1"/>
  <c r="U1206" i="1"/>
  <c r="BB1206" i="1"/>
  <c r="BW1206" i="1"/>
  <c r="A1207" i="1"/>
  <c r="C1207" i="1"/>
  <c r="S1207" i="1"/>
  <c r="T1207" i="1"/>
  <c r="U1207" i="1"/>
  <c r="BB1207" i="1"/>
  <c r="BW1207" i="1"/>
  <c r="A1208" i="1"/>
  <c r="C1208" i="1"/>
  <c r="S1208" i="1"/>
  <c r="T1208" i="1"/>
  <c r="U1208" i="1"/>
  <c r="BB1208" i="1"/>
  <c r="BW1208" i="1"/>
  <c r="A1209" i="1"/>
  <c r="C1209" i="1"/>
  <c r="S1209" i="1"/>
  <c r="T1209" i="1"/>
  <c r="U1209" i="1"/>
  <c r="BB1209" i="1"/>
  <c r="BW1209" i="1"/>
  <c r="A1210" i="1"/>
  <c r="C1210" i="1"/>
  <c r="S1210" i="1"/>
  <c r="T1210" i="1"/>
  <c r="U1210" i="1"/>
  <c r="BB1210" i="1"/>
  <c r="BW1210" i="1"/>
  <c r="A1211" i="1"/>
  <c r="C1211" i="1"/>
  <c r="S1211" i="1"/>
  <c r="T1211" i="1"/>
  <c r="U1211" i="1"/>
  <c r="BB1211" i="1"/>
  <c r="BW1211" i="1"/>
  <c r="A1212" i="1"/>
  <c r="C1212" i="1"/>
  <c r="S1212" i="1"/>
  <c r="T1212" i="1"/>
  <c r="U1212" i="1"/>
  <c r="BB1212" i="1"/>
  <c r="BW1212" i="1"/>
  <c r="A1213" i="1"/>
  <c r="C1213" i="1"/>
  <c r="S1213" i="1"/>
  <c r="T1213" i="1"/>
  <c r="U1213" i="1"/>
  <c r="BB1213" i="1"/>
  <c r="BW1213" i="1"/>
  <c r="A1214" i="1"/>
  <c r="C1214" i="1"/>
  <c r="S1214" i="1"/>
  <c r="T1214" i="1"/>
  <c r="U1214" i="1"/>
  <c r="BB1214" i="1"/>
  <c r="BW1214" i="1"/>
  <c r="A1215" i="1"/>
  <c r="C1215" i="1"/>
  <c r="S1215" i="1"/>
  <c r="T1215" i="1"/>
  <c r="U1215" i="1"/>
  <c r="BB1215" i="1"/>
  <c r="BW1215" i="1"/>
  <c r="A1216" i="1"/>
  <c r="C1216" i="1"/>
  <c r="S1216" i="1"/>
  <c r="T1216" i="1"/>
  <c r="U1216" i="1"/>
  <c r="BB1216" i="1"/>
  <c r="BW1216" i="1"/>
  <c r="A1217" i="1"/>
  <c r="C1217" i="1"/>
  <c r="S1217" i="1"/>
  <c r="T1217" i="1"/>
  <c r="U1217" i="1"/>
  <c r="BB1217" i="1"/>
  <c r="BW1217" i="1"/>
  <c r="A1218" i="1"/>
  <c r="C1218" i="1"/>
  <c r="S1218" i="1"/>
  <c r="T1218" i="1"/>
  <c r="U1218" i="1"/>
  <c r="BB1218" i="1"/>
  <c r="BW1218" i="1"/>
  <c r="A1219" i="1"/>
  <c r="C1219" i="1"/>
  <c r="S1219" i="1"/>
  <c r="T1219" i="1"/>
  <c r="U1219" i="1"/>
  <c r="BB1219" i="1"/>
  <c r="BW1219" i="1"/>
  <c r="A1220" i="1"/>
  <c r="C1220" i="1"/>
  <c r="S1220" i="1"/>
  <c r="T1220" i="1"/>
  <c r="U1220" i="1"/>
  <c r="BB1220" i="1"/>
  <c r="BW1220" i="1"/>
  <c r="A1221" i="1"/>
  <c r="C1221" i="1"/>
  <c r="S1221" i="1"/>
  <c r="T1221" i="1"/>
  <c r="U1221" i="1"/>
  <c r="BB1221" i="1"/>
  <c r="BW1221" i="1"/>
  <c r="A1222" i="1"/>
  <c r="C1222" i="1"/>
  <c r="S1222" i="1"/>
  <c r="T1222" i="1"/>
  <c r="U1222" i="1"/>
  <c r="BB1222" i="1"/>
  <c r="BW1222" i="1"/>
  <c r="A1223" i="1"/>
  <c r="C1223" i="1"/>
  <c r="S1223" i="1"/>
  <c r="T1223" i="1"/>
  <c r="U1223" i="1"/>
  <c r="BB1223" i="1"/>
  <c r="BW1223" i="1"/>
  <c r="A1224" i="1"/>
  <c r="C1224" i="1"/>
  <c r="S1224" i="1"/>
  <c r="T1224" i="1"/>
  <c r="U1224" i="1"/>
  <c r="BB1224" i="1"/>
  <c r="BW1224" i="1"/>
  <c r="A1225" i="1"/>
  <c r="C1225" i="1"/>
  <c r="S1225" i="1"/>
  <c r="T1225" i="1"/>
  <c r="U1225" i="1"/>
  <c r="BB1225" i="1"/>
  <c r="BW1225" i="1"/>
  <c r="A1226" i="1"/>
  <c r="C1226" i="1"/>
  <c r="S1226" i="1"/>
  <c r="T1226" i="1"/>
  <c r="U1226" i="1"/>
  <c r="BB1226" i="1"/>
  <c r="BW1226" i="1"/>
  <c r="A1227" i="1"/>
  <c r="C1227" i="1"/>
  <c r="S1227" i="1"/>
  <c r="T1227" i="1"/>
  <c r="U1227" i="1"/>
  <c r="BB1227" i="1"/>
  <c r="BW1227" i="1"/>
  <c r="A1228" i="1"/>
  <c r="C1228" i="1"/>
  <c r="S1228" i="1"/>
  <c r="T1228" i="1"/>
  <c r="U1228" i="1"/>
  <c r="BB1228" i="1"/>
  <c r="BW1228" i="1"/>
  <c r="A1229" i="1"/>
  <c r="C1229" i="1"/>
  <c r="S1229" i="1"/>
  <c r="T1229" i="1"/>
  <c r="U1229" i="1"/>
  <c r="BB1229" i="1"/>
  <c r="BW1229" i="1"/>
  <c r="A1230" i="1"/>
  <c r="C1230" i="1"/>
  <c r="S1230" i="1"/>
  <c r="T1230" i="1"/>
  <c r="U1230" i="1"/>
  <c r="BB1230" i="1"/>
  <c r="BW1230" i="1"/>
  <c r="A1231" i="1"/>
  <c r="C1231" i="1"/>
  <c r="S1231" i="1"/>
  <c r="T1231" i="1"/>
  <c r="U1231" i="1"/>
  <c r="BB1231" i="1"/>
  <c r="BW1231" i="1"/>
  <c r="A1232" i="1"/>
  <c r="C1232" i="1"/>
  <c r="S1232" i="1"/>
  <c r="T1232" i="1"/>
  <c r="U1232" i="1"/>
  <c r="BB1232" i="1"/>
  <c r="BW1232" i="1"/>
  <c r="A1233" i="1"/>
  <c r="C1233" i="1"/>
  <c r="S1233" i="1"/>
  <c r="T1233" i="1"/>
  <c r="U1233" i="1"/>
  <c r="BB1233" i="1"/>
  <c r="BW1233" i="1"/>
  <c r="A1234" i="1"/>
  <c r="C1234" i="1"/>
  <c r="S1234" i="1"/>
  <c r="T1234" i="1"/>
  <c r="U1234" i="1"/>
  <c r="BB1234" i="1"/>
  <c r="BW1234" i="1"/>
  <c r="A1235" i="1"/>
  <c r="C1235" i="1"/>
  <c r="S1235" i="1"/>
  <c r="T1235" i="1"/>
  <c r="U1235" i="1"/>
  <c r="BB1235" i="1"/>
  <c r="BW1235" i="1"/>
  <c r="A1236" i="1"/>
  <c r="C1236" i="1"/>
  <c r="S1236" i="1"/>
  <c r="T1236" i="1"/>
  <c r="U1236" i="1"/>
  <c r="BB1236" i="1"/>
  <c r="BW1236" i="1"/>
  <c r="A1237" i="1"/>
  <c r="C1237" i="1"/>
  <c r="S1237" i="1"/>
  <c r="T1237" i="1"/>
  <c r="U1237" i="1"/>
  <c r="BB1237" i="1"/>
  <c r="BW1237" i="1"/>
  <c r="A1238" i="1"/>
  <c r="C1238" i="1"/>
  <c r="S1238" i="1"/>
  <c r="T1238" i="1"/>
  <c r="U1238" i="1"/>
  <c r="BB1238" i="1"/>
  <c r="BW1238" i="1"/>
  <c r="A1239" i="1"/>
  <c r="C1239" i="1"/>
  <c r="S1239" i="1"/>
  <c r="T1239" i="1"/>
  <c r="U1239" i="1"/>
  <c r="BB1239" i="1"/>
  <c r="BW1239" i="1"/>
  <c r="A1240" i="1"/>
  <c r="C1240" i="1"/>
  <c r="S1240" i="1"/>
  <c r="T1240" i="1"/>
  <c r="U1240" i="1"/>
  <c r="BB1240" i="1"/>
  <c r="BW1240" i="1"/>
  <c r="A1241" i="1"/>
  <c r="C1241" i="1"/>
  <c r="S1241" i="1"/>
  <c r="T1241" i="1"/>
  <c r="U1241" i="1"/>
  <c r="BB1241" i="1"/>
  <c r="BW1241" i="1"/>
  <c r="A1242" i="1"/>
  <c r="C1242" i="1"/>
  <c r="S1242" i="1"/>
  <c r="T1242" i="1"/>
  <c r="U1242" i="1"/>
  <c r="BB1242" i="1"/>
  <c r="BW1242" i="1"/>
  <c r="A1243" i="1"/>
  <c r="C1243" i="1"/>
  <c r="S1243" i="1"/>
  <c r="T1243" i="1"/>
  <c r="U1243" i="1"/>
  <c r="BB1243" i="1"/>
  <c r="BW1243" i="1"/>
  <c r="A1244" i="1"/>
  <c r="C1244" i="1"/>
  <c r="S1244" i="1"/>
  <c r="T1244" i="1"/>
  <c r="U1244" i="1"/>
  <c r="BB1244" i="1"/>
  <c r="BW1244" i="1"/>
  <c r="A1245" i="1"/>
  <c r="C1245" i="1"/>
  <c r="S1245" i="1"/>
  <c r="T1245" i="1"/>
  <c r="U1245" i="1"/>
  <c r="BB1245" i="1"/>
  <c r="BW1245" i="1"/>
  <c r="A1246" i="1"/>
  <c r="C1246" i="1"/>
  <c r="S1246" i="1"/>
  <c r="T1246" i="1"/>
  <c r="U1246" i="1"/>
  <c r="BB1246" i="1"/>
  <c r="BW1246" i="1"/>
  <c r="A1247" i="1"/>
  <c r="C1247" i="1"/>
  <c r="S1247" i="1"/>
  <c r="T1247" i="1"/>
  <c r="U1247" i="1"/>
  <c r="BB1247" i="1"/>
  <c r="BW1247" i="1"/>
  <c r="A1248" i="1"/>
  <c r="C1248" i="1"/>
  <c r="S1248" i="1"/>
  <c r="T1248" i="1"/>
  <c r="U1248" i="1"/>
  <c r="BB1248" i="1"/>
  <c r="BW1248" i="1"/>
  <c r="A1249" i="1"/>
  <c r="C1249" i="1"/>
  <c r="S1249" i="1"/>
  <c r="T1249" i="1"/>
  <c r="U1249" i="1"/>
  <c r="BB1249" i="1"/>
  <c r="BW1249" i="1"/>
  <c r="A1250" i="1"/>
  <c r="C1250" i="1"/>
  <c r="S1250" i="1"/>
  <c r="T1250" i="1"/>
  <c r="U1250" i="1"/>
  <c r="BB1250" i="1"/>
  <c r="BW1250" i="1"/>
  <c r="A1251" i="1"/>
  <c r="C1251" i="1"/>
  <c r="S1251" i="1"/>
  <c r="T1251" i="1"/>
  <c r="U1251" i="1"/>
  <c r="BB1251" i="1"/>
  <c r="BW1251" i="1"/>
  <c r="A1252" i="1"/>
  <c r="C1252" i="1"/>
  <c r="S1252" i="1"/>
  <c r="T1252" i="1"/>
  <c r="U1252" i="1"/>
  <c r="BB1252" i="1"/>
  <c r="BW1252" i="1"/>
  <c r="A1253" i="1"/>
  <c r="C1253" i="1"/>
  <c r="S1253" i="1"/>
  <c r="T1253" i="1"/>
  <c r="U1253" i="1"/>
  <c r="BB1253" i="1"/>
  <c r="BW1253" i="1"/>
  <c r="A1254" i="1"/>
  <c r="C1254" i="1"/>
  <c r="S1254" i="1"/>
  <c r="T1254" i="1"/>
  <c r="U1254" i="1"/>
  <c r="BB1254" i="1"/>
  <c r="BW1254" i="1"/>
  <c r="A1255" i="1"/>
  <c r="C1255" i="1"/>
  <c r="S1255" i="1"/>
  <c r="T1255" i="1"/>
  <c r="U1255" i="1"/>
  <c r="BB1255" i="1"/>
  <c r="BW1255" i="1"/>
  <c r="A1256" i="1"/>
  <c r="C1256" i="1"/>
  <c r="S1256" i="1"/>
  <c r="T1256" i="1"/>
  <c r="U1256" i="1"/>
  <c r="BB1256" i="1"/>
  <c r="BW1256" i="1"/>
  <c r="A1257" i="1"/>
  <c r="C1257" i="1"/>
  <c r="S1257" i="1"/>
  <c r="T1257" i="1"/>
  <c r="U1257" i="1"/>
  <c r="BB1257" i="1"/>
  <c r="BW1257" i="1"/>
  <c r="A1258" i="1"/>
  <c r="C1258" i="1"/>
  <c r="S1258" i="1"/>
  <c r="T1258" i="1"/>
  <c r="U1258" i="1"/>
  <c r="BB1258" i="1"/>
  <c r="BW1258" i="1"/>
  <c r="A1259" i="1"/>
  <c r="C1259" i="1"/>
  <c r="S1259" i="1"/>
  <c r="T1259" i="1"/>
  <c r="U1259" i="1"/>
  <c r="BB1259" i="1"/>
  <c r="BW1259" i="1"/>
  <c r="A1260" i="1"/>
  <c r="C1260" i="1"/>
  <c r="S1260" i="1"/>
  <c r="T1260" i="1"/>
  <c r="U1260" i="1"/>
  <c r="BB1260" i="1"/>
  <c r="BW1260" i="1"/>
  <c r="A1261" i="1"/>
  <c r="C1261" i="1"/>
  <c r="S1261" i="1"/>
  <c r="T1261" i="1"/>
  <c r="U1261" i="1"/>
  <c r="BB1261" i="1"/>
  <c r="BW1261" i="1"/>
  <c r="A1262" i="1"/>
  <c r="C1262" i="1"/>
  <c r="S1262" i="1"/>
  <c r="T1262" i="1"/>
  <c r="U1262" i="1"/>
  <c r="BB1262" i="1"/>
  <c r="BW1262" i="1"/>
  <c r="A1263" i="1"/>
  <c r="C1263" i="1"/>
  <c r="S1263" i="1"/>
  <c r="T1263" i="1"/>
  <c r="U1263" i="1"/>
  <c r="BB1263" i="1"/>
  <c r="BW1263" i="1"/>
  <c r="A1264" i="1"/>
  <c r="C1264" i="1"/>
  <c r="S1264" i="1"/>
  <c r="T1264" i="1"/>
  <c r="U1264" i="1"/>
  <c r="BB1264" i="1"/>
  <c r="BW1264" i="1"/>
  <c r="A1265" i="1"/>
  <c r="C1265" i="1"/>
  <c r="S1265" i="1"/>
  <c r="T1265" i="1"/>
  <c r="U1265" i="1"/>
  <c r="BB1265" i="1"/>
  <c r="BW1265" i="1"/>
  <c r="A1266" i="1"/>
  <c r="C1266" i="1"/>
  <c r="S1266" i="1"/>
  <c r="T1266" i="1"/>
  <c r="U1266" i="1"/>
  <c r="BB1266" i="1"/>
  <c r="BW1266" i="1"/>
  <c r="A1267" i="1"/>
  <c r="C1267" i="1"/>
  <c r="S1267" i="1"/>
  <c r="T1267" i="1"/>
  <c r="U1267" i="1"/>
  <c r="BB1267" i="1"/>
  <c r="BW1267" i="1"/>
  <c r="A1268" i="1"/>
  <c r="C1268" i="1"/>
  <c r="S1268" i="1"/>
  <c r="T1268" i="1"/>
  <c r="U1268" i="1"/>
  <c r="BB1268" i="1"/>
  <c r="BW1268" i="1"/>
  <c r="A1269" i="1"/>
  <c r="C1269" i="1"/>
  <c r="S1269" i="1"/>
  <c r="T1269" i="1"/>
  <c r="U1269" i="1"/>
  <c r="BB1269" i="1"/>
  <c r="BW1269" i="1"/>
  <c r="A1270" i="1"/>
  <c r="C1270" i="1"/>
  <c r="S1270" i="1"/>
  <c r="T1270" i="1"/>
  <c r="U1270" i="1"/>
  <c r="BB1270" i="1"/>
  <c r="BW1270" i="1"/>
  <c r="A1271" i="1"/>
  <c r="C1271" i="1"/>
  <c r="S1271" i="1"/>
  <c r="T1271" i="1"/>
  <c r="U1271" i="1"/>
  <c r="BB1271" i="1"/>
  <c r="BW1271" i="1"/>
  <c r="A1272" i="1"/>
  <c r="C1272" i="1"/>
  <c r="S1272" i="1"/>
  <c r="T1272" i="1"/>
  <c r="U1272" i="1"/>
  <c r="BB1272" i="1"/>
  <c r="BW1272" i="1"/>
  <c r="A1273" i="1"/>
  <c r="C1273" i="1"/>
  <c r="S1273" i="1"/>
  <c r="T1273" i="1"/>
  <c r="U1273" i="1"/>
  <c r="BB1273" i="1"/>
  <c r="BW1273" i="1"/>
  <c r="A1274" i="1"/>
  <c r="C1274" i="1"/>
  <c r="S1274" i="1"/>
  <c r="T1274" i="1"/>
  <c r="U1274" i="1"/>
  <c r="BB1274" i="1"/>
  <c r="BW1274" i="1"/>
  <c r="A1275" i="1"/>
  <c r="C1275" i="1"/>
  <c r="S1275" i="1"/>
  <c r="T1275" i="1"/>
  <c r="U1275" i="1"/>
  <c r="BB1275" i="1"/>
  <c r="BW1275" i="1"/>
  <c r="A1276" i="1"/>
  <c r="C1276" i="1"/>
  <c r="S1276" i="1"/>
  <c r="T1276" i="1"/>
  <c r="U1276" i="1"/>
  <c r="BB1276" i="1"/>
  <c r="BW1276" i="1"/>
  <c r="A1277" i="1"/>
  <c r="C1277" i="1"/>
  <c r="S1277" i="1"/>
  <c r="T1277" i="1"/>
  <c r="U1277" i="1"/>
  <c r="BB1277" i="1"/>
  <c r="BW1277" i="1"/>
  <c r="A1278" i="1"/>
  <c r="C1278" i="1"/>
  <c r="S1278" i="1"/>
  <c r="T1278" i="1"/>
  <c r="U1278" i="1"/>
  <c r="BB1278" i="1"/>
  <c r="BW1278" i="1"/>
  <c r="A1279" i="1"/>
  <c r="C1279" i="1"/>
  <c r="S1279" i="1"/>
  <c r="T1279" i="1"/>
  <c r="U1279" i="1"/>
  <c r="BB1279" i="1"/>
  <c r="BW1279" i="1"/>
  <c r="A1280" i="1"/>
  <c r="C1280" i="1"/>
  <c r="S1280" i="1"/>
  <c r="T1280" i="1"/>
  <c r="U1280" i="1"/>
  <c r="BB1280" i="1"/>
  <c r="BW1280" i="1"/>
  <c r="A1281" i="1"/>
  <c r="C1281" i="1"/>
  <c r="S1281" i="1"/>
  <c r="T1281" i="1"/>
  <c r="U1281" i="1"/>
  <c r="BB1281" i="1"/>
  <c r="BW1281" i="1"/>
  <c r="A1282" i="1"/>
  <c r="C1282" i="1"/>
  <c r="S1282" i="1"/>
  <c r="T1282" i="1"/>
  <c r="U1282" i="1"/>
  <c r="BB1282" i="1"/>
  <c r="BW1282" i="1"/>
  <c r="A1283" i="1"/>
  <c r="C1283" i="1"/>
  <c r="S1283" i="1"/>
  <c r="T1283" i="1"/>
  <c r="U1283" i="1"/>
  <c r="BB1283" i="1"/>
  <c r="BW1283" i="1"/>
  <c r="A1284" i="1"/>
  <c r="C1284" i="1"/>
  <c r="S1284" i="1"/>
  <c r="T1284" i="1"/>
  <c r="U1284" i="1"/>
  <c r="BB1284" i="1"/>
  <c r="BW1284" i="1"/>
  <c r="A1285" i="1"/>
  <c r="C1285" i="1"/>
  <c r="S1285" i="1"/>
  <c r="T1285" i="1"/>
  <c r="U1285" i="1"/>
  <c r="BB1285" i="1"/>
  <c r="BW1285" i="1"/>
  <c r="A1286" i="1"/>
  <c r="C1286" i="1"/>
  <c r="S1286" i="1"/>
  <c r="T1286" i="1"/>
  <c r="U1286" i="1"/>
  <c r="BB1286" i="1"/>
  <c r="BW1286" i="1"/>
  <c r="A1287" i="1"/>
  <c r="C1287" i="1"/>
  <c r="S1287" i="1"/>
  <c r="T1287" i="1"/>
  <c r="U1287" i="1"/>
  <c r="BB1287" i="1"/>
  <c r="BW1287" i="1"/>
  <c r="A1288" i="1"/>
  <c r="C1288" i="1"/>
  <c r="S1288" i="1"/>
  <c r="T1288" i="1"/>
  <c r="U1288" i="1"/>
  <c r="BB1288" i="1"/>
  <c r="BW1288" i="1"/>
  <c r="A1289" i="1"/>
  <c r="C1289" i="1"/>
  <c r="S1289" i="1"/>
  <c r="T1289" i="1"/>
  <c r="U1289" i="1"/>
  <c r="BB1289" i="1"/>
  <c r="BW1289" i="1"/>
  <c r="A1290" i="1"/>
  <c r="C1290" i="1"/>
  <c r="S1290" i="1"/>
  <c r="T1290" i="1"/>
  <c r="U1290" i="1"/>
  <c r="BB1290" i="1"/>
  <c r="BW1290" i="1"/>
  <c r="A1291" i="1"/>
  <c r="C1291" i="1"/>
  <c r="S1291" i="1"/>
  <c r="T1291" i="1"/>
  <c r="U1291" i="1"/>
  <c r="BB1291" i="1"/>
  <c r="BW1291" i="1"/>
  <c r="A1292" i="1"/>
  <c r="C1292" i="1"/>
  <c r="S1292" i="1"/>
  <c r="T1292" i="1"/>
  <c r="U1292" i="1"/>
  <c r="BB1292" i="1"/>
  <c r="BW1292" i="1"/>
  <c r="A1293" i="1"/>
  <c r="C1293" i="1"/>
  <c r="S1293" i="1"/>
  <c r="T1293" i="1"/>
  <c r="U1293" i="1"/>
  <c r="BB1293" i="1"/>
  <c r="BW1293" i="1"/>
  <c r="A1294" i="1"/>
  <c r="C1294" i="1"/>
  <c r="S1294" i="1"/>
  <c r="T1294" i="1"/>
  <c r="U1294" i="1"/>
  <c r="BB1294" i="1"/>
  <c r="BW1294" i="1"/>
  <c r="A1295" i="1"/>
  <c r="C1295" i="1"/>
  <c r="S1295" i="1"/>
  <c r="T1295" i="1"/>
  <c r="U1295" i="1"/>
  <c r="BB1295" i="1"/>
  <c r="BW1295" i="1"/>
  <c r="A1296" i="1"/>
  <c r="C1296" i="1"/>
  <c r="S1296" i="1"/>
  <c r="T1296" i="1"/>
  <c r="U1296" i="1"/>
  <c r="BB1296" i="1"/>
  <c r="BW1296" i="1"/>
  <c r="A1297" i="1"/>
  <c r="C1297" i="1"/>
  <c r="S1297" i="1"/>
  <c r="T1297" i="1"/>
  <c r="U1297" i="1"/>
  <c r="BB1297" i="1"/>
  <c r="BW1297" i="1"/>
  <c r="A1298" i="1"/>
  <c r="C1298" i="1"/>
  <c r="S1298" i="1"/>
  <c r="T1298" i="1"/>
  <c r="U1298" i="1"/>
  <c r="BB1298" i="1"/>
  <c r="BW1298" i="1"/>
  <c r="A1299" i="1"/>
  <c r="C1299" i="1"/>
  <c r="S1299" i="1"/>
  <c r="T1299" i="1"/>
  <c r="U1299" i="1"/>
  <c r="BB1299" i="1"/>
  <c r="BW1299" i="1"/>
  <c r="A1300" i="1"/>
  <c r="C1300" i="1"/>
  <c r="S1300" i="1"/>
  <c r="T1300" i="1"/>
  <c r="U1300" i="1"/>
  <c r="BB1300" i="1"/>
  <c r="BW1300" i="1"/>
  <c r="A1301" i="1"/>
  <c r="C1301" i="1"/>
  <c r="S1301" i="1"/>
  <c r="T1301" i="1"/>
  <c r="U1301" i="1"/>
  <c r="BB1301" i="1"/>
  <c r="BW1301" i="1"/>
  <c r="A1302" i="1"/>
  <c r="C1302" i="1"/>
  <c r="S1302" i="1"/>
  <c r="T1302" i="1"/>
  <c r="U1302" i="1"/>
  <c r="BB1302" i="1"/>
  <c r="BW1302" i="1"/>
  <c r="A1303" i="1"/>
  <c r="C1303" i="1"/>
  <c r="S1303" i="1"/>
  <c r="T1303" i="1"/>
  <c r="U1303" i="1"/>
  <c r="BB1303" i="1"/>
  <c r="BW1303" i="1"/>
  <c r="A1304" i="1"/>
  <c r="C1304" i="1"/>
  <c r="S1304" i="1"/>
  <c r="T1304" i="1"/>
  <c r="U1304" i="1"/>
  <c r="BB1304" i="1"/>
  <c r="BW1304" i="1"/>
  <c r="A1305" i="1"/>
  <c r="C1305" i="1"/>
  <c r="S1305" i="1"/>
  <c r="T1305" i="1"/>
  <c r="U1305" i="1"/>
  <c r="BB1305" i="1"/>
  <c r="BW1305" i="1"/>
  <c r="A1306" i="1"/>
  <c r="C1306" i="1"/>
  <c r="S1306" i="1"/>
  <c r="T1306" i="1"/>
  <c r="U1306" i="1"/>
  <c r="BB1306" i="1"/>
  <c r="BW1306" i="1"/>
  <c r="A1307" i="1"/>
  <c r="C1307" i="1"/>
  <c r="S1307" i="1"/>
  <c r="T1307" i="1"/>
  <c r="U1307" i="1"/>
  <c r="BB1307" i="1"/>
  <c r="BW1307" i="1"/>
  <c r="A1308" i="1"/>
  <c r="C1308" i="1"/>
  <c r="S1308" i="1"/>
  <c r="T1308" i="1"/>
  <c r="U1308" i="1"/>
  <c r="BB1308" i="1"/>
  <c r="BW1308" i="1"/>
  <c r="A1309" i="1"/>
  <c r="C1309" i="1"/>
  <c r="S1309" i="1"/>
  <c r="T1309" i="1"/>
  <c r="U1309" i="1"/>
  <c r="BB1309" i="1"/>
  <c r="BW1309" i="1"/>
  <c r="A1310" i="1"/>
  <c r="C1310" i="1"/>
  <c r="S1310" i="1"/>
  <c r="T1310" i="1"/>
  <c r="U1310" i="1"/>
  <c r="BB1310" i="1"/>
  <c r="BW1310" i="1"/>
  <c r="A1311" i="1"/>
  <c r="C1311" i="1"/>
  <c r="S1311" i="1"/>
  <c r="T1311" i="1"/>
  <c r="U1311" i="1"/>
  <c r="BB1311" i="1"/>
  <c r="BW1311" i="1"/>
  <c r="A1312" i="1"/>
  <c r="C1312" i="1"/>
  <c r="S1312" i="1"/>
  <c r="T1312" i="1"/>
  <c r="U1312" i="1"/>
  <c r="BB1312" i="1"/>
  <c r="BW1312" i="1"/>
  <c r="A1313" i="1"/>
  <c r="C1313" i="1"/>
  <c r="S1313" i="1"/>
  <c r="T1313" i="1"/>
  <c r="U1313" i="1"/>
  <c r="BB1313" i="1"/>
  <c r="BW1313" i="1"/>
  <c r="A1314" i="1"/>
  <c r="C1314" i="1"/>
  <c r="S1314" i="1"/>
  <c r="T1314" i="1"/>
  <c r="U1314" i="1"/>
  <c r="BB1314" i="1"/>
  <c r="BW1314" i="1"/>
  <c r="A1315" i="1"/>
  <c r="C1315" i="1"/>
  <c r="S1315" i="1"/>
  <c r="T1315" i="1"/>
  <c r="U1315" i="1"/>
  <c r="BB1315" i="1"/>
  <c r="BW1315" i="1"/>
  <c r="A1316" i="1"/>
  <c r="C1316" i="1"/>
  <c r="S1316" i="1"/>
  <c r="T1316" i="1"/>
  <c r="U1316" i="1"/>
  <c r="BB1316" i="1"/>
  <c r="BW1316" i="1"/>
  <c r="A1317" i="1"/>
  <c r="C1317" i="1"/>
  <c r="S1317" i="1"/>
  <c r="T1317" i="1"/>
  <c r="U1317" i="1"/>
  <c r="BB1317" i="1"/>
  <c r="BW1317" i="1"/>
  <c r="A1318" i="1"/>
  <c r="C1318" i="1"/>
  <c r="S1318" i="1"/>
  <c r="T1318" i="1"/>
  <c r="U1318" i="1"/>
  <c r="BB1318" i="1"/>
  <c r="BW1318" i="1"/>
  <c r="A1319" i="1"/>
  <c r="C1319" i="1"/>
  <c r="S1319" i="1"/>
  <c r="T1319" i="1"/>
  <c r="U1319" i="1"/>
  <c r="BB1319" i="1"/>
  <c r="BW1319" i="1"/>
  <c r="A1320" i="1"/>
  <c r="C1320" i="1"/>
  <c r="S1320" i="1"/>
  <c r="T1320" i="1"/>
  <c r="U1320" i="1"/>
  <c r="BB1320" i="1"/>
  <c r="BW1320" i="1"/>
  <c r="A1321" i="1"/>
  <c r="C1321" i="1"/>
  <c r="S1321" i="1"/>
  <c r="T1321" i="1"/>
  <c r="U1321" i="1"/>
  <c r="BB1321" i="1"/>
  <c r="BW1321" i="1"/>
  <c r="A1322" i="1"/>
  <c r="C1322" i="1"/>
  <c r="S1322" i="1"/>
  <c r="T1322" i="1"/>
  <c r="U1322" i="1"/>
  <c r="BB1322" i="1"/>
  <c r="BW1322" i="1"/>
  <c r="A1323" i="1"/>
  <c r="C1323" i="1"/>
  <c r="S1323" i="1"/>
  <c r="T1323" i="1"/>
  <c r="U1323" i="1"/>
  <c r="BB1323" i="1"/>
  <c r="BW1323" i="1"/>
  <c r="A1324" i="1"/>
  <c r="C1324" i="1"/>
  <c r="S1324" i="1"/>
  <c r="T1324" i="1"/>
  <c r="U1324" i="1"/>
  <c r="BB1324" i="1"/>
  <c r="BW1324" i="1"/>
  <c r="A1325" i="1"/>
  <c r="C1325" i="1"/>
  <c r="S1325" i="1"/>
  <c r="T1325" i="1"/>
  <c r="U1325" i="1"/>
  <c r="BB1325" i="1"/>
  <c r="BW1325" i="1"/>
  <c r="A1326" i="1"/>
  <c r="C1326" i="1"/>
  <c r="S1326" i="1"/>
  <c r="T1326" i="1"/>
  <c r="U1326" i="1"/>
  <c r="BB1326" i="1"/>
  <c r="BW1326" i="1"/>
  <c r="A1327" i="1"/>
  <c r="C1327" i="1"/>
  <c r="S1327" i="1"/>
  <c r="T1327" i="1"/>
  <c r="U1327" i="1"/>
  <c r="BB1327" i="1"/>
  <c r="BW1327" i="1"/>
  <c r="A1328" i="1"/>
  <c r="C1328" i="1"/>
  <c r="S1328" i="1"/>
  <c r="T1328" i="1"/>
  <c r="U1328" i="1"/>
  <c r="BB1328" i="1"/>
  <c r="BW1328" i="1"/>
  <c r="A1329" i="1"/>
  <c r="C1329" i="1"/>
  <c r="S1329" i="1"/>
  <c r="T1329" i="1"/>
  <c r="U1329" i="1"/>
  <c r="BB1329" i="1"/>
  <c r="BW1329" i="1"/>
  <c r="A1330" i="1"/>
  <c r="C1330" i="1"/>
  <c r="S1330" i="1"/>
  <c r="T1330" i="1"/>
  <c r="U1330" i="1"/>
  <c r="BB1330" i="1"/>
  <c r="BW1330" i="1"/>
  <c r="A1331" i="1"/>
  <c r="C1331" i="1"/>
  <c r="S1331" i="1"/>
  <c r="T1331" i="1"/>
  <c r="U1331" i="1"/>
  <c r="BB1331" i="1"/>
  <c r="BW1331" i="1"/>
  <c r="A1332" i="1"/>
  <c r="C1332" i="1"/>
  <c r="S1332" i="1"/>
  <c r="T1332" i="1"/>
  <c r="U1332" i="1"/>
  <c r="BB1332" i="1"/>
  <c r="BW1332" i="1"/>
  <c r="A1333" i="1"/>
  <c r="C1333" i="1"/>
  <c r="S1333" i="1"/>
  <c r="T1333" i="1"/>
  <c r="U1333" i="1"/>
  <c r="BB1333" i="1"/>
  <c r="BW1333" i="1"/>
  <c r="A1334" i="1"/>
  <c r="C1334" i="1"/>
  <c r="S1334" i="1"/>
  <c r="T1334" i="1"/>
  <c r="U1334" i="1"/>
  <c r="BB1334" i="1"/>
  <c r="BW1334" i="1"/>
  <c r="A1335" i="1"/>
  <c r="C1335" i="1"/>
  <c r="S1335" i="1"/>
  <c r="T1335" i="1"/>
  <c r="U1335" i="1"/>
  <c r="BB1335" i="1"/>
  <c r="BW1335" i="1"/>
  <c r="A1336" i="1"/>
  <c r="C1336" i="1"/>
  <c r="S1336" i="1"/>
  <c r="T1336" i="1"/>
  <c r="U1336" i="1"/>
  <c r="BB1336" i="1"/>
  <c r="BW1336" i="1"/>
  <c r="A1337" i="1"/>
  <c r="C1337" i="1"/>
  <c r="S1337" i="1"/>
  <c r="T1337" i="1"/>
  <c r="U1337" i="1"/>
  <c r="BB1337" i="1"/>
  <c r="BW1337" i="1"/>
  <c r="A1338" i="1"/>
  <c r="C1338" i="1"/>
  <c r="S1338" i="1"/>
  <c r="T1338" i="1"/>
  <c r="U1338" i="1"/>
  <c r="BB1338" i="1"/>
  <c r="BW1338" i="1"/>
  <c r="A1339" i="1"/>
  <c r="C1339" i="1"/>
  <c r="S1339" i="1"/>
  <c r="T1339" i="1"/>
  <c r="U1339" i="1"/>
  <c r="BB1339" i="1"/>
  <c r="BW1339" i="1"/>
  <c r="A1340" i="1"/>
  <c r="C1340" i="1"/>
  <c r="S1340" i="1"/>
  <c r="T1340" i="1"/>
  <c r="U1340" i="1"/>
  <c r="BB1340" i="1"/>
  <c r="BW1340" i="1"/>
  <c r="A1341" i="1"/>
  <c r="C1341" i="1"/>
  <c r="S1341" i="1"/>
  <c r="T1341" i="1"/>
  <c r="U1341" i="1"/>
  <c r="BB1341" i="1"/>
  <c r="BW1341" i="1"/>
  <c r="A1342" i="1"/>
  <c r="C1342" i="1"/>
  <c r="S1342" i="1"/>
  <c r="T1342" i="1"/>
  <c r="U1342" i="1"/>
  <c r="BB1342" i="1"/>
  <c r="BW1342" i="1"/>
  <c r="A1343" i="1"/>
  <c r="C1343" i="1"/>
  <c r="S1343" i="1"/>
  <c r="T1343" i="1"/>
  <c r="U1343" i="1"/>
  <c r="BB1343" i="1"/>
  <c r="BW1343" i="1"/>
  <c r="A1344" i="1"/>
  <c r="C1344" i="1"/>
  <c r="S1344" i="1"/>
  <c r="T1344" i="1"/>
  <c r="U1344" i="1"/>
  <c r="BB1344" i="1"/>
  <c r="BW1344" i="1"/>
  <c r="A1345" i="1"/>
  <c r="C1345" i="1"/>
  <c r="S1345" i="1"/>
  <c r="T1345" i="1"/>
  <c r="U1345" i="1"/>
  <c r="BB1345" i="1"/>
  <c r="BW1345" i="1"/>
  <c r="A1346" i="1"/>
  <c r="C1346" i="1"/>
  <c r="S1346" i="1"/>
  <c r="T1346" i="1"/>
  <c r="U1346" i="1"/>
  <c r="BB1346" i="1"/>
  <c r="BW1346" i="1"/>
  <c r="A1347" i="1"/>
  <c r="C1347" i="1"/>
  <c r="S1347" i="1"/>
  <c r="T1347" i="1"/>
  <c r="U1347" i="1"/>
  <c r="BB1347" i="1"/>
  <c r="BW1347" i="1"/>
  <c r="A1348" i="1"/>
  <c r="C1348" i="1"/>
  <c r="S1348" i="1"/>
  <c r="T1348" i="1"/>
  <c r="U1348" i="1"/>
  <c r="BB1348" i="1"/>
  <c r="BW1348" i="1"/>
  <c r="A1349" i="1"/>
  <c r="C1349" i="1"/>
  <c r="S1349" i="1"/>
  <c r="T1349" i="1"/>
  <c r="U1349" i="1"/>
  <c r="BB1349" i="1"/>
  <c r="BW1349" i="1"/>
  <c r="A1350" i="1"/>
  <c r="C1350" i="1"/>
  <c r="S1350" i="1"/>
  <c r="T1350" i="1"/>
  <c r="U1350" i="1"/>
  <c r="BB1350" i="1"/>
  <c r="BW1350" i="1"/>
  <c r="A1351" i="1"/>
  <c r="C1351" i="1"/>
  <c r="S1351" i="1"/>
  <c r="T1351" i="1"/>
  <c r="U1351" i="1"/>
  <c r="BB1351" i="1"/>
  <c r="BW1351" i="1"/>
  <c r="A1352" i="1"/>
  <c r="C1352" i="1"/>
  <c r="S1352" i="1"/>
  <c r="T1352" i="1"/>
  <c r="U1352" i="1"/>
  <c r="BB1352" i="1"/>
  <c r="BW1352" i="1"/>
  <c r="A1353" i="1"/>
  <c r="C1353" i="1"/>
  <c r="S1353" i="1"/>
  <c r="T1353" i="1"/>
  <c r="U1353" i="1"/>
  <c r="BB1353" i="1"/>
  <c r="BW1353" i="1"/>
  <c r="A1354" i="1"/>
  <c r="C1354" i="1"/>
  <c r="S1354" i="1"/>
  <c r="T1354" i="1"/>
  <c r="U1354" i="1"/>
  <c r="BB1354" i="1"/>
  <c r="BW1354" i="1"/>
  <c r="A1355" i="1"/>
  <c r="C1355" i="1"/>
  <c r="S1355" i="1"/>
  <c r="T1355" i="1"/>
  <c r="U1355" i="1"/>
  <c r="BB1355" i="1"/>
  <c r="BW1355" i="1"/>
  <c r="A1356" i="1"/>
  <c r="C1356" i="1"/>
  <c r="S1356" i="1"/>
  <c r="T1356" i="1"/>
  <c r="U1356" i="1"/>
  <c r="BB1356" i="1"/>
  <c r="BW1356" i="1"/>
  <c r="A1357" i="1"/>
  <c r="C1357" i="1"/>
  <c r="S1357" i="1"/>
  <c r="T1357" i="1"/>
  <c r="U1357" i="1"/>
  <c r="BB1357" i="1"/>
  <c r="BW1357" i="1"/>
  <c r="A1358" i="1"/>
  <c r="C1358" i="1"/>
  <c r="S1358" i="1"/>
  <c r="T1358" i="1"/>
  <c r="U1358" i="1"/>
  <c r="BB1358" i="1"/>
  <c r="BW1358" i="1"/>
  <c r="A1359" i="1"/>
  <c r="C1359" i="1"/>
  <c r="S1359" i="1"/>
  <c r="T1359" i="1"/>
  <c r="U1359" i="1"/>
  <c r="BB1359" i="1"/>
  <c r="BW1359" i="1"/>
  <c r="A1360" i="1"/>
  <c r="C1360" i="1"/>
  <c r="S1360" i="1"/>
  <c r="T1360" i="1"/>
  <c r="U1360" i="1"/>
  <c r="BB1360" i="1"/>
  <c r="BW1360" i="1"/>
  <c r="A1361" i="1"/>
  <c r="C1361" i="1"/>
  <c r="S1361" i="1"/>
  <c r="T1361" i="1"/>
  <c r="U1361" i="1"/>
  <c r="BB1361" i="1"/>
  <c r="BW1361" i="1"/>
  <c r="A1362" i="1"/>
  <c r="C1362" i="1"/>
  <c r="S1362" i="1"/>
  <c r="T1362" i="1"/>
  <c r="U1362" i="1"/>
  <c r="BB1362" i="1"/>
  <c r="BW1362" i="1"/>
  <c r="A1363" i="1"/>
  <c r="C1363" i="1"/>
  <c r="S1363" i="1"/>
  <c r="T1363" i="1"/>
  <c r="U1363" i="1"/>
  <c r="BB1363" i="1"/>
  <c r="BW1363" i="1"/>
  <c r="A1364" i="1"/>
  <c r="C1364" i="1"/>
  <c r="S1364" i="1"/>
  <c r="T1364" i="1"/>
  <c r="U1364" i="1"/>
  <c r="BB1364" i="1"/>
  <c r="BW1364" i="1"/>
  <c r="A1365" i="1"/>
  <c r="C1365" i="1"/>
  <c r="S1365" i="1"/>
  <c r="T1365" i="1"/>
  <c r="U1365" i="1"/>
  <c r="BB1365" i="1"/>
  <c r="BW1365" i="1"/>
  <c r="A1366" i="1"/>
  <c r="C1366" i="1"/>
  <c r="S1366" i="1"/>
  <c r="U1366" i="1"/>
  <c r="BB1366" i="1"/>
  <c r="BW1366" i="1"/>
  <c r="A1367" i="1"/>
  <c r="C1367" i="1"/>
  <c r="S1367" i="1"/>
  <c r="U1367" i="1"/>
  <c r="BB1367" i="1"/>
  <c r="BW1367" i="1"/>
  <c r="A1368" i="1"/>
  <c r="C1368" i="1"/>
  <c r="S1368" i="1"/>
  <c r="U1368" i="1"/>
  <c r="BB1368" i="1"/>
  <c r="BW1368" i="1"/>
  <c r="A1369" i="1"/>
  <c r="C1369" i="1"/>
  <c r="S1369" i="1"/>
  <c r="T1369" i="1"/>
  <c r="U1369" i="1"/>
  <c r="BB1369" i="1"/>
  <c r="BW1369" i="1"/>
  <c r="A1370" i="1"/>
  <c r="C1370" i="1"/>
  <c r="S1370" i="1"/>
  <c r="T1370" i="1"/>
  <c r="U1370" i="1"/>
  <c r="BB1370" i="1"/>
  <c r="BW1370" i="1"/>
  <c r="A1371" i="1"/>
  <c r="C1371" i="1"/>
  <c r="S1371" i="1"/>
  <c r="T1371" i="1"/>
  <c r="U1371" i="1"/>
  <c r="BB1371" i="1"/>
  <c r="BW1371" i="1"/>
  <c r="A1372" i="1"/>
  <c r="C1372" i="1"/>
  <c r="S1372" i="1"/>
  <c r="T1372" i="1"/>
  <c r="U1372" i="1"/>
  <c r="BB1372" i="1"/>
  <c r="BW1372" i="1"/>
  <c r="A1373" i="1"/>
  <c r="C1373" i="1"/>
  <c r="S1373" i="1"/>
  <c r="T1373" i="1"/>
  <c r="U1373" i="1"/>
  <c r="BB1373" i="1"/>
  <c r="BW1373" i="1"/>
  <c r="A1374" i="1"/>
  <c r="C1374" i="1"/>
  <c r="S1374" i="1"/>
  <c r="T1374" i="1"/>
  <c r="U1374" i="1"/>
  <c r="BB1374" i="1"/>
  <c r="BW1374" i="1"/>
  <c r="A1375" i="1"/>
  <c r="C1375" i="1"/>
  <c r="S1375" i="1"/>
  <c r="T1375" i="1"/>
  <c r="U1375" i="1"/>
  <c r="BB1375" i="1"/>
  <c r="BW1375" i="1"/>
  <c r="A1376" i="1"/>
  <c r="C1376" i="1"/>
  <c r="S1376" i="1"/>
  <c r="T1376" i="1"/>
  <c r="U1376" i="1"/>
  <c r="BB1376" i="1"/>
  <c r="BW1376" i="1"/>
  <c r="A1377" i="1"/>
  <c r="C1377" i="1"/>
  <c r="S1377" i="1"/>
  <c r="T1377" i="1"/>
  <c r="U1377" i="1"/>
  <c r="BB1377" i="1"/>
  <c r="BW1377" i="1"/>
  <c r="A1378" i="1"/>
  <c r="C1378" i="1"/>
  <c r="S1378" i="1"/>
  <c r="T1378" i="1"/>
  <c r="U1378" i="1"/>
  <c r="BB1378" i="1"/>
  <c r="BW1378" i="1"/>
  <c r="A1379" i="1"/>
  <c r="C1379" i="1"/>
  <c r="S1379" i="1"/>
  <c r="T1379" i="1"/>
  <c r="U1379" i="1"/>
  <c r="BB1379" i="1"/>
  <c r="BW1379" i="1"/>
  <c r="A1380" i="1"/>
  <c r="C1380" i="1"/>
  <c r="S1380" i="1"/>
  <c r="U1380" i="1"/>
  <c r="BB1380" i="1"/>
  <c r="BW1380" i="1"/>
  <c r="A1381" i="1"/>
  <c r="C1381" i="1"/>
  <c r="S1381" i="1"/>
  <c r="T1381" i="1"/>
  <c r="U1381" i="1"/>
  <c r="BB1381" i="1"/>
  <c r="BW1381" i="1"/>
  <c r="A1382" i="1"/>
  <c r="C1382" i="1"/>
  <c r="S1382" i="1"/>
  <c r="T1382" i="1"/>
  <c r="U1382" i="1"/>
  <c r="BB1382" i="1"/>
  <c r="BW1382" i="1"/>
  <c r="A1383" i="1"/>
  <c r="C1383" i="1"/>
  <c r="S1383" i="1"/>
  <c r="T1383" i="1"/>
  <c r="U1383" i="1"/>
  <c r="BB1383" i="1"/>
  <c r="BW1383" i="1"/>
  <c r="A1384" i="1"/>
  <c r="C1384" i="1"/>
  <c r="S1384" i="1"/>
  <c r="T1384" i="1"/>
  <c r="U1384" i="1"/>
  <c r="BB1384" i="1"/>
  <c r="BW1384" i="1"/>
  <c r="A1385" i="1"/>
  <c r="C1385" i="1"/>
  <c r="S1385" i="1"/>
  <c r="T1385" i="1"/>
  <c r="U1385" i="1"/>
  <c r="BB1385" i="1"/>
  <c r="BW1385" i="1"/>
  <c r="A1386" i="1"/>
  <c r="C1386" i="1"/>
  <c r="S1386" i="1"/>
  <c r="T1386" i="1"/>
  <c r="U1386" i="1"/>
  <c r="BB1386" i="1"/>
  <c r="BW1386" i="1"/>
  <c r="A1387" i="1"/>
  <c r="C1387" i="1"/>
  <c r="S1387" i="1"/>
  <c r="T1387" i="1"/>
  <c r="U1387" i="1"/>
  <c r="BB1387" i="1"/>
  <c r="BW1387" i="1"/>
  <c r="A1388" i="1"/>
  <c r="C1388" i="1"/>
  <c r="S1388" i="1"/>
  <c r="T1388" i="1"/>
  <c r="U1388" i="1"/>
  <c r="BB1388" i="1"/>
  <c r="BW1388" i="1"/>
  <c r="A1389" i="1"/>
  <c r="C1389" i="1"/>
  <c r="S1389" i="1"/>
  <c r="T1389" i="1"/>
  <c r="U1389" i="1"/>
  <c r="BB1389" i="1"/>
  <c r="BW1389" i="1"/>
  <c r="A1390" i="1"/>
  <c r="C1390" i="1"/>
  <c r="S1390" i="1"/>
  <c r="T1390" i="1"/>
  <c r="U1390" i="1"/>
  <c r="BB1390" i="1"/>
  <c r="BW1390" i="1"/>
  <c r="A1391" i="1"/>
  <c r="C1391" i="1"/>
  <c r="S1391" i="1"/>
  <c r="T1391" i="1"/>
  <c r="U1391" i="1"/>
  <c r="BB1391" i="1"/>
  <c r="BW1391" i="1"/>
  <c r="A1392" i="1"/>
  <c r="C1392" i="1"/>
  <c r="S1392" i="1"/>
  <c r="T1392" i="1"/>
  <c r="U1392" i="1"/>
  <c r="BB1392" i="1"/>
  <c r="BW1392" i="1"/>
  <c r="A1393" i="1"/>
  <c r="C1393" i="1"/>
  <c r="S1393" i="1"/>
  <c r="T1393" i="1"/>
  <c r="U1393" i="1"/>
  <c r="BB1393" i="1"/>
  <c r="BW1393" i="1"/>
  <c r="A1394" i="1"/>
  <c r="C1394" i="1"/>
  <c r="S1394" i="1"/>
  <c r="T1394" i="1"/>
  <c r="U1394" i="1"/>
  <c r="BB1394" i="1"/>
  <c r="BW1394" i="1"/>
  <c r="A1395" i="1"/>
  <c r="C1395" i="1"/>
  <c r="S1395" i="1"/>
  <c r="T1395" i="1"/>
  <c r="U1395" i="1"/>
  <c r="BB1395" i="1"/>
  <c r="BW1395" i="1"/>
  <c r="A1396" i="1"/>
  <c r="C1396" i="1"/>
  <c r="S1396" i="1"/>
  <c r="T1396" i="1"/>
  <c r="U1396" i="1"/>
  <c r="BB1396" i="1"/>
  <c r="BW1396" i="1"/>
  <c r="A1397" i="1"/>
  <c r="C1397" i="1"/>
  <c r="S1397" i="1"/>
  <c r="T1397" i="1"/>
  <c r="U1397" i="1"/>
  <c r="BB1397" i="1"/>
  <c r="BW1397" i="1"/>
  <c r="A1398" i="1"/>
  <c r="C1398" i="1"/>
  <c r="S1398" i="1"/>
  <c r="T1398" i="1"/>
  <c r="U1398" i="1"/>
  <c r="BB1398" i="1"/>
  <c r="BW1398" i="1"/>
  <c r="A1399" i="1"/>
  <c r="C1399" i="1"/>
  <c r="S1399" i="1"/>
  <c r="T1399" i="1"/>
  <c r="U1399" i="1"/>
  <c r="BB1399" i="1"/>
  <c r="BW1399" i="1"/>
  <c r="A1400" i="1"/>
  <c r="C1400" i="1"/>
  <c r="S1400" i="1"/>
  <c r="T1400" i="1"/>
  <c r="U1400" i="1"/>
  <c r="BB1400" i="1"/>
  <c r="BW1400" i="1"/>
  <c r="A1401" i="1"/>
  <c r="C1401" i="1"/>
  <c r="S1401" i="1"/>
  <c r="T1401" i="1"/>
  <c r="U1401" i="1"/>
  <c r="BB1401" i="1"/>
  <c r="BW1401" i="1"/>
  <c r="A1402" i="1"/>
  <c r="C1402" i="1"/>
  <c r="S1402" i="1"/>
  <c r="T1402" i="1"/>
  <c r="U1402" i="1"/>
  <c r="BB1402" i="1"/>
  <c r="BW1402" i="1"/>
  <c r="A1403" i="1"/>
  <c r="C1403" i="1"/>
  <c r="S1403" i="1"/>
  <c r="T1403" i="1"/>
  <c r="U1403" i="1"/>
  <c r="BB1403" i="1"/>
  <c r="BW1403" i="1"/>
  <c r="A1404" i="1"/>
  <c r="C1404" i="1"/>
  <c r="S1404" i="1"/>
  <c r="T1404" i="1"/>
  <c r="U1404" i="1"/>
  <c r="BB1404" i="1"/>
  <c r="BW1404" i="1"/>
  <c r="A1405" i="1"/>
  <c r="C1405" i="1"/>
  <c r="S1405" i="1"/>
  <c r="T1405" i="1"/>
  <c r="U1405" i="1"/>
  <c r="BB1405" i="1"/>
  <c r="BW1405" i="1"/>
  <c r="A1406" i="1"/>
  <c r="C1406" i="1"/>
  <c r="S1406" i="1"/>
  <c r="T1406" i="1"/>
  <c r="U1406" i="1"/>
  <c r="BB1406" i="1"/>
  <c r="BW1406" i="1"/>
  <c r="A1407" i="1"/>
  <c r="C1407" i="1"/>
  <c r="S1407" i="1"/>
  <c r="T1407" i="1"/>
  <c r="U1407" i="1"/>
  <c r="BB1407" i="1"/>
  <c r="BW1407" i="1"/>
  <c r="A1408" i="1"/>
  <c r="C1408" i="1"/>
  <c r="S1408" i="1"/>
  <c r="T1408" i="1"/>
  <c r="U1408" i="1"/>
  <c r="BB1408" i="1"/>
  <c r="BW1408" i="1"/>
  <c r="A1409" i="1"/>
  <c r="C1409" i="1"/>
  <c r="S1409" i="1"/>
  <c r="T1409" i="1"/>
  <c r="U1409" i="1"/>
  <c r="BB1409" i="1"/>
  <c r="BW1409" i="1"/>
  <c r="A1410" i="1"/>
  <c r="C1410" i="1"/>
  <c r="S1410" i="1"/>
  <c r="T1410" i="1"/>
  <c r="U1410" i="1"/>
  <c r="BB1410" i="1"/>
  <c r="BW1410" i="1"/>
  <c r="A1411" i="1"/>
  <c r="C1411" i="1"/>
  <c r="S1411" i="1"/>
  <c r="T1411" i="1"/>
  <c r="U1411" i="1"/>
  <c r="BB1411" i="1"/>
  <c r="BW1411" i="1"/>
  <c r="A1412" i="1"/>
  <c r="C1412" i="1"/>
  <c r="S1412" i="1"/>
  <c r="T1412" i="1"/>
  <c r="U1412" i="1"/>
  <c r="BB1412" i="1"/>
  <c r="BW1412" i="1"/>
  <c r="A1413" i="1"/>
  <c r="C1413" i="1"/>
  <c r="S1413" i="1"/>
  <c r="T1413" i="1"/>
  <c r="U1413" i="1"/>
  <c r="BB1413" i="1"/>
  <c r="BW1413" i="1"/>
  <c r="A1414" i="1"/>
  <c r="C1414" i="1"/>
  <c r="S1414" i="1"/>
  <c r="T1414" i="1"/>
  <c r="U1414" i="1"/>
  <c r="BB1414" i="1"/>
  <c r="BW1414" i="1"/>
  <c r="A1415" i="1"/>
  <c r="C1415" i="1"/>
  <c r="S1415" i="1"/>
  <c r="T1415" i="1"/>
  <c r="U1415" i="1"/>
  <c r="BB1415" i="1"/>
  <c r="BW1415" i="1"/>
  <c r="A1416" i="1"/>
  <c r="C1416" i="1"/>
  <c r="S1416" i="1"/>
  <c r="T1416" i="1"/>
  <c r="U1416" i="1"/>
  <c r="BB1416" i="1"/>
  <c r="BW1416" i="1"/>
  <c r="A1417" i="1"/>
  <c r="C1417" i="1"/>
  <c r="S1417" i="1"/>
  <c r="T1417" i="1"/>
  <c r="U1417" i="1"/>
  <c r="BB1417" i="1"/>
  <c r="BW1417" i="1"/>
  <c r="A1418" i="1"/>
  <c r="C1418" i="1"/>
  <c r="S1418" i="1"/>
  <c r="T1418" i="1"/>
  <c r="U1418" i="1"/>
  <c r="BB1418" i="1"/>
  <c r="BW1418" i="1"/>
  <c r="A1419" i="1"/>
  <c r="C1419" i="1"/>
  <c r="S1419" i="1"/>
  <c r="T1419" i="1"/>
  <c r="U1419" i="1"/>
  <c r="BB1419" i="1"/>
  <c r="BW1419" i="1"/>
  <c r="A1420" i="1"/>
  <c r="C1420" i="1"/>
  <c r="S1420" i="1"/>
  <c r="T1420" i="1"/>
  <c r="U1420" i="1"/>
  <c r="BB1420" i="1"/>
  <c r="BW1420" i="1"/>
  <c r="A1421" i="1"/>
  <c r="C1421" i="1"/>
  <c r="S1421" i="1"/>
  <c r="T1421" i="1"/>
  <c r="U1421" i="1"/>
  <c r="BB1421" i="1"/>
  <c r="BW1421" i="1"/>
  <c r="A1422" i="1"/>
  <c r="C1422" i="1"/>
  <c r="S1422" i="1"/>
  <c r="T1422" i="1"/>
  <c r="U1422" i="1"/>
  <c r="BB1422" i="1"/>
  <c r="BW1422" i="1"/>
  <c r="A1423" i="1"/>
  <c r="C1423" i="1"/>
  <c r="S1423" i="1"/>
  <c r="T1423" i="1"/>
  <c r="U1423" i="1"/>
  <c r="BB1423" i="1"/>
  <c r="BW1423" i="1"/>
  <c r="A1424" i="1"/>
  <c r="C1424" i="1"/>
  <c r="S1424" i="1"/>
  <c r="T1424" i="1"/>
  <c r="U1424" i="1"/>
  <c r="BB1424" i="1"/>
  <c r="BW1424" i="1"/>
  <c r="A1425" i="1"/>
  <c r="C1425" i="1"/>
  <c r="S1425" i="1"/>
  <c r="T1425" i="1"/>
  <c r="U1425" i="1"/>
  <c r="BB1425" i="1"/>
  <c r="BW1425" i="1"/>
  <c r="A1426" i="1"/>
  <c r="C1426" i="1"/>
  <c r="S1426" i="1"/>
  <c r="T1426" i="1"/>
  <c r="U1426" i="1"/>
  <c r="BB1426" i="1"/>
  <c r="BW1426" i="1"/>
  <c r="A1427" i="1"/>
  <c r="C1427" i="1"/>
  <c r="S1427" i="1"/>
  <c r="T1427" i="1"/>
  <c r="U1427" i="1"/>
  <c r="BB1427" i="1"/>
  <c r="BW1427" i="1"/>
  <c r="A1428" i="1"/>
  <c r="C1428" i="1"/>
  <c r="S1428" i="1"/>
  <c r="T1428" i="1"/>
  <c r="U1428" i="1"/>
  <c r="BB1428" i="1"/>
  <c r="BW1428" i="1"/>
  <c r="A1429" i="1"/>
  <c r="C1429" i="1"/>
  <c r="S1429" i="1"/>
  <c r="T1429" i="1"/>
  <c r="U1429" i="1"/>
  <c r="BB1429" i="1"/>
  <c r="BW1429" i="1"/>
  <c r="A1430" i="1"/>
  <c r="C1430" i="1"/>
  <c r="S1430" i="1"/>
  <c r="T1430" i="1"/>
  <c r="U1430" i="1"/>
  <c r="BB1430" i="1"/>
  <c r="BW1430" i="1"/>
  <c r="A1431" i="1"/>
  <c r="C1431" i="1"/>
  <c r="S1431" i="1"/>
  <c r="T1431" i="1"/>
  <c r="U1431" i="1"/>
  <c r="BB1431" i="1"/>
  <c r="BW1431" i="1"/>
  <c r="A1432" i="1"/>
  <c r="C1432" i="1"/>
  <c r="S1432" i="1"/>
  <c r="T1432" i="1"/>
  <c r="U1432" i="1"/>
  <c r="BB1432" i="1"/>
  <c r="BW1432" i="1"/>
  <c r="A1433" i="1"/>
  <c r="C1433" i="1"/>
  <c r="S1433" i="1"/>
  <c r="T1433" i="1"/>
  <c r="U1433" i="1"/>
  <c r="BB1433" i="1"/>
  <c r="BW1433" i="1"/>
  <c r="A1434" i="1"/>
  <c r="C1434" i="1"/>
  <c r="S1434" i="1"/>
  <c r="T1434" i="1"/>
  <c r="U1434" i="1"/>
  <c r="BB1434" i="1"/>
  <c r="BW1434" i="1"/>
  <c r="A1435" i="1"/>
  <c r="C1435" i="1"/>
  <c r="S1435" i="1"/>
  <c r="T1435" i="1"/>
  <c r="U1435" i="1"/>
  <c r="BB1435" i="1"/>
  <c r="BW1435" i="1"/>
  <c r="A1436" i="1"/>
  <c r="C1436" i="1"/>
  <c r="S1436" i="1"/>
  <c r="T1436" i="1"/>
  <c r="U1436" i="1"/>
  <c r="BB1436" i="1"/>
  <c r="BW1436" i="1"/>
  <c r="A1437" i="1"/>
  <c r="C1437" i="1"/>
  <c r="S1437" i="1"/>
  <c r="T1437" i="1"/>
  <c r="U1437" i="1"/>
  <c r="BB1437" i="1"/>
  <c r="BW1437" i="1"/>
  <c r="A1438" i="1"/>
  <c r="C1438" i="1"/>
  <c r="S1438" i="1"/>
  <c r="T1438" i="1"/>
  <c r="U1438" i="1"/>
  <c r="BB1438" i="1"/>
  <c r="BW1438" i="1"/>
  <c r="A1439" i="1"/>
  <c r="C1439" i="1"/>
  <c r="S1439" i="1"/>
  <c r="T1439" i="1"/>
  <c r="U1439" i="1"/>
  <c r="BB1439" i="1"/>
  <c r="BW1439" i="1"/>
  <c r="A1440" i="1"/>
  <c r="C1440" i="1"/>
  <c r="S1440" i="1"/>
  <c r="T1440" i="1"/>
  <c r="U1440" i="1"/>
  <c r="BB1440" i="1"/>
  <c r="BW1440" i="1"/>
  <c r="A1441" i="1"/>
  <c r="C1441" i="1"/>
  <c r="S1441" i="1"/>
  <c r="T1441" i="1"/>
  <c r="U1441" i="1"/>
  <c r="BB1441" i="1"/>
  <c r="BW1441" i="1"/>
  <c r="A1442" i="1"/>
  <c r="C1442" i="1"/>
  <c r="S1442" i="1"/>
  <c r="T1442" i="1"/>
  <c r="U1442" i="1"/>
  <c r="BB1442" i="1"/>
  <c r="BW1442" i="1"/>
  <c r="A1443" i="1"/>
  <c r="C1443" i="1"/>
  <c r="S1443" i="1"/>
  <c r="T1443" i="1"/>
  <c r="U1443" i="1"/>
  <c r="BB1443" i="1"/>
  <c r="BW1443" i="1"/>
  <c r="A1444" i="1"/>
  <c r="C1444" i="1"/>
  <c r="S1444" i="1"/>
  <c r="T1444" i="1"/>
  <c r="U1444" i="1"/>
  <c r="BB1444" i="1"/>
  <c r="BW1444" i="1"/>
  <c r="A1445" i="1"/>
  <c r="C1445" i="1"/>
  <c r="S1445" i="1"/>
  <c r="T1445" i="1"/>
  <c r="U1445" i="1"/>
  <c r="BB1445" i="1"/>
  <c r="BW1445" i="1"/>
  <c r="A1446" i="1"/>
  <c r="C1446" i="1"/>
  <c r="S1446" i="1"/>
  <c r="T1446" i="1"/>
  <c r="U1446" i="1"/>
  <c r="BB1446" i="1"/>
  <c r="BW1446" i="1"/>
  <c r="A1447" i="1"/>
  <c r="C1447" i="1"/>
  <c r="S1447" i="1"/>
  <c r="T1447" i="1"/>
  <c r="U1447" i="1"/>
  <c r="BB1447" i="1"/>
  <c r="BW1447" i="1"/>
  <c r="A1448" i="1"/>
  <c r="C1448" i="1"/>
  <c r="S1448" i="1"/>
  <c r="T1448" i="1"/>
  <c r="U1448" i="1"/>
  <c r="BB1448" i="1"/>
  <c r="BW1448" i="1"/>
  <c r="A1449" i="1"/>
  <c r="C1449" i="1"/>
  <c r="S1449" i="1"/>
  <c r="T1449" i="1"/>
  <c r="U1449" i="1"/>
  <c r="BB1449" i="1"/>
  <c r="BW1449" i="1"/>
  <c r="A1450" i="1"/>
  <c r="C1450" i="1"/>
  <c r="S1450" i="1"/>
  <c r="T1450" i="1"/>
  <c r="U1450" i="1"/>
  <c r="BB1450" i="1"/>
  <c r="BW1450" i="1"/>
  <c r="A1451" i="1"/>
  <c r="C1451" i="1"/>
  <c r="S1451" i="1"/>
  <c r="T1451" i="1"/>
  <c r="U1451" i="1"/>
  <c r="BB1451" i="1"/>
  <c r="BW1451" i="1"/>
  <c r="A1452" i="1"/>
  <c r="C1452" i="1"/>
  <c r="S1452" i="1"/>
  <c r="T1452" i="1"/>
  <c r="U1452" i="1"/>
  <c r="BB1452" i="1"/>
  <c r="BW1452" i="1"/>
  <c r="A1453" i="1"/>
  <c r="C1453" i="1"/>
  <c r="S1453" i="1"/>
  <c r="T1453" i="1"/>
  <c r="U1453" i="1"/>
  <c r="BB1453" i="1"/>
  <c r="BW1453" i="1"/>
  <c r="A1454" i="1"/>
  <c r="C1454" i="1"/>
  <c r="S1454" i="1"/>
  <c r="T1454" i="1"/>
  <c r="U1454" i="1"/>
  <c r="BB1454" i="1"/>
  <c r="BW1454" i="1"/>
  <c r="A1455" i="1"/>
  <c r="C1455" i="1"/>
  <c r="S1455" i="1"/>
  <c r="T1455" i="1"/>
  <c r="U1455" i="1"/>
  <c r="BB1455" i="1"/>
  <c r="BW1455" i="1"/>
  <c r="A1456" i="1"/>
  <c r="C1456" i="1"/>
  <c r="S1456" i="1"/>
  <c r="T1456" i="1"/>
  <c r="U1456" i="1"/>
  <c r="BB1456" i="1"/>
  <c r="BW1456" i="1"/>
  <c r="A1457" i="1"/>
  <c r="C1457" i="1"/>
  <c r="S1457" i="1"/>
  <c r="T1457" i="1"/>
  <c r="U1457" i="1"/>
  <c r="BB1457" i="1"/>
  <c r="BW1457" i="1"/>
  <c r="A1458" i="1"/>
  <c r="C1458" i="1"/>
  <c r="S1458" i="1"/>
  <c r="T1458" i="1"/>
  <c r="U1458" i="1"/>
  <c r="BB1458" i="1"/>
  <c r="BW1458" i="1"/>
  <c r="A1459" i="1"/>
  <c r="C1459" i="1"/>
  <c r="S1459" i="1"/>
  <c r="T1459" i="1"/>
  <c r="U1459" i="1"/>
  <c r="BB1459" i="1"/>
  <c r="BW1459" i="1"/>
  <c r="A1460" i="1"/>
  <c r="C1460" i="1"/>
  <c r="S1460" i="1"/>
  <c r="T1460" i="1"/>
  <c r="U1460" i="1"/>
  <c r="BB1460" i="1"/>
  <c r="BW1460" i="1"/>
  <c r="A1461" i="1"/>
  <c r="C1461" i="1"/>
  <c r="S1461" i="1"/>
  <c r="T1461" i="1"/>
  <c r="U1461" i="1"/>
  <c r="BB1461" i="1"/>
  <c r="BW1461" i="1"/>
  <c r="A1462" i="1"/>
  <c r="C1462" i="1"/>
  <c r="S1462" i="1"/>
  <c r="T1462" i="1"/>
  <c r="U1462" i="1"/>
  <c r="BB1462" i="1"/>
  <c r="BW1462" i="1"/>
  <c r="A1463" i="1"/>
  <c r="C1463" i="1"/>
  <c r="S1463" i="1"/>
  <c r="T1463" i="1"/>
  <c r="U1463" i="1"/>
  <c r="BB1463" i="1"/>
  <c r="BW1463" i="1"/>
  <c r="A1464" i="1"/>
  <c r="C1464" i="1"/>
  <c r="S1464" i="1"/>
  <c r="T1464" i="1"/>
  <c r="U1464" i="1"/>
  <c r="BB1464" i="1"/>
  <c r="BW1464" i="1"/>
  <c r="A1465" i="1"/>
  <c r="C1465" i="1"/>
  <c r="S1465" i="1"/>
  <c r="T1465" i="1"/>
  <c r="U1465" i="1"/>
  <c r="BB1465" i="1"/>
  <c r="BW1465" i="1"/>
  <c r="A1466" i="1"/>
  <c r="C1466" i="1"/>
  <c r="S1466" i="1"/>
  <c r="T1466" i="1"/>
  <c r="U1466" i="1"/>
  <c r="BB1466" i="1"/>
  <c r="BW1466" i="1"/>
  <c r="A1467" i="1"/>
  <c r="C1467" i="1"/>
  <c r="S1467" i="1"/>
  <c r="T1467" i="1"/>
  <c r="U1467" i="1"/>
  <c r="BB1467" i="1"/>
  <c r="BW1467" i="1"/>
  <c r="A1468" i="1"/>
  <c r="C1468" i="1"/>
  <c r="S1468" i="1"/>
  <c r="T1468" i="1"/>
  <c r="U1468" i="1"/>
  <c r="BB1468" i="1"/>
  <c r="BW1468" i="1"/>
  <c r="A1469" i="1"/>
  <c r="C1469" i="1"/>
  <c r="S1469" i="1"/>
  <c r="T1469" i="1"/>
  <c r="U1469" i="1"/>
  <c r="BB1469" i="1"/>
  <c r="BW1469" i="1"/>
  <c r="A1470" i="1"/>
  <c r="C1470" i="1"/>
  <c r="S1470" i="1"/>
  <c r="T1470" i="1"/>
  <c r="U1470" i="1"/>
  <c r="BB1470" i="1"/>
  <c r="BW1470" i="1"/>
  <c r="A1471" i="1"/>
  <c r="C1471" i="1"/>
  <c r="S1471" i="1"/>
  <c r="T1471" i="1"/>
  <c r="U1471" i="1"/>
  <c r="BB1471" i="1"/>
  <c r="BW1471" i="1"/>
  <c r="A1472" i="1"/>
  <c r="C1472" i="1"/>
  <c r="S1472" i="1"/>
  <c r="T1472" i="1"/>
  <c r="U1472" i="1"/>
  <c r="BB1472" i="1"/>
  <c r="BW1472" i="1"/>
  <c r="A1473" i="1"/>
  <c r="C1473" i="1"/>
  <c r="S1473" i="1"/>
  <c r="T1473" i="1"/>
  <c r="U1473" i="1"/>
  <c r="BB1473" i="1"/>
  <c r="BW1473" i="1"/>
  <c r="A1474" i="1"/>
  <c r="C1474" i="1"/>
  <c r="S1474" i="1"/>
  <c r="T1474" i="1"/>
  <c r="U1474" i="1"/>
  <c r="BB1474" i="1"/>
  <c r="BW1474" i="1"/>
  <c r="A1475" i="1"/>
  <c r="C1475" i="1"/>
  <c r="S1475" i="1"/>
  <c r="T1475" i="1"/>
  <c r="U1475" i="1"/>
  <c r="BB1475" i="1"/>
  <c r="BW1475" i="1"/>
  <c r="A1476" i="1"/>
  <c r="C1476" i="1"/>
  <c r="S1476" i="1"/>
  <c r="T1476" i="1"/>
  <c r="U1476" i="1"/>
  <c r="BB1476" i="1"/>
  <c r="BW1476" i="1"/>
  <c r="A1477" i="1"/>
  <c r="C1477" i="1"/>
  <c r="S1477" i="1"/>
  <c r="T1477" i="1"/>
  <c r="U1477" i="1"/>
  <c r="BB1477" i="1"/>
  <c r="BW1477" i="1"/>
  <c r="A1478" i="1"/>
  <c r="C1478" i="1"/>
  <c r="S1478" i="1"/>
  <c r="T1478" i="1"/>
  <c r="U1478" i="1"/>
  <c r="BB1478" i="1"/>
  <c r="BW1478" i="1"/>
  <c r="A1479" i="1"/>
  <c r="C1479" i="1"/>
  <c r="S1479" i="1"/>
  <c r="T1479" i="1"/>
  <c r="U1479" i="1"/>
  <c r="BB1479" i="1"/>
  <c r="BW1479" i="1"/>
  <c r="A1480" i="1"/>
  <c r="C1480" i="1"/>
  <c r="S1480" i="1"/>
  <c r="T1480" i="1"/>
  <c r="U1480" i="1"/>
  <c r="BB1480" i="1"/>
  <c r="BW1480" i="1"/>
  <c r="A1481" i="1"/>
  <c r="C1481" i="1"/>
  <c r="S1481" i="1"/>
  <c r="T1481" i="1"/>
  <c r="U1481" i="1"/>
  <c r="BB1481" i="1"/>
  <c r="BW1481" i="1"/>
  <c r="A1482" i="1"/>
  <c r="C1482" i="1"/>
  <c r="S1482" i="1"/>
  <c r="T1482" i="1"/>
  <c r="U1482" i="1"/>
  <c r="BB1482" i="1"/>
  <c r="BW1482" i="1"/>
  <c r="A1483" i="1"/>
  <c r="C1483" i="1"/>
  <c r="S1483" i="1"/>
  <c r="T1483" i="1"/>
  <c r="U1483" i="1"/>
  <c r="BB1483" i="1"/>
  <c r="BW1483" i="1"/>
  <c r="A1484" i="1"/>
  <c r="C1484" i="1"/>
  <c r="S1484" i="1"/>
  <c r="T1484" i="1"/>
  <c r="U1484" i="1"/>
  <c r="BB1484" i="1"/>
  <c r="BW1484" i="1"/>
  <c r="A1485" i="1"/>
  <c r="C1485" i="1"/>
  <c r="S1485" i="1"/>
  <c r="T1485" i="1"/>
  <c r="U1485" i="1"/>
  <c r="BB1485" i="1"/>
  <c r="BW1485" i="1"/>
  <c r="A1486" i="1"/>
  <c r="C1486" i="1"/>
  <c r="S1486" i="1"/>
  <c r="T1486" i="1"/>
  <c r="U1486" i="1"/>
  <c r="BB1486" i="1"/>
  <c r="BW1486" i="1"/>
  <c r="A1487" i="1"/>
  <c r="C1487" i="1"/>
  <c r="S1487" i="1"/>
  <c r="T1487" i="1"/>
  <c r="U1487" i="1"/>
  <c r="BB1487" i="1"/>
  <c r="BW1487" i="1"/>
  <c r="A1488" i="1"/>
  <c r="C1488" i="1"/>
  <c r="S1488" i="1"/>
  <c r="T1488" i="1"/>
  <c r="U1488" i="1"/>
  <c r="BB1488" i="1"/>
  <c r="BW1488" i="1"/>
  <c r="A1489" i="1"/>
  <c r="C1489" i="1"/>
  <c r="S1489" i="1"/>
  <c r="T1489" i="1"/>
  <c r="U1489" i="1"/>
  <c r="BB1489" i="1"/>
  <c r="BW1489" i="1"/>
  <c r="A1490" i="1"/>
  <c r="C1490" i="1"/>
  <c r="S1490" i="1"/>
  <c r="T1490" i="1"/>
  <c r="U1490" i="1"/>
  <c r="BB1490" i="1"/>
  <c r="BW1490" i="1"/>
  <c r="A1491" i="1"/>
  <c r="C1491" i="1"/>
  <c r="S1491" i="1"/>
  <c r="T1491" i="1"/>
  <c r="U1491" i="1"/>
  <c r="BB1491" i="1"/>
  <c r="BW1491" i="1"/>
  <c r="A1492" i="1"/>
  <c r="C1492" i="1"/>
  <c r="S1492" i="1"/>
  <c r="T1492" i="1"/>
  <c r="U1492" i="1"/>
  <c r="BB1492" i="1"/>
  <c r="BW1492" i="1"/>
  <c r="A1493" i="1"/>
  <c r="C1493" i="1"/>
  <c r="S1493" i="1"/>
  <c r="T1493" i="1"/>
  <c r="U1493" i="1"/>
  <c r="BB1493" i="1"/>
  <c r="BW1493" i="1"/>
  <c r="A1494" i="1"/>
  <c r="C1494" i="1"/>
  <c r="S1494" i="1"/>
  <c r="T1494" i="1"/>
  <c r="U1494" i="1"/>
  <c r="BB1494" i="1"/>
  <c r="BW1494" i="1"/>
  <c r="A1495" i="1"/>
  <c r="C1495" i="1"/>
  <c r="S1495" i="1"/>
  <c r="T1495" i="1"/>
  <c r="U1495" i="1"/>
  <c r="BB1495" i="1"/>
  <c r="BW1495" i="1"/>
  <c r="A1496" i="1"/>
  <c r="C1496" i="1"/>
  <c r="S1496" i="1"/>
  <c r="T1496" i="1"/>
  <c r="U1496" i="1"/>
  <c r="BB1496" i="1"/>
  <c r="BW1496" i="1"/>
  <c r="A1497" i="1"/>
  <c r="C1497" i="1"/>
  <c r="S1497" i="1"/>
  <c r="T1497" i="1"/>
  <c r="U1497" i="1"/>
  <c r="BB1497" i="1"/>
  <c r="BW1497" i="1"/>
  <c r="A1498" i="1"/>
  <c r="C1498" i="1"/>
  <c r="S1498" i="1"/>
  <c r="T1498" i="1"/>
  <c r="U1498" i="1"/>
  <c r="BB1498" i="1"/>
  <c r="BW1498" i="1"/>
  <c r="A1499" i="1"/>
  <c r="C1499" i="1"/>
  <c r="S1499" i="1"/>
  <c r="T1499" i="1"/>
  <c r="U1499" i="1"/>
  <c r="BB1499" i="1"/>
  <c r="BW1499" i="1"/>
  <c r="A1500" i="1"/>
  <c r="C1500" i="1"/>
  <c r="S1500" i="1"/>
  <c r="T1500" i="1"/>
  <c r="U1500" i="1"/>
  <c r="BB1500" i="1"/>
  <c r="BW1500" i="1"/>
  <c r="A1501" i="1"/>
  <c r="C1501" i="1"/>
  <c r="S1501" i="1"/>
  <c r="T1501" i="1"/>
  <c r="U1501" i="1"/>
  <c r="BB1501" i="1"/>
  <c r="BW1501" i="1"/>
  <c r="A1502" i="1"/>
  <c r="C1502" i="1"/>
  <c r="S1502" i="1"/>
  <c r="T1502" i="1"/>
  <c r="U1502" i="1"/>
  <c r="BB1502" i="1"/>
  <c r="BW1502" i="1"/>
  <c r="A1503" i="1"/>
  <c r="C1503" i="1"/>
  <c r="S1503" i="1"/>
  <c r="T1503" i="1"/>
  <c r="U1503" i="1"/>
  <c r="BB1503" i="1"/>
  <c r="BW1503" i="1"/>
  <c r="A1504" i="1"/>
  <c r="C1504" i="1"/>
  <c r="S1504" i="1"/>
  <c r="T1504" i="1"/>
  <c r="U1504" i="1"/>
  <c r="BB1504" i="1"/>
  <c r="BW1504" i="1"/>
  <c r="A1505" i="1"/>
  <c r="C1505" i="1"/>
  <c r="S1505" i="1"/>
  <c r="T1505" i="1"/>
  <c r="U1505" i="1"/>
  <c r="BB1505" i="1"/>
  <c r="BW1505" i="1"/>
  <c r="A1506" i="1"/>
  <c r="C1506" i="1"/>
  <c r="S1506" i="1"/>
  <c r="T1506" i="1"/>
  <c r="U1506" i="1"/>
  <c r="BB1506" i="1"/>
  <c r="BW1506" i="1"/>
  <c r="A1507" i="1"/>
  <c r="C1507" i="1"/>
  <c r="S1507" i="1"/>
  <c r="T1507" i="1"/>
  <c r="U1507" i="1"/>
  <c r="BB1507" i="1"/>
  <c r="BW1507" i="1"/>
  <c r="A1508" i="1"/>
  <c r="C1508" i="1"/>
  <c r="S1508" i="1"/>
  <c r="T1508" i="1"/>
  <c r="U1508" i="1"/>
  <c r="BB1508" i="1"/>
  <c r="BW1508" i="1"/>
  <c r="A1509" i="1"/>
  <c r="C1509" i="1"/>
  <c r="S1509" i="1"/>
  <c r="T1509" i="1"/>
  <c r="U1509" i="1"/>
  <c r="BB1509" i="1"/>
  <c r="BW1509" i="1"/>
  <c r="A1510" i="1"/>
  <c r="C1510" i="1"/>
  <c r="S1510" i="1"/>
  <c r="T1510" i="1"/>
  <c r="U1510" i="1"/>
  <c r="BB1510" i="1"/>
  <c r="BW1510" i="1"/>
  <c r="A1511" i="1"/>
  <c r="C1511" i="1"/>
  <c r="S1511" i="1"/>
  <c r="T1511" i="1"/>
  <c r="U1511" i="1"/>
  <c r="BB1511" i="1"/>
  <c r="BW1511" i="1"/>
  <c r="A1512" i="1"/>
  <c r="C1512" i="1"/>
  <c r="S1512" i="1"/>
  <c r="T1512" i="1"/>
  <c r="U1512" i="1"/>
  <c r="BB1512" i="1"/>
  <c r="BW1512" i="1"/>
  <c r="A1513" i="1"/>
  <c r="C1513" i="1"/>
  <c r="S1513" i="1"/>
  <c r="T1513" i="1"/>
  <c r="U1513" i="1"/>
  <c r="BB1513" i="1"/>
  <c r="BW1513" i="1"/>
  <c r="A1514" i="1"/>
  <c r="C1514" i="1"/>
  <c r="S1514" i="1"/>
  <c r="T1514" i="1"/>
  <c r="U1514" i="1"/>
  <c r="BB1514" i="1"/>
  <c r="BW1514" i="1"/>
  <c r="A1515" i="1"/>
  <c r="C1515" i="1"/>
  <c r="S1515" i="1"/>
  <c r="T1515" i="1"/>
  <c r="U1515" i="1"/>
  <c r="BB1515" i="1"/>
  <c r="BW1515" i="1"/>
  <c r="A1516" i="1"/>
  <c r="C1516" i="1"/>
  <c r="S1516" i="1"/>
  <c r="T1516" i="1"/>
  <c r="U1516" i="1"/>
  <c r="BB1516" i="1"/>
  <c r="BW1516" i="1"/>
  <c r="A1517" i="1"/>
  <c r="C1517" i="1"/>
  <c r="S1517" i="1"/>
  <c r="T1517" i="1"/>
  <c r="U1517" i="1"/>
  <c r="BB1517" i="1"/>
  <c r="BW1517" i="1"/>
  <c r="A1518" i="1"/>
  <c r="C1518" i="1"/>
  <c r="S1518" i="1"/>
  <c r="T1518" i="1"/>
  <c r="U1518" i="1"/>
  <c r="BB1518" i="1"/>
  <c r="BW1518" i="1"/>
  <c r="A1519" i="1"/>
  <c r="C1519" i="1"/>
  <c r="S1519" i="1"/>
  <c r="T1519" i="1"/>
  <c r="U1519" i="1"/>
  <c r="BB1519" i="1"/>
  <c r="BW1519" i="1"/>
  <c r="A1520" i="1"/>
  <c r="C1520" i="1"/>
  <c r="S1520" i="1"/>
  <c r="T1520" i="1"/>
  <c r="U1520" i="1"/>
  <c r="BB1520" i="1"/>
  <c r="BW1520" i="1"/>
  <c r="A1521" i="1"/>
  <c r="C1521" i="1"/>
  <c r="S1521" i="1"/>
  <c r="T1521" i="1"/>
  <c r="U1521" i="1"/>
  <c r="BB1521" i="1"/>
  <c r="BW1521" i="1"/>
  <c r="A1522" i="1"/>
  <c r="C1522" i="1"/>
  <c r="S1522" i="1"/>
  <c r="T1522" i="1"/>
  <c r="U1522" i="1"/>
  <c r="BB1522" i="1"/>
  <c r="BW1522" i="1"/>
  <c r="A1523" i="1"/>
  <c r="C1523" i="1"/>
  <c r="S1523" i="1"/>
  <c r="T1523" i="1"/>
  <c r="U1523" i="1"/>
  <c r="BB1523" i="1"/>
  <c r="BW1523" i="1"/>
  <c r="A1524" i="1"/>
  <c r="C1524" i="1"/>
  <c r="S1524" i="1"/>
  <c r="T1524" i="1"/>
  <c r="U1524" i="1"/>
  <c r="BB1524" i="1"/>
  <c r="BW1524" i="1"/>
  <c r="A1525" i="1"/>
  <c r="C1525" i="1"/>
  <c r="S1525" i="1"/>
  <c r="T1525" i="1"/>
  <c r="U1525" i="1"/>
  <c r="BB1525" i="1"/>
  <c r="BW1525" i="1"/>
  <c r="A1526" i="1"/>
  <c r="C1526" i="1"/>
  <c r="S1526" i="1"/>
  <c r="T1526" i="1"/>
  <c r="U1526" i="1"/>
  <c r="BB1526" i="1"/>
  <c r="BW1526" i="1"/>
  <c r="A1527" i="1"/>
  <c r="C1527" i="1"/>
  <c r="S1527" i="1"/>
  <c r="T1527" i="1"/>
  <c r="U1527" i="1"/>
  <c r="BB1527" i="1"/>
  <c r="BW1527" i="1"/>
  <c r="A1528" i="1"/>
  <c r="C1528" i="1"/>
  <c r="S1528" i="1"/>
  <c r="T1528" i="1"/>
  <c r="U1528" i="1"/>
  <c r="BB1528" i="1"/>
  <c r="BW1528" i="1"/>
  <c r="A1529" i="1"/>
  <c r="C1529" i="1"/>
  <c r="S1529" i="1"/>
  <c r="T1529" i="1"/>
  <c r="U1529" i="1"/>
  <c r="BB1529" i="1"/>
  <c r="BW1529" i="1"/>
  <c r="A1530" i="1"/>
  <c r="C1530" i="1"/>
  <c r="S1530" i="1"/>
  <c r="T1530" i="1"/>
  <c r="U1530" i="1"/>
  <c r="BB1530" i="1"/>
  <c r="BW1530" i="1"/>
  <c r="A1531" i="1"/>
  <c r="C1531" i="1"/>
  <c r="S1531" i="1"/>
  <c r="T1531" i="1"/>
  <c r="U1531" i="1"/>
  <c r="BB1531" i="1"/>
  <c r="BW1531" i="1"/>
  <c r="A1532" i="1"/>
  <c r="C1532" i="1"/>
  <c r="S1532" i="1"/>
  <c r="T1532" i="1"/>
  <c r="U1532" i="1"/>
  <c r="BB1532" i="1"/>
  <c r="BW1532" i="1"/>
  <c r="A1533" i="1"/>
  <c r="C1533" i="1"/>
  <c r="S1533" i="1"/>
  <c r="T1533" i="1"/>
  <c r="U1533" i="1"/>
  <c r="BB1533" i="1"/>
  <c r="BW1533" i="1"/>
  <c r="A1534" i="1"/>
  <c r="C1534" i="1"/>
  <c r="S1534" i="1"/>
  <c r="T1534" i="1"/>
  <c r="U1534" i="1"/>
  <c r="BB1534" i="1"/>
  <c r="BW1534" i="1"/>
  <c r="A1535" i="1"/>
  <c r="C1535" i="1"/>
  <c r="S1535" i="1"/>
  <c r="T1535" i="1"/>
  <c r="U1535" i="1"/>
  <c r="BB1535" i="1"/>
  <c r="BW1535" i="1"/>
  <c r="A1536" i="1"/>
  <c r="C1536" i="1"/>
  <c r="S1536" i="1"/>
  <c r="T1536" i="1"/>
  <c r="U1536" i="1"/>
  <c r="BB1536" i="1"/>
  <c r="BW1536" i="1"/>
  <c r="A1537" i="1"/>
  <c r="C1537" i="1"/>
  <c r="S1537" i="1"/>
  <c r="T1537" i="1"/>
  <c r="U1537" i="1"/>
  <c r="BB1537" i="1"/>
  <c r="BW1537" i="1"/>
  <c r="A1538" i="1"/>
  <c r="C1538" i="1"/>
  <c r="S1538" i="1"/>
  <c r="T1538" i="1"/>
  <c r="U1538" i="1"/>
  <c r="BB1538" i="1"/>
  <c r="BW1538" i="1"/>
  <c r="A1539" i="1"/>
  <c r="C1539" i="1"/>
  <c r="S1539" i="1"/>
  <c r="T1539" i="1"/>
  <c r="U1539" i="1"/>
  <c r="BB1539" i="1"/>
  <c r="BW1539" i="1"/>
  <c r="A1540" i="1"/>
  <c r="C1540" i="1"/>
  <c r="S1540" i="1"/>
  <c r="T1540" i="1"/>
  <c r="U1540" i="1"/>
  <c r="BB1540" i="1"/>
  <c r="BW1540" i="1"/>
  <c r="A1541" i="1"/>
  <c r="C1541" i="1"/>
  <c r="S1541" i="1"/>
  <c r="T1541" i="1"/>
  <c r="U1541" i="1"/>
  <c r="BB1541" i="1"/>
  <c r="BW1541" i="1"/>
  <c r="A1542" i="1"/>
  <c r="C1542" i="1"/>
  <c r="S1542" i="1"/>
  <c r="T1542" i="1"/>
  <c r="U1542" i="1"/>
  <c r="BB1542" i="1"/>
  <c r="BW1542" i="1"/>
  <c r="A1543" i="1"/>
  <c r="C1543" i="1"/>
  <c r="S1543" i="1"/>
  <c r="T1543" i="1"/>
  <c r="U1543" i="1"/>
  <c r="BB1543" i="1"/>
  <c r="BW1543" i="1"/>
  <c r="A1544" i="1"/>
  <c r="C1544" i="1"/>
  <c r="S1544" i="1"/>
  <c r="T1544" i="1"/>
  <c r="U1544" i="1"/>
  <c r="BB1544" i="1"/>
  <c r="BW1544" i="1"/>
  <c r="A1545" i="1"/>
  <c r="C1545" i="1"/>
  <c r="S1545" i="1"/>
  <c r="T1545" i="1"/>
  <c r="U1545" i="1"/>
  <c r="BB1545" i="1"/>
  <c r="BW1545" i="1"/>
  <c r="A1546" i="1"/>
  <c r="C1546" i="1"/>
  <c r="S1546" i="1"/>
  <c r="T1546" i="1"/>
  <c r="U1546" i="1"/>
  <c r="BB1546" i="1"/>
  <c r="BW1546" i="1"/>
  <c r="A1547" i="1"/>
  <c r="C1547" i="1"/>
  <c r="S1547" i="1"/>
  <c r="T1547" i="1"/>
  <c r="U1547" i="1"/>
  <c r="BB1547" i="1"/>
  <c r="BW1547" i="1"/>
  <c r="A1548" i="1"/>
  <c r="C1548" i="1"/>
  <c r="S1548" i="1"/>
  <c r="T1548" i="1"/>
  <c r="U1548" i="1"/>
  <c r="BB1548" i="1"/>
  <c r="BW1548" i="1"/>
  <c r="A1549" i="1"/>
  <c r="C1549" i="1"/>
  <c r="S1549" i="1"/>
  <c r="T1549" i="1"/>
  <c r="U1549" i="1"/>
  <c r="BB1549" i="1"/>
  <c r="BW1549" i="1"/>
  <c r="A1550" i="1"/>
  <c r="C1550" i="1"/>
  <c r="S1550" i="1"/>
  <c r="T1550" i="1"/>
  <c r="U1550" i="1"/>
  <c r="BB1550" i="1"/>
  <c r="BW1550" i="1"/>
  <c r="A1551" i="1"/>
  <c r="C1551" i="1"/>
  <c r="S1551" i="1"/>
  <c r="T1551" i="1"/>
  <c r="U1551" i="1"/>
  <c r="BB1551" i="1"/>
  <c r="BW1551" i="1"/>
  <c r="A1552" i="1"/>
  <c r="C1552" i="1"/>
  <c r="S1552" i="1"/>
  <c r="T1552" i="1"/>
  <c r="U1552" i="1"/>
  <c r="BB1552" i="1"/>
  <c r="BW1552" i="1"/>
  <c r="A1553" i="1"/>
  <c r="C1553" i="1"/>
  <c r="S1553" i="1"/>
  <c r="T1553" i="1"/>
  <c r="U1553" i="1"/>
  <c r="BB1553" i="1"/>
  <c r="BW1553" i="1"/>
  <c r="A1554" i="1"/>
  <c r="C1554" i="1"/>
  <c r="S1554" i="1"/>
  <c r="T1554" i="1"/>
  <c r="U1554" i="1"/>
  <c r="BB1554" i="1"/>
  <c r="BW1554" i="1"/>
  <c r="A1555" i="1"/>
  <c r="C1555" i="1"/>
  <c r="S1555" i="1"/>
  <c r="T1555" i="1"/>
  <c r="U1555" i="1"/>
  <c r="BB1555" i="1"/>
  <c r="BW1555" i="1"/>
  <c r="A1556" i="1"/>
  <c r="C1556" i="1"/>
  <c r="S1556" i="1"/>
  <c r="T1556" i="1"/>
  <c r="U1556" i="1"/>
  <c r="BB1556" i="1"/>
  <c r="BW1556" i="1"/>
  <c r="A1557" i="1"/>
  <c r="C1557" i="1"/>
  <c r="S1557" i="1"/>
  <c r="T1557" i="1"/>
  <c r="U1557" i="1"/>
  <c r="BB1557" i="1"/>
  <c r="BW1557" i="1"/>
  <c r="A1558" i="1"/>
  <c r="C1558" i="1"/>
  <c r="S1558" i="1"/>
  <c r="T1558" i="1"/>
  <c r="U1558" i="1"/>
  <c r="BB1558" i="1"/>
  <c r="BW1558" i="1"/>
  <c r="A1559" i="1"/>
  <c r="C1559" i="1"/>
  <c r="S1559" i="1"/>
  <c r="T1559" i="1"/>
  <c r="U1559" i="1"/>
  <c r="BB1559" i="1"/>
  <c r="BW1559" i="1"/>
  <c r="A1560" i="1"/>
  <c r="C1560" i="1"/>
  <c r="S1560" i="1"/>
  <c r="T1560" i="1"/>
  <c r="U1560" i="1"/>
  <c r="BB1560" i="1"/>
  <c r="BW1560" i="1"/>
  <c r="A1561" i="1"/>
  <c r="C1561" i="1"/>
  <c r="S1561" i="1"/>
  <c r="T1561" i="1"/>
  <c r="U1561" i="1"/>
  <c r="BB1561" i="1"/>
  <c r="BW1561" i="1"/>
  <c r="A1562" i="1"/>
  <c r="C1562" i="1"/>
  <c r="S1562" i="1"/>
  <c r="T1562" i="1"/>
  <c r="U1562" i="1"/>
  <c r="BB1562" i="1"/>
  <c r="BW1562" i="1"/>
  <c r="A1563" i="1"/>
  <c r="C1563" i="1"/>
  <c r="S1563" i="1"/>
  <c r="T1563" i="1"/>
  <c r="U1563" i="1"/>
  <c r="BB1563" i="1"/>
  <c r="BW1563" i="1"/>
  <c r="A1564" i="1"/>
  <c r="C1564" i="1"/>
  <c r="S1564" i="1"/>
  <c r="T1564" i="1"/>
  <c r="U1564" i="1"/>
  <c r="BB1564" i="1"/>
  <c r="BW1564" i="1"/>
  <c r="A1565" i="1"/>
  <c r="C1565" i="1"/>
  <c r="S1565" i="1"/>
  <c r="T1565" i="1"/>
  <c r="U1565" i="1"/>
  <c r="BB1565" i="1"/>
  <c r="BW1565" i="1"/>
  <c r="A1566" i="1"/>
  <c r="C1566" i="1"/>
  <c r="S1566" i="1"/>
  <c r="T1566" i="1"/>
  <c r="U1566" i="1"/>
  <c r="BB1566" i="1"/>
  <c r="BW1566" i="1"/>
  <c r="A1567" i="1"/>
  <c r="C1567" i="1"/>
  <c r="S1567" i="1"/>
  <c r="T1567" i="1"/>
  <c r="U1567" i="1"/>
  <c r="BB1567" i="1"/>
  <c r="BW1567" i="1"/>
  <c r="A1568" i="1"/>
  <c r="C1568" i="1"/>
  <c r="S1568" i="1"/>
  <c r="T1568" i="1"/>
  <c r="U1568" i="1"/>
  <c r="BB1568" i="1"/>
  <c r="BW1568" i="1"/>
  <c r="A1569" i="1"/>
  <c r="C1569" i="1"/>
  <c r="S1569" i="1"/>
  <c r="T1569" i="1"/>
  <c r="U1569" i="1"/>
  <c r="BB1569" i="1"/>
  <c r="BW1569" i="1"/>
  <c r="A1570" i="1"/>
  <c r="C1570" i="1"/>
  <c r="S1570" i="1"/>
  <c r="T1570" i="1"/>
  <c r="U1570" i="1"/>
  <c r="BB1570" i="1"/>
  <c r="BW1570" i="1"/>
  <c r="A1571" i="1"/>
  <c r="C1571" i="1"/>
  <c r="S1571" i="1"/>
  <c r="T1571" i="1"/>
  <c r="U1571" i="1"/>
  <c r="BB1571" i="1"/>
  <c r="BW1571" i="1"/>
  <c r="A1572" i="1"/>
  <c r="C1572" i="1"/>
  <c r="S1572" i="1"/>
  <c r="T1572" i="1"/>
  <c r="U1572" i="1"/>
  <c r="BB1572" i="1"/>
  <c r="BW1572" i="1"/>
  <c r="A1573" i="1"/>
  <c r="C1573" i="1"/>
  <c r="S1573" i="1"/>
  <c r="T1573" i="1"/>
  <c r="U1573" i="1"/>
  <c r="BB1573" i="1"/>
  <c r="BW1573" i="1"/>
  <c r="A1574" i="1"/>
  <c r="C1574" i="1"/>
  <c r="S1574" i="1"/>
  <c r="T1574" i="1"/>
  <c r="U1574" i="1"/>
  <c r="BB1574" i="1"/>
  <c r="BW1574" i="1"/>
  <c r="A1575" i="1"/>
  <c r="C1575" i="1"/>
  <c r="S1575" i="1"/>
  <c r="T1575" i="1"/>
  <c r="U1575" i="1"/>
  <c r="BB1575" i="1"/>
  <c r="BW1575" i="1"/>
  <c r="A1576" i="1"/>
  <c r="C1576" i="1"/>
  <c r="S1576" i="1"/>
  <c r="T1576" i="1"/>
  <c r="U1576" i="1"/>
  <c r="BB1576" i="1"/>
  <c r="BW1576" i="1"/>
  <c r="A1577" i="1"/>
  <c r="C1577" i="1"/>
  <c r="S1577" i="1"/>
  <c r="T1577" i="1"/>
  <c r="U1577" i="1"/>
  <c r="BB1577" i="1"/>
  <c r="BW1577" i="1"/>
  <c r="A1578" i="1"/>
  <c r="C1578" i="1"/>
  <c r="S1578" i="1"/>
  <c r="T1578" i="1"/>
  <c r="U1578" i="1"/>
  <c r="BB1578" i="1"/>
  <c r="BW1578" i="1"/>
  <c r="A1579" i="1"/>
  <c r="C1579" i="1"/>
  <c r="S1579" i="1"/>
  <c r="T1579" i="1"/>
  <c r="U1579" i="1"/>
  <c r="BB1579" i="1"/>
  <c r="BW1579" i="1"/>
  <c r="A1580" i="1"/>
  <c r="C1580" i="1"/>
  <c r="S1580" i="1"/>
  <c r="T1580" i="1"/>
  <c r="U1580" i="1"/>
  <c r="BB1580" i="1"/>
  <c r="BW1580" i="1"/>
  <c r="A1581" i="1"/>
  <c r="C1581" i="1"/>
  <c r="S1581" i="1"/>
  <c r="T1581" i="1"/>
  <c r="U1581" i="1"/>
  <c r="BB1581" i="1"/>
  <c r="BW1581" i="1"/>
  <c r="A1582" i="1"/>
  <c r="C1582" i="1"/>
  <c r="S1582" i="1"/>
  <c r="T1582" i="1"/>
  <c r="U1582" i="1"/>
  <c r="BB1582" i="1"/>
  <c r="BW1582" i="1"/>
  <c r="A1583" i="1"/>
  <c r="C1583" i="1"/>
  <c r="S1583" i="1"/>
  <c r="T1583" i="1"/>
  <c r="U1583" i="1"/>
  <c r="BB1583" i="1"/>
  <c r="BW1583" i="1"/>
  <c r="A1584" i="1"/>
  <c r="C1584" i="1"/>
  <c r="S1584" i="1"/>
  <c r="T1584" i="1"/>
  <c r="U1584" i="1"/>
  <c r="BB1584" i="1"/>
  <c r="BW1584" i="1"/>
  <c r="A1585" i="1"/>
  <c r="C1585" i="1"/>
  <c r="S1585" i="1"/>
  <c r="T1585" i="1"/>
  <c r="U1585" i="1"/>
  <c r="BB1585" i="1"/>
  <c r="BW1585" i="1"/>
  <c r="A1586" i="1"/>
  <c r="C1586" i="1"/>
  <c r="S1586" i="1"/>
  <c r="T1586" i="1"/>
  <c r="U1586" i="1"/>
  <c r="BB1586" i="1"/>
  <c r="BW1586" i="1"/>
  <c r="A1587" i="1"/>
  <c r="C1587" i="1"/>
  <c r="S1587" i="1"/>
  <c r="T1587" i="1"/>
  <c r="U1587" i="1"/>
  <c r="BB1587" i="1"/>
  <c r="BW1587" i="1"/>
  <c r="A1588" i="1"/>
  <c r="C1588" i="1"/>
  <c r="S1588" i="1"/>
  <c r="T1588" i="1"/>
  <c r="U1588" i="1"/>
  <c r="BB1588" i="1"/>
  <c r="BW1588" i="1"/>
  <c r="A1589" i="1"/>
  <c r="C1589" i="1"/>
  <c r="S1589" i="1"/>
  <c r="T1589" i="1"/>
  <c r="U1589" i="1"/>
  <c r="BB1589" i="1"/>
  <c r="BW1589" i="1"/>
  <c r="A1590" i="1"/>
  <c r="C1590" i="1"/>
  <c r="S1590" i="1"/>
  <c r="T1590" i="1"/>
  <c r="U1590" i="1"/>
  <c r="BB1590" i="1"/>
  <c r="BW1590" i="1"/>
  <c r="A1591" i="1"/>
  <c r="C1591" i="1"/>
  <c r="S1591" i="1"/>
  <c r="T1591" i="1"/>
  <c r="U1591" i="1"/>
  <c r="BB1591" i="1"/>
  <c r="BW1591" i="1"/>
  <c r="A1592" i="1"/>
  <c r="C1592" i="1"/>
  <c r="S1592" i="1"/>
  <c r="T1592" i="1"/>
  <c r="U1592" i="1"/>
  <c r="BB1592" i="1"/>
  <c r="BW1592" i="1"/>
  <c r="A1593" i="1"/>
  <c r="C1593" i="1"/>
  <c r="S1593" i="1"/>
  <c r="T1593" i="1"/>
  <c r="U1593" i="1"/>
  <c r="BB1593" i="1"/>
  <c r="BW1593" i="1"/>
  <c r="A1594" i="1"/>
  <c r="C1594" i="1"/>
  <c r="S1594" i="1"/>
  <c r="T1594" i="1"/>
  <c r="U1594" i="1"/>
  <c r="BB1594" i="1"/>
  <c r="BW1594" i="1"/>
  <c r="A1595" i="1"/>
  <c r="C1595" i="1"/>
  <c r="S1595" i="1"/>
  <c r="T1595" i="1"/>
  <c r="U1595" i="1"/>
  <c r="BB1595" i="1"/>
  <c r="BW1595" i="1"/>
  <c r="A1596" i="1"/>
  <c r="C1596" i="1"/>
  <c r="S1596" i="1"/>
  <c r="T1596" i="1"/>
  <c r="U1596" i="1"/>
  <c r="BB1596" i="1"/>
  <c r="BW1596" i="1"/>
  <c r="A1597" i="1"/>
  <c r="C1597" i="1"/>
  <c r="S1597" i="1"/>
  <c r="T1597" i="1"/>
  <c r="U1597" i="1"/>
  <c r="BB1597" i="1"/>
  <c r="BW1597" i="1"/>
  <c r="A1598" i="1"/>
  <c r="C1598" i="1"/>
  <c r="S1598" i="1"/>
  <c r="T1598" i="1"/>
  <c r="U1598" i="1"/>
  <c r="BB1598" i="1"/>
  <c r="BW1598" i="1"/>
  <c r="A1599" i="1"/>
  <c r="C1599" i="1"/>
  <c r="S1599" i="1"/>
  <c r="T1599" i="1"/>
  <c r="U1599" i="1"/>
  <c r="BB1599" i="1"/>
  <c r="BW1599" i="1"/>
  <c r="A1600" i="1"/>
  <c r="C1600" i="1"/>
  <c r="S1600" i="1"/>
  <c r="T1600" i="1"/>
  <c r="U1600" i="1"/>
  <c r="BB1600" i="1"/>
  <c r="BW1600" i="1"/>
  <c r="A1601" i="1"/>
  <c r="C1601" i="1"/>
  <c r="S1601" i="1"/>
  <c r="T1601" i="1"/>
  <c r="U1601" i="1"/>
  <c r="BB1601" i="1"/>
  <c r="BW1601" i="1"/>
  <c r="A1602" i="1"/>
  <c r="C1602" i="1"/>
  <c r="S1602" i="1"/>
  <c r="T1602" i="1"/>
  <c r="U1602" i="1"/>
  <c r="BB1602" i="1"/>
  <c r="BW1602" i="1"/>
  <c r="A1603" i="1"/>
  <c r="C1603" i="1"/>
  <c r="S1603" i="1"/>
  <c r="T1603" i="1"/>
  <c r="U1603" i="1"/>
  <c r="BB1603" i="1"/>
  <c r="BW1603" i="1"/>
  <c r="A1604" i="1"/>
  <c r="C1604" i="1"/>
  <c r="S1604" i="1"/>
  <c r="T1604" i="1"/>
  <c r="U1604" i="1"/>
  <c r="BB1604" i="1"/>
  <c r="BW1604" i="1"/>
  <c r="A1605" i="1"/>
  <c r="C1605" i="1"/>
  <c r="S1605" i="1"/>
  <c r="T1605" i="1"/>
  <c r="U1605" i="1"/>
  <c r="BB1605" i="1"/>
  <c r="BW1605" i="1"/>
  <c r="A1606" i="1"/>
  <c r="C1606" i="1"/>
  <c r="S1606" i="1"/>
  <c r="T1606" i="1"/>
  <c r="U1606" i="1"/>
  <c r="BB1606" i="1"/>
  <c r="BW1606" i="1"/>
  <c r="A1607" i="1"/>
  <c r="C1607" i="1"/>
  <c r="S1607" i="1"/>
  <c r="T1607" i="1"/>
  <c r="U1607" i="1"/>
  <c r="BB1607" i="1"/>
  <c r="BW1607" i="1"/>
  <c r="A1608" i="1"/>
  <c r="C1608" i="1"/>
  <c r="S1608" i="1"/>
  <c r="T1608" i="1"/>
  <c r="U1608" i="1"/>
  <c r="BB1608" i="1"/>
  <c r="BW1608" i="1"/>
  <c r="A1609" i="1"/>
  <c r="C1609" i="1"/>
  <c r="S1609" i="1"/>
  <c r="T1609" i="1"/>
  <c r="U1609" i="1"/>
  <c r="BB1609" i="1"/>
  <c r="BW1609" i="1"/>
  <c r="A1610" i="1"/>
  <c r="C1610" i="1"/>
  <c r="S1610" i="1"/>
  <c r="T1610" i="1"/>
  <c r="U1610" i="1"/>
  <c r="BB1610" i="1"/>
  <c r="BW1610" i="1"/>
  <c r="A1611" i="1"/>
  <c r="C1611" i="1"/>
  <c r="S1611" i="1"/>
  <c r="T1611" i="1"/>
  <c r="U1611" i="1"/>
  <c r="BB1611" i="1"/>
  <c r="BW1611" i="1"/>
  <c r="A1612" i="1"/>
  <c r="C1612" i="1"/>
  <c r="S1612" i="1"/>
  <c r="T1612" i="1"/>
  <c r="U1612" i="1"/>
  <c r="BB1612" i="1"/>
  <c r="BW1612" i="1"/>
  <c r="A1613" i="1"/>
  <c r="C1613" i="1"/>
  <c r="S1613" i="1"/>
  <c r="T1613" i="1"/>
  <c r="U1613" i="1"/>
  <c r="BB1613" i="1"/>
  <c r="BW1613" i="1"/>
  <c r="A1614" i="1"/>
  <c r="C1614" i="1"/>
  <c r="S1614" i="1"/>
  <c r="T1614" i="1"/>
  <c r="U1614" i="1"/>
  <c r="BB1614" i="1"/>
  <c r="BW1614" i="1"/>
  <c r="A1615" i="1"/>
  <c r="C1615" i="1"/>
  <c r="S1615" i="1"/>
  <c r="T1615" i="1"/>
  <c r="U1615" i="1"/>
  <c r="BB1615" i="1"/>
  <c r="BW1615" i="1"/>
  <c r="A1616" i="1"/>
  <c r="C1616" i="1"/>
  <c r="S1616" i="1"/>
  <c r="T1616" i="1"/>
  <c r="U1616" i="1"/>
  <c r="BB1616" i="1"/>
  <c r="BW1616" i="1"/>
  <c r="A1617" i="1"/>
  <c r="C1617" i="1"/>
  <c r="S1617" i="1"/>
  <c r="T1617" i="1"/>
  <c r="U1617" i="1"/>
  <c r="BB1617" i="1"/>
  <c r="BW1617" i="1"/>
  <c r="A1618" i="1"/>
  <c r="C1618" i="1"/>
  <c r="S1618" i="1"/>
  <c r="T1618" i="1"/>
  <c r="U1618" i="1"/>
  <c r="BB1618" i="1"/>
  <c r="BW1618" i="1"/>
  <c r="A1619" i="1"/>
  <c r="C1619" i="1"/>
  <c r="S1619" i="1"/>
  <c r="T1619" i="1"/>
  <c r="U1619" i="1"/>
  <c r="BB1619" i="1"/>
  <c r="BW1619" i="1"/>
  <c r="A1620" i="1"/>
  <c r="C1620" i="1"/>
  <c r="S1620" i="1"/>
  <c r="T1620" i="1"/>
  <c r="U1620" i="1"/>
  <c r="BB1620" i="1"/>
  <c r="BW1620" i="1"/>
  <c r="A1621" i="1"/>
  <c r="C1621" i="1"/>
  <c r="S1621" i="1"/>
  <c r="T1621" i="1"/>
  <c r="U1621" i="1"/>
  <c r="BB1621" i="1"/>
  <c r="BW1621" i="1"/>
  <c r="A1622" i="1"/>
  <c r="C1622" i="1"/>
  <c r="S1622" i="1"/>
  <c r="T1622" i="1"/>
  <c r="U1622" i="1"/>
  <c r="BB1622" i="1"/>
  <c r="BW1622" i="1"/>
  <c r="A1623" i="1"/>
  <c r="C1623" i="1"/>
  <c r="S1623" i="1"/>
  <c r="T1623" i="1"/>
  <c r="U1623" i="1"/>
  <c r="BB1623" i="1"/>
  <c r="BW1623" i="1"/>
  <c r="A1624" i="1"/>
  <c r="C1624" i="1"/>
  <c r="S1624" i="1"/>
  <c r="T1624" i="1"/>
  <c r="U1624" i="1"/>
  <c r="BB1624" i="1"/>
  <c r="BW1624" i="1"/>
  <c r="A1625" i="1"/>
  <c r="C1625" i="1"/>
  <c r="S1625" i="1"/>
  <c r="T1625" i="1"/>
  <c r="U1625" i="1"/>
  <c r="BB1625" i="1"/>
  <c r="BW1625" i="1"/>
  <c r="A1626" i="1"/>
  <c r="C1626" i="1"/>
  <c r="S1626" i="1"/>
  <c r="T1626" i="1"/>
  <c r="U1626" i="1"/>
  <c r="BB1626" i="1"/>
  <c r="BW1626" i="1"/>
  <c r="A1627" i="1"/>
  <c r="C1627" i="1"/>
  <c r="S1627" i="1"/>
  <c r="T1627" i="1"/>
  <c r="U1627" i="1"/>
  <c r="BB1627" i="1"/>
  <c r="BW1627" i="1"/>
  <c r="A1628" i="1"/>
  <c r="C1628" i="1"/>
  <c r="S1628" i="1"/>
  <c r="T1628" i="1"/>
  <c r="U1628" i="1"/>
  <c r="BB1628" i="1"/>
  <c r="BW1628" i="1"/>
  <c r="A1629" i="1"/>
  <c r="C1629" i="1"/>
  <c r="S1629" i="1"/>
  <c r="T1629" i="1"/>
  <c r="U1629" i="1"/>
  <c r="BB1629" i="1"/>
  <c r="BW1629" i="1"/>
  <c r="A1630" i="1"/>
  <c r="C1630" i="1"/>
  <c r="S1630" i="1"/>
  <c r="T1630" i="1"/>
  <c r="U1630" i="1"/>
  <c r="BB1630" i="1"/>
  <c r="BW1630" i="1"/>
  <c r="A1631" i="1"/>
  <c r="C1631" i="1"/>
  <c r="S1631" i="1"/>
  <c r="T1631" i="1"/>
  <c r="U1631" i="1"/>
  <c r="BB1631" i="1"/>
  <c r="BW1631" i="1"/>
  <c r="A1632" i="1"/>
  <c r="C1632" i="1"/>
  <c r="S1632" i="1"/>
  <c r="T1632" i="1"/>
  <c r="U1632" i="1"/>
  <c r="BB1632" i="1"/>
  <c r="BW1632" i="1"/>
  <c r="A1633" i="1"/>
  <c r="C1633" i="1"/>
  <c r="S1633" i="1"/>
  <c r="T1633" i="1"/>
  <c r="U1633" i="1"/>
  <c r="BB1633" i="1"/>
  <c r="BW1633" i="1"/>
  <c r="A1634" i="1"/>
  <c r="C1634" i="1"/>
  <c r="S1634" i="1"/>
  <c r="T1634" i="1"/>
  <c r="U1634" i="1"/>
  <c r="BB1634" i="1"/>
  <c r="BW1634" i="1"/>
  <c r="A1635" i="1"/>
  <c r="C1635" i="1"/>
  <c r="S1635" i="1"/>
  <c r="T1635" i="1"/>
  <c r="U1635" i="1"/>
  <c r="BB1635" i="1"/>
  <c r="BW1635" i="1"/>
  <c r="A1636" i="1"/>
  <c r="C1636" i="1"/>
  <c r="S1636" i="1"/>
  <c r="T1636" i="1"/>
  <c r="U1636" i="1"/>
  <c r="BB1636" i="1"/>
  <c r="BW1636" i="1"/>
  <c r="A1637" i="1"/>
  <c r="C1637" i="1"/>
  <c r="S1637" i="1"/>
  <c r="T1637" i="1"/>
  <c r="U1637" i="1"/>
  <c r="BB1637" i="1"/>
  <c r="BW1637" i="1"/>
  <c r="A1638" i="1"/>
  <c r="C1638" i="1"/>
  <c r="S1638" i="1"/>
  <c r="T1638" i="1"/>
  <c r="U1638" i="1"/>
  <c r="BB1638" i="1"/>
  <c r="BW1638" i="1"/>
  <c r="A1639" i="1"/>
  <c r="C1639" i="1"/>
  <c r="S1639" i="1"/>
  <c r="T1639" i="1"/>
  <c r="U1639" i="1"/>
  <c r="BB1639" i="1"/>
  <c r="BW1639" i="1"/>
  <c r="A1640" i="1"/>
  <c r="C1640" i="1"/>
  <c r="S1640" i="1"/>
  <c r="T1640" i="1"/>
  <c r="U1640" i="1"/>
  <c r="BB1640" i="1"/>
  <c r="BW1640" i="1"/>
  <c r="A1641" i="1"/>
  <c r="C1641" i="1"/>
  <c r="S1641" i="1"/>
  <c r="T1641" i="1"/>
  <c r="U1641" i="1"/>
  <c r="BB1641" i="1"/>
  <c r="BW1641" i="1"/>
  <c r="A1642" i="1"/>
  <c r="C1642" i="1"/>
  <c r="S1642" i="1"/>
  <c r="T1642" i="1"/>
  <c r="U1642" i="1"/>
  <c r="BB1642" i="1"/>
  <c r="BW1642" i="1"/>
  <c r="A1643" i="1"/>
  <c r="C1643" i="1"/>
  <c r="S1643" i="1"/>
  <c r="T1643" i="1"/>
  <c r="U1643" i="1"/>
  <c r="BB1643" i="1"/>
  <c r="BW1643" i="1"/>
  <c r="A1644" i="1"/>
  <c r="C1644" i="1"/>
  <c r="S1644" i="1"/>
  <c r="T1644" i="1"/>
  <c r="U1644" i="1"/>
  <c r="BB1644" i="1"/>
  <c r="BW1644" i="1"/>
  <c r="A1645" i="1"/>
  <c r="C1645" i="1"/>
  <c r="S1645" i="1"/>
  <c r="T1645" i="1"/>
  <c r="U1645" i="1"/>
  <c r="BB1645" i="1"/>
  <c r="BW1645" i="1"/>
  <c r="A1646" i="1"/>
  <c r="C1646" i="1"/>
  <c r="S1646" i="1"/>
  <c r="T1646" i="1"/>
  <c r="U1646" i="1"/>
  <c r="BB1646" i="1"/>
  <c r="BW1646" i="1"/>
  <c r="A1647" i="1"/>
  <c r="C1647" i="1"/>
  <c r="S1647" i="1"/>
  <c r="T1647" i="1"/>
  <c r="U1647" i="1"/>
  <c r="BB1647" i="1"/>
  <c r="BW1647" i="1"/>
  <c r="A1648" i="1"/>
  <c r="C1648" i="1"/>
  <c r="S1648" i="1"/>
  <c r="T1648" i="1"/>
  <c r="U1648" i="1"/>
  <c r="BB1648" i="1"/>
  <c r="BW1648" i="1"/>
  <c r="A1649" i="1"/>
  <c r="C1649" i="1"/>
  <c r="S1649" i="1"/>
  <c r="T1649" i="1"/>
  <c r="U1649" i="1"/>
  <c r="BB1649" i="1"/>
  <c r="BW1649" i="1"/>
  <c r="A1650" i="1"/>
  <c r="C1650" i="1"/>
  <c r="S1650" i="1"/>
  <c r="T1650" i="1"/>
  <c r="U1650" i="1"/>
  <c r="BB1650" i="1"/>
  <c r="BW1650" i="1"/>
  <c r="A1651" i="1"/>
  <c r="C1651" i="1"/>
  <c r="S1651" i="1"/>
  <c r="T1651" i="1"/>
  <c r="U1651" i="1"/>
  <c r="BB1651" i="1"/>
  <c r="BW1651" i="1"/>
  <c r="A1652" i="1"/>
  <c r="C1652" i="1"/>
  <c r="S1652" i="1"/>
  <c r="T1652" i="1"/>
  <c r="U1652" i="1"/>
  <c r="BB1652" i="1"/>
  <c r="BW1652" i="1"/>
  <c r="A1653" i="1"/>
  <c r="C1653" i="1"/>
  <c r="S1653" i="1"/>
  <c r="T1653" i="1"/>
  <c r="U1653" i="1"/>
  <c r="BB1653" i="1"/>
  <c r="BW1653" i="1"/>
  <c r="A1654" i="1"/>
  <c r="C1654" i="1"/>
  <c r="S1654" i="1"/>
  <c r="T1654" i="1"/>
  <c r="U1654" i="1"/>
  <c r="BB1654" i="1"/>
  <c r="BW1654" i="1"/>
  <c r="A1655" i="1"/>
  <c r="C1655" i="1"/>
  <c r="S1655" i="1"/>
  <c r="T1655" i="1"/>
  <c r="U1655" i="1"/>
  <c r="BB1655" i="1"/>
  <c r="BW1655" i="1"/>
  <c r="A1656" i="1"/>
  <c r="C1656" i="1"/>
  <c r="S1656" i="1"/>
  <c r="T1656" i="1"/>
  <c r="U1656" i="1"/>
  <c r="BB1656" i="1"/>
  <c r="BW1656" i="1"/>
  <c r="A1657" i="1"/>
  <c r="C1657" i="1"/>
  <c r="S1657" i="1"/>
  <c r="T1657" i="1"/>
  <c r="U1657" i="1"/>
  <c r="BB1657" i="1"/>
  <c r="BW1657" i="1"/>
  <c r="A1658" i="1"/>
  <c r="C1658" i="1"/>
  <c r="S1658" i="1"/>
  <c r="T1658" i="1"/>
  <c r="U1658" i="1"/>
  <c r="BB1658" i="1"/>
  <c r="BW1658" i="1"/>
  <c r="A1659" i="1"/>
  <c r="C1659" i="1"/>
  <c r="S1659" i="1"/>
  <c r="T1659" i="1"/>
  <c r="U1659" i="1"/>
  <c r="BB1659" i="1"/>
  <c r="BW1659" i="1"/>
  <c r="A1660" i="1"/>
  <c r="C1660" i="1"/>
  <c r="S1660" i="1"/>
  <c r="T1660" i="1"/>
  <c r="U1660" i="1"/>
  <c r="BB1660" i="1"/>
  <c r="BW1660" i="1"/>
  <c r="A1661" i="1"/>
  <c r="C1661" i="1"/>
  <c r="S1661" i="1"/>
  <c r="T1661" i="1"/>
  <c r="U1661" i="1"/>
  <c r="BB1661" i="1"/>
  <c r="BW1661" i="1"/>
  <c r="A1662" i="1"/>
  <c r="C1662" i="1"/>
  <c r="S1662" i="1"/>
  <c r="T1662" i="1"/>
  <c r="U1662" i="1"/>
  <c r="BB1662" i="1"/>
  <c r="BW1662" i="1"/>
  <c r="A1663" i="1"/>
  <c r="C1663" i="1"/>
  <c r="S1663" i="1"/>
  <c r="T1663" i="1"/>
  <c r="U1663" i="1"/>
  <c r="BB1663" i="1"/>
  <c r="BW1663" i="1"/>
  <c r="A1664" i="1"/>
  <c r="C1664" i="1"/>
  <c r="S1664" i="1"/>
  <c r="T1664" i="1"/>
  <c r="U1664" i="1"/>
  <c r="BB1664" i="1"/>
  <c r="BW1664" i="1"/>
  <c r="A1665" i="1"/>
  <c r="C1665" i="1"/>
  <c r="S1665" i="1"/>
  <c r="T1665" i="1"/>
  <c r="U1665" i="1"/>
  <c r="BB1665" i="1"/>
  <c r="BW1665" i="1"/>
  <c r="A1666" i="1"/>
  <c r="C1666" i="1"/>
  <c r="S1666" i="1"/>
  <c r="T1666" i="1"/>
  <c r="U1666" i="1"/>
  <c r="BB1666" i="1"/>
  <c r="BW1666" i="1"/>
  <c r="A1667" i="1"/>
  <c r="C1667" i="1"/>
  <c r="S1667" i="1"/>
  <c r="T1667" i="1"/>
  <c r="U1667" i="1"/>
  <c r="BB1667" i="1"/>
  <c r="BW1667" i="1"/>
  <c r="A1668" i="1"/>
  <c r="C1668" i="1"/>
  <c r="S1668" i="1"/>
  <c r="T1668" i="1"/>
  <c r="U1668" i="1"/>
  <c r="BB1668" i="1"/>
  <c r="BW1668" i="1"/>
  <c r="A1669" i="1"/>
  <c r="C1669" i="1"/>
  <c r="S1669" i="1"/>
  <c r="T1669" i="1"/>
  <c r="U1669" i="1"/>
  <c r="BB1669" i="1"/>
  <c r="BW1669" i="1"/>
  <c r="A1670" i="1"/>
  <c r="C1670" i="1"/>
  <c r="S1670" i="1"/>
  <c r="T1670" i="1"/>
  <c r="U1670" i="1"/>
  <c r="BB1670" i="1"/>
  <c r="BW1670" i="1"/>
  <c r="A1671" i="1"/>
  <c r="C1671" i="1"/>
  <c r="S1671" i="1"/>
  <c r="T1671" i="1"/>
  <c r="U1671" i="1"/>
  <c r="BB1671" i="1"/>
  <c r="BW1671" i="1"/>
  <c r="A1672" i="1"/>
  <c r="C1672" i="1"/>
  <c r="S1672" i="1"/>
  <c r="T1672" i="1"/>
  <c r="U1672" i="1"/>
  <c r="BB1672" i="1"/>
  <c r="BW1672" i="1"/>
  <c r="A1673" i="1"/>
  <c r="C1673" i="1"/>
  <c r="S1673" i="1"/>
  <c r="T1673" i="1"/>
  <c r="U1673" i="1"/>
  <c r="BB1673" i="1"/>
  <c r="BW1673" i="1"/>
  <c r="A1674" i="1"/>
  <c r="C1674" i="1"/>
  <c r="S1674" i="1"/>
  <c r="T1674" i="1"/>
  <c r="U1674" i="1"/>
  <c r="BB1674" i="1"/>
  <c r="BW1674" i="1"/>
  <c r="A1675" i="1"/>
  <c r="C1675" i="1"/>
  <c r="S1675" i="1"/>
  <c r="T1675" i="1"/>
  <c r="U1675" i="1"/>
  <c r="BB1675" i="1"/>
  <c r="BW1675" i="1"/>
  <c r="A1676" i="1"/>
  <c r="C1676" i="1"/>
  <c r="S1676" i="1"/>
  <c r="T1676" i="1"/>
  <c r="U1676" i="1"/>
  <c r="BB1676" i="1"/>
  <c r="BW1676" i="1"/>
  <c r="A1677" i="1"/>
  <c r="C1677" i="1"/>
  <c r="S1677" i="1"/>
  <c r="T1677" i="1"/>
  <c r="U1677" i="1"/>
  <c r="BB1677" i="1"/>
  <c r="BW1677" i="1"/>
  <c r="A1678" i="1"/>
  <c r="C1678" i="1"/>
  <c r="S1678" i="1"/>
  <c r="T1678" i="1"/>
  <c r="U1678" i="1"/>
  <c r="BB1678" i="1"/>
  <c r="BW1678" i="1"/>
  <c r="A1679" i="1"/>
  <c r="C1679" i="1"/>
  <c r="S1679" i="1"/>
  <c r="T1679" i="1"/>
  <c r="U1679" i="1"/>
  <c r="BB1679" i="1"/>
  <c r="BW1679" i="1"/>
  <c r="A1680" i="1"/>
  <c r="C1680" i="1"/>
  <c r="S1680" i="1"/>
  <c r="T1680" i="1"/>
  <c r="U1680" i="1"/>
  <c r="BB1680" i="1"/>
  <c r="BW1680" i="1"/>
  <c r="A1681" i="1"/>
  <c r="C1681" i="1"/>
  <c r="S1681" i="1"/>
  <c r="T1681" i="1"/>
  <c r="U1681" i="1"/>
  <c r="BB1681" i="1"/>
  <c r="BW1681" i="1"/>
  <c r="A1682" i="1"/>
  <c r="C1682" i="1"/>
  <c r="S1682" i="1"/>
  <c r="T1682" i="1"/>
  <c r="U1682" i="1"/>
  <c r="BB1682" i="1"/>
  <c r="BW1682" i="1"/>
  <c r="A1683" i="1"/>
  <c r="C1683" i="1"/>
  <c r="S1683" i="1"/>
  <c r="T1683" i="1"/>
  <c r="U1683" i="1"/>
  <c r="BB1683" i="1"/>
  <c r="BW1683" i="1"/>
  <c r="A1684" i="1"/>
  <c r="C1684" i="1"/>
  <c r="S1684" i="1"/>
  <c r="T1684" i="1"/>
  <c r="U1684" i="1"/>
  <c r="BB1684" i="1"/>
  <c r="BW1684" i="1"/>
  <c r="A1685" i="1"/>
  <c r="C1685" i="1"/>
  <c r="S1685" i="1"/>
  <c r="T1685" i="1"/>
  <c r="U1685" i="1"/>
  <c r="BB1685" i="1"/>
  <c r="BW1685" i="1"/>
  <c r="A1686" i="1"/>
  <c r="C1686" i="1"/>
  <c r="S1686" i="1"/>
  <c r="T1686" i="1"/>
  <c r="U1686" i="1"/>
  <c r="BB1686" i="1"/>
  <c r="BW1686" i="1"/>
  <c r="A1687" i="1"/>
  <c r="C1687" i="1"/>
  <c r="S1687" i="1"/>
  <c r="T1687" i="1"/>
  <c r="U1687" i="1"/>
  <c r="BB1687" i="1"/>
  <c r="BW1687" i="1"/>
  <c r="A1688" i="1"/>
  <c r="C1688" i="1"/>
  <c r="S1688" i="1"/>
  <c r="T1688" i="1"/>
  <c r="U1688" i="1"/>
  <c r="BB1688" i="1"/>
  <c r="BW1688" i="1"/>
  <c r="A1689" i="1"/>
  <c r="C1689" i="1"/>
  <c r="S1689" i="1"/>
  <c r="T1689" i="1"/>
  <c r="U1689" i="1"/>
  <c r="BB1689" i="1"/>
  <c r="BW1689" i="1"/>
  <c r="A1690" i="1"/>
  <c r="C1690" i="1"/>
  <c r="S1690" i="1"/>
  <c r="T1690" i="1"/>
  <c r="U1690" i="1"/>
  <c r="BB1690" i="1"/>
  <c r="BW1690" i="1"/>
  <c r="A1691" i="1"/>
  <c r="C1691" i="1"/>
  <c r="S1691" i="1"/>
  <c r="T1691" i="1"/>
  <c r="U1691" i="1"/>
  <c r="BB1691" i="1"/>
  <c r="BW1691" i="1"/>
  <c r="A1692" i="1"/>
  <c r="C1692" i="1"/>
  <c r="S1692" i="1"/>
  <c r="T1692" i="1"/>
  <c r="U1692" i="1"/>
  <c r="BB1692" i="1"/>
  <c r="BW1692" i="1"/>
  <c r="A1693" i="1"/>
  <c r="C1693" i="1"/>
  <c r="S1693" i="1"/>
  <c r="T1693" i="1"/>
  <c r="U1693" i="1"/>
  <c r="BB1693" i="1"/>
  <c r="BW1693" i="1"/>
  <c r="A1694" i="1"/>
  <c r="C1694" i="1"/>
  <c r="S1694" i="1"/>
  <c r="T1694" i="1"/>
  <c r="U1694" i="1"/>
  <c r="BB1694" i="1"/>
  <c r="BW1694" i="1"/>
  <c r="A1695" i="1"/>
  <c r="C1695" i="1"/>
  <c r="S1695" i="1"/>
  <c r="T1695" i="1"/>
  <c r="U1695" i="1"/>
  <c r="BB1695" i="1"/>
  <c r="BW1695" i="1"/>
  <c r="A1696" i="1"/>
  <c r="C1696" i="1"/>
  <c r="S1696" i="1"/>
  <c r="T1696" i="1"/>
  <c r="U1696" i="1"/>
  <c r="BB1696" i="1"/>
  <c r="BW1696" i="1"/>
  <c r="A1697" i="1"/>
  <c r="C1697" i="1"/>
  <c r="S1697" i="1"/>
  <c r="T1697" i="1"/>
  <c r="U1697" i="1"/>
  <c r="BB1697" i="1"/>
  <c r="BW1697" i="1"/>
  <c r="A1698" i="1"/>
  <c r="C1698" i="1"/>
  <c r="S1698" i="1"/>
  <c r="T1698" i="1"/>
  <c r="U1698" i="1"/>
  <c r="BB1698" i="1"/>
  <c r="BW1698" i="1"/>
  <c r="A1699" i="1"/>
  <c r="C1699" i="1"/>
  <c r="S1699" i="1"/>
  <c r="T1699" i="1"/>
  <c r="U1699" i="1"/>
  <c r="BB1699" i="1"/>
  <c r="BW1699" i="1"/>
  <c r="A1700" i="1"/>
  <c r="C1700" i="1"/>
  <c r="S1700" i="1"/>
  <c r="T1700" i="1"/>
  <c r="U1700" i="1"/>
  <c r="BB1700" i="1"/>
  <c r="BW1700" i="1"/>
  <c r="A1701" i="1"/>
  <c r="C1701" i="1"/>
  <c r="S1701" i="1"/>
  <c r="T1701" i="1"/>
  <c r="U1701" i="1"/>
  <c r="BB1701" i="1"/>
  <c r="BW1701" i="1"/>
  <c r="A1702" i="1"/>
  <c r="C1702" i="1"/>
  <c r="S1702" i="1"/>
  <c r="T1702" i="1"/>
  <c r="U1702" i="1"/>
  <c r="BB1702" i="1"/>
  <c r="BW1702" i="1"/>
  <c r="A1703" i="1"/>
  <c r="C1703" i="1"/>
  <c r="S1703" i="1"/>
  <c r="T1703" i="1"/>
  <c r="U1703" i="1"/>
  <c r="BB1703" i="1"/>
  <c r="BW1703" i="1"/>
  <c r="A1704" i="1"/>
  <c r="C1704" i="1"/>
  <c r="S1704" i="1"/>
  <c r="T1704" i="1"/>
  <c r="U1704" i="1"/>
  <c r="BB1704" i="1"/>
  <c r="BW1704" i="1"/>
  <c r="A1705" i="1"/>
  <c r="C1705" i="1"/>
  <c r="S1705" i="1"/>
  <c r="T1705" i="1"/>
  <c r="U1705" i="1"/>
  <c r="BB1705" i="1"/>
  <c r="BW1705" i="1"/>
  <c r="A1706" i="1"/>
  <c r="C1706" i="1"/>
  <c r="S1706" i="1"/>
  <c r="T1706" i="1"/>
  <c r="U1706" i="1"/>
  <c r="BB1706" i="1"/>
  <c r="BW1706" i="1"/>
  <c r="A1707" i="1"/>
  <c r="C1707" i="1"/>
  <c r="S1707" i="1"/>
  <c r="T1707" i="1"/>
  <c r="U1707" i="1"/>
  <c r="BB1707" i="1"/>
  <c r="BW1707" i="1"/>
  <c r="A1708" i="1"/>
  <c r="C1708" i="1"/>
  <c r="S1708" i="1"/>
  <c r="T1708" i="1"/>
  <c r="U1708" i="1"/>
  <c r="BB1708" i="1"/>
  <c r="BW1708" i="1"/>
  <c r="A1709" i="1"/>
  <c r="C1709" i="1"/>
  <c r="S1709" i="1"/>
  <c r="T1709" i="1"/>
  <c r="U1709" i="1"/>
  <c r="BB1709" i="1"/>
  <c r="BW1709" i="1"/>
  <c r="A1710" i="1"/>
  <c r="C1710" i="1"/>
  <c r="S1710" i="1"/>
  <c r="T1710" i="1"/>
  <c r="U1710" i="1"/>
  <c r="BB1710" i="1"/>
  <c r="BW1710" i="1"/>
  <c r="A1711" i="1"/>
  <c r="C1711" i="1"/>
  <c r="S1711" i="1"/>
  <c r="T1711" i="1"/>
  <c r="U1711" i="1"/>
  <c r="BB1711" i="1"/>
  <c r="BW1711" i="1"/>
  <c r="A1712" i="1"/>
  <c r="C1712" i="1"/>
  <c r="S1712" i="1"/>
  <c r="T1712" i="1"/>
  <c r="U1712" i="1"/>
  <c r="BB1712" i="1"/>
  <c r="BW1712" i="1"/>
  <c r="A1713" i="1"/>
  <c r="C1713" i="1"/>
  <c r="S1713" i="1"/>
  <c r="T1713" i="1"/>
  <c r="U1713" i="1"/>
  <c r="BB1713" i="1"/>
  <c r="BW1713" i="1"/>
  <c r="A1714" i="1"/>
  <c r="C1714" i="1"/>
  <c r="S1714" i="1"/>
  <c r="T1714" i="1"/>
  <c r="U1714" i="1"/>
  <c r="BB1714" i="1"/>
  <c r="BW1714" i="1"/>
  <c r="A1715" i="1"/>
  <c r="C1715" i="1"/>
  <c r="S1715" i="1"/>
  <c r="T1715" i="1"/>
  <c r="U1715" i="1"/>
  <c r="BB1715" i="1"/>
  <c r="BW1715" i="1"/>
  <c r="A1716" i="1"/>
  <c r="C1716" i="1"/>
  <c r="S1716" i="1"/>
  <c r="T1716" i="1"/>
  <c r="U1716" i="1"/>
  <c r="BB1716" i="1"/>
  <c r="BW1716" i="1"/>
  <c r="A1717" i="1"/>
  <c r="C1717" i="1"/>
  <c r="S1717" i="1"/>
  <c r="T1717" i="1"/>
  <c r="U1717" i="1"/>
  <c r="BB1717" i="1"/>
  <c r="BW1717" i="1"/>
  <c r="A1718" i="1"/>
  <c r="C1718" i="1"/>
  <c r="S1718" i="1"/>
  <c r="T1718" i="1"/>
  <c r="U1718" i="1"/>
  <c r="BB1718" i="1"/>
  <c r="BW1718" i="1"/>
  <c r="A1719" i="1"/>
  <c r="C1719" i="1"/>
  <c r="S1719" i="1"/>
  <c r="T1719" i="1"/>
  <c r="U1719" i="1"/>
  <c r="BB1719" i="1"/>
  <c r="BW1719" i="1"/>
  <c r="A1720" i="1"/>
  <c r="C1720" i="1"/>
  <c r="S1720" i="1"/>
  <c r="T1720" i="1"/>
  <c r="U1720" i="1"/>
  <c r="BB1720" i="1"/>
  <c r="BW1720" i="1"/>
  <c r="A1721" i="1"/>
  <c r="C1721" i="1"/>
  <c r="S1721" i="1"/>
  <c r="T1721" i="1"/>
  <c r="U1721" i="1"/>
  <c r="BB1721" i="1"/>
  <c r="BW1721" i="1"/>
  <c r="A1722" i="1"/>
  <c r="C1722" i="1"/>
  <c r="S1722" i="1"/>
  <c r="T1722" i="1"/>
  <c r="U1722" i="1"/>
  <c r="BB1722" i="1"/>
  <c r="BW1722" i="1"/>
  <c r="A1723" i="1"/>
  <c r="C1723" i="1"/>
  <c r="S1723" i="1"/>
  <c r="T1723" i="1"/>
  <c r="U1723" i="1"/>
  <c r="BB1723" i="1"/>
  <c r="BW1723" i="1"/>
  <c r="A1724" i="1"/>
  <c r="C1724" i="1"/>
  <c r="S1724" i="1"/>
  <c r="T1724" i="1"/>
  <c r="U1724" i="1"/>
  <c r="BB1724" i="1"/>
  <c r="BW1724" i="1"/>
  <c r="A1725" i="1"/>
  <c r="C1725" i="1"/>
  <c r="S1725" i="1"/>
  <c r="T1725" i="1"/>
  <c r="U1725" i="1"/>
  <c r="BB1725" i="1"/>
  <c r="BW1725" i="1"/>
  <c r="A1726" i="1"/>
  <c r="C1726" i="1"/>
  <c r="S1726" i="1"/>
  <c r="T1726" i="1"/>
  <c r="U1726" i="1"/>
  <c r="BB1726" i="1"/>
  <c r="BW1726" i="1"/>
  <c r="A1727" i="1"/>
  <c r="C1727" i="1"/>
  <c r="S1727" i="1"/>
  <c r="T1727" i="1"/>
  <c r="U1727" i="1"/>
  <c r="BB1727" i="1"/>
  <c r="BW1727" i="1"/>
  <c r="A1728" i="1"/>
  <c r="C1728" i="1"/>
  <c r="S1728" i="1"/>
  <c r="T1728" i="1"/>
  <c r="U1728" i="1"/>
  <c r="BB1728" i="1"/>
  <c r="BW1728" i="1"/>
  <c r="A1729" i="1"/>
  <c r="C1729" i="1"/>
  <c r="S1729" i="1"/>
  <c r="T1729" i="1"/>
  <c r="U1729" i="1"/>
  <c r="BB1729" i="1"/>
  <c r="BW1729" i="1"/>
  <c r="A1730" i="1"/>
  <c r="C1730" i="1"/>
  <c r="S1730" i="1"/>
  <c r="T1730" i="1"/>
  <c r="U1730" i="1"/>
  <c r="BB1730" i="1"/>
  <c r="BW1730" i="1"/>
  <c r="A1731" i="1"/>
  <c r="C1731" i="1"/>
  <c r="S1731" i="1"/>
  <c r="T1731" i="1"/>
  <c r="U1731" i="1"/>
  <c r="BB1731" i="1"/>
  <c r="BW1731" i="1"/>
  <c r="A1732" i="1"/>
  <c r="C1732" i="1"/>
  <c r="S1732" i="1"/>
  <c r="T1732" i="1"/>
  <c r="U1732" i="1"/>
  <c r="BB1732" i="1"/>
  <c r="BW1732" i="1"/>
  <c r="A1733" i="1"/>
  <c r="C1733" i="1"/>
  <c r="S1733" i="1"/>
  <c r="T1733" i="1"/>
  <c r="U1733" i="1"/>
  <c r="BB1733" i="1"/>
  <c r="BW1733" i="1"/>
  <c r="A1734" i="1"/>
  <c r="C1734" i="1"/>
  <c r="S1734" i="1"/>
  <c r="T1734" i="1"/>
  <c r="U1734" i="1"/>
  <c r="BB1734" i="1"/>
  <c r="BW1734" i="1"/>
  <c r="A1735" i="1"/>
  <c r="C1735" i="1"/>
  <c r="S1735" i="1"/>
  <c r="T1735" i="1"/>
  <c r="U1735" i="1"/>
  <c r="BB1735" i="1"/>
  <c r="BW1735" i="1"/>
  <c r="A1736" i="1"/>
  <c r="C1736" i="1"/>
  <c r="S1736" i="1"/>
  <c r="T1736" i="1"/>
  <c r="U1736" i="1"/>
  <c r="BB1736" i="1"/>
  <c r="BW1736" i="1"/>
  <c r="A1737" i="1"/>
  <c r="C1737" i="1"/>
  <c r="S1737" i="1"/>
  <c r="T1737" i="1"/>
  <c r="U1737" i="1"/>
  <c r="BB1737" i="1"/>
  <c r="BW1737" i="1"/>
  <c r="A1738" i="1"/>
  <c r="C1738" i="1"/>
  <c r="S1738" i="1"/>
  <c r="T1738" i="1"/>
  <c r="U1738" i="1"/>
  <c r="BB1738" i="1"/>
  <c r="BW1738" i="1"/>
  <c r="A1739" i="1"/>
  <c r="C1739" i="1"/>
  <c r="S1739" i="1"/>
  <c r="T1739" i="1"/>
  <c r="U1739" i="1"/>
  <c r="BB1739" i="1"/>
  <c r="BW1739" i="1"/>
  <c r="A1740" i="1"/>
  <c r="C1740" i="1"/>
  <c r="S1740" i="1"/>
  <c r="T1740" i="1"/>
  <c r="U1740" i="1"/>
  <c r="BB1740" i="1"/>
  <c r="BW1740" i="1"/>
  <c r="A1741" i="1"/>
  <c r="C1741" i="1"/>
  <c r="S1741" i="1"/>
  <c r="T1741" i="1"/>
  <c r="U1741" i="1"/>
  <c r="BB1741" i="1"/>
  <c r="BW1741" i="1"/>
  <c r="A1742" i="1"/>
  <c r="C1742" i="1"/>
  <c r="S1742" i="1"/>
  <c r="T1742" i="1"/>
  <c r="U1742" i="1"/>
  <c r="BB1742" i="1"/>
  <c r="BW1742" i="1"/>
  <c r="A1743" i="1"/>
  <c r="C1743" i="1"/>
  <c r="S1743" i="1"/>
  <c r="T1743" i="1"/>
  <c r="U1743" i="1"/>
  <c r="BB1743" i="1"/>
  <c r="BW1743" i="1"/>
  <c r="A1744" i="1"/>
  <c r="C1744" i="1"/>
  <c r="S1744" i="1"/>
  <c r="T1744" i="1"/>
  <c r="U1744" i="1"/>
  <c r="BB1744" i="1"/>
  <c r="BW1744" i="1"/>
  <c r="A1745" i="1"/>
  <c r="C1745" i="1"/>
  <c r="S1745" i="1"/>
  <c r="T1745" i="1"/>
  <c r="U1745" i="1"/>
  <c r="BB1745" i="1"/>
  <c r="BW1745" i="1"/>
  <c r="A1746" i="1"/>
  <c r="C1746" i="1"/>
  <c r="S1746" i="1"/>
  <c r="T1746" i="1"/>
  <c r="U1746" i="1"/>
  <c r="BB1746" i="1"/>
  <c r="BW1746" i="1"/>
  <c r="A1747" i="1"/>
  <c r="C1747" i="1"/>
  <c r="S1747" i="1"/>
  <c r="T1747" i="1"/>
  <c r="U1747" i="1"/>
  <c r="BB1747" i="1"/>
  <c r="BW1747" i="1"/>
  <c r="A1748" i="1"/>
  <c r="C1748" i="1"/>
  <c r="S1748" i="1"/>
  <c r="T1748" i="1"/>
  <c r="U1748" i="1"/>
  <c r="BB1748" i="1"/>
  <c r="BW1748" i="1"/>
  <c r="A1749" i="1"/>
  <c r="C1749" i="1"/>
  <c r="S1749" i="1"/>
  <c r="T1749" i="1"/>
  <c r="U1749" i="1"/>
  <c r="BB1749" i="1"/>
  <c r="BW1749" i="1"/>
  <c r="A1750" i="1"/>
  <c r="C1750" i="1"/>
  <c r="S1750" i="1"/>
  <c r="T1750" i="1"/>
  <c r="U1750" i="1"/>
  <c r="BB1750" i="1"/>
  <c r="BW1750" i="1"/>
  <c r="A1751" i="1"/>
  <c r="C1751" i="1"/>
  <c r="S1751" i="1"/>
  <c r="T1751" i="1"/>
  <c r="U1751" i="1"/>
  <c r="BB1751" i="1"/>
  <c r="BW1751" i="1"/>
  <c r="A1752" i="1"/>
  <c r="C1752" i="1"/>
  <c r="S1752" i="1"/>
  <c r="T1752" i="1"/>
  <c r="U1752" i="1"/>
  <c r="BB1752" i="1"/>
  <c r="BW1752" i="1"/>
  <c r="A1753" i="1"/>
  <c r="C1753" i="1"/>
  <c r="S1753" i="1"/>
  <c r="T1753" i="1"/>
  <c r="U1753" i="1"/>
  <c r="BB1753" i="1"/>
  <c r="BW1753" i="1"/>
  <c r="A1754" i="1"/>
  <c r="C1754" i="1"/>
  <c r="S1754" i="1"/>
  <c r="T1754" i="1"/>
  <c r="U1754" i="1"/>
  <c r="BB1754" i="1"/>
  <c r="BW1754" i="1"/>
  <c r="A1755" i="1"/>
  <c r="C1755" i="1"/>
  <c r="S1755" i="1"/>
  <c r="T1755" i="1"/>
  <c r="U1755" i="1"/>
  <c r="BB1755" i="1"/>
  <c r="BW1755" i="1"/>
  <c r="A1756" i="1"/>
  <c r="C1756" i="1"/>
  <c r="S1756" i="1"/>
  <c r="T1756" i="1"/>
  <c r="U1756" i="1"/>
  <c r="BB1756" i="1"/>
  <c r="BW1756" i="1"/>
  <c r="A1757" i="1"/>
  <c r="C1757" i="1"/>
  <c r="S1757" i="1"/>
  <c r="T1757" i="1"/>
  <c r="U1757" i="1"/>
  <c r="BB1757" i="1"/>
  <c r="BW1757" i="1"/>
  <c r="A1758" i="1"/>
  <c r="C1758" i="1"/>
  <c r="S1758" i="1"/>
  <c r="T1758" i="1"/>
  <c r="U1758" i="1"/>
  <c r="BB1758" i="1"/>
  <c r="BW1758" i="1"/>
  <c r="A1759" i="1"/>
  <c r="C1759" i="1"/>
  <c r="S1759" i="1"/>
  <c r="T1759" i="1"/>
  <c r="U1759" i="1"/>
  <c r="BB1759" i="1"/>
  <c r="BW1759" i="1"/>
  <c r="A1760" i="1"/>
  <c r="C1760" i="1"/>
  <c r="S1760" i="1"/>
  <c r="T1760" i="1"/>
  <c r="U1760" i="1"/>
  <c r="BB1760" i="1"/>
  <c r="BW1760" i="1"/>
  <c r="A1761" i="1"/>
  <c r="C1761" i="1"/>
  <c r="S1761" i="1"/>
  <c r="T1761" i="1"/>
  <c r="U1761" i="1"/>
  <c r="BB1761" i="1"/>
  <c r="BW1761" i="1"/>
  <c r="A1762" i="1"/>
  <c r="C1762" i="1"/>
  <c r="S1762" i="1"/>
  <c r="T1762" i="1"/>
  <c r="U1762" i="1"/>
  <c r="BB1762" i="1"/>
  <c r="BW1762" i="1"/>
  <c r="A1763" i="1"/>
  <c r="C1763" i="1"/>
  <c r="S1763" i="1"/>
  <c r="T1763" i="1"/>
  <c r="U1763" i="1"/>
  <c r="BB1763" i="1"/>
  <c r="BW1763" i="1"/>
  <c r="A1764" i="1"/>
  <c r="C1764" i="1"/>
  <c r="S1764" i="1"/>
  <c r="T1764" i="1"/>
  <c r="U1764" i="1"/>
  <c r="BB1764" i="1"/>
  <c r="BW1764" i="1"/>
  <c r="A1765" i="1"/>
  <c r="C1765" i="1"/>
  <c r="S1765" i="1"/>
  <c r="T1765" i="1"/>
  <c r="U1765" i="1"/>
  <c r="BB1765" i="1"/>
  <c r="BW1765" i="1"/>
  <c r="A1766" i="1"/>
  <c r="C1766" i="1"/>
  <c r="S1766" i="1"/>
  <c r="T1766" i="1"/>
  <c r="U1766" i="1"/>
  <c r="BB1766" i="1"/>
  <c r="BW1766" i="1"/>
  <c r="A1767" i="1"/>
  <c r="C1767" i="1"/>
  <c r="S1767" i="1"/>
  <c r="T1767" i="1"/>
  <c r="U1767" i="1"/>
  <c r="BB1767" i="1"/>
  <c r="BW1767" i="1"/>
  <c r="A1768" i="1"/>
  <c r="C1768" i="1"/>
  <c r="S1768" i="1"/>
  <c r="T1768" i="1"/>
  <c r="U1768" i="1"/>
  <c r="BB1768" i="1"/>
  <c r="BW1768" i="1"/>
  <c r="A1769" i="1"/>
  <c r="C1769" i="1"/>
  <c r="S1769" i="1"/>
  <c r="T1769" i="1"/>
  <c r="U1769" i="1"/>
  <c r="BB1769" i="1"/>
  <c r="BW1769" i="1"/>
  <c r="A1770" i="1"/>
  <c r="C1770" i="1"/>
  <c r="S1770" i="1"/>
  <c r="T1770" i="1"/>
  <c r="U1770" i="1"/>
  <c r="BB1770" i="1"/>
  <c r="BW1770" i="1"/>
  <c r="A1771" i="1"/>
  <c r="C1771" i="1"/>
  <c r="S1771" i="1"/>
  <c r="T1771" i="1"/>
  <c r="U1771" i="1"/>
  <c r="BB1771" i="1"/>
  <c r="BW1771" i="1"/>
  <c r="A1772" i="1"/>
  <c r="C1772" i="1"/>
  <c r="S1772" i="1"/>
  <c r="T1772" i="1"/>
  <c r="U1772" i="1"/>
  <c r="BB1772" i="1"/>
  <c r="BW1772" i="1"/>
  <c r="A1773" i="1"/>
  <c r="C1773" i="1"/>
  <c r="S1773" i="1"/>
  <c r="T1773" i="1"/>
  <c r="U1773" i="1"/>
  <c r="BB1773" i="1"/>
  <c r="BW1773" i="1"/>
  <c r="A1774" i="1"/>
  <c r="C1774" i="1"/>
  <c r="S1774" i="1"/>
  <c r="T1774" i="1"/>
  <c r="U1774" i="1"/>
  <c r="BB1774" i="1"/>
  <c r="BW1774" i="1"/>
  <c r="A1775" i="1"/>
  <c r="C1775" i="1"/>
  <c r="S1775" i="1"/>
  <c r="T1775" i="1"/>
  <c r="U1775" i="1"/>
  <c r="BB1775" i="1"/>
  <c r="BW1775" i="1"/>
  <c r="A1776" i="1"/>
  <c r="C1776" i="1"/>
  <c r="S1776" i="1"/>
  <c r="T1776" i="1"/>
  <c r="U1776" i="1"/>
  <c r="BB1776" i="1"/>
  <c r="BW1776" i="1"/>
  <c r="A1777" i="1"/>
  <c r="C1777" i="1"/>
  <c r="S1777" i="1"/>
  <c r="T1777" i="1"/>
  <c r="U1777" i="1"/>
  <c r="BB1777" i="1"/>
  <c r="BW1777" i="1"/>
  <c r="A1778" i="1"/>
  <c r="C1778" i="1"/>
  <c r="S1778" i="1"/>
  <c r="T1778" i="1"/>
  <c r="U1778" i="1"/>
  <c r="BB1778" i="1"/>
  <c r="BW1778" i="1"/>
  <c r="A1779" i="1"/>
  <c r="C1779" i="1"/>
  <c r="S1779" i="1"/>
  <c r="T1779" i="1"/>
  <c r="U1779" i="1"/>
  <c r="BB1779" i="1"/>
  <c r="BW1779" i="1"/>
  <c r="A1780" i="1"/>
  <c r="C1780" i="1"/>
  <c r="S1780" i="1"/>
  <c r="T1780" i="1"/>
  <c r="U1780" i="1"/>
  <c r="BB1780" i="1"/>
  <c r="BW1780" i="1"/>
  <c r="A1781" i="1"/>
  <c r="C1781" i="1"/>
  <c r="S1781" i="1"/>
  <c r="U1781" i="1"/>
  <c r="BB1781" i="1"/>
  <c r="BW1781" i="1"/>
  <c r="A1782" i="1"/>
  <c r="C1782" i="1"/>
  <c r="S1782" i="1"/>
  <c r="U1782" i="1"/>
  <c r="BB1782" i="1"/>
  <c r="BW1782" i="1"/>
  <c r="A1783" i="1"/>
  <c r="C1783" i="1"/>
  <c r="S1783" i="1"/>
  <c r="U1783" i="1"/>
  <c r="BB1783" i="1"/>
  <c r="BW1783" i="1"/>
  <c r="A1784" i="1"/>
  <c r="C1784" i="1"/>
  <c r="S1784" i="1"/>
  <c r="T1784" i="1"/>
  <c r="U1784" i="1"/>
  <c r="BB1784" i="1"/>
  <c r="BW1784" i="1"/>
  <c r="A1785" i="1"/>
  <c r="C1785" i="1"/>
  <c r="S1785" i="1"/>
  <c r="T1785" i="1"/>
  <c r="U1785" i="1"/>
  <c r="BB1785" i="1"/>
  <c r="BW1785" i="1"/>
  <c r="A1786" i="1"/>
  <c r="C1786" i="1"/>
  <c r="S1786" i="1"/>
  <c r="T1786" i="1"/>
  <c r="U1786" i="1"/>
  <c r="BB1786" i="1"/>
  <c r="BW1786" i="1"/>
  <c r="A1787" i="1"/>
  <c r="C1787" i="1"/>
  <c r="S1787" i="1"/>
  <c r="T1787" i="1"/>
  <c r="U1787" i="1"/>
  <c r="BB1787" i="1"/>
  <c r="BW1787" i="1"/>
  <c r="A1788" i="1"/>
  <c r="C1788" i="1"/>
  <c r="S1788" i="1"/>
  <c r="T1788" i="1"/>
  <c r="U1788" i="1"/>
  <c r="BB1788" i="1"/>
  <c r="BW1788" i="1"/>
  <c r="A1789" i="1"/>
  <c r="C1789" i="1"/>
  <c r="S1789" i="1"/>
  <c r="T1789" i="1"/>
  <c r="U1789" i="1"/>
  <c r="BB1789" i="1"/>
  <c r="BW1789" i="1"/>
  <c r="A1790" i="1"/>
  <c r="C1790" i="1"/>
  <c r="S1790" i="1"/>
  <c r="T1790" i="1"/>
  <c r="U1790" i="1"/>
  <c r="BW1790" i="1"/>
  <c r="A1791" i="1"/>
  <c r="C1791" i="1"/>
  <c r="S1791" i="1"/>
  <c r="U1791" i="1"/>
  <c r="BW1791" i="1"/>
  <c r="A1792" i="1"/>
  <c r="C1792" i="1"/>
  <c r="S1792" i="1"/>
  <c r="T1792" i="1"/>
  <c r="U1792" i="1"/>
  <c r="BW1792" i="1"/>
  <c r="A1793" i="1"/>
  <c r="C1793" i="1"/>
  <c r="S1793" i="1"/>
  <c r="T1793" i="1"/>
  <c r="U1793" i="1"/>
  <c r="BB1793" i="1"/>
  <c r="BW1793" i="1"/>
  <c r="A1794" i="1"/>
  <c r="C1794" i="1"/>
  <c r="S1794" i="1"/>
  <c r="T1794" i="1"/>
  <c r="U1794" i="1"/>
  <c r="BB1794" i="1"/>
  <c r="BW1794" i="1"/>
  <c r="A1795" i="1"/>
  <c r="C1795" i="1"/>
  <c r="S1795" i="1"/>
  <c r="T1795" i="1"/>
  <c r="U1795" i="1"/>
  <c r="BB1795" i="1"/>
  <c r="BW1795" i="1"/>
  <c r="A1796" i="1"/>
  <c r="C1796" i="1"/>
  <c r="S1796" i="1"/>
  <c r="T1796" i="1"/>
  <c r="U1796" i="1"/>
  <c r="BB1796" i="1"/>
  <c r="BW1796" i="1"/>
  <c r="A1797" i="1"/>
  <c r="C1797" i="1"/>
  <c r="S1797" i="1"/>
  <c r="T1797" i="1"/>
  <c r="U1797" i="1"/>
  <c r="BB1797" i="1"/>
  <c r="BW1797" i="1"/>
  <c r="A1798" i="1"/>
  <c r="C1798" i="1"/>
  <c r="S1798" i="1"/>
  <c r="T1798" i="1"/>
  <c r="U1798" i="1"/>
  <c r="BB1798" i="1"/>
  <c r="BW1798" i="1"/>
  <c r="A1799" i="1"/>
  <c r="C1799" i="1"/>
  <c r="S1799" i="1"/>
  <c r="T1799" i="1"/>
  <c r="U1799" i="1"/>
  <c r="BB1799" i="1"/>
  <c r="BW1799" i="1"/>
  <c r="A1800" i="1"/>
  <c r="C1800" i="1"/>
  <c r="S1800" i="1"/>
  <c r="T1800" i="1"/>
  <c r="U1800" i="1"/>
  <c r="BB1800" i="1"/>
  <c r="BW1800" i="1"/>
  <c r="A1801" i="1"/>
  <c r="C1801" i="1"/>
  <c r="S1801" i="1"/>
  <c r="T1801" i="1"/>
  <c r="U1801" i="1"/>
  <c r="BB1801" i="1"/>
  <c r="BW1801" i="1"/>
  <c r="A1802" i="1"/>
  <c r="C1802" i="1"/>
  <c r="S1802" i="1"/>
  <c r="T1802" i="1"/>
  <c r="U1802" i="1"/>
  <c r="BB1802" i="1"/>
  <c r="BW1802" i="1"/>
  <c r="A1803" i="1"/>
  <c r="C1803" i="1"/>
  <c r="S1803" i="1"/>
  <c r="T1803" i="1"/>
  <c r="U1803" i="1"/>
  <c r="BB1803" i="1"/>
  <c r="BW1803" i="1"/>
  <c r="A1804" i="1"/>
  <c r="C1804" i="1"/>
  <c r="S1804" i="1"/>
  <c r="T1804" i="1"/>
  <c r="U1804" i="1"/>
  <c r="BB1804" i="1"/>
  <c r="BW1804" i="1"/>
  <c r="A1805" i="1"/>
  <c r="C1805" i="1"/>
  <c r="S1805" i="1"/>
  <c r="T1805" i="1"/>
  <c r="U1805" i="1"/>
  <c r="BB1805" i="1"/>
  <c r="BW1805" i="1"/>
  <c r="A1806" i="1"/>
  <c r="C1806" i="1"/>
  <c r="S1806" i="1"/>
  <c r="T1806" i="1"/>
  <c r="U1806" i="1"/>
  <c r="BB1806" i="1"/>
  <c r="BW1806" i="1"/>
  <c r="A1807" i="1"/>
  <c r="C1807" i="1"/>
  <c r="S1807" i="1"/>
  <c r="T1807" i="1"/>
  <c r="U1807" i="1"/>
  <c r="BB1807" i="1"/>
  <c r="BW1807" i="1"/>
  <c r="A1808" i="1"/>
  <c r="C1808" i="1"/>
  <c r="S1808" i="1"/>
  <c r="T1808" i="1"/>
  <c r="U1808" i="1"/>
  <c r="BB1808" i="1"/>
  <c r="BW1808" i="1"/>
  <c r="A1809" i="1"/>
  <c r="C1809" i="1"/>
  <c r="S1809" i="1"/>
  <c r="T1809" i="1"/>
  <c r="U1809" i="1"/>
  <c r="BB1809" i="1"/>
  <c r="BW1809" i="1"/>
  <c r="A1810" i="1"/>
  <c r="C1810" i="1"/>
  <c r="S1810" i="1"/>
  <c r="T1810" i="1"/>
  <c r="U1810" i="1"/>
  <c r="BB1810" i="1"/>
  <c r="BW1810" i="1"/>
  <c r="A1811" i="1"/>
  <c r="C1811" i="1"/>
  <c r="S1811" i="1"/>
  <c r="T1811" i="1"/>
  <c r="U1811" i="1"/>
  <c r="BB1811" i="1"/>
  <c r="BW1811" i="1"/>
  <c r="A1812" i="1"/>
  <c r="C1812" i="1"/>
  <c r="S1812" i="1"/>
  <c r="T1812" i="1"/>
  <c r="U1812" i="1"/>
  <c r="BB1812" i="1"/>
  <c r="BW1812" i="1"/>
  <c r="A1813" i="1"/>
  <c r="C1813" i="1"/>
  <c r="S1813" i="1"/>
  <c r="T1813" i="1"/>
  <c r="U1813" i="1"/>
  <c r="BB1813" i="1"/>
  <c r="BW1813" i="1"/>
  <c r="A1814" i="1"/>
  <c r="C1814" i="1"/>
  <c r="S1814" i="1"/>
  <c r="T1814" i="1"/>
  <c r="U1814" i="1"/>
  <c r="BB1814" i="1"/>
  <c r="BW1814" i="1"/>
  <c r="A1815" i="1"/>
  <c r="C1815" i="1"/>
  <c r="S1815" i="1"/>
  <c r="T1815" i="1"/>
  <c r="U1815" i="1"/>
  <c r="BB1815" i="1"/>
  <c r="BW1815" i="1"/>
  <c r="A1816" i="1"/>
  <c r="C1816" i="1"/>
  <c r="S1816" i="1"/>
  <c r="T1816" i="1"/>
  <c r="U1816" i="1"/>
  <c r="BB1816" i="1"/>
  <c r="BW1816" i="1"/>
  <c r="A1817" i="1"/>
  <c r="C1817" i="1"/>
  <c r="S1817" i="1"/>
  <c r="T1817" i="1"/>
  <c r="U1817" i="1"/>
  <c r="BB1817" i="1"/>
  <c r="BW1817" i="1"/>
  <c r="A1818" i="1"/>
  <c r="C1818" i="1"/>
  <c r="S1818" i="1"/>
  <c r="T1818" i="1"/>
  <c r="U1818" i="1"/>
  <c r="BB1818" i="1"/>
  <c r="BW1818" i="1"/>
  <c r="A1819" i="1"/>
  <c r="C1819" i="1"/>
  <c r="S1819" i="1"/>
  <c r="T1819" i="1"/>
  <c r="U1819" i="1"/>
  <c r="BB1819" i="1"/>
  <c r="BW1819" i="1"/>
  <c r="A1820" i="1"/>
  <c r="C1820" i="1"/>
  <c r="S1820" i="1"/>
  <c r="T1820" i="1"/>
  <c r="U1820" i="1"/>
  <c r="BB1820" i="1"/>
  <c r="BW1820" i="1"/>
  <c r="A1821" i="1"/>
  <c r="C1821" i="1"/>
  <c r="S1821" i="1"/>
  <c r="T1821" i="1"/>
  <c r="U1821" i="1"/>
  <c r="BB1821" i="1"/>
  <c r="BW1821" i="1"/>
  <c r="A1822" i="1"/>
  <c r="C1822" i="1"/>
  <c r="S1822" i="1"/>
  <c r="T1822" i="1"/>
  <c r="U1822" i="1"/>
  <c r="BB1822" i="1"/>
  <c r="BW1822" i="1"/>
  <c r="A1823" i="1"/>
  <c r="C1823" i="1"/>
  <c r="S1823" i="1"/>
  <c r="T1823" i="1"/>
  <c r="U1823" i="1"/>
  <c r="BB1823" i="1"/>
  <c r="BW1823" i="1"/>
  <c r="A1824" i="1"/>
  <c r="C1824" i="1"/>
  <c r="S1824" i="1"/>
  <c r="T1824" i="1"/>
  <c r="U1824" i="1"/>
  <c r="BB1824" i="1"/>
  <c r="BW1824" i="1"/>
  <c r="A1825" i="1"/>
  <c r="C1825" i="1"/>
  <c r="S1825" i="1"/>
  <c r="T1825" i="1"/>
  <c r="U1825" i="1"/>
  <c r="BB1825" i="1"/>
  <c r="BW1825" i="1"/>
  <c r="A1826" i="1"/>
  <c r="C1826" i="1"/>
  <c r="S1826" i="1"/>
  <c r="T1826" i="1"/>
  <c r="U1826" i="1"/>
  <c r="BB1826" i="1"/>
  <c r="BW1826" i="1"/>
  <c r="A1827" i="1"/>
  <c r="C1827" i="1"/>
  <c r="S1827" i="1"/>
  <c r="T1827" i="1"/>
  <c r="U1827" i="1"/>
  <c r="BB1827" i="1"/>
  <c r="BW1827" i="1"/>
  <c r="A1828" i="1"/>
  <c r="C1828" i="1"/>
  <c r="S1828" i="1"/>
  <c r="T1828" i="1"/>
  <c r="U1828" i="1"/>
  <c r="BB1828" i="1"/>
  <c r="BW1828" i="1"/>
  <c r="A1829" i="1"/>
  <c r="C1829" i="1"/>
  <c r="S1829" i="1"/>
  <c r="T1829" i="1"/>
  <c r="U1829" i="1"/>
  <c r="BB1829" i="1"/>
  <c r="BW1829" i="1"/>
  <c r="A1830" i="1"/>
  <c r="C1830" i="1"/>
  <c r="S1830" i="1"/>
  <c r="T1830" i="1"/>
  <c r="U1830" i="1"/>
  <c r="BB1830" i="1"/>
  <c r="BW1830" i="1"/>
  <c r="A1831" i="1"/>
  <c r="C1831" i="1"/>
  <c r="S1831" i="1"/>
  <c r="T1831" i="1"/>
  <c r="U1831" i="1"/>
  <c r="BB1831" i="1"/>
  <c r="BW1831" i="1"/>
  <c r="A1832" i="1"/>
  <c r="C1832" i="1"/>
  <c r="S1832" i="1"/>
  <c r="T1832" i="1"/>
  <c r="U1832" i="1"/>
  <c r="BB1832" i="1"/>
  <c r="BW1832" i="1"/>
  <c r="A1833" i="1"/>
  <c r="C1833" i="1"/>
  <c r="S1833" i="1"/>
  <c r="T1833" i="1"/>
  <c r="U1833" i="1"/>
  <c r="BB1833" i="1"/>
  <c r="BW1833" i="1"/>
  <c r="A1834" i="1"/>
  <c r="C1834" i="1"/>
  <c r="S1834" i="1"/>
  <c r="T1834" i="1"/>
  <c r="U1834" i="1"/>
  <c r="BB1834" i="1"/>
  <c r="BW1834" i="1"/>
  <c r="A1835" i="1"/>
  <c r="C1835" i="1"/>
  <c r="S1835" i="1"/>
  <c r="T1835" i="1"/>
  <c r="U1835" i="1"/>
  <c r="BB1835" i="1"/>
  <c r="BW1835" i="1"/>
  <c r="A1836" i="1"/>
  <c r="C1836" i="1"/>
  <c r="S1836" i="1"/>
  <c r="T1836" i="1"/>
  <c r="U1836" i="1"/>
  <c r="BB1836" i="1"/>
  <c r="BW1836" i="1"/>
  <c r="A1837" i="1"/>
  <c r="C1837" i="1"/>
  <c r="S1837" i="1"/>
  <c r="T1837" i="1"/>
  <c r="U1837" i="1"/>
  <c r="BB1837" i="1"/>
  <c r="BW1837" i="1"/>
  <c r="A1838" i="1"/>
  <c r="C1838" i="1"/>
  <c r="S1838" i="1"/>
  <c r="T1838" i="1"/>
  <c r="U1838" i="1"/>
  <c r="BB1838" i="1"/>
  <c r="BW1838" i="1"/>
  <c r="A1839" i="1"/>
  <c r="C1839" i="1"/>
  <c r="S1839" i="1"/>
  <c r="T1839" i="1"/>
  <c r="U1839" i="1"/>
  <c r="BB1839" i="1"/>
  <c r="BW1839" i="1"/>
  <c r="A1840" i="1"/>
  <c r="C1840" i="1"/>
  <c r="S1840" i="1"/>
  <c r="T1840" i="1"/>
  <c r="U1840" i="1"/>
  <c r="BB1840" i="1"/>
  <c r="BW1840" i="1"/>
  <c r="A1841" i="1"/>
  <c r="C1841" i="1"/>
  <c r="S1841" i="1"/>
  <c r="T1841" i="1"/>
  <c r="U1841" i="1"/>
  <c r="BB1841" i="1"/>
  <c r="BW1841" i="1"/>
  <c r="A1842" i="1"/>
  <c r="C1842" i="1"/>
  <c r="S1842" i="1"/>
  <c r="T1842" i="1"/>
  <c r="U1842" i="1"/>
  <c r="BB1842" i="1"/>
  <c r="BW1842" i="1"/>
  <c r="A1843" i="1"/>
  <c r="C1843" i="1"/>
  <c r="S1843" i="1"/>
  <c r="T1843" i="1"/>
  <c r="U1843" i="1"/>
  <c r="BB1843" i="1"/>
  <c r="BW1843" i="1"/>
  <c r="A1844" i="1"/>
  <c r="C1844" i="1"/>
  <c r="S1844" i="1"/>
  <c r="T1844" i="1"/>
  <c r="U1844" i="1"/>
  <c r="BB1844" i="1"/>
  <c r="BW1844" i="1"/>
  <c r="A1845" i="1"/>
  <c r="C1845" i="1"/>
  <c r="S1845" i="1"/>
  <c r="T1845" i="1"/>
  <c r="U1845" i="1"/>
  <c r="BB1845" i="1"/>
  <c r="BW1845" i="1"/>
  <c r="A1846" i="1"/>
  <c r="C1846" i="1"/>
  <c r="S1846" i="1"/>
  <c r="T1846" i="1"/>
  <c r="U1846" i="1"/>
  <c r="BB1846" i="1"/>
  <c r="BW1846" i="1"/>
  <c r="A1847" i="1"/>
  <c r="C1847" i="1"/>
  <c r="S1847" i="1"/>
  <c r="T1847" i="1"/>
  <c r="U1847" i="1"/>
  <c r="BB1847" i="1"/>
  <c r="BW1847" i="1"/>
  <c r="A1848" i="1"/>
  <c r="C1848" i="1"/>
  <c r="S1848" i="1"/>
  <c r="T1848" i="1"/>
  <c r="U1848" i="1"/>
  <c r="BB1848" i="1"/>
  <c r="BW1848" i="1"/>
  <c r="A1849" i="1"/>
  <c r="C1849" i="1"/>
  <c r="S1849" i="1"/>
  <c r="T1849" i="1"/>
  <c r="U1849" i="1"/>
  <c r="BB1849" i="1"/>
  <c r="BW1849" i="1"/>
  <c r="A1850" i="1"/>
  <c r="C1850" i="1"/>
  <c r="S1850" i="1"/>
  <c r="T1850" i="1"/>
  <c r="U1850" i="1"/>
  <c r="BB1850" i="1"/>
  <c r="BW1850" i="1"/>
  <c r="A1851" i="1"/>
  <c r="C1851" i="1"/>
  <c r="S1851" i="1"/>
  <c r="T1851" i="1"/>
  <c r="U1851" i="1"/>
  <c r="BB1851" i="1"/>
  <c r="BW1851" i="1"/>
  <c r="A1852" i="1"/>
  <c r="C1852" i="1"/>
  <c r="S1852" i="1"/>
  <c r="T1852" i="1"/>
  <c r="U1852" i="1"/>
  <c r="BB1852" i="1"/>
  <c r="BW1852" i="1"/>
  <c r="A1853" i="1"/>
  <c r="C1853" i="1"/>
  <c r="S1853" i="1"/>
  <c r="T1853" i="1"/>
  <c r="U1853" i="1"/>
  <c r="BB1853" i="1"/>
  <c r="BW1853" i="1"/>
  <c r="A1854" i="1"/>
  <c r="C1854" i="1"/>
  <c r="S1854" i="1"/>
  <c r="T1854" i="1"/>
  <c r="U1854" i="1"/>
  <c r="BB1854" i="1"/>
  <c r="BW1854" i="1"/>
  <c r="A1855" i="1"/>
  <c r="C1855" i="1"/>
  <c r="S1855" i="1"/>
  <c r="T1855" i="1"/>
  <c r="U1855" i="1"/>
  <c r="BB1855" i="1"/>
  <c r="BW1855" i="1"/>
  <c r="A1856" i="1"/>
  <c r="C1856" i="1"/>
  <c r="S1856" i="1"/>
  <c r="T1856" i="1"/>
  <c r="U1856" i="1"/>
  <c r="BB1856" i="1"/>
  <c r="BW1856" i="1"/>
  <c r="A1857" i="1"/>
  <c r="C1857" i="1"/>
  <c r="S1857" i="1"/>
  <c r="T1857" i="1"/>
  <c r="U1857" i="1"/>
  <c r="BB1857" i="1"/>
  <c r="BW1857" i="1"/>
  <c r="A1858" i="1"/>
  <c r="C1858" i="1"/>
  <c r="S1858" i="1"/>
  <c r="T1858" i="1"/>
  <c r="U1858" i="1"/>
  <c r="BB1858" i="1"/>
  <c r="BW1858" i="1"/>
  <c r="A1859" i="1"/>
  <c r="C1859" i="1"/>
  <c r="S1859" i="1"/>
  <c r="T1859" i="1"/>
  <c r="U1859" i="1"/>
  <c r="BB1859" i="1"/>
  <c r="BW1859" i="1"/>
  <c r="A1860" i="1"/>
  <c r="C1860" i="1"/>
  <c r="S1860" i="1"/>
  <c r="T1860" i="1"/>
  <c r="U1860" i="1"/>
  <c r="BB1860" i="1"/>
  <c r="BW1860" i="1"/>
  <c r="A1861" i="1"/>
  <c r="C1861" i="1"/>
  <c r="S1861" i="1"/>
  <c r="T1861" i="1"/>
  <c r="U1861" i="1"/>
  <c r="BB1861" i="1"/>
  <c r="BW1861" i="1"/>
  <c r="A1862" i="1"/>
  <c r="C1862" i="1"/>
  <c r="S1862" i="1"/>
  <c r="T1862" i="1"/>
  <c r="U1862" i="1"/>
  <c r="BB1862" i="1"/>
  <c r="BW1862" i="1"/>
  <c r="A1863" i="1"/>
  <c r="C1863" i="1"/>
  <c r="S1863" i="1"/>
  <c r="T1863" i="1"/>
  <c r="U1863" i="1"/>
  <c r="BB1863" i="1"/>
  <c r="BW1863" i="1"/>
  <c r="A1864" i="1"/>
  <c r="C1864" i="1"/>
  <c r="S1864" i="1"/>
  <c r="T1864" i="1"/>
  <c r="U1864" i="1"/>
  <c r="BB1864" i="1"/>
  <c r="BW1864" i="1"/>
  <c r="A1865" i="1"/>
  <c r="C1865" i="1"/>
  <c r="S1865" i="1"/>
  <c r="T1865" i="1"/>
  <c r="U1865" i="1"/>
  <c r="BB1865" i="1"/>
  <c r="BW1865" i="1"/>
  <c r="A1866" i="1"/>
  <c r="C1866" i="1"/>
  <c r="S1866" i="1"/>
  <c r="T1866" i="1"/>
  <c r="U1866" i="1"/>
  <c r="BB1866" i="1"/>
  <c r="BW1866" i="1"/>
  <c r="A1867" i="1"/>
  <c r="C1867" i="1"/>
  <c r="S1867" i="1"/>
  <c r="T1867" i="1"/>
  <c r="U1867" i="1"/>
  <c r="BB1867" i="1"/>
  <c r="BW1867" i="1"/>
  <c r="A1868" i="1"/>
  <c r="C1868" i="1"/>
  <c r="S1868" i="1"/>
  <c r="T1868" i="1"/>
  <c r="U1868" i="1"/>
  <c r="BB1868" i="1"/>
  <c r="BW1868" i="1"/>
  <c r="A1869" i="1"/>
  <c r="C1869" i="1"/>
  <c r="S1869" i="1"/>
  <c r="T1869" i="1"/>
  <c r="U1869" i="1"/>
  <c r="BB1869" i="1"/>
  <c r="BW1869" i="1"/>
  <c r="A1870" i="1"/>
  <c r="C1870" i="1"/>
  <c r="S1870" i="1"/>
  <c r="T1870" i="1"/>
  <c r="U1870" i="1"/>
  <c r="BB1870" i="1"/>
  <c r="BW1870" i="1"/>
  <c r="A1871" i="1"/>
  <c r="C1871" i="1"/>
  <c r="S1871" i="1"/>
  <c r="T1871" i="1"/>
  <c r="U1871" i="1"/>
  <c r="BB1871" i="1"/>
  <c r="BW1871" i="1"/>
  <c r="A1872" i="1"/>
  <c r="C1872" i="1"/>
  <c r="S1872" i="1"/>
  <c r="T1872" i="1"/>
  <c r="U1872" i="1"/>
  <c r="BB1872" i="1"/>
  <c r="BW1872" i="1"/>
  <c r="A1873" i="1"/>
  <c r="C1873" i="1"/>
  <c r="S1873" i="1"/>
  <c r="T1873" i="1"/>
  <c r="U1873" i="1"/>
  <c r="BB1873" i="1"/>
  <c r="BW1873" i="1"/>
  <c r="A1874" i="1"/>
  <c r="C1874" i="1"/>
  <c r="S1874" i="1"/>
  <c r="T1874" i="1"/>
  <c r="U1874" i="1"/>
  <c r="BB1874" i="1"/>
  <c r="BW1874" i="1"/>
  <c r="A1875" i="1"/>
  <c r="C1875" i="1"/>
  <c r="S1875" i="1"/>
  <c r="T1875" i="1"/>
  <c r="U1875" i="1"/>
  <c r="BB1875" i="1"/>
  <c r="BW1875" i="1"/>
  <c r="A1876" i="1"/>
  <c r="C1876" i="1"/>
  <c r="S1876" i="1"/>
  <c r="T1876" i="1"/>
  <c r="U1876" i="1"/>
  <c r="BB1876" i="1"/>
  <c r="BW1876" i="1"/>
  <c r="A1877" i="1"/>
  <c r="C1877" i="1"/>
  <c r="S1877" i="1"/>
  <c r="T1877" i="1"/>
  <c r="U1877" i="1"/>
  <c r="BB1877" i="1"/>
  <c r="BW1877" i="1"/>
  <c r="A1878" i="1"/>
  <c r="C1878" i="1"/>
  <c r="S1878" i="1"/>
  <c r="T1878" i="1"/>
  <c r="U1878" i="1"/>
  <c r="BB1878" i="1"/>
  <c r="BW1878" i="1"/>
  <c r="A1879" i="1"/>
  <c r="C1879" i="1"/>
  <c r="S1879" i="1"/>
  <c r="T1879" i="1"/>
  <c r="U1879" i="1"/>
  <c r="BB1879" i="1"/>
  <c r="BW1879" i="1"/>
  <c r="A1880" i="1"/>
  <c r="C1880" i="1"/>
  <c r="S1880" i="1"/>
  <c r="T1880" i="1"/>
  <c r="U1880" i="1"/>
  <c r="BB1880" i="1"/>
  <c r="BW1880" i="1"/>
  <c r="A1881" i="1"/>
  <c r="C1881" i="1"/>
  <c r="S1881" i="1"/>
  <c r="T1881" i="1"/>
  <c r="U1881" i="1"/>
  <c r="BB1881" i="1"/>
  <c r="BW1881" i="1"/>
  <c r="A1882" i="1"/>
  <c r="C1882" i="1"/>
  <c r="S1882" i="1"/>
  <c r="T1882" i="1"/>
  <c r="U1882" i="1"/>
  <c r="BB1882" i="1"/>
  <c r="BW1882" i="1"/>
  <c r="A1883" i="1"/>
  <c r="C1883" i="1"/>
  <c r="S1883" i="1"/>
  <c r="T1883" i="1"/>
  <c r="U1883" i="1"/>
  <c r="BB1883" i="1"/>
  <c r="BW1883" i="1"/>
  <c r="A1884" i="1"/>
  <c r="C1884" i="1"/>
  <c r="S1884" i="1"/>
  <c r="T1884" i="1"/>
  <c r="U1884" i="1"/>
  <c r="BB1884" i="1"/>
  <c r="BW1884" i="1"/>
  <c r="A1885" i="1"/>
  <c r="C1885" i="1"/>
  <c r="S1885" i="1"/>
  <c r="T1885" i="1"/>
  <c r="U1885" i="1"/>
  <c r="BB1885" i="1"/>
  <c r="BW1885" i="1"/>
  <c r="A1886" i="1"/>
  <c r="C1886" i="1"/>
  <c r="S1886" i="1"/>
  <c r="T1886" i="1"/>
  <c r="U1886" i="1"/>
  <c r="BB1886" i="1"/>
  <c r="BW1886" i="1"/>
  <c r="A1887" i="1"/>
  <c r="C1887" i="1"/>
  <c r="S1887" i="1"/>
  <c r="T1887" i="1"/>
  <c r="U1887" i="1"/>
  <c r="BB1887" i="1"/>
  <c r="BW1887" i="1"/>
  <c r="A1888" i="1"/>
  <c r="C1888" i="1"/>
  <c r="S1888" i="1"/>
  <c r="T1888" i="1"/>
  <c r="U1888" i="1"/>
  <c r="BB1888" i="1"/>
  <c r="BW1888" i="1"/>
  <c r="A1889" i="1"/>
  <c r="C1889" i="1"/>
  <c r="S1889" i="1"/>
  <c r="T1889" i="1"/>
  <c r="U1889" i="1"/>
  <c r="BB1889" i="1"/>
  <c r="BW1889" i="1"/>
  <c r="A1890" i="1"/>
  <c r="C1890" i="1"/>
  <c r="S1890" i="1"/>
  <c r="T1890" i="1"/>
  <c r="U1890" i="1"/>
  <c r="BB1890" i="1"/>
  <c r="BW1890" i="1"/>
  <c r="A1891" i="1"/>
  <c r="C1891" i="1"/>
  <c r="S1891" i="1"/>
  <c r="T1891" i="1"/>
  <c r="U1891" i="1"/>
  <c r="BB1891" i="1"/>
  <c r="BW1891" i="1"/>
  <c r="A1892" i="1"/>
  <c r="C1892" i="1"/>
  <c r="S1892" i="1"/>
  <c r="T1892" i="1"/>
  <c r="U1892" i="1"/>
  <c r="BB1892" i="1"/>
  <c r="BW1892" i="1"/>
  <c r="A1893" i="1"/>
  <c r="C1893" i="1"/>
  <c r="S1893" i="1"/>
  <c r="T1893" i="1"/>
  <c r="U1893" i="1"/>
  <c r="BB1893" i="1"/>
  <c r="BW1893" i="1"/>
  <c r="A1894" i="1"/>
  <c r="C1894" i="1"/>
  <c r="S1894" i="1"/>
  <c r="T1894" i="1"/>
  <c r="U1894" i="1"/>
  <c r="BB1894" i="1"/>
  <c r="BW1894" i="1"/>
  <c r="A1895" i="1"/>
  <c r="C1895" i="1"/>
  <c r="S1895" i="1"/>
  <c r="T1895" i="1"/>
  <c r="U1895" i="1"/>
  <c r="BB1895" i="1"/>
  <c r="BW1895" i="1"/>
  <c r="A1896" i="1"/>
  <c r="C1896" i="1"/>
  <c r="S1896" i="1"/>
  <c r="T1896" i="1"/>
  <c r="U1896" i="1"/>
  <c r="BB1896" i="1"/>
  <c r="BW1896" i="1"/>
  <c r="A1897" i="1"/>
  <c r="C1897" i="1"/>
  <c r="S1897" i="1"/>
  <c r="T1897" i="1"/>
  <c r="U1897" i="1"/>
  <c r="BB1897" i="1"/>
  <c r="BW1897" i="1"/>
  <c r="A1898" i="1"/>
  <c r="C1898" i="1"/>
  <c r="S1898" i="1"/>
  <c r="T1898" i="1"/>
  <c r="U1898" i="1"/>
  <c r="BB1898" i="1"/>
  <c r="BW1898" i="1"/>
  <c r="A1899" i="1"/>
  <c r="C1899" i="1"/>
  <c r="S1899" i="1"/>
  <c r="T1899" i="1"/>
  <c r="U1899" i="1"/>
  <c r="BB1899" i="1"/>
  <c r="BW1899" i="1"/>
  <c r="A1900" i="1"/>
  <c r="C1900" i="1"/>
  <c r="S1900" i="1"/>
  <c r="T1900" i="1"/>
  <c r="U1900" i="1"/>
  <c r="BB1900" i="1"/>
  <c r="BW1900" i="1"/>
  <c r="A1901" i="1"/>
  <c r="C1901" i="1"/>
  <c r="S1901" i="1"/>
  <c r="T1901" i="1"/>
  <c r="U1901" i="1"/>
  <c r="BB1901" i="1"/>
  <c r="BW1901" i="1"/>
  <c r="A1902" i="1"/>
  <c r="C1902" i="1"/>
  <c r="S1902" i="1"/>
  <c r="T1902" i="1"/>
  <c r="U1902" i="1"/>
  <c r="BB1902" i="1"/>
  <c r="BW1902" i="1"/>
  <c r="A1903" i="1"/>
  <c r="C1903" i="1"/>
  <c r="S1903" i="1"/>
  <c r="T1903" i="1"/>
  <c r="U1903" i="1"/>
  <c r="BB1903" i="1"/>
  <c r="BW1903" i="1"/>
  <c r="A1904" i="1"/>
  <c r="C1904" i="1"/>
  <c r="S1904" i="1"/>
  <c r="T1904" i="1"/>
  <c r="U1904" i="1"/>
  <c r="BB1904" i="1"/>
  <c r="BW1904" i="1"/>
  <c r="A1905" i="1"/>
  <c r="C1905" i="1"/>
  <c r="S1905" i="1"/>
  <c r="T1905" i="1"/>
  <c r="U1905" i="1"/>
  <c r="BB1905" i="1"/>
  <c r="BW1905" i="1"/>
  <c r="A1906" i="1"/>
  <c r="C1906" i="1"/>
  <c r="S1906" i="1"/>
  <c r="T1906" i="1"/>
  <c r="U1906" i="1"/>
  <c r="BB1906" i="1"/>
  <c r="BW1906" i="1"/>
  <c r="A1907" i="1"/>
  <c r="C1907" i="1"/>
  <c r="S1907" i="1"/>
  <c r="T1907" i="1"/>
  <c r="U1907" i="1"/>
  <c r="BB1907" i="1"/>
  <c r="BW1907" i="1"/>
  <c r="A1908" i="1"/>
  <c r="C1908" i="1"/>
  <c r="S1908" i="1"/>
  <c r="T1908" i="1"/>
  <c r="U1908" i="1"/>
  <c r="BB1908" i="1"/>
  <c r="BW1908" i="1"/>
  <c r="A1909" i="1"/>
  <c r="C1909" i="1"/>
  <c r="S1909" i="1"/>
  <c r="T1909" i="1"/>
  <c r="U1909" i="1"/>
  <c r="BB1909" i="1"/>
  <c r="BW1909" i="1"/>
  <c r="A1910" i="1"/>
  <c r="C1910" i="1"/>
  <c r="S1910" i="1"/>
  <c r="T1910" i="1"/>
  <c r="U1910" i="1"/>
  <c r="BB1910" i="1"/>
  <c r="BW1910" i="1"/>
  <c r="A1911" i="1"/>
  <c r="C1911" i="1"/>
  <c r="S1911" i="1"/>
  <c r="T1911" i="1"/>
  <c r="U1911" i="1"/>
  <c r="BB1911" i="1"/>
  <c r="BW1911" i="1"/>
  <c r="A1912" i="1"/>
  <c r="C1912" i="1"/>
  <c r="S1912" i="1"/>
  <c r="T1912" i="1"/>
  <c r="U1912" i="1"/>
  <c r="BB1912" i="1"/>
  <c r="BW1912" i="1"/>
  <c r="A1913" i="1"/>
  <c r="C1913" i="1"/>
  <c r="S1913" i="1"/>
  <c r="T1913" i="1"/>
  <c r="U1913" i="1"/>
  <c r="BB1913" i="1"/>
  <c r="BW1913" i="1"/>
  <c r="A1914" i="1"/>
  <c r="C1914" i="1"/>
  <c r="S1914" i="1"/>
  <c r="T1914" i="1"/>
  <c r="U1914" i="1"/>
  <c r="BB1914" i="1"/>
  <c r="BW1914" i="1"/>
  <c r="A1915" i="1"/>
  <c r="C1915" i="1"/>
  <c r="S1915" i="1"/>
  <c r="T1915" i="1"/>
  <c r="U1915" i="1"/>
  <c r="BB1915" i="1"/>
  <c r="BW1915" i="1"/>
  <c r="A1916" i="1"/>
  <c r="C1916" i="1"/>
  <c r="S1916" i="1"/>
  <c r="T1916" i="1"/>
  <c r="U1916" i="1"/>
  <c r="BB1916" i="1"/>
  <c r="BW1916" i="1"/>
  <c r="A1917" i="1"/>
  <c r="C1917" i="1"/>
  <c r="S1917" i="1"/>
  <c r="T1917" i="1"/>
  <c r="U1917" i="1"/>
  <c r="BB1917" i="1"/>
  <c r="BW1917" i="1"/>
  <c r="A1918" i="1"/>
  <c r="C1918" i="1"/>
  <c r="S1918" i="1"/>
  <c r="T1918" i="1"/>
  <c r="U1918" i="1"/>
  <c r="BB1918" i="1"/>
  <c r="BW1918" i="1"/>
  <c r="A1919" i="1"/>
  <c r="C1919" i="1"/>
  <c r="S1919" i="1"/>
  <c r="T1919" i="1"/>
  <c r="U1919" i="1"/>
  <c r="BB1919" i="1"/>
  <c r="BW1919" i="1"/>
  <c r="A1920" i="1"/>
  <c r="C1920" i="1"/>
  <c r="S1920" i="1"/>
  <c r="T1920" i="1"/>
  <c r="U1920" i="1"/>
  <c r="BB1920" i="1"/>
  <c r="BW1920" i="1"/>
  <c r="A1921" i="1"/>
  <c r="C1921" i="1"/>
  <c r="S1921" i="1"/>
  <c r="T1921" i="1"/>
  <c r="U1921" i="1"/>
  <c r="BB1921" i="1"/>
  <c r="BW1921" i="1"/>
  <c r="A1922" i="1"/>
  <c r="C1922" i="1"/>
  <c r="S1922" i="1"/>
  <c r="T1922" i="1"/>
  <c r="U1922" i="1"/>
  <c r="BB1922" i="1"/>
  <c r="BW1922" i="1"/>
  <c r="A1923" i="1"/>
  <c r="C1923" i="1"/>
  <c r="S1923" i="1"/>
  <c r="T1923" i="1"/>
  <c r="U1923" i="1"/>
  <c r="BB1923" i="1"/>
  <c r="BW1923" i="1"/>
  <c r="A1924" i="1"/>
  <c r="C1924" i="1"/>
  <c r="S1924" i="1"/>
  <c r="T1924" i="1"/>
  <c r="U1924" i="1"/>
  <c r="BB1924" i="1"/>
  <c r="BW1924" i="1"/>
  <c r="A1925" i="1"/>
  <c r="C1925" i="1"/>
  <c r="S1925" i="1"/>
  <c r="T1925" i="1"/>
  <c r="U1925" i="1"/>
  <c r="BB1925" i="1"/>
  <c r="BW1925" i="1"/>
  <c r="A1926" i="1"/>
  <c r="C1926" i="1"/>
  <c r="S1926" i="1"/>
  <c r="T1926" i="1"/>
  <c r="U1926" i="1"/>
  <c r="BB1926" i="1"/>
  <c r="BW1926" i="1"/>
  <c r="A1927" i="1"/>
  <c r="C1927" i="1"/>
  <c r="S1927" i="1"/>
  <c r="T1927" i="1"/>
  <c r="U1927" i="1"/>
  <c r="BB1927" i="1"/>
  <c r="BW1927" i="1"/>
  <c r="A1928" i="1"/>
  <c r="C1928" i="1"/>
  <c r="S1928" i="1"/>
  <c r="T1928" i="1"/>
  <c r="U1928" i="1"/>
  <c r="BB1928" i="1"/>
  <c r="BW1928" i="1"/>
  <c r="A1929" i="1"/>
  <c r="C1929" i="1"/>
  <c r="S1929" i="1"/>
  <c r="T1929" i="1"/>
  <c r="U1929" i="1"/>
  <c r="BB1929" i="1"/>
  <c r="BW1929" i="1"/>
  <c r="A1930" i="1"/>
  <c r="C1930" i="1"/>
  <c r="S1930" i="1"/>
  <c r="T1930" i="1"/>
  <c r="U1930" i="1"/>
  <c r="BB1930" i="1"/>
  <c r="BW1930" i="1"/>
  <c r="A1931" i="1"/>
  <c r="C1931" i="1"/>
  <c r="S1931" i="1"/>
  <c r="T1931" i="1"/>
  <c r="U1931" i="1"/>
  <c r="BB1931" i="1"/>
  <c r="BW1931" i="1"/>
  <c r="A1932" i="1"/>
  <c r="C1932" i="1"/>
  <c r="S1932" i="1"/>
  <c r="T1932" i="1"/>
  <c r="U1932" i="1"/>
  <c r="BB1932" i="1"/>
  <c r="BW1932" i="1"/>
  <c r="A1933" i="1"/>
  <c r="C1933" i="1"/>
  <c r="S1933" i="1"/>
  <c r="T1933" i="1"/>
  <c r="U1933" i="1"/>
  <c r="BB1933" i="1"/>
  <c r="BW1933" i="1"/>
  <c r="A1934" i="1"/>
  <c r="C1934" i="1"/>
  <c r="S1934" i="1"/>
  <c r="T1934" i="1"/>
  <c r="U1934" i="1"/>
  <c r="BB1934" i="1"/>
  <c r="BW1934" i="1"/>
  <c r="A1935" i="1"/>
  <c r="C1935" i="1"/>
  <c r="S1935" i="1"/>
  <c r="T1935" i="1"/>
  <c r="U1935" i="1"/>
  <c r="BB1935" i="1"/>
  <c r="BW1935" i="1"/>
  <c r="A1936" i="1"/>
  <c r="C1936" i="1"/>
  <c r="S1936" i="1"/>
  <c r="T1936" i="1"/>
  <c r="U1936" i="1"/>
  <c r="BB1936" i="1"/>
  <c r="BW1936" i="1"/>
  <c r="A1937" i="1"/>
  <c r="C1937" i="1"/>
  <c r="S1937" i="1"/>
  <c r="T1937" i="1"/>
  <c r="U1937" i="1"/>
  <c r="BB1937" i="1"/>
  <c r="BW1937" i="1"/>
  <c r="A1938" i="1"/>
  <c r="C1938" i="1"/>
  <c r="S1938" i="1"/>
  <c r="T1938" i="1"/>
  <c r="U1938" i="1"/>
  <c r="BB1938" i="1"/>
  <c r="BW1938" i="1"/>
  <c r="A1939" i="1"/>
  <c r="C1939" i="1"/>
  <c r="S1939" i="1"/>
  <c r="T1939" i="1"/>
  <c r="U1939" i="1"/>
  <c r="BB1939" i="1"/>
  <c r="BW1939" i="1"/>
  <c r="A1940" i="1"/>
  <c r="C1940" i="1"/>
  <c r="S1940" i="1"/>
  <c r="T1940" i="1"/>
  <c r="U1940" i="1"/>
  <c r="BB1940" i="1"/>
  <c r="BW1940" i="1"/>
  <c r="A1941" i="1"/>
  <c r="C1941" i="1"/>
  <c r="S1941" i="1"/>
  <c r="T1941" i="1"/>
  <c r="U1941" i="1"/>
  <c r="BB1941" i="1"/>
  <c r="BW1941" i="1"/>
  <c r="A1942" i="1"/>
  <c r="C1942" i="1"/>
  <c r="S1942" i="1"/>
  <c r="T1942" i="1"/>
  <c r="U1942" i="1"/>
  <c r="BB1942" i="1"/>
  <c r="BW1942" i="1"/>
  <c r="A1943" i="1"/>
  <c r="C1943" i="1"/>
  <c r="S1943" i="1"/>
  <c r="T1943" i="1"/>
  <c r="U1943" i="1"/>
  <c r="BB1943" i="1"/>
  <c r="BW1943" i="1"/>
  <c r="A1944" i="1"/>
  <c r="C1944" i="1"/>
  <c r="S1944" i="1"/>
  <c r="T1944" i="1"/>
  <c r="U1944" i="1"/>
  <c r="BB1944" i="1"/>
  <c r="BW1944" i="1"/>
  <c r="A1945" i="1"/>
  <c r="C1945" i="1"/>
  <c r="S1945" i="1"/>
  <c r="T1945" i="1"/>
  <c r="U1945" i="1"/>
  <c r="BB1945" i="1"/>
  <c r="BW1945" i="1"/>
  <c r="A1946" i="1"/>
  <c r="C1946" i="1"/>
  <c r="S1946" i="1"/>
  <c r="T1946" i="1"/>
  <c r="U1946" i="1"/>
  <c r="BB1946" i="1"/>
  <c r="BW1946" i="1"/>
  <c r="A1947" i="1"/>
  <c r="C1947" i="1"/>
  <c r="S1947" i="1"/>
  <c r="T1947" i="1"/>
  <c r="U1947" i="1"/>
  <c r="BB1947" i="1"/>
  <c r="BW1947" i="1"/>
  <c r="A1948" i="1"/>
  <c r="C1948" i="1"/>
  <c r="S1948" i="1"/>
  <c r="T1948" i="1"/>
  <c r="U1948" i="1"/>
  <c r="BB1948" i="1"/>
  <c r="BW1948" i="1"/>
  <c r="A1949" i="1"/>
  <c r="C1949" i="1"/>
  <c r="S1949" i="1"/>
  <c r="T1949" i="1"/>
  <c r="U1949" i="1"/>
  <c r="BB1949" i="1"/>
  <c r="BW1949" i="1"/>
  <c r="A1950" i="1"/>
  <c r="C1950" i="1"/>
  <c r="S1950" i="1"/>
  <c r="T1950" i="1"/>
  <c r="U1950" i="1"/>
  <c r="BB1950" i="1"/>
  <c r="BW1950" i="1"/>
  <c r="A1951" i="1"/>
  <c r="C1951" i="1"/>
  <c r="S1951" i="1"/>
  <c r="T1951" i="1"/>
  <c r="U1951" i="1"/>
  <c r="BB1951" i="1"/>
  <c r="BW1951" i="1"/>
  <c r="A1952" i="1"/>
  <c r="C1952" i="1"/>
  <c r="S1952" i="1"/>
  <c r="T1952" i="1"/>
  <c r="U1952" i="1"/>
  <c r="BB1952" i="1"/>
  <c r="BW1952" i="1"/>
  <c r="A1953" i="1"/>
  <c r="C1953" i="1"/>
  <c r="S1953" i="1"/>
  <c r="T1953" i="1"/>
  <c r="U1953" i="1"/>
  <c r="BB1953" i="1"/>
  <c r="BW1953" i="1"/>
  <c r="A1954" i="1"/>
  <c r="C1954" i="1"/>
  <c r="S1954" i="1"/>
  <c r="T1954" i="1"/>
  <c r="U1954" i="1"/>
  <c r="BB1954" i="1"/>
  <c r="BW1954" i="1"/>
  <c r="A1955" i="1"/>
  <c r="C1955" i="1"/>
  <c r="S1955" i="1"/>
  <c r="T1955" i="1"/>
  <c r="U1955" i="1"/>
  <c r="BB1955" i="1"/>
  <c r="BW1955" i="1"/>
  <c r="A1956" i="1"/>
  <c r="C1956" i="1"/>
  <c r="S1956" i="1"/>
  <c r="T1956" i="1"/>
  <c r="U1956" i="1"/>
  <c r="BB1956" i="1"/>
  <c r="BW1956" i="1"/>
  <c r="A1957" i="1"/>
  <c r="C1957" i="1"/>
  <c r="S1957" i="1"/>
  <c r="T1957" i="1"/>
  <c r="U1957" i="1"/>
  <c r="BB1957" i="1"/>
  <c r="BW1957" i="1"/>
  <c r="A1958" i="1"/>
  <c r="C1958" i="1"/>
  <c r="S1958" i="1"/>
  <c r="T1958" i="1"/>
  <c r="U1958" i="1"/>
  <c r="BB1958" i="1"/>
  <c r="BW1958" i="1"/>
  <c r="A1959" i="1"/>
  <c r="C1959" i="1"/>
  <c r="S1959" i="1"/>
  <c r="T1959" i="1"/>
  <c r="U1959" i="1"/>
  <c r="BB1959" i="1"/>
  <c r="BW1959" i="1"/>
  <c r="A1960" i="1"/>
  <c r="C1960" i="1"/>
  <c r="S1960" i="1"/>
  <c r="T1960" i="1"/>
  <c r="U1960" i="1"/>
  <c r="BB1960" i="1"/>
  <c r="BW1960" i="1"/>
  <c r="A1961" i="1"/>
  <c r="C1961" i="1"/>
  <c r="S1961" i="1"/>
  <c r="T1961" i="1"/>
  <c r="U1961" i="1"/>
  <c r="BB1961" i="1"/>
  <c r="BW1961" i="1"/>
  <c r="A1962" i="1"/>
  <c r="C1962" i="1"/>
  <c r="S1962" i="1"/>
  <c r="T1962" i="1"/>
  <c r="U1962" i="1"/>
  <c r="BB1962" i="1"/>
  <c r="BW1962" i="1"/>
  <c r="A1963" i="1"/>
  <c r="C1963" i="1"/>
  <c r="S1963" i="1"/>
  <c r="T1963" i="1"/>
  <c r="U1963" i="1"/>
  <c r="BB1963" i="1"/>
  <c r="BW1963" i="1"/>
  <c r="A1964" i="1"/>
  <c r="C1964" i="1"/>
  <c r="S1964" i="1"/>
  <c r="T1964" i="1"/>
  <c r="U1964" i="1"/>
  <c r="BB1964" i="1"/>
  <c r="BW1964" i="1"/>
  <c r="A1965" i="1"/>
  <c r="C1965" i="1"/>
  <c r="S1965" i="1"/>
  <c r="T1965" i="1"/>
  <c r="U1965" i="1"/>
  <c r="BB1965" i="1"/>
  <c r="BW1965" i="1"/>
  <c r="A1966" i="1"/>
  <c r="C1966" i="1"/>
  <c r="S1966" i="1"/>
  <c r="T1966" i="1"/>
  <c r="U1966" i="1"/>
  <c r="BB1966" i="1"/>
  <c r="BW1966" i="1"/>
  <c r="A1967" i="1"/>
  <c r="C1967" i="1"/>
  <c r="S1967" i="1"/>
  <c r="T1967" i="1"/>
  <c r="U1967" i="1"/>
  <c r="BB1967" i="1"/>
  <c r="BW1967" i="1"/>
  <c r="A1968" i="1"/>
  <c r="C1968" i="1"/>
  <c r="S1968" i="1"/>
  <c r="T1968" i="1"/>
  <c r="U1968" i="1"/>
  <c r="BB1968" i="1"/>
  <c r="BW1968" i="1"/>
  <c r="A1969" i="1"/>
  <c r="C1969" i="1"/>
  <c r="S1969" i="1"/>
  <c r="T1969" i="1"/>
  <c r="U1969" i="1"/>
  <c r="BB1969" i="1"/>
  <c r="BW1969" i="1"/>
  <c r="A1970" i="1"/>
  <c r="C1970" i="1"/>
  <c r="S1970" i="1"/>
  <c r="T1970" i="1"/>
  <c r="U1970" i="1"/>
  <c r="BB1970" i="1"/>
  <c r="BW1970" i="1"/>
  <c r="A1971" i="1"/>
  <c r="C1971" i="1"/>
  <c r="S1971" i="1"/>
  <c r="T1971" i="1"/>
  <c r="U1971" i="1"/>
  <c r="BB1971" i="1"/>
  <c r="BW1971" i="1"/>
  <c r="A1972" i="1"/>
  <c r="C1972" i="1"/>
  <c r="S1972" i="1"/>
  <c r="T1972" i="1"/>
  <c r="U1972" i="1"/>
  <c r="BB1972" i="1"/>
  <c r="BW1972" i="1"/>
  <c r="A1973" i="1"/>
  <c r="C1973" i="1"/>
  <c r="S1973" i="1"/>
  <c r="T1973" i="1"/>
  <c r="U1973" i="1"/>
  <c r="BB1973" i="1"/>
  <c r="BW1973" i="1"/>
  <c r="A1974" i="1"/>
  <c r="C1974" i="1"/>
  <c r="S1974" i="1"/>
  <c r="T1974" i="1"/>
  <c r="U1974" i="1"/>
  <c r="BB1974" i="1"/>
  <c r="BW1974" i="1"/>
  <c r="A1975" i="1"/>
  <c r="C1975" i="1"/>
  <c r="S1975" i="1"/>
  <c r="T1975" i="1"/>
  <c r="U1975" i="1"/>
  <c r="BB1975" i="1"/>
  <c r="BW1975" i="1"/>
  <c r="A1976" i="1"/>
  <c r="C1976" i="1"/>
  <c r="S1976" i="1"/>
  <c r="T1976" i="1"/>
  <c r="U1976" i="1"/>
  <c r="BB1976" i="1"/>
  <c r="BW1976" i="1"/>
  <c r="A1977" i="1"/>
  <c r="C1977" i="1"/>
  <c r="S1977" i="1"/>
  <c r="T1977" i="1"/>
  <c r="U1977" i="1"/>
  <c r="BB1977" i="1"/>
  <c r="BW1977" i="1"/>
  <c r="A1978" i="1"/>
  <c r="C1978" i="1"/>
  <c r="S1978" i="1"/>
  <c r="T1978" i="1"/>
  <c r="U1978" i="1"/>
  <c r="BB1978" i="1"/>
  <c r="BW1978" i="1"/>
  <c r="A1979" i="1"/>
  <c r="C1979" i="1"/>
  <c r="S1979" i="1"/>
  <c r="T1979" i="1"/>
  <c r="U1979" i="1"/>
  <c r="BB1979" i="1"/>
  <c r="BW1979" i="1"/>
  <c r="A1980" i="1"/>
  <c r="C1980" i="1"/>
  <c r="S1980" i="1"/>
  <c r="T1980" i="1"/>
  <c r="U1980" i="1"/>
  <c r="BB1980" i="1"/>
  <c r="BW1980" i="1"/>
  <c r="A1981" i="1"/>
  <c r="C1981" i="1"/>
  <c r="S1981" i="1"/>
  <c r="T1981" i="1"/>
  <c r="U1981" i="1"/>
  <c r="BB1981" i="1"/>
  <c r="BW1981" i="1"/>
  <c r="A1982" i="1"/>
  <c r="C1982" i="1"/>
  <c r="S1982" i="1"/>
  <c r="T1982" i="1"/>
  <c r="U1982" i="1"/>
  <c r="BB1982" i="1"/>
  <c r="BW1982" i="1"/>
  <c r="A1983" i="1"/>
  <c r="C1983" i="1"/>
  <c r="S1983" i="1"/>
  <c r="T1983" i="1"/>
  <c r="U1983" i="1"/>
  <c r="BB1983" i="1"/>
  <c r="BW1983" i="1"/>
  <c r="A1984" i="1"/>
  <c r="C1984" i="1"/>
  <c r="S1984" i="1"/>
  <c r="T1984" i="1"/>
  <c r="U1984" i="1"/>
  <c r="BB1984" i="1"/>
  <c r="BW1984" i="1"/>
  <c r="A1985" i="1"/>
  <c r="C1985" i="1"/>
  <c r="S1985" i="1"/>
  <c r="T1985" i="1"/>
  <c r="U1985" i="1"/>
  <c r="BB1985" i="1"/>
  <c r="BW1985" i="1"/>
  <c r="A1986" i="1"/>
  <c r="C1986" i="1"/>
  <c r="S1986" i="1"/>
  <c r="T1986" i="1"/>
  <c r="U1986" i="1"/>
  <c r="BB1986" i="1"/>
  <c r="BW1986" i="1"/>
  <c r="A1987" i="1"/>
  <c r="C1987" i="1"/>
  <c r="S1987" i="1"/>
  <c r="T1987" i="1"/>
  <c r="U1987" i="1"/>
  <c r="BB1987" i="1"/>
  <c r="BW1987" i="1"/>
  <c r="A1988" i="1"/>
  <c r="C1988" i="1"/>
  <c r="S1988" i="1"/>
  <c r="T1988" i="1"/>
  <c r="U1988" i="1"/>
  <c r="BB1988" i="1"/>
  <c r="BW1988" i="1"/>
  <c r="A1989" i="1"/>
  <c r="C1989" i="1"/>
  <c r="S1989" i="1"/>
  <c r="T1989" i="1"/>
  <c r="U1989" i="1"/>
  <c r="BB1989" i="1"/>
  <c r="BW1989" i="1"/>
  <c r="A1990" i="1"/>
  <c r="C1990" i="1"/>
  <c r="S1990" i="1"/>
  <c r="T1990" i="1"/>
  <c r="U1990" i="1"/>
  <c r="BB1990" i="1"/>
  <c r="BW1990" i="1"/>
  <c r="A1991" i="1"/>
  <c r="C1991" i="1"/>
  <c r="S1991" i="1"/>
  <c r="T1991" i="1"/>
  <c r="U1991" i="1"/>
  <c r="BB1991" i="1"/>
  <c r="BW1991" i="1"/>
  <c r="A1992" i="1"/>
  <c r="C1992" i="1"/>
  <c r="S1992" i="1"/>
  <c r="T1992" i="1"/>
  <c r="U1992" i="1"/>
  <c r="BB1992" i="1"/>
  <c r="BW1992" i="1"/>
  <c r="A1993" i="1"/>
  <c r="C1993" i="1"/>
  <c r="S1993" i="1"/>
  <c r="T1993" i="1"/>
  <c r="U1993" i="1"/>
  <c r="BB1993" i="1"/>
  <c r="BW1993" i="1"/>
  <c r="A1994" i="1"/>
  <c r="C1994" i="1"/>
  <c r="S1994" i="1"/>
  <c r="T1994" i="1"/>
  <c r="U1994" i="1"/>
  <c r="BB1994" i="1"/>
  <c r="BW1994" i="1"/>
  <c r="A1995" i="1"/>
  <c r="C1995" i="1"/>
  <c r="S1995" i="1"/>
  <c r="T1995" i="1"/>
  <c r="U1995" i="1"/>
  <c r="BB1995" i="1"/>
  <c r="BW1995" i="1"/>
  <c r="A1996" i="1"/>
  <c r="C1996" i="1"/>
  <c r="S1996" i="1"/>
  <c r="T1996" i="1"/>
  <c r="U1996" i="1"/>
  <c r="BB1996" i="1"/>
  <c r="BW1996" i="1"/>
  <c r="A1997" i="1"/>
  <c r="C1997" i="1"/>
  <c r="S1997" i="1"/>
  <c r="T1997" i="1"/>
  <c r="U1997" i="1"/>
  <c r="BB1997" i="1"/>
  <c r="BW1997" i="1"/>
  <c r="A1998" i="1"/>
  <c r="C1998" i="1"/>
  <c r="S1998" i="1"/>
  <c r="T1998" i="1"/>
  <c r="U1998" i="1"/>
  <c r="BB1998" i="1"/>
  <c r="BW1998" i="1"/>
  <c r="A1999" i="1"/>
  <c r="C1999" i="1"/>
  <c r="S1999" i="1"/>
  <c r="T1999" i="1"/>
  <c r="U1999" i="1"/>
  <c r="BB1999" i="1"/>
  <c r="BW1999" i="1"/>
  <c r="A2000" i="1"/>
  <c r="C2000" i="1"/>
  <c r="S2000" i="1"/>
  <c r="T2000" i="1"/>
  <c r="U2000" i="1"/>
  <c r="BB2000" i="1"/>
  <c r="BW2000" i="1"/>
  <c r="A2001" i="1"/>
  <c r="C2001" i="1"/>
  <c r="S2001" i="1"/>
  <c r="T2001" i="1"/>
  <c r="U2001" i="1"/>
  <c r="BB2001" i="1"/>
  <c r="BW2001" i="1"/>
  <c r="A2002" i="1"/>
  <c r="C2002" i="1"/>
  <c r="S2002" i="1"/>
  <c r="T2002" i="1"/>
  <c r="U2002" i="1"/>
  <c r="BB2002" i="1"/>
  <c r="BW2002" i="1"/>
  <c r="A2003" i="1"/>
  <c r="C2003" i="1"/>
  <c r="S2003" i="1"/>
  <c r="T2003" i="1"/>
  <c r="U2003" i="1"/>
  <c r="BB2003" i="1"/>
  <c r="BW2003" i="1"/>
  <c r="A2004" i="1"/>
  <c r="C2004" i="1"/>
  <c r="S2004" i="1"/>
  <c r="T2004" i="1"/>
  <c r="U2004" i="1"/>
  <c r="BB2004" i="1"/>
  <c r="BW2004" i="1"/>
  <c r="A2005" i="1"/>
  <c r="C2005" i="1"/>
  <c r="S2005" i="1"/>
  <c r="T2005" i="1"/>
  <c r="U2005" i="1"/>
  <c r="BB2005" i="1"/>
  <c r="BW2005" i="1"/>
  <c r="A2006" i="1"/>
  <c r="C2006" i="1"/>
  <c r="S2006" i="1"/>
  <c r="T2006" i="1"/>
  <c r="U2006" i="1"/>
  <c r="BB2006" i="1"/>
  <c r="BW2006" i="1"/>
  <c r="A2007" i="1"/>
  <c r="C2007" i="1"/>
  <c r="S2007" i="1"/>
  <c r="T2007" i="1"/>
  <c r="U2007" i="1"/>
  <c r="BB2007" i="1"/>
  <c r="BW2007" i="1"/>
  <c r="A2008" i="1"/>
  <c r="C2008" i="1"/>
  <c r="S2008" i="1"/>
  <c r="T2008" i="1"/>
  <c r="U2008" i="1"/>
  <c r="BB2008" i="1"/>
  <c r="BW2008" i="1"/>
  <c r="A2009" i="1"/>
  <c r="C2009" i="1"/>
  <c r="S2009" i="1"/>
  <c r="T2009" i="1"/>
  <c r="U2009" i="1"/>
  <c r="BB2009" i="1"/>
  <c r="BW2009" i="1"/>
  <c r="A2010" i="1"/>
  <c r="C2010" i="1"/>
  <c r="S2010" i="1"/>
  <c r="T2010" i="1"/>
  <c r="U2010" i="1"/>
  <c r="BB2010" i="1"/>
  <c r="BW2010" i="1"/>
  <c r="A2011" i="1"/>
  <c r="C2011" i="1"/>
  <c r="S2011" i="1"/>
  <c r="T2011" i="1"/>
  <c r="U2011" i="1"/>
  <c r="BB2011" i="1"/>
  <c r="BW2011" i="1"/>
  <c r="A2012" i="1"/>
  <c r="C2012" i="1"/>
  <c r="S2012" i="1"/>
  <c r="T2012" i="1"/>
  <c r="U2012" i="1"/>
  <c r="BB2012" i="1"/>
  <c r="BW2012" i="1"/>
  <c r="A2013" i="1"/>
  <c r="C2013" i="1"/>
  <c r="S2013" i="1"/>
  <c r="T2013" i="1"/>
  <c r="U2013" i="1"/>
  <c r="BB2013" i="1"/>
  <c r="BW2013" i="1"/>
  <c r="A2014" i="1"/>
  <c r="C2014" i="1"/>
  <c r="S2014" i="1"/>
  <c r="T2014" i="1"/>
  <c r="U2014" i="1"/>
  <c r="BB2014" i="1"/>
  <c r="BW2014" i="1"/>
  <c r="A2015" i="1"/>
  <c r="C2015" i="1"/>
  <c r="S2015" i="1"/>
  <c r="T2015" i="1"/>
  <c r="U2015" i="1"/>
  <c r="BB2015" i="1"/>
  <c r="BW2015" i="1"/>
  <c r="A2016" i="1"/>
  <c r="C2016" i="1"/>
  <c r="S2016" i="1"/>
  <c r="T2016" i="1"/>
  <c r="U2016" i="1"/>
  <c r="BB2016" i="1"/>
  <c r="BW2016" i="1"/>
  <c r="A2017" i="1"/>
  <c r="C2017" i="1"/>
  <c r="S2017" i="1"/>
  <c r="T2017" i="1"/>
  <c r="U2017" i="1"/>
  <c r="BB2017" i="1"/>
  <c r="BW2017" i="1"/>
  <c r="A2018" i="1"/>
  <c r="C2018" i="1"/>
  <c r="S2018" i="1"/>
  <c r="T2018" i="1"/>
  <c r="U2018" i="1"/>
  <c r="BB2018" i="1"/>
  <c r="BW2018" i="1"/>
  <c r="A2019" i="1"/>
  <c r="C2019" i="1"/>
  <c r="S2019" i="1"/>
  <c r="T2019" i="1"/>
  <c r="U2019" i="1"/>
  <c r="BB2019" i="1"/>
  <c r="BW2019" i="1"/>
  <c r="A2020" i="1"/>
  <c r="C2020" i="1"/>
  <c r="S2020" i="1"/>
  <c r="T2020" i="1"/>
  <c r="U2020" i="1"/>
  <c r="BB2020" i="1"/>
  <c r="BW2020" i="1"/>
  <c r="A2021" i="1"/>
  <c r="C2021" i="1"/>
  <c r="S2021" i="1"/>
  <c r="T2021" i="1"/>
  <c r="U2021" i="1"/>
  <c r="BB2021" i="1"/>
  <c r="BW2021" i="1"/>
  <c r="A2022" i="1"/>
  <c r="C2022" i="1"/>
  <c r="S2022" i="1"/>
  <c r="T2022" i="1"/>
  <c r="U2022" i="1"/>
  <c r="BB2022" i="1"/>
  <c r="BW2022" i="1"/>
  <c r="A2023" i="1"/>
  <c r="C2023" i="1"/>
  <c r="S2023" i="1"/>
  <c r="T2023" i="1"/>
  <c r="U2023" i="1"/>
  <c r="BB2023" i="1"/>
  <c r="BW2023" i="1"/>
  <c r="A2024" i="1"/>
  <c r="C2024" i="1"/>
  <c r="S2024" i="1"/>
  <c r="T2024" i="1"/>
  <c r="U2024" i="1"/>
  <c r="BB2024" i="1"/>
  <c r="BW2024" i="1"/>
  <c r="A2025" i="1"/>
  <c r="C2025" i="1"/>
  <c r="S2025" i="1"/>
  <c r="T2025" i="1"/>
  <c r="U2025" i="1"/>
  <c r="BB2025" i="1"/>
  <c r="BW2025" i="1"/>
  <c r="A2026" i="1"/>
  <c r="C2026" i="1"/>
  <c r="S2026" i="1"/>
  <c r="T2026" i="1"/>
  <c r="U2026" i="1"/>
  <c r="BB2026" i="1"/>
  <c r="BW2026" i="1"/>
  <c r="A2027" i="1"/>
  <c r="C2027" i="1"/>
  <c r="S2027" i="1"/>
  <c r="T2027" i="1"/>
  <c r="U2027" i="1"/>
  <c r="BB2027" i="1"/>
  <c r="BW2027" i="1"/>
  <c r="A2028" i="1"/>
  <c r="C2028" i="1"/>
  <c r="S2028" i="1"/>
  <c r="T2028" i="1"/>
  <c r="U2028" i="1"/>
  <c r="BB2028" i="1"/>
  <c r="BW2028" i="1"/>
  <c r="A2029" i="1"/>
  <c r="C2029" i="1"/>
  <c r="S2029" i="1"/>
  <c r="T2029" i="1"/>
  <c r="U2029" i="1"/>
  <c r="BB2029" i="1"/>
  <c r="BW2029" i="1"/>
  <c r="A2030" i="1"/>
  <c r="C2030" i="1"/>
  <c r="S2030" i="1"/>
  <c r="T2030" i="1"/>
  <c r="U2030" i="1"/>
  <c r="BB2030" i="1"/>
  <c r="BW2030" i="1"/>
  <c r="A2031" i="1"/>
  <c r="C2031" i="1"/>
  <c r="S2031" i="1"/>
  <c r="T2031" i="1"/>
  <c r="U2031" i="1"/>
  <c r="BB2031" i="1"/>
  <c r="BW2031" i="1"/>
  <c r="A2032" i="1"/>
  <c r="C2032" i="1"/>
  <c r="S2032" i="1"/>
  <c r="T2032" i="1"/>
  <c r="U2032" i="1"/>
  <c r="BB2032" i="1"/>
  <c r="BW2032" i="1"/>
  <c r="A2033" i="1"/>
  <c r="C2033" i="1"/>
  <c r="S2033" i="1"/>
  <c r="T2033" i="1"/>
  <c r="U2033" i="1"/>
  <c r="BB2033" i="1"/>
  <c r="BW2033" i="1"/>
  <c r="A2034" i="1"/>
  <c r="C2034" i="1"/>
  <c r="S2034" i="1"/>
  <c r="T2034" i="1"/>
  <c r="U2034" i="1"/>
  <c r="BB2034" i="1"/>
  <c r="BW2034" i="1"/>
  <c r="A2035" i="1"/>
  <c r="C2035" i="1"/>
  <c r="S2035" i="1"/>
  <c r="T2035" i="1"/>
  <c r="U2035" i="1"/>
  <c r="BB2035" i="1"/>
  <c r="BW2035" i="1"/>
  <c r="A2036" i="1"/>
  <c r="C2036" i="1"/>
  <c r="S2036" i="1"/>
  <c r="T2036" i="1"/>
  <c r="U2036" i="1"/>
  <c r="BB2036" i="1"/>
  <c r="BW2036" i="1"/>
  <c r="A2037" i="1"/>
  <c r="C2037" i="1"/>
  <c r="S2037" i="1"/>
  <c r="T2037" i="1"/>
  <c r="U2037" i="1"/>
  <c r="BB2037" i="1"/>
  <c r="BW2037" i="1"/>
  <c r="A2038" i="1"/>
  <c r="C2038" i="1"/>
  <c r="S2038" i="1"/>
  <c r="T2038" i="1"/>
  <c r="U2038" i="1"/>
  <c r="BB2038" i="1"/>
  <c r="BW2038" i="1"/>
  <c r="A2039" i="1"/>
  <c r="C2039" i="1"/>
  <c r="S2039" i="1"/>
  <c r="T2039" i="1"/>
  <c r="U2039" i="1"/>
  <c r="BB2039" i="1"/>
  <c r="BW2039" i="1"/>
  <c r="A2040" i="1"/>
  <c r="C2040" i="1"/>
  <c r="S2040" i="1"/>
  <c r="T2040" i="1"/>
  <c r="U2040" i="1"/>
  <c r="BB2040" i="1"/>
  <c r="BW2040" i="1"/>
  <c r="A2041" i="1"/>
  <c r="C2041" i="1"/>
  <c r="S2041" i="1"/>
  <c r="T2041" i="1"/>
  <c r="U2041" i="1"/>
  <c r="BB2041" i="1"/>
  <c r="BW2041" i="1"/>
  <c r="A2042" i="1"/>
  <c r="C2042" i="1"/>
  <c r="S2042" i="1"/>
  <c r="T2042" i="1"/>
  <c r="U2042" i="1"/>
  <c r="BB2042" i="1"/>
  <c r="BW2042" i="1"/>
  <c r="A2043" i="1"/>
  <c r="C2043" i="1"/>
  <c r="S2043" i="1"/>
  <c r="T2043" i="1"/>
  <c r="U2043" i="1"/>
  <c r="BB2043" i="1"/>
  <c r="BW2043" i="1"/>
  <c r="A2044" i="1"/>
  <c r="C2044" i="1"/>
  <c r="S2044" i="1"/>
  <c r="T2044" i="1"/>
  <c r="U2044" i="1"/>
  <c r="BB2044" i="1"/>
  <c r="BW2044" i="1"/>
  <c r="A2045" i="1"/>
  <c r="C2045" i="1"/>
  <c r="S2045" i="1"/>
  <c r="T2045" i="1"/>
  <c r="U2045" i="1"/>
  <c r="BB2045" i="1"/>
  <c r="BW2045" i="1"/>
  <c r="A2046" i="1"/>
  <c r="C2046" i="1"/>
  <c r="S2046" i="1"/>
  <c r="T2046" i="1"/>
  <c r="U2046" i="1"/>
  <c r="BB2046" i="1"/>
  <c r="BW2046" i="1"/>
  <c r="A2047" i="1"/>
  <c r="C2047" i="1"/>
  <c r="S2047" i="1"/>
  <c r="T2047" i="1"/>
  <c r="U2047" i="1"/>
  <c r="BB2047" i="1"/>
  <c r="BW2047" i="1"/>
  <c r="A2048" i="1"/>
  <c r="C2048" i="1"/>
  <c r="S2048" i="1"/>
  <c r="T2048" i="1"/>
  <c r="U2048" i="1"/>
  <c r="BB2048" i="1"/>
  <c r="BW2048" i="1"/>
  <c r="A2049" i="1"/>
  <c r="C2049" i="1"/>
  <c r="S2049" i="1"/>
  <c r="T2049" i="1"/>
  <c r="U2049" i="1"/>
  <c r="BB2049" i="1"/>
  <c r="BW2049" i="1"/>
  <c r="A2050" i="1"/>
  <c r="C2050" i="1"/>
  <c r="S2050" i="1"/>
  <c r="T2050" i="1"/>
  <c r="U2050" i="1"/>
  <c r="BB2050" i="1"/>
  <c r="BW2050" i="1"/>
  <c r="A2051" i="1"/>
  <c r="C2051" i="1"/>
  <c r="S2051" i="1"/>
  <c r="T2051" i="1"/>
  <c r="U2051" i="1"/>
  <c r="BB2051" i="1"/>
  <c r="BW2051" i="1"/>
  <c r="A2052" i="1"/>
  <c r="C2052" i="1"/>
  <c r="S2052" i="1"/>
  <c r="T2052" i="1"/>
  <c r="U2052" i="1"/>
  <c r="BB2052" i="1"/>
  <c r="BW2052" i="1"/>
  <c r="A2053" i="1"/>
  <c r="C2053" i="1"/>
  <c r="S2053" i="1"/>
  <c r="T2053" i="1"/>
  <c r="U2053" i="1"/>
  <c r="BB2053" i="1"/>
  <c r="BW2053" i="1"/>
  <c r="A2054" i="1"/>
  <c r="C2054" i="1"/>
  <c r="S2054" i="1"/>
  <c r="T2054" i="1"/>
  <c r="U2054" i="1"/>
  <c r="BB2054" i="1"/>
  <c r="BW2054" i="1"/>
  <c r="A2055" i="1"/>
  <c r="C2055" i="1"/>
  <c r="S2055" i="1"/>
  <c r="T2055" i="1"/>
  <c r="U2055" i="1"/>
  <c r="BB2055" i="1"/>
  <c r="BW2055" i="1"/>
  <c r="A2056" i="1"/>
  <c r="C2056" i="1"/>
  <c r="S2056" i="1"/>
  <c r="T2056" i="1"/>
  <c r="U2056" i="1"/>
  <c r="BB2056" i="1"/>
  <c r="BW2056" i="1"/>
  <c r="A2057" i="1"/>
  <c r="C2057" i="1"/>
  <c r="S2057" i="1"/>
  <c r="T2057" i="1"/>
  <c r="U2057" i="1"/>
  <c r="BB2057" i="1"/>
  <c r="BW2057" i="1"/>
  <c r="A2058" i="1"/>
  <c r="C2058" i="1"/>
  <c r="S2058" i="1"/>
  <c r="T2058" i="1"/>
  <c r="U2058" i="1"/>
  <c r="BB2058" i="1"/>
  <c r="BW2058" i="1"/>
  <c r="A2059" i="1"/>
  <c r="C2059" i="1"/>
  <c r="S2059" i="1"/>
  <c r="T2059" i="1"/>
  <c r="U2059" i="1"/>
  <c r="BB2059" i="1"/>
  <c r="BW2059" i="1"/>
  <c r="A2060" i="1"/>
  <c r="C2060" i="1"/>
  <c r="S2060" i="1"/>
  <c r="T2060" i="1"/>
  <c r="U2060" i="1"/>
  <c r="BB2060" i="1"/>
  <c r="BW2060" i="1"/>
  <c r="A2061" i="1"/>
  <c r="C2061" i="1"/>
  <c r="S2061" i="1"/>
  <c r="T2061" i="1"/>
  <c r="U2061" i="1"/>
  <c r="BB2061" i="1"/>
  <c r="BW2061" i="1"/>
  <c r="A2062" i="1"/>
  <c r="C2062" i="1"/>
  <c r="S2062" i="1"/>
  <c r="T2062" i="1"/>
  <c r="U2062" i="1"/>
  <c r="BB2062" i="1"/>
  <c r="BW2062" i="1"/>
  <c r="A2063" i="1"/>
  <c r="C2063" i="1"/>
  <c r="S2063" i="1"/>
  <c r="T2063" i="1"/>
  <c r="U2063" i="1"/>
  <c r="BB2063" i="1"/>
  <c r="BW2063" i="1"/>
  <c r="A2064" i="1"/>
  <c r="C2064" i="1"/>
  <c r="S2064" i="1"/>
  <c r="T2064" i="1"/>
  <c r="U2064" i="1"/>
  <c r="BB2064" i="1"/>
  <c r="BW2064" i="1"/>
  <c r="A2065" i="1"/>
  <c r="C2065" i="1"/>
  <c r="S2065" i="1"/>
  <c r="T2065" i="1"/>
  <c r="U2065" i="1"/>
  <c r="BB2065" i="1"/>
  <c r="BW2065" i="1"/>
  <c r="A2066" i="1"/>
  <c r="C2066" i="1"/>
  <c r="S2066" i="1"/>
  <c r="T2066" i="1"/>
  <c r="U2066" i="1"/>
  <c r="BB2066" i="1"/>
  <c r="BW2066" i="1"/>
  <c r="A2067" i="1"/>
  <c r="C2067" i="1"/>
  <c r="S2067" i="1"/>
  <c r="T2067" i="1"/>
  <c r="U2067" i="1"/>
  <c r="BB2067" i="1"/>
  <c r="BW2067" i="1"/>
  <c r="A2068" i="1"/>
  <c r="C2068" i="1"/>
  <c r="S2068" i="1"/>
  <c r="T2068" i="1"/>
  <c r="U2068" i="1"/>
  <c r="BB2068" i="1"/>
  <c r="BW2068" i="1"/>
  <c r="A2069" i="1"/>
  <c r="C2069" i="1"/>
  <c r="S2069" i="1"/>
  <c r="T2069" i="1"/>
  <c r="U2069" i="1"/>
  <c r="BB2069" i="1"/>
  <c r="BW2069" i="1"/>
  <c r="A2070" i="1"/>
  <c r="C2070" i="1"/>
  <c r="S2070" i="1"/>
  <c r="T2070" i="1"/>
  <c r="U2070" i="1"/>
  <c r="BB2070" i="1"/>
  <c r="BW2070" i="1"/>
  <c r="A2071" i="1"/>
  <c r="C2071" i="1"/>
  <c r="S2071" i="1"/>
  <c r="T2071" i="1"/>
  <c r="U2071" i="1"/>
  <c r="BB2071" i="1"/>
  <c r="BW2071" i="1"/>
  <c r="A2072" i="1"/>
  <c r="C2072" i="1"/>
  <c r="S2072" i="1"/>
  <c r="T2072" i="1"/>
  <c r="U2072" i="1"/>
  <c r="BB2072" i="1"/>
  <c r="BW2072" i="1"/>
  <c r="A2073" i="1"/>
  <c r="C2073" i="1"/>
  <c r="S2073" i="1"/>
  <c r="T2073" i="1"/>
  <c r="U2073" i="1"/>
  <c r="BB2073" i="1"/>
  <c r="BW2073" i="1"/>
  <c r="A2074" i="1"/>
  <c r="C2074" i="1"/>
  <c r="S2074" i="1"/>
  <c r="T2074" i="1"/>
  <c r="U2074" i="1"/>
  <c r="BB2074" i="1"/>
  <c r="BW2074" i="1"/>
  <c r="A2075" i="1"/>
  <c r="C2075" i="1"/>
  <c r="S2075" i="1"/>
  <c r="T2075" i="1"/>
  <c r="U2075" i="1"/>
  <c r="BB2075" i="1"/>
  <c r="BW2075" i="1"/>
  <c r="A2076" i="1"/>
  <c r="C2076" i="1"/>
  <c r="S2076" i="1"/>
  <c r="T2076" i="1"/>
  <c r="U2076" i="1"/>
  <c r="BB2076" i="1"/>
  <c r="BW2076" i="1"/>
  <c r="A2077" i="1"/>
  <c r="C2077" i="1"/>
  <c r="S2077" i="1"/>
  <c r="T2077" i="1"/>
  <c r="U2077" i="1"/>
  <c r="BB2077" i="1"/>
  <c r="BW2077" i="1"/>
  <c r="A2078" i="1"/>
  <c r="C2078" i="1"/>
  <c r="S2078" i="1"/>
  <c r="T2078" i="1"/>
  <c r="U2078" i="1"/>
  <c r="BB2078" i="1"/>
  <c r="BW2078" i="1"/>
  <c r="A2079" i="1"/>
  <c r="C2079" i="1"/>
  <c r="S2079" i="1"/>
  <c r="T2079" i="1"/>
  <c r="U2079" i="1"/>
  <c r="BB2079" i="1"/>
  <c r="BW2079" i="1"/>
  <c r="A2080" i="1"/>
  <c r="C2080" i="1"/>
  <c r="S2080" i="1"/>
  <c r="T2080" i="1"/>
  <c r="U2080" i="1"/>
  <c r="BB2080" i="1"/>
  <c r="BW2080" i="1"/>
  <c r="A2081" i="1"/>
  <c r="C2081" i="1"/>
  <c r="S2081" i="1"/>
  <c r="T2081" i="1"/>
  <c r="U2081" i="1"/>
  <c r="BB2081" i="1"/>
  <c r="BW2081" i="1"/>
  <c r="A2082" i="1"/>
  <c r="C2082" i="1"/>
  <c r="S2082" i="1"/>
  <c r="T2082" i="1"/>
  <c r="U2082" i="1"/>
  <c r="BB2082" i="1"/>
  <c r="BW2082" i="1"/>
  <c r="A2083" i="1"/>
  <c r="C2083" i="1"/>
  <c r="S2083" i="1"/>
  <c r="T2083" i="1"/>
  <c r="U2083" i="1"/>
  <c r="BB2083" i="1"/>
  <c r="BW2083" i="1"/>
  <c r="A2084" i="1"/>
  <c r="C2084" i="1"/>
  <c r="S2084" i="1"/>
  <c r="T2084" i="1"/>
  <c r="U2084" i="1"/>
  <c r="BB2084" i="1"/>
  <c r="BW2084" i="1"/>
  <c r="A2085" i="1"/>
  <c r="C2085" i="1"/>
  <c r="S2085" i="1"/>
  <c r="T2085" i="1"/>
  <c r="U2085" i="1"/>
  <c r="BB2085" i="1"/>
  <c r="BW2085" i="1"/>
  <c r="A2086" i="1"/>
  <c r="C2086" i="1"/>
  <c r="S2086" i="1"/>
  <c r="T2086" i="1"/>
  <c r="U2086" i="1"/>
  <c r="BB2086" i="1"/>
  <c r="BW2086" i="1"/>
  <c r="A2087" i="1"/>
  <c r="C2087" i="1"/>
  <c r="S2087" i="1"/>
  <c r="T2087" i="1"/>
  <c r="U2087" i="1"/>
  <c r="BB2087" i="1"/>
  <c r="BW2087" i="1"/>
  <c r="A2088" i="1"/>
  <c r="C2088" i="1"/>
  <c r="S2088" i="1"/>
  <c r="T2088" i="1"/>
  <c r="U2088" i="1"/>
  <c r="BB2088" i="1"/>
  <c r="BW2088" i="1"/>
  <c r="A2089" i="1"/>
  <c r="C2089" i="1"/>
  <c r="S2089" i="1"/>
  <c r="T2089" i="1"/>
  <c r="U2089" i="1"/>
  <c r="BB2089" i="1"/>
  <c r="BW2089" i="1"/>
  <c r="A2090" i="1"/>
  <c r="C2090" i="1"/>
  <c r="S2090" i="1"/>
  <c r="T2090" i="1"/>
  <c r="U2090" i="1"/>
  <c r="BB2090" i="1"/>
  <c r="BW2090" i="1"/>
  <c r="A2091" i="1"/>
  <c r="C2091" i="1"/>
  <c r="S2091" i="1"/>
  <c r="T2091" i="1"/>
  <c r="U2091" i="1"/>
  <c r="BB2091" i="1"/>
  <c r="BW2091" i="1"/>
  <c r="A2092" i="1"/>
  <c r="C2092" i="1"/>
  <c r="S2092" i="1"/>
  <c r="T2092" i="1"/>
  <c r="U2092" i="1"/>
  <c r="BB2092" i="1"/>
  <c r="BW2092" i="1"/>
  <c r="A2093" i="1"/>
  <c r="C2093" i="1"/>
  <c r="S2093" i="1"/>
  <c r="T2093" i="1"/>
  <c r="U2093" i="1"/>
  <c r="BB2093" i="1"/>
  <c r="BW2093" i="1"/>
  <c r="A2094" i="1"/>
  <c r="C2094" i="1"/>
  <c r="S2094" i="1"/>
  <c r="T2094" i="1"/>
  <c r="U2094" i="1"/>
  <c r="BB2094" i="1"/>
  <c r="BW2094" i="1"/>
  <c r="A2095" i="1"/>
  <c r="C2095" i="1"/>
  <c r="S2095" i="1"/>
  <c r="T2095" i="1"/>
  <c r="U2095" i="1"/>
  <c r="BB2095" i="1"/>
  <c r="BW2095" i="1"/>
  <c r="A2096" i="1"/>
  <c r="C2096" i="1"/>
  <c r="S2096" i="1"/>
  <c r="T2096" i="1"/>
  <c r="U2096" i="1"/>
  <c r="BB2096" i="1"/>
  <c r="BW2096" i="1"/>
  <c r="A2097" i="1"/>
  <c r="C2097" i="1"/>
  <c r="S2097" i="1"/>
  <c r="T2097" i="1"/>
  <c r="U2097" i="1"/>
  <c r="BB2097" i="1"/>
  <c r="BW2097" i="1"/>
  <c r="A2098" i="1"/>
  <c r="C2098" i="1"/>
  <c r="S2098" i="1"/>
  <c r="T2098" i="1"/>
  <c r="U2098" i="1"/>
  <c r="BB2098" i="1"/>
  <c r="BW2098" i="1"/>
  <c r="A2099" i="1"/>
  <c r="C2099" i="1"/>
  <c r="S2099" i="1"/>
  <c r="T2099" i="1"/>
  <c r="U2099" i="1"/>
  <c r="BB2099" i="1"/>
  <c r="BW2099" i="1"/>
  <c r="A2100" i="1"/>
  <c r="C2100" i="1"/>
  <c r="S2100" i="1"/>
  <c r="T2100" i="1"/>
  <c r="U2100" i="1"/>
  <c r="BB2100" i="1"/>
  <c r="BW2100" i="1"/>
  <c r="A2101" i="1"/>
  <c r="C2101" i="1"/>
  <c r="S2101" i="1"/>
  <c r="T2101" i="1"/>
  <c r="U2101" i="1"/>
  <c r="BB2101" i="1"/>
  <c r="BW2101" i="1"/>
  <c r="A2102" i="1"/>
  <c r="C2102" i="1"/>
  <c r="S2102" i="1"/>
  <c r="T2102" i="1"/>
  <c r="U2102" i="1"/>
  <c r="BB2102" i="1"/>
  <c r="BW2102" i="1"/>
  <c r="A2103" i="1"/>
  <c r="C2103" i="1"/>
  <c r="S2103" i="1"/>
  <c r="T2103" i="1"/>
  <c r="U2103" i="1"/>
  <c r="BB2103" i="1"/>
  <c r="BW2103" i="1"/>
  <c r="A2104" i="1"/>
  <c r="C2104" i="1"/>
  <c r="S2104" i="1"/>
  <c r="T2104" i="1"/>
  <c r="U2104" i="1"/>
  <c r="BB2104" i="1"/>
  <c r="BW2104" i="1"/>
  <c r="A2105" i="1"/>
  <c r="C2105" i="1"/>
  <c r="S2105" i="1"/>
  <c r="T2105" i="1"/>
  <c r="U2105" i="1"/>
  <c r="BB2105" i="1"/>
  <c r="BW2105" i="1"/>
  <c r="A2106" i="1"/>
  <c r="C2106" i="1"/>
  <c r="S2106" i="1"/>
  <c r="T2106" i="1"/>
  <c r="U2106" i="1"/>
  <c r="BB2106" i="1"/>
  <c r="BW2106" i="1"/>
  <c r="A2107" i="1"/>
  <c r="C2107" i="1"/>
  <c r="S2107" i="1"/>
  <c r="T2107" i="1"/>
  <c r="U2107" i="1"/>
  <c r="BB2107" i="1"/>
  <c r="BW2107" i="1"/>
  <c r="A2108" i="1"/>
  <c r="C2108" i="1"/>
  <c r="S2108" i="1"/>
  <c r="T2108" i="1"/>
  <c r="U2108" i="1"/>
  <c r="BB2108" i="1"/>
  <c r="BW2108" i="1"/>
  <c r="A2109" i="1"/>
  <c r="C2109" i="1"/>
  <c r="S2109" i="1"/>
  <c r="T2109" i="1"/>
  <c r="U2109" i="1"/>
  <c r="BB2109" i="1"/>
  <c r="BW2109" i="1"/>
  <c r="A2110" i="1"/>
  <c r="C2110" i="1"/>
  <c r="S2110" i="1"/>
  <c r="T2110" i="1"/>
  <c r="U2110" i="1"/>
  <c r="BB2110" i="1"/>
  <c r="BW2110" i="1"/>
  <c r="A2111" i="1"/>
  <c r="C2111" i="1"/>
  <c r="S2111" i="1"/>
  <c r="T2111" i="1"/>
  <c r="U2111" i="1"/>
  <c r="BB2111" i="1"/>
  <c r="BW2111" i="1"/>
  <c r="A2112" i="1"/>
  <c r="C2112" i="1"/>
  <c r="S2112" i="1"/>
  <c r="T2112" i="1"/>
  <c r="U2112" i="1"/>
  <c r="BB2112" i="1"/>
  <c r="BW2112" i="1"/>
  <c r="A2113" i="1"/>
  <c r="C2113" i="1"/>
  <c r="S2113" i="1"/>
  <c r="T2113" i="1"/>
  <c r="U2113" i="1"/>
  <c r="BB2113" i="1"/>
  <c r="BW2113" i="1"/>
  <c r="A2114" i="1"/>
  <c r="C2114" i="1"/>
  <c r="S2114" i="1"/>
  <c r="T2114" i="1"/>
  <c r="U2114" i="1"/>
  <c r="BB2114" i="1"/>
  <c r="BW2114" i="1"/>
  <c r="A2115" i="1"/>
  <c r="C2115" i="1"/>
  <c r="S2115" i="1"/>
  <c r="T2115" i="1"/>
  <c r="U2115" i="1"/>
  <c r="BB2115" i="1"/>
  <c r="BW2115" i="1"/>
  <c r="A2116" i="1"/>
  <c r="C2116" i="1"/>
  <c r="S2116" i="1"/>
  <c r="T2116" i="1"/>
  <c r="U2116" i="1"/>
  <c r="BB2116" i="1"/>
  <c r="BW2116" i="1"/>
  <c r="A2117" i="1"/>
  <c r="C2117" i="1"/>
  <c r="S2117" i="1"/>
  <c r="T2117" i="1"/>
  <c r="U2117" i="1"/>
  <c r="BB2117" i="1"/>
  <c r="BW2117" i="1"/>
  <c r="A2118" i="1"/>
  <c r="C2118" i="1"/>
  <c r="S2118" i="1"/>
  <c r="T2118" i="1"/>
  <c r="U2118" i="1"/>
  <c r="BB2118" i="1"/>
  <c r="BW2118" i="1"/>
  <c r="A2119" i="1"/>
  <c r="C2119" i="1"/>
  <c r="S2119" i="1"/>
  <c r="T2119" i="1"/>
  <c r="U2119" i="1"/>
  <c r="BB2119" i="1"/>
  <c r="BW2119" i="1"/>
  <c r="A2120" i="1"/>
  <c r="C2120" i="1"/>
  <c r="S2120" i="1"/>
  <c r="T2120" i="1"/>
  <c r="U2120" i="1"/>
  <c r="BB2120" i="1"/>
  <c r="BW2120" i="1"/>
  <c r="A2121" i="1"/>
  <c r="C2121" i="1"/>
  <c r="S2121" i="1"/>
  <c r="T2121" i="1"/>
  <c r="U2121" i="1"/>
  <c r="BB2121" i="1"/>
  <c r="BW2121" i="1"/>
  <c r="A2122" i="1"/>
  <c r="C2122" i="1"/>
  <c r="S2122" i="1"/>
  <c r="T2122" i="1"/>
  <c r="U2122" i="1"/>
  <c r="BB2122" i="1"/>
  <c r="BW2122" i="1"/>
  <c r="A2123" i="1"/>
  <c r="C2123" i="1"/>
  <c r="S2123" i="1"/>
  <c r="T2123" i="1"/>
  <c r="U2123" i="1"/>
  <c r="BB2123" i="1"/>
  <c r="BW2123" i="1"/>
  <c r="A2124" i="1"/>
  <c r="C2124" i="1"/>
  <c r="S2124" i="1"/>
  <c r="T2124" i="1"/>
  <c r="U2124" i="1"/>
  <c r="BB2124" i="1"/>
  <c r="BW2124" i="1"/>
  <c r="A2125" i="1"/>
  <c r="C2125" i="1"/>
  <c r="S2125" i="1"/>
  <c r="T2125" i="1"/>
  <c r="U2125" i="1"/>
  <c r="BB2125" i="1"/>
  <c r="BW2125" i="1"/>
  <c r="A2126" i="1"/>
  <c r="C2126" i="1"/>
  <c r="S2126" i="1"/>
  <c r="T2126" i="1"/>
  <c r="U2126" i="1"/>
  <c r="BB2126" i="1"/>
  <c r="BW2126" i="1"/>
  <c r="A2127" i="1"/>
  <c r="C2127" i="1"/>
  <c r="S2127" i="1"/>
  <c r="T2127" i="1"/>
  <c r="U2127" i="1"/>
  <c r="BB2127" i="1"/>
  <c r="BW2127" i="1"/>
  <c r="A2128" i="1"/>
  <c r="C2128" i="1"/>
  <c r="S2128" i="1"/>
  <c r="T2128" i="1"/>
  <c r="U2128" i="1"/>
  <c r="BB2128" i="1"/>
  <c r="BW2128" i="1"/>
  <c r="A2129" i="1"/>
  <c r="C2129" i="1"/>
  <c r="S2129" i="1"/>
  <c r="T2129" i="1"/>
  <c r="U2129" i="1"/>
  <c r="BB2129" i="1"/>
  <c r="BW2129" i="1"/>
  <c r="A2130" i="1"/>
  <c r="C2130" i="1"/>
  <c r="S2130" i="1"/>
  <c r="T2130" i="1"/>
  <c r="U2130" i="1"/>
  <c r="BB2130" i="1"/>
  <c r="BW2130" i="1"/>
  <c r="A2131" i="1"/>
  <c r="C2131" i="1"/>
  <c r="S2131" i="1"/>
  <c r="T2131" i="1"/>
  <c r="U2131" i="1"/>
  <c r="BB2131" i="1"/>
  <c r="BW2131" i="1"/>
  <c r="A2132" i="1"/>
  <c r="C2132" i="1"/>
  <c r="S2132" i="1"/>
  <c r="T2132" i="1"/>
  <c r="U2132" i="1"/>
  <c r="BB2132" i="1"/>
  <c r="BW2132" i="1"/>
  <c r="A2133" i="1"/>
  <c r="C2133" i="1"/>
  <c r="S2133" i="1"/>
  <c r="T2133" i="1"/>
  <c r="U2133" i="1"/>
  <c r="BB2133" i="1"/>
  <c r="BW2133" i="1"/>
  <c r="A2134" i="1"/>
  <c r="C2134" i="1"/>
  <c r="S2134" i="1"/>
  <c r="T2134" i="1"/>
  <c r="U2134" i="1"/>
  <c r="BB2134" i="1"/>
  <c r="BW2134" i="1"/>
  <c r="A2135" i="1"/>
  <c r="C2135" i="1"/>
  <c r="S2135" i="1"/>
  <c r="T2135" i="1"/>
  <c r="U2135" i="1"/>
  <c r="BB2135" i="1"/>
  <c r="BW2135" i="1"/>
  <c r="A2136" i="1"/>
  <c r="C2136" i="1"/>
  <c r="S2136" i="1"/>
  <c r="T2136" i="1"/>
  <c r="U2136" i="1"/>
  <c r="BB2136" i="1"/>
  <c r="BW2136" i="1"/>
  <c r="A2137" i="1"/>
  <c r="C2137" i="1"/>
  <c r="S2137" i="1"/>
  <c r="T2137" i="1"/>
  <c r="U2137" i="1"/>
  <c r="BB2137" i="1"/>
  <c r="BW2137" i="1"/>
  <c r="A2138" i="1"/>
  <c r="C2138" i="1"/>
  <c r="S2138" i="1"/>
  <c r="T2138" i="1"/>
  <c r="U2138" i="1"/>
  <c r="BB2138" i="1"/>
  <c r="BW2138" i="1"/>
  <c r="A2139" i="1"/>
  <c r="C2139" i="1"/>
  <c r="S2139" i="1"/>
  <c r="T2139" i="1"/>
  <c r="U2139" i="1"/>
  <c r="BB2139" i="1"/>
  <c r="BW2139" i="1"/>
  <c r="A2140" i="1"/>
  <c r="C2140" i="1"/>
  <c r="S2140" i="1"/>
  <c r="T2140" i="1"/>
  <c r="U2140" i="1"/>
  <c r="BB2140" i="1"/>
  <c r="BW2140" i="1"/>
  <c r="A2141" i="1"/>
  <c r="C2141" i="1"/>
  <c r="S2141" i="1"/>
  <c r="T2141" i="1"/>
  <c r="U2141" i="1"/>
  <c r="BB2141" i="1"/>
  <c r="BW2141" i="1"/>
  <c r="A2142" i="1"/>
  <c r="C2142" i="1"/>
  <c r="S2142" i="1"/>
  <c r="T2142" i="1"/>
  <c r="U2142" i="1"/>
  <c r="BB2142" i="1"/>
  <c r="BW2142" i="1"/>
  <c r="A2143" i="1"/>
  <c r="C2143" i="1"/>
  <c r="S2143" i="1"/>
  <c r="T2143" i="1"/>
  <c r="U2143" i="1"/>
  <c r="BB2143" i="1"/>
  <c r="BW2143" i="1"/>
  <c r="A2144" i="1"/>
  <c r="C2144" i="1"/>
  <c r="S2144" i="1"/>
  <c r="T2144" i="1"/>
  <c r="U2144" i="1"/>
  <c r="BB2144" i="1"/>
  <c r="BW2144" i="1"/>
  <c r="A2145" i="1"/>
  <c r="C2145" i="1"/>
  <c r="S2145" i="1"/>
  <c r="T2145" i="1"/>
  <c r="U2145" i="1"/>
  <c r="BB2145" i="1"/>
  <c r="BW2145" i="1"/>
  <c r="A2146" i="1"/>
  <c r="C2146" i="1"/>
  <c r="S2146" i="1"/>
  <c r="T2146" i="1"/>
  <c r="U2146" i="1"/>
  <c r="BB2146" i="1"/>
  <c r="BW2146" i="1"/>
  <c r="A2147" i="1"/>
  <c r="C2147" i="1"/>
  <c r="S2147" i="1"/>
  <c r="T2147" i="1"/>
  <c r="U2147" i="1"/>
  <c r="BB2147" i="1"/>
  <c r="BW2147" i="1"/>
  <c r="A2148" i="1"/>
  <c r="C2148" i="1"/>
  <c r="S2148" i="1"/>
  <c r="T2148" i="1"/>
  <c r="U2148" i="1"/>
  <c r="BB2148" i="1"/>
  <c r="BW2148" i="1"/>
  <c r="A2149" i="1"/>
  <c r="C2149" i="1"/>
  <c r="S2149" i="1"/>
  <c r="T2149" i="1"/>
  <c r="U2149" i="1"/>
  <c r="BB2149" i="1"/>
  <c r="BW2149" i="1"/>
  <c r="A2150" i="1"/>
  <c r="C2150" i="1"/>
  <c r="S2150" i="1"/>
  <c r="T2150" i="1"/>
  <c r="U2150" i="1"/>
  <c r="BB2150" i="1"/>
  <c r="BW2150" i="1"/>
  <c r="A2151" i="1"/>
  <c r="C2151" i="1"/>
  <c r="S2151" i="1"/>
  <c r="T2151" i="1"/>
  <c r="U2151" i="1"/>
  <c r="BB2151" i="1"/>
  <c r="BW2151" i="1"/>
  <c r="A2152" i="1"/>
  <c r="C2152" i="1"/>
  <c r="S2152" i="1"/>
  <c r="T2152" i="1"/>
  <c r="U2152" i="1"/>
  <c r="BB2152" i="1"/>
  <c r="BW2152" i="1"/>
  <c r="A2153" i="1"/>
  <c r="C2153" i="1"/>
  <c r="S2153" i="1"/>
  <c r="T2153" i="1"/>
  <c r="U2153" i="1"/>
  <c r="BB2153" i="1"/>
  <c r="BW2153" i="1"/>
  <c r="A2154" i="1"/>
  <c r="C2154" i="1"/>
  <c r="S2154" i="1"/>
  <c r="T2154" i="1"/>
  <c r="U2154" i="1"/>
  <c r="BB2154" i="1"/>
  <c r="BW2154" i="1"/>
  <c r="A2155" i="1"/>
  <c r="C2155" i="1"/>
  <c r="S2155" i="1"/>
  <c r="T2155" i="1"/>
  <c r="U2155" i="1"/>
  <c r="BB2155" i="1"/>
  <c r="BW2155" i="1"/>
  <c r="A2156" i="1"/>
  <c r="C2156" i="1"/>
  <c r="S2156" i="1"/>
  <c r="T2156" i="1"/>
  <c r="U2156" i="1"/>
  <c r="BB2156" i="1"/>
  <c r="BW2156" i="1"/>
  <c r="A2157" i="1"/>
  <c r="C2157" i="1"/>
  <c r="S2157" i="1"/>
  <c r="T2157" i="1"/>
  <c r="U2157" i="1"/>
  <c r="BB2157" i="1"/>
  <c r="BW2157" i="1"/>
  <c r="A2158" i="1"/>
  <c r="C2158" i="1"/>
  <c r="S2158" i="1"/>
  <c r="T2158" i="1"/>
  <c r="U2158" i="1"/>
  <c r="BB2158" i="1"/>
  <c r="BW2158" i="1"/>
  <c r="A2159" i="1"/>
  <c r="C2159" i="1"/>
  <c r="S2159" i="1"/>
  <c r="T2159" i="1"/>
  <c r="U2159" i="1"/>
  <c r="BB2159" i="1"/>
  <c r="BW2159" i="1"/>
  <c r="A2160" i="1"/>
  <c r="C2160" i="1"/>
  <c r="S2160" i="1"/>
  <c r="T2160" i="1"/>
  <c r="U2160" i="1"/>
  <c r="BB2160" i="1"/>
  <c r="BW2160" i="1"/>
  <c r="A2161" i="1"/>
  <c r="C2161" i="1"/>
  <c r="S2161" i="1"/>
  <c r="T2161" i="1"/>
  <c r="U2161" i="1"/>
  <c r="BB2161" i="1"/>
  <c r="BW2161" i="1"/>
  <c r="A2162" i="1"/>
  <c r="C2162" i="1"/>
  <c r="S2162" i="1"/>
  <c r="T2162" i="1"/>
  <c r="U2162" i="1"/>
  <c r="BB2162" i="1"/>
  <c r="BW2162" i="1"/>
  <c r="A2163" i="1"/>
  <c r="C2163" i="1"/>
  <c r="S2163" i="1"/>
  <c r="T2163" i="1"/>
  <c r="U2163" i="1"/>
  <c r="BB2163" i="1"/>
  <c r="BW2163" i="1"/>
  <c r="A2164" i="1"/>
  <c r="C2164" i="1"/>
  <c r="S2164" i="1"/>
  <c r="T2164" i="1"/>
  <c r="U2164" i="1"/>
  <c r="BB2164" i="1"/>
  <c r="BW2164" i="1"/>
  <c r="A2165" i="1"/>
  <c r="C2165" i="1"/>
  <c r="S2165" i="1"/>
  <c r="T2165" i="1"/>
  <c r="U2165" i="1"/>
  <c r="BB2165" i="1"/>
  <c r="BW2165" i="1"/>
  <c r="A2166" i="1"/>
  <c r="C2166" i="1"/>
  <c r="S2166" i="1"/>
  <c r="T2166" i="1"/>
  <c r="U2166" i="1"/>
  <c r="BB2166" i="1"/>
  <c r="BW2166" i="1"/>
  <c r="A2167" i="1"/>
  <c r="C2167" i="1"/>
  <c r="S2167" i="1"/>
  <c r="T2167" i="1"/>
  <c r="U2167" i="1"/>
  <c r="BB2167" i="1"/>
  <c r="BW2167" i="1"/>
  <c r="A2168" i="1"/>
  <c r="C2168" i="1"/>
  <c r="S2168" i="1"/>
  <c r="T2168" i="1"/>
  <c r="U2168" i="1"/>
  <c r="BB2168" i="1"/>
  <c r="BW2168" i="1"/>
  <c r="A2169" i="1"/>
  <c r="C2169" i="1"/>
  <c r="S2169" i="1"/>
  <c r="T2169" i="1"/>
  <c r="U2169" i="1"/>
  <c r="BB2169" i="1"/>
  <c r="BW2169" i="1"/>
  <c r="A2170" i="1"/>
  <c r="C2170" i="1"/>
  <c r="S2170" i="1"/>
  <c r="T2170" i="1"/>
  <c r="U2170" i="1"/>
  <c r="BB2170" i="1"/>
  <c r="BW2170" i="1"/>
  <c r="A2171" i="1"/>
  <c r="C2171" i="1"/>
  <c r="S2171" i="1"/>
  <c r="T2171" i="1"/>
  <c r="U2171" i="1"/>
  <c r="BB2171" i="1"/>
  <c r="BW2171" i="1"/>
  <c r="A2172" i="1"/>
  <c r="C2172" i="1"/>
  <c r="S2172" i="1"/>
  <c r="T2172" i="1"/>
  <c r="U2172" i="1"/>
  <c r="BB2172" i="1"/>
  <c r="BW2172" i="1"/>
  <c r="A2173" i="1"/>
  <c r="C2173" i="1"/>
  <c r="S2173" i="1"/>
  <c r="T2173" i="1"/>
  <c r="U2173" i="1"/>
  <c r="BB2173" i="1"/>
  <c r="BW2173" i="1"/>
  <c r="A2174" i="1"/>
  <c r="C2174" i="1"/>
  <c r="S2174" i="1"/>
  <c r="T2174" i="1"/>
  <c r="U2174" i="1"/>
  <c r="BB2174" i="1"/>
  <c r="BW2174" i="1"/>
  <c r="A2175" i="1"/>
  <c r="C2175" i="1"/>
  <c r="S2175" i="1"/>
  <c r="T2175" i="1"/>
  <c r="U2175" i="1"/>
  <c r="BB2175" i="1"/>
  <c r="BW2175" i="1"/>
  <c r="A2176" i="1"/>
  <c r="C2176" i="1"/>
  <c r="S2176" i="1"/>
  <c r="T2176" i="1"/>
  <c r="U2176" i="1"/>
  <c r="BB2176" i="1"/>
  <c r="BW2176" i="1"/>
  <c r="A2177" i="1"/>
  <c r="C2177" i="1"/>
  <c r="S2177" i="1"/>
  <c r="T2177" i="1"/>
  <c r="U2177" i="1"/>
  <c r="BB2177" i="1"/>
  <c r="BW2177" i="1"/>
  <c r="A2178" i="1"/>
  <c r="C2178" i="1"/>
  <c r="S2178" i="1"/>
  <c r="T2178" i="1"/>
  <c r="U2178" i="1"/>
  <c r="BB2178" i="1"/>
  <c r="BW2178" i="1"/>
  <c r="A2179" i="1"/>
  <c r="C2179" i="1"/>
  <c r="S2179" i="1"/>
  <c r="T2179" i="1"/>
  <c r="U2179" i="1"/>
  <c r="BB2179" i="1"/>
  <c r="BW2179" i="1"/>
  <c r="A2180" i="1"/>
  <c r="C2180" i="1"/>
  <c r="S2180" i="1"/>
  <c r="T2180" i="1"/>
  <c r="U2180" i="1"/>
  <c r="BB2180" i="1"/>
  <c r="BW2180" i="1"/>
  <c r="A2181" i="1"/>
  <c r="C2181" i="1"/>
  <c r="S2181" i="1"/>
  <c r="T2181" i="1"/>
  <c r="U2181" i="1"/>
  <c r="BB2181" i="1"/>
  <c r="BW2181" i="1"/>
  <c r="A2182" i="1"/>
  <c r="C2182" i="1"/>
  <c r="S2182" i="1"/>
  <c r="T2182" i="1"/>
  <c r="U2182" i="1"/>
  <c r="BB2182" i="1"/>
  <c r="BW2182" i="1"/>
  <c r="A2183" i="1"/>
  <c r="C2183" i="1"/>
  <c r="S2183" i="1"/>
  <c r="T2183" i="1"/>
  <c r="U2183" i="1"/>
  <c r="BB2183" i="1"/>
  <c r="BW2183" i="1"/>
  <c r="A2184" i="1"/>
  <c r="C2184" i="1"/>
  <c r="S2184" i="1"/>
  <c r="T2184" i="1"/>
  <c r="U2184" i="1"/>
  <c r="BB2184" i="1"/>
  <c r="BW2184" i="1"/>
  <c r="A2185" i="1"/>
  <c r="C2185" i="1"/>
  <c r="S2185" i="1"/>
  <c r="T2185" i="1"/>
  <c r="U2185" i="1"/>
  <c r="BB2185" i="1"/>
  <c r="BW2185" i="1"/>
  <c r="A2186" i="1"/>
  <c r="C2186" i="1"/>
  <c r="S2186" i="1"/>
  <c r="T2186" i="1"/>
  <c r="U2186" i="1"/>
  <c r="BB2186" i="1"/>
  <c r="BW2186" i="1"/>
  <c r="A2187" i="1"/>
  <c r="C2187" i="1"/>
  <c r="S2187" i="1"/>
  <c r="T2187" i="1"/>
  <c r="U2187" i="1"/>
  <c r="BB2187" i="1"/>
  <c r="BW2187" i="1"/>
  <c r="A2188" i="1"/>
  <c r="C2188" i="1"/>
  <c r="S2188" i="1"/>
  <c r="T2188" i="1"/>
  <c r="U2188" i="1"/>
  <c r="BB2188" i="1"/>
  <c r="BW2188" i="1"/>
  <c r="A2189" i="1"/>
  <c r="C2189" i="1"/>
  <c r="S2189" i="1"/>
  <c r="T2189" i="1"/>
  <c r="U2189" i="1"/>
  <c r="BB2189" i="1"/>
  <c r="BW2189" i="1"/>
  <c r="A2190" i="1"/>
  <c r="C2190" i="1"/>
  <c r="S2190" i="1"/>
  <c r="T2190" i="1"/>
  <c r="U2190" i="1"/>
  <c r="BB2190" i="1"/>
  <c r="BW2190" i="1"/>
  <c r="A2191" i="1"/>
  <c r="C2191" i="1"/>
  <c r="S2191" i="1"/>
  <c r="T2191" i="1"/>
  <c r="U2191" i="1"/>
  <c r="BB2191" i="1"/>
  <c r="BW2191" i="1"/>
  <c r="A2192" i="1"/>
  <c r="C2192" i="1"/>
  <c r="S2192" i="1"/>
  <c r="T2192" i="1"/>
  <c r="U2192" i="1"/>
  <c r="BB2192" i="1"/>
  <c r="BW2192" i="1"/>
  <c r="A2193" i="1"/>
  <c r="C2193" i="1"/>
  <c r="S2193" i="1"/>
  <c r="T2193" i="1"/>
  <c r="U2193" i="1"/>
  <c r="BB2193" i="1"/>
  <c r="BW2193" i="1"/>
  <c r="A2194" i="1"/>
  <c r="C2194" i="1"/>
  <c r="S2194" i="1"/>
  <c r="T2194" i="1"/>
  <c r="U2194" i="1"/>
  <c r="BB2194" i="1"/>
  <c r="BW2194" i="1"/>
  <c r="A2195" i="1"/>
  <c r="C2195" i="1"/>
  <c r="S2195" i="1"/>
  <c r="T2195" i="1"/>
  <c r="U2195" i="1"/>
  <c r="BB2195" i="1"/>
  <c r="BW2195" i="1"/>
  <c r="A2196" i="1"/>
  <c r="C2196" i="1"/>
  <c r="S2196" i="1"/>
  <c r="T2196" i="1"/>
  <c r="U2196" i="1"/>
  <c r="BB2196" i="1"/>
  <c r="BW2196" i="1"/>
  <c r="A2197" i="1"/>
  <c r="C2197" i="1"/>
  <c r="S2197" i="1"/>
  <c r="T2197" i="1"/>
  <c r="U2197" i="1"/>
  <c r="BB2197" i="1"/>
  <c r="BW2197" i="1"/>
  <c r="A2198" i="1"/>
  <c r="C2198" i="1"/>
  <c r="S2198" i="1"/>
  <c r="T2198" i="1"/>
  <c r="U2198" i="1"/>
  <c r="BB2198" i="1"/>
  <c r="BW2198" i="1"/>
  <c r="A2199" i="1"/>
  <c r="C2199" i="1"/>
  <c r="S2199" i="1"/>
  <c r="T2199" i="1"/>
  <c r="U2199" i="1"/>
  <c r="BB2199" i="1"/>
  <c r="BW2199" i="1"/>
  <c r="A2200" i="1"/>
  <c r="C2200" i="1"/>
  <c r="S2200" i="1"/>
  <c r="T2200" i="1"/>
  <c r="U2200" i="1"/>
  <c r="BB2200" i="1"/>
  <c r="BW2200" i="1"/>
  <c r="A2201" i="1"/>
  <c r="C2201" i="1"/>
  <c r="S2201" i="1"/>
  <c r="T2201" i="1"/>
  <c r="U2201" i="1"/>
  <c r="BB2201" i="1"/>
  <c r="BW2201" i="1"/>
  <c r="A2202" i="1"/>
  <c r="C2202" i="1"/>
  <c r="S2202" i="1"/>
  <c r="T2202" i="1"/>
  <c r="U2202" i="1"/>
  <c r="BB2202" i="1"/>
  <c r="BW2202" i="1"/>
  <c r="A2203" i="1"/>
  <c r="C2203" i="1"/>
  <c r="S2203" i="1"/>
  <c r="T2203" i="1"/>
  <c r="U2203" i="1"/>
  <c r="BB2203" i="1"/>
  <c r="BW2203" i="1"/>
  <c r="A2204" i="1"/>
  <c r="C2204" i="1"/>
  <c r="S2204" i="1"/>
  <c r="T2204" i="1"/>
  <c r="U2204" i="1"/>
  <c r="BB2204" i="1"/>
  <c r="BW2204" i="1"/>
  <c r="A2205" i="1"/>
  <c r="C2205" i="1"/>
  <c r="S2205" i="1"/>
  <c r="T2205" i="1"/>
  <c r="U2205" i="1"/>
  <c r="BB2205" i="1"/>
  <c r="BW2205" i="1"/>
  <c r="A2206" i="1"/>
  <c r="C2206" i="1"/>
  <c r="S2206" i="1"/>
  <c r="T2206" i="1"/>
  <c r="U2206" i="1"/>
  <c r="BB2206" i="1"/>
  <c r="BW2206" i="1"/>
  <c r="A2207" i="1"/>
  <c r="C2207" i="1"/>
  <c r="S2207" i="1"/>
  <c r="T2207" i="1"/>
  <c r="U2207" i="1"/>
  <c r="BB2207" i="1"/>
  <c r="BW2207" i="1"/>
  <c r="A2208" i="1"/>
  <c r="C2208" i="1"/>
  <c r="S2208" i="1"/>
  <c r="T2208" i="1"/>
  <c r="U2208" i="1"/>
  <c r="BB2208" i="1"/>
  <c r="BW2208" i="1"/>
  <c r="A2209" i="1"/>
  <c r="C2209" i="1"/>
  <c r="S2209" i="1"/>
  <c r="T2209" i="1"/>
  <c r="U2209" i="1"/>
  <c r="BB2209" i="1"/>
  <c r="BW2209" i="1"/>
  <c r="A2210" i="1"/>
  <c r="C2210" i="1"/>
  <c r="S2210" i="1"/>
  <c r="T2210" i="1"/>
  <c r="U2210" i="1"/>
  <c r="BB2210" i="1"/>
  <c r="BW2210" i="1"/>
  <c r="A2211" i="1"/>
  <c r="C2211" i="1"/>
  <c r="S2211" i="1"/>
  <c r="T2211" i="1"/>
  <c r="U2211" i="1"/>
  <c r="BB2211" i="1"/>
  <c r="BW2211" i="1"/>
  <c r="A2212" i="1"/>
  <c r="C2212" i="1"/>
  <c r="S2212" i="1"/>
  <c r="T2212" i="1"/>
  <c r="U2212" i="1"/>
  <c r="BB2212" i="1"/>
  <c r="BW2212" i="1"/>
  <c r="A2213" i="1"/>
  <c r="C2213" i="1"/>
  <c r="S2213" i="1"/>
  <c r="T2213" i="1"/>
  <c r="U2213" i="1"/>
  <c r="BB2213" i="1"/>
  <c r="BW2213" i="1"/>
  <c r="A2214" i="1"/>
  <c r="C2214" i="1"/>
  <c r="S2214" i="1"/>
  <c r="T2214" i="1"/>
  <c r="U2214" i="1"/>
  <c r="BB2214" i="1"/>
  <c r="BW2214" i="1"/>
  <c r="A2215" i="1"/>
  <c r="C2215" i="1"/>
  <c r="S2215" i="1"/>
  <c r="T2215" i="1"/>
  <c r="U2215" i="1"/>
  <c r="BB2215" i="1"/>
  <c r="BW2215" i="1"/>
</calcChain>
</file>

<file path=xl/sharedStrings.xml><?xml version="1.0" encoding="utf-8"?>
<sst xmlns="http://schemas.openxmlformats.org/spreadsheetml/2006/main" count="15611" uniqueCount="1590">
  <si>
    <t>Time</t>
  </si>
  <si>
    <t>DeType</t>
  </si>
  <si>
    <t>FRNs</t>
  </si>
  <si>
    <t>SAC</t>
  </si>
  <si>
    <t>SIC</t>
  </si>
  <si>
    <t>CTVID</t>
  </si>
  <si>
    <t>CTVName</t>
  </si>
  <si>
    <t>SVID</t>
  </si>
  <si>
    <t>SVName</t>
  </si>
  <si>
    <t>SVType</t>
  </si>
  <si>
    <t>VersStat</t>
  </si>
  <si>
    <t>AstxVers</t>
  </si>
  <si>
    <t>UnkVers</t>
  </si>
  <si>
    <t>LinkVers</t>
  </si>
  <si>
    <t>1090ES</t>
  </si>
  <si>
    <t>UAT</t>
  </si>
  <si>
    <t>Non ADS-B</t>
  </si>
  <si>
    <t>TIS-B</t>
  </si>
  <si>
    <t>PosToa</t>
  </si>
  <si>
    <t>VelToa</t>
  </si>
  <si>
    <t>ModeSId</t>
  </si>
  <si>
    <t>Qual</t>
  </si>
  <si>
    <t>Dupl</t>
  </si>
  <si>
    <t>TgtSVType</t>
  </si>
  <si>
    <t>TrackNum</t>
  </si>
  <si>
    <t>UTC</t>
  </si>
  <si>
    <t>NIC</t>
  </si>
  <si>
    <t>SIL</t>
  </si>
  <si>
    <t>SIL-S</t>
  </si>
  <si>
    <t>NAC-P</t>
  </si>
  <si>
    <t>TestMode</t>
  </si>
  <si>
    <t>Valid</t>
  </si>
  <si>
    <t>NAC-V</t>
  </si>
  <si>
    <t>NIC-B</t>
  </si>
  <si>
    <t>Lat</t>
  </si>
  <si>
    <t>LatDeg</t>
  </si>
  <si>
    <t>Lon</t>
  </si>
  <si>
    <t>LonDeg</t>
  </si>
  <si>
    <t>Res</t>
  </si>
  <si>
    <t>PressAlt</t>
  </si>
  <si>
    <t>VVSrc</t>
  </si>
  <si>
    <t>Vx</t>
  </si>
  <si>
    <t>Vy</t>
  </si>
  <si>
    <t>Vz</t>
  </si>
  <si>
    <t>TrkOrHdgVal</t>
  </si>
  <si>
    <t>TrkOrHdgInd</t>
  </si>
  <si>
    <t>HRD</t>
  </si>
  <si>
    <t>Angle</t>
  </si>
  <si>
    <t>GrndSpd</t>
  </si>
  <si>
    <t>LWC</t>
  </si>
  <si>
    <t>POA</t>
  </si>
  <si>
    <t>Aid</t>
  </si>
  <si>
    <t>AidVal</t>
  </si>
  <si>
    <t>FlightId</t>
  </si>
  <si>
    <t>EmitCat</t>
  </si>
  <si>
    <t>RxAtc(FRN14)</t>
  </si>
  <si>
    <t>Ident(FRN14)</t>
  </si>
  <si>
    <t>SurvStat</t>
  </si>
  <si>
    <t>EmerPriStat</t>
  </si>
  <si>
    <t>GeomAlt</t>
  </si>
  <si>
    <t>SAF</t>
  </si>
  <si>
    <t>UATInCap</t>
  </si>
  <si>
    <t>1090InCap</t>
  </si>
  <si>
    <t>TCAS</t>
  </si>
  <si>
    <t>CDTI</t>
  </si>
  <si>
    <t>RxAtc(FRN16)</t>
  </si>
  <si>
    <t>Ident(FRN16)</t>
  </si>
  <si>
    <t>TcasRa</t>
  </si>
  <si>
    <t>ARA</t>
  </si>
  <si>
    <t>RAC</t>
  </si>
  <si>
    <t>RAT</t>
  </si>
  <si>
    <t>MTE</t>
  </si>
  <si>
    <t>TTI</t>
  </si>
  <si>
    <t>TID</t>
  </si>
  <si>
    <t>TOMR</t>
  </si>
  <si>
    <t>GPSLatOff</t>
  </si>
  <si>
    <t>GPSLonOff</t>
  </si>
  <si>
    <t>SelAltType</t>
  </si>
  <si>
    <t>SelAlt</t>
  </si>
  <si>
    <t>Baro</t>
  </si>
  <si>
    <t>SelHdg</t>
  </si>
  <si>
    <t>McpFcuSt</t>
  </si>
  <si>
    <t>AutoPilot</t>
  </si>
  <si>
    <t>VNav</t>
  </si>
  <si>
    <t>AltHold</t>
  </si>
  <si>
    <t>Approach</t>
  </si>
  <si>
    <t>LNav</t>
  </si>
  <si>
    <t>EnhVal</t>
  </si>
  <si>
    <t>GVA</t>
  </si>
  <si>
    <t>NIC6Supp</t>
  </si>
  <si>
    <t>SDA</t>
  </si>
  <si>
    <t>UATUpFdBk</t>
  </si>
  <si>
    <t>SQL</t>
  </si>
  <si>
    <t>EqType</t>
  </si>
  <si>
    <t>LocId</t>
  </si>
  <si>
    <t>Inst</t>
  </si>
  <si>
    <t>RSID</t>
  </si>
  <si>
    <t>DSName</t>
  </si>
  <si>
    <t>RadarName</t>
  </si>
  <si>
    <t>AsdeXName</t>
  </si>
  <si>
    <t>ReportId</t>
  </si>
  <si>
    <t>TimeOrig</t>
  </si>
  <si>
    <t>TIS-B Client</t>
  </si>
  <si>
    <t>AirOnGnd</t>
  </si>
  <si>
    <t>DupMsg</t>
  </si>
  <si>
    <t>SquitMap</t>
  </si>
  <si>
    <t>RwyTaxi</t>
  </si>
  <si>
    <t>InRule</t>
  </si>
  <si>
    <t>X_Rule</t>
  </si>
  <si>
    <t>X_ME</t>
  </si>
  <si>
    <t>X_IA</t>
  </si>
  <si>
    <t>X_KM</t>
  </si>
  <si>
    <t>X_OC</t>
  </si>
  <si>
    <t>C1</t>
  </si>
  <si>
    <t>New York</t>
  </si>
  <si>
    <t>EnrouteCTV</t>
  </si>
  <si>
    <t>035:33:54.92 N</t>
  </si>
  <si>
    <t>075:59:30.51 W</t>
  </si>
  <si>
    <t>BARO</t>
  </si>
  <si>
    <t>RS - HP 1090 Multi Chl Radio</t>
  </si>
  <si>
    <t>Washington</t>
  </si>
  <si>
    <t>AA</t>
  </si>
  <si>
    <t>Enroute</t>
  </si>
  <si>
    <t>035:33:54.76 N</t>
  </si>
  <si>
    <t>075:59:35.46 W</t>
  </si>
  <si>
    <t>035:33:53.45 N</t>
  </si>
  <si>
    <t>075:59:44.50 W</t>
  </si>
  <si>
    <t>035:33:52.60 N</t>
  </si>
  <si>
    <t>075:59:47.51 W</t>
  </si>
  <si>
    <t>035:33:51.75 N</t>
  </si>
  <si>
    <t>075:59:50.21 W</t>
  </si>
  <si>
    <t>035:33:50.82 N</t>
  </si>
  <si>
    <t>075:59:52.76 W</t>
  </si>
  <si>
    <t>035:33:49.66 N</t>
  </si>
  <si>
    <t>075:59:55.23 W</t>
  </si>
  <si>
    <t>035:33:47.19 N</t>
  </si>
  <si>
    <t>076:00:00.10 W</t>
  </si>
  <si>
    <t>035:33:45.88 N</t>
  </si>
  <si>
    <t>076:00:02.42 W</t>
  </si>
  <si>
    <t>035:33:44.26 N</t>
  </si>
  <si>
    <t>076:00:04.66 W</t>
  </si>
  <si>
    <t>035:33:41.24 N</t>
  </si>
  <si>
    <t>076:00:08.21 W</t>
  </si>
  <si>
    <t>035:33:38.93 N</t>
  </si>
  <si>
    <t>076:00:10.68 W</t>
  </si>
  <si>
    <t>035:33:36.84 N</t>
  </si>
  <si>
    <t>076:00:12.92 W</t>
  </si>
  <si>
    <t>035:33:34.99 N</t>
  </si>
  <si>
    <t>076:00:14.54 W</t>
  </si>
  <si>
    <t>035:33:33.13 N</t>
  </si>
  <si>
    <t>076:00:16.32 W</t>
  </si>
  <si>
    <t>035:33:30.89 N</t>
  </si>
  <si>
    <t>076:00:18.25 W</t>
  </si>
  <si>
    <t>035:33:28.42 N</t>
  </si>
  <si>
    <t>076:00:20.11 W</t>
  </si>
  <si>
    <t>035:33:26.26 N</t>
  </si>
  <si>
    <t>076:00:21.96 W</t>
  </si>
  <si>
    <t>035:33:23.94 N</t>
  </si>
  <si>
    <t>076:00:23.81 W</t>
  </si>
  <si>
    <t>035:33:21.55 N</t>
  </si>
  <si>
    <t>076:00:25.59 W</t>
  </si>
  <si>
    <t>035:33:19.54 N</t>
  </si>
  <si>
    <t>076:00:27.14 W</t>
  </si>
  <si>
    <t>035:33:17.37 N</t>
  </si>
  <si>
    <t>076:00:28.76 W</t>
  </si>
  <si>
    <t>035:33:15.21 N</t>
  </si>
  <si>
    <t>076:00:30.46 W</t>
  </si>
  <si>
    <t>035:33:13.20 N</t>
  </si>
  <si>
    <t>076:00:31.85 W</t>
  </si>
  <si>
    <t>035:33:11.04 N</t>
  </si>
  <si>
    <t>076:00:33.32 W</t>
  </si>
  <si>
    <t>035:33:09.34 N</t>
  </si>
  <si>
    <t>076:00:34.63 W</t>
  </si>
  <si>
    <t>035:33:07.02 N</t>
  </si>
  <si>
    <t>076:00:36.41 W</t>
  </si>
  <si>
    <t>035:33:05.17 N</t>
  </si>
  <si>
    <t>076:00:37.64 W</t>
  </si>
  <si>
    <t>035:33:03.01 N</t>
  </si>
  <si>
    <t>076:00:39.26 W</t>
  </si>
  <si>
    <t>035:33:01.15 N</t>
  </si>
  <si>
    <t>076:00:40.89 W</t>
  </si>
  <si>
    <t>035:32:58.91 N</t>
  </si>
  <si>
    <t>076:00:42.59 W</t>
  </si>
  <si>
    <t>035:32:56.75 N</t>
  </si>
  <si>
    <t>076:00:44.21 W</t>
  </si>
  <si>
    <t>035:32:54.28 N</t>
  </si>
  <si>
    <t>076:00:46.29 W</t>
  </si>
  <si>
    <t>035:32:52.11 N</t>
  </si>
  <si>
    <t>076:00:48.07 W</t>
  </si>
  <si>
    <t>035:32:50.34 N</t>
  </si>
  <si>
    <t>076:00:49.62 W</t>
  </si>
  <si>
    <t>035:32:48.56 N</t>
  </si>
  <si>
    <t>076:00:51.01 W</t>
  </si>
  <si>
    <t>035:32:46.40 N</t>
  </si>
  <si>
    <t>076:00:52.86 W</t>
  </si>
  <si>
    <t>035:32:44.39 N</t>
  </si>
  <si>
    <t>076:00:54.56 W</t>
  </si>
  <si>
    <t>035:32:42.23 N</t>
  </si>
  <si>
    <t>076:00:56.26 W</t>
  </si>
  <si>
    <t>035:32:40.37 N</t>
  </si>
  <si>
    <t>076:00:57.96 W</t>
  </si>
  <si>
    <t>035:32:37.98 N</t>
  </si>
  <si>
    <t>076:00:59.81 W</t>
  </si>
  <si>
    <t>035:32:35.97 N</t>
  </si>
  <si>
    <t>076:01:01.74 W</t>
  </si>
  <si>
    <t>035:32:34.35 N</t>
  </si>
  <si>
    <t>076:01:02.98 W</t>
  </si>
  <si>
    <t>035:32:32.57 N</t>
  </si>
  <si>
    <t>076:01:04.45 W</t>
  </si>
  <si>
    <t>035:32:30.64 N</t>
  </si>
  <si>
    <t>076:01:06.15 W</t>
  </si>
  <si>
    <t>035:32:28.94 N</t>
  </si>
  <si>
    <t>076:01:07.54 W</t>
  </si>
  <si>
    <t>035:32:27.32 N</t>
  </si>
  <si>
    <t>076:01:08.93 W</t>
  </si>
  <si>
    <t>035:32:25.62 N</t>
  </si>
  <si>
    <t>076:01:10.39 W</t>
  </si>
  <si>
    <t>035:32:23.61 N</t>
  </si>
  <si>
    <t>076:01:12.02 W</t>
  </si>
  <si>
    <t>035:32:21.68 N</t>
  </si>
  <si>
    <t>076:01:13.48 W</t>
  </si>
  <si>
    <t>035:32:19.90 N</t>
  </si>
  <si>
    <t>076:01:14.80 W</t>
  </si>
  <si>
    <t>035:32:18.05 N</t>
  </si>
  <si>
    <t>076:01:16.27 W</t>
  </si>
  <si>
    <t>035:32:16.43 N</t>
  </si>
  <si>
    <t>076:01:17.58 W</t>
  </si>
  <si>
    <t>035:32:14.34 N</t>
  </si>
  <si>
    <t>076:01:19.20 W</t>
  </si>
  <si>
    <t>035:32:12.80 N</t>
  </si>
  <si>
    <t>076:01:20.51 W</t>
  </si>
  <si>
    <t>035:32:11.02 N</t>
  </si>
  <si>
    <t>076:01:21.75 W</t>
  </si>
  <si>
    <t>035:32:09.32 N</t>
  </si>
  <si>
    <t>076:01:22.99 W</t>
  </si>
  <si>
    <t>035:32:07.00 N</t>
  </si>
  <si>
    <t>076:01:24.61 W</t>
  </si>
  <si>
    <t>035:32:05.23 N</t>
  </si>
  <si>
    <t>076:01:25.84 W</t>
  </si>
  <si>
    <t>035:32:03.29 N</t>
  </si>
  <si>
    <t>076:01:27.23 W</t>
  </si>
  <si>
    <t>035:32:01.21 N</t>
  </si>
  <si>
    <t>076:01:28.70 W</t>
  </si>
  <si>
    <t>035:31:59.43 N</t>
  </si>
  <si>
    <t>076:01:29.94 W</t>
  </si>
  <si>
    <t>035:31:57.58 N</t>
  </si>
  <si>
    <t>076:01:31.17 W</t>
  </si>
  <si>
    <t>035:31:55.80 N</t>
  </si>
  <si>
    <t>076:01:32.26 W</t>
  </si>
  <si>
    <t>035:31:53.79 N</t>
  </si>
  <si>
    <t>076:01:33.72 W</t>
  </si>
  <si>
    <t>035:31:51.48 N</t>
  </si>
  <si>
    <t>076:01:35.11 W</t>
  </si>
  <si>
    <t>035:31:49.08 N</t>
  </si>
  <si>
    <t>076:01:36.66 W</t>
  </si>
  <si>
    <t>035:31:46.53 N</t>
  </si>
  <si>
    <t>076:01:38.36 W</t>
  </si>
  <si>
    <t>035:31:44.60 N</t>
  </si>
  <si>
    <t>076:01:39.67 W</t>
  </si>
  <si>
    <t>035:31:42.75 N</t>
  </si>
  <si>
    <t>076:01:40.68 W</t>
  </si>
  <si>
    <t>035:31:40.66 N</t>
  </si>
  <si>
    <t>076:01:42.14 W</t>
  </si>
  <si>
    <t>035:31:38.50 N</t>
  </si>
  <si>
    <t>076:01:43.38 W</t>
  </si>
  <si>
    <t>035:31:36.03 N</t>
  </si>
  <si>
    <t>076:01:45.00 W</t>
  </si>
  <si>
    <t>035:31:33.86 N</t>
  </si>
  <si>
    <t>076:01:46.24 W</t>
  </si>
  <si>
    <t>035:31:31.08 N</t>
  </si>
  <si>
    <t>076:01:48.09 W</t>
  </si>
  <si>
    <t>035:31:28.46 N</t>
  </si>
  <si>
    <t>076:01:49.71 W</t>
  </si>
  <si>
    <t>035:31:26.29 N</t>
  </si>
  <si>
    <t>076:01:50.95 W</t>
  </si>
  <si>
    <t>035:31:24.13 N</t>
  </si>
  <si>
    <t>076:01:52.42 W</t>
  </si>
  <si>
    <t>035:31:21.50 N</t>
  </si>
  <si>
    <t>076:01:54.04 W</t>
  </si>
  <si>
    <t>035:31:19.03 N</t>
  </si>
  <si>
    <t>076:01:55.51 W</t>
  </si>
  <si>
    <t>035:31:16.87 N</t>
  </si>
  <si>
    <t>076:01:56.90 W</t>
  </si>
  <si>
    <t>035:31:14.24 N</t>
  </si>
  <si>
    <t>076:01:58.60 W</t>
  </si>
  <si>
    <t>035:31:12.00 N</t>
  </si>
  <si>
    <t>076:01:59.99 W</t>
  </si>
  <si>
    <t>035:31:09.84 N</t>
  </si>
  <si>
    <t>076:02:01.46 W</t>
  </si>
  <si>
    <t>035:31:07.21 N</t>
  </si>
  <si>
    <t>076:02:03.16 W</t>
  </si>
  <si>
    <t>035:31:04.51 N</t>
  </si>
  <si>
    <t>076:02:04.85 W</t>
  </si>
  <si>
    <t>035:31:01.96 N</t>
  </si>
  <si>
    <t>076:02:06.55 W</t>
  </si>
  <si>
    <t>035:30:58.79 N</t>
  </si>
  <si>
    <t>076:02:08.41 W</t>
  </si>
  <si>
    <t>035:30:56.01 N</t>
  </si>
  <si>
    <t>076:02:10.34 W</t>
  </si>
  <si>
    <t>035:30:53.77 N</t>
  </si>
  <si>
    <t>076:02:11.81 W</t>
  </si>
  <si>
    <t>035:30:51.38 N</t>
  </si>
  <si>
    <t>076:02:13.20 W</t>
  </si>
  <si>
    <t>035:30:48.90 N</t>
  </si>
  <si>
    <t>076:02:14.74 W</t>
  </si>
  <si>
    <t>035:30:46.12 N</t>
  </si>
  <si>
    <t>076:02:16.75 W</t>
  </si>
  <si>
    <t>035:30:43.73 N</t>
  </si>
  <si>
    <t>076:02:18.14 W</t>
  </si>
  <si>
    <t>035:30:41.33 N</t>
  </si>
  <si>
    <t>076:02:19.84 W</t>
  </si>
  <si>
    <t>035:30:38.86 N</t>
  </si>
  <si>
    <t>076:02:21.23 W</t>
  </si>
  <si>
    <t>035:30:36.16 N</t>
  </si>
  <si>
    <t>076:02:23.16 W</t>
  </si>
  <si>
    <t>035:30:33.22 N</t>
  </si>
  <si>
    <t>076:02:24.94 W</t>
  </si>
  <si>
    <t>035:30:30.13 N</t>
  </si>
  <si>
    <t>076:02:26.95 W</t>
  </si>
  <si>
    <t>035:30:26.97 N</t>
  </si>
  <si>
    <t>076:02:29.03 W</t>
  </si>
  <si>
    <t>035:30:24.34 N</t>
  </si>
  <si>
    <t>076:02:30.73 W</t>
  </si>
  <si>
    <t>035:30:21.71 N</t>
  </si>
  <si>
    <t>076:02:32.35 W</t>
  </si>
  <si>
    <t>035:30:18.93 N</t>
  </si>
  <si>
    <t>076:02:34.21 W</t>
  </si>
  <si>
    <t>035:30:16.38 N</t>
  </si>
  <si>
    <t>076:02:35.99 W</t>
  </si>
  <si>
    <t>035:30:13.76 N</t>
  </si>
  <si>
    <t>076:02:37.53 W</t>
  </si>
  <si>
    <t>035:30:10.98 N</t>
  </si>
  <si>
    <t>076:02:39.38 W</t>
  </si>
  <si>
    <t>035:30:07.81 N</t>
  </si>
  <si>
    <t>076:02:41.24 W</t>
  </si>
  <si>
    <t>035:30:05.03 N</t>
  </si>
  <si>
    <t>076:02:43.17 W</t>
  </si>
  <si>
    <t>035:30:01.63 N</t>
  </si>
  <si>
    <t>076:02:45.49 W</t>
  </si>
  <si>
    <t>035:29:58.46 N</t>
  </si>
  <si>
    <t>076:02:47.42 W</t>
  </si>
  <si>
    <t>035:29:55.76 N</t>
  </si>
  <si>
    <t>076:02:49.04 W</t>
  </si>
  <si>
    <t>035:29:52.51 N</t>
  </si>
  <si>
    <t>076:02:51.13 W</t>
  </si>
  <si>
    <t>035:29:49.42 N</t>
  </si>
  <si>
    <t>076:02:53.06 W</t>
  </si>
  <si>
    <t>035:29:46.41 N</t>
  </si>
  <si>
    <t>076:02:54.91 W</t>
  </si>
  <si>
    <t>035:29:43.78 N</t>
  </si>
  <si>
    <t>076:02:56.46 W</t>
  </si>
  <si>
    <t>035:29:40.85 N</t>
  </si>
  <si>
    <t>076:02:58.31 W</t>
  </si>
  <si>
    <t>035:29:37.84 N</t>
  </si>
  <si>
    <t>076:03:00.16 W</t>
  </si>
  <si>
    <t>035:29:35.13 N</t>
  </si>
  <si>
    <t>076:03:01.86 W</t>
  </si>
  <si>
    <t>035:29:32.82 N</t>
  </si>
  <si>
    <t>076:03:03.33 W</t>
  </si>
  <si>
    <t>035:29:29.65 N</t>
  </si>
  <si>
    <t>076:03:05.57 W</t>
  </si>
  <si>
    <t>035:29:26.25 N</t>
  </si>
  <si>
    <t>076:03:07.58 W</t>
  </si>
  <si>
    <t>035:29:23.55 N</t>
  </si>
  <si>
    <t>076:03:09.28 W</t>
  </si>
  <si>
    <t>035:29:20.53 N</t>
  </si>
  <si>
    <t>076:03:11.13 W</t>
  </si>
  <si>
    <t>035:29:17.60 N</t>
  </si>
  <si>
    <t>076:03:12.99 W</t>
  </si>
  <si>
    <t>035:29:14.74 N</t>
  </si>
  <si>
    <t>076:03:14.45 W</t>
  </si>
  <si>
    <t>035:29:11.96 N</t>
  </si>
  <si>
    <t>076:03:16.23 W</t>
  </si>
  <si>
    <t>035:29:09.02 N</t>
  </si>
  <si>
    <t>076:03:18.09 W</t>
  </si>
  <si>
    <t>035:29:05.70 N</t>
  </si>
  <si>
    <t>076:03:20.17 W</t>
  </si>
  <si>
    <t>035:29:02.69 N</t>
  </si>
  <si>
    <t>076:03:22.10 W</t>
  </si>
  <si>
    <t>035:28:58.98 N</t>
  </si>
  <si>
    <t>076:03:24.34 W</t>
  </si>
  <si>
    <t>035:28:55.51 N</t>
  </si>
  <si>
    <t>076:03:26.35 W</t>
  </si>
  <si>
    <t>035:28:52.80 N</t>
  </si>
  <si>
    <t>076:03:28.13 W</t>
  </si>
  <si>
    <t>035:28:49.40 N</t>
  </si>
  <si>
    <t>076:03:30.29 W</t>
  </si>
  <si>
    <t>035:28:45.93 N</t>
  </si>
  <si>
    <t>076:03:32.14 W</t>
  </si>
  <si>
    <t>035:28:42.91 N</t>
  </si>
  <si>
    <t>076:03:34.08 W</t>
  </si>
  <si>
    <t>035:28:40.06 N</t>
  </si>
  <si>
    <t>076:03:35.85 W</t>
  </si>
  <si>
    <t>035:28:36.89 N</t>
  </si>
  <si>
    <t>076:03:37.71 W</t>
  </si>
  <si>
    <t>035:28:33.72 N</t>
  </si>
  <si>
    <t>076:03:39.56 W</t>
  </si>
  <si>
    <t>035:28:31.02 N</t>
  </si>
  <si>
    <t>076:03:41.41 W</t>
  </si>
  <si>
    <t>035:28:28.47 N</t>
  </si>
  <si>
    <t>076:03:42.88 W</t>
  </si>
  <si>
    <t>035:28:24.99 N</t>
  </si>
  <si>
    <t>076:03:44.89 W</t>
  </si>
  <si>
    <t>035:28:21.59 N</t>
  </si>
  <si>
    <t>076:03:47.13 W</t>
  </si>
  <si>
    <t>035:28:18.74 N</t>
  </si>
  <si>
    <t>076:03:48.83 W</t>
  </si>
  <si>
    <t>035:28:15.88 N</t>
  </si>
  <si>
    <t>076:03:50.45 W</t>
  </si>
  <si>
    <t>035:28:13.02 N</t>
  </si>
  <si>
    <t>076:03:52.07 W</t>
  </si>
  <si>
    <t>035:28:09.85 N</t>
  </si>
  <si>
    <t>076:03:53.93 W</t>
  </si>
  <si>
    <t>035:28:06.38 N</t>
  </si>
  <si>
    <t>076:03:56.17 W</t>
  </si>
  <si>
    <t>035:28:02.98 N</t>
  </si>
  <si>
    <t>076:03:58.25 W</t>
  </si>
  <si>
    <t>035:27:56.26 N</t>
  </si>
  <si>
    <t>076:04:02.27 W</t>
  </si>
  <si>
    <t>035:27:53.09 N</t>
  </si>
  <si>
    <t>076:04:04.12 W</t>
  </si>
  <si>
    <t>035:27:50.23 N</t>
  </si>
  <si>
    <t>076:04:05.90 W</t>
  </si>
  <si>
    <t>035:27:46.99 N</t>
  </si>
  <si>
    <t>076:04:07.76 W</t>
  </si>
  <si>
    <t>035:27:44.05 N</t>
  </si>
  <si>
    <t>076:04:09.61 W</t>
  </si>
  <si>
    <t>035:27:41.19 N</t>
  </si>
  <si>
    <t>076:04:11.23 W</t>
  </si>
  <si>
    <t>035:27:37.41 N</t>
  </si>
  <si>
    <t>076:04:13.55 W</t>
  </si>
  <si>
    <t>035:27:34.24 N</t>
  </si>
  <si>
    <t>076:04:15.40 W</t>
  </si>
  <si>
    <t>035:27:30.30 N</t>
  </si>
  <si>
    <t>076:04:17.87 W</t>
  </si>
  <si>
    <t>035:27:25.90 N</t>
  </si>
  <si>
    <t>076:04:20.50 W</t>
  </si>
  <si>
    <t>035:27:22.58 N</t>
  </si>
  <si>
    <t>076:04:22.36 W</t>
  </si>
  <si>
    <t>035:27:19.41 N</t>
  </si>
  <si>
    <t>076:04:24.21 W</t>
  </si>
  <si>
    <t>035:27:16.16 N</t>
  </si>
  <si>
    <t>076:04:26.29 W</t>
  </si>
  <si>
    <t>035:27:13.00 N</t>
  </si>
  <si>
    <t>076:04:28.15 W</t>
  </si>
  <si>
    <t>035:27:09.06 N</t>
  </si>
  <si>
    <t>076:04:30.62 W</t>
  </si>
  <si>
    <t>035:27:05.89 N</t>
  </si>
  <si>
    <t>076:04:32.47 W</t>
  </si>
  <si>
    <t>035:27:02.65 N</t>
  </si>
  <si>
    <t>076:04:34.56 W</t>
  </si>
  <si>
    <t>035:26:59.79 N</t>
  </si>
  <si>
    <t>076:04:36.34 W</t>
  </si>
  <si>
    <t>035:26:56.62 N</t>
  </si>
  <si>
    <t>076:04:38.19 W</t>
  </si>
  <si>
    <t>035:26:53.30 N</t>
  </si>
  <si>
    <t>076:04:40.12 W</t>
  </si>
  <si>
    <t>035:26:50.44 N</t>
  </si>
  <si>
    <t>076:04:41.98 W</t>
  </si>
  <si>
    <t>035:26:47.81 N</t>
  </si>
  <si>
    <t>076:04:43.60 W</t>
  </si>
  <si>
    <t>035:26:44.42 N</t>
  </si>
  <si>
    <t>076:04:45.76 W</t>
  </si>
  <si>
    <t>035:26:40.71 N</t>
  </si>
  <si>
    <t>076:04:47.92 W</t>
  </si>
  <si>
    <t>035:26:37.54 N</t>
  </si>
  <si>
    <t>076:04:49.78 W</t>
  </si>
  <si>
    <t>035:26:34.68 N</t>
  </si>
  <si>
    <t>076:04:51.71 W</t>
  </si>
  <si>
    <t>035:26:30.97 N</t>
  </si>
  <si>
    <t>076:04:53.87 W</t>
  </si>
  <si>
    <t>035:26:28.50 N</t>
  </si>
  <si>
    <t>076:04:55.34 W</t>
  </si>
  <si>
    <t>035:26:25.18 N</t>
  </si>
  <si>
    <t>076:04:57.43 W</t>
  </si>
  <si>
    <t>035:26:22.25 N</t>
  </si>
  <si>
    <t>076:04:59.28 W</t>
  </si>
  <si>
    <t>035:26:18.62 N</t>
  </si>
  <si>
    <t>076:05:01.29 W</t>
  </si>
  <si>
    <t>035:26:15.53 N</t>
  </si>
  <si>
    <t>076:05:03.37 W</t>
  </si>
  <si>
    <t>035:26:11.51 N</t>
  </si>
  <si>
    <t>076:05:05.85 W</t>
  </si>
  <si>
    <t>035:26:08.03 N</t>
  </si>
  <si>
    <t>076:05:08.09 W</t>
  </si>
  <si>
    <t>035:26:04.94 N</t>
  </si>
  <si>
    <t>076:05:09.79 W</t>
  </si>
  <si>
    <t>035:26:01.16 N</t>
  </si>
  <si>
    <t>076:05:12.26 W</t>
  </si>
  <si>
    <t>035:25:57.84 N</t>
  </si>
  <si>
    <t>076:05:14.27 W</t>
  </si>
  <si>
    <t>035:25:54.59 N</t>
  </si>
  <si>
    <t>076:05:16.12 W</t>
  </si>
  <si>
    <t>035:25:51.58 N</t>
  </si>
  <si>
    <t>076:05:17.97 W</t>
  </si>
  <si>
    <t>035:25:48.41 N</t>
  </si>
  <si>
    <t>076:05:20.06 W</t>
  </si>
  <si>
    <t>035:25:45.09 N</t>
  </si>
  <si>
    <t>076:05:21.99 W</t>
  </si>
  <si>
    <t>035:25:42.23 N</t>
  </si>
  <si>
    <t>076:05:23.77 W</t>
  </si>
  <si>
    <t>035:25:39.61 N</t>
  </si>
  <si>
    <t>076:05:25.39 W</t>
  </si>
  <si>
    <t>035:25:36.05 N</t>
  </si>
  <si>
    <t>076:05:27.63 W</t>
  </si>
  <si>
    <t>035:25:32.34 N</t>
  </si>
  <si>
    <t>076:05:29.95 W</t>
  </si>
  <si>
    <t>035:25:29.72 N</t>
  </si>
  <si>
    <t>076:05:31.41 W</t>
  </si>
  <si>
    <t>035:25:26.16 N</t>
  </si>
  <si>
    <t>076:05:33.73 W</t>
  </si>
  <si>
    <t>035:25:22.92 N</t>
  </si>
  <si>
    <t>076:05:35.66 W</t>
  </si>
  <si>
    <t>035:25:18.90 N</t>
  </si>
  <si>
    <t>076:05:38.21 W</t>
  </si>
  <si>
    <t>035:25:13.73 N</t>
  </si>
  <si>
    <t>076:05:41.30 W</t>
  </si>
  <si>
    <t>035:25:10.71 N</t>
  </si>
  <si>
    <t>076:05:43.31 W</t>
  </si>
  <si>
    <t>035:25:07.47 N</t>
  </si>
  <si>
    <t>076:05:45.16 W</t>
  </si>
  <si>
    <t>035:25:04.15 N</t>
  </si>
  <si>
    <t>076:05:47.25 W</t>
  </si>
  <si>
    <t>035:25:01.29 N</t>
  </si>
  <si>
    <t>076:05:49.10 W</t>
  </si>
  <si>
    <t>035:24:57.97 N</t>
  </si>
  <si>
    <t>076:05:51.19 W</t>
  </si>
  <si>
    <t>035:24:54.42 N</t>
  </si>
  <si>
    <t>076:05:53.43 W</t>
  </si>
  <si>
    <t>035:24:50.78 N</t>
  </si>
  <si>
    <t>076:05:55.67 W</t>
  </si>
  <si>
    <t>035:24:47.85 N</t>
  </si>
  <si>
    <t>076:05:57.52 W</t>
  </si>
  <si>
    <t>035:24:44.53 N</t>
  </si>
  <si>
    <t>076:05:59.61 W</t>
  </si>
  <si>
    <t>035:24:41.21 N</t>
  </si>
  <si>
    <t>076:06:01.70 W</t>
  </si>
  <si>
    <t>035:24:37.96 N</t>
  </si>
  <si>
    <t>076:06:03.70 W</t>
  </si>
  <si>
    <t>035:24:35.03 N</t>
  </si>
  <si>
    <t>076:06:05.56 W</t>
  </si>
  <si>
    <t>035:24:32.17 N</t>
  </si>
  <si>
    <t>076:06:07.26 W</t>
  </si>
  <si>
    <t>035:24:29.16 N</t>
  </si>
  <si>
    <t>076:06:09.11 W</t>
  </si>
  <si>
    <t>035:24:25.14 N</t>
  </si>
  <si>
    <t>076:06:11.66 W</t>
  </si>
  <si>
    <t>035:24:21.59 N</t>
  </si>
  <si>
    <t>076:06:13.82 W</t>
  </si>
  <si>
    <t>035:24:18.57 N</t>
  </si>
  <si>
    <t>076:06:15.83 W</t>
  </si>
  <si>
    <t>035:24:15.71 N</t>
  </si>
  <si>
    <t>076:06:17.53 W</t>
  </si>
  <si>
    <t>035:24:12.70 N</t>
  </si>
  <si>
    <t>076:06:19.39 W</t>
  </si>
  <si>
    <t>035:24:09.38 N</t>
  </si>
  <si>
    <t>076:06:21.55 W</t>
  </si>
  <si>
    <t>035:24:05.83 N</t>
  </si>
  <si>
    <t>076:06:23.71 W</t>
  </si>
  <si>
    <t>035:24:02.20 N</t>
  </si>
  <si>
    <t>076:06:26.11 W</t>
  </si>
  <si>
    <t>035:23:58.57 N</t>
  </si>
  <si>
    <t>076:06:28.42 W</t>
  </si>
  <si>
    <t>035:23:55.40 N</t>
  </si>
  <si>
    <t>076:06:30.51 W</t>
  </si>
  <si>
    <t>035:23:52.46 N</t>
  </si>
  <si>
    <t>076:06:32.21 W</t>
  </si>
  <si>
    <t>035:23:49.06 N</t>
  </si>
  <si>
    <t>076:06:34.37 W</t>
  </si>
  <si>
    <t>035:23:45.51 N</t>
  </si>
  <si>
    <t>076:06:36.69 W</t>
  </si>
  <si>
    <t>035:23:41.88 N</t>
  </si>
  <si>
    <t>076:06:39.01 W</t>
  </si>
  <si>
    <t>035:23:38.94 N</t>
  </si>
  <si>
    <t>076:06:40.78 W</t>
  </si>
  <si>
    <t>035:23:35.62 N</t>
  </si>
  <si>
    <t>076:06:42.87 W</t>
  </si>
  <si>
    <t>035:23:32.38 N</t>
  </si>
  <si>
    <t>076:06:44.95 W</t>
  </si>
  <si>
    <t>035:23:29.06 N</t>
  </si>
  <si>
    <t>076:06:46.96 W</t>
  </si>
  <si>
    <t>035:23:26.12 N</t>
  </si>
  <si>
    <t>076:06:48.89 W</t>
  </si>
  <si>
    <t>035:23:23.11 N</t>
  </si>
  <si>
    <t>076:06:50.90 W</t>
  </si>
  <si>
    <t>035:23:20.25 N</t>
  </si>
  <si>
    <t>076:06:52.68 W</t>
  </si>
  <si>
    <t>035:23:16.23 N</t>
  </si>
  <si>
    <t>076:06:55.15 W</t>
  </si>
  <si>
    <t>035:23:13.07 N</t>
  </si>
  <si>
    <t>076:06:57.31 W</t>
  </si>
  <si>
    <t>035:23:09.05 N</t>
  </si>
  <si>
    <t>076:06:59.79 W</t>
  </si>
  <si>
    <t>035:23:05.88 N</t>
  </si>
  <si>
    <t>076:07:01.87 W</t>
  </si>
  <si>
    <t>035:23:02.48 N</t>
  </si>
  <si>
    <t>076:07:04.03 W</t>
  </si>
  <si>
    <t>035:22:59.55 N</t>
  </si>
  <si>
    <t>076:07:05.97 W</t>
  </si>
  <si>
    <t>035:22:56.23 N</t>
  </si>
  <si>
    <t>076:07:07.97 W</t>
  </si>
  <si>
    <t>035:22:52.98 N</t>
  </si>
  <si>
    <t>076:07:10.06 W</t>
  </si>
  <si>
    <t>035:22:50.12 N</t>
  </si>
  <si>
    <t>076:07:11.99 W</t>
  </si>
  <si>
    <t>035:22:47.42 N</t>
  </si>
  <si>
    <t>076:07:13.69 W</t>
  </si>
  <si>
    <t>035:22:43.71 N</t>
  </si>
  <si>
    <t>076:07:16.01 W</t>
  </si>
  <si>
    <t>035:22:40.24 N</t>
  </si>
  <si>
    <t>076:07:18.33 W</t>
  </si>
  <si>
    <t>035:22:37.53 N</t>
  </si>
  <si>
    <t>076:07:20.02 W</t>
  </si>
  <si>
    <t>035:22:33.98 N</t>
  </si>
  <si>
    <t>076:07:22.42 W</t>
  </si>
  <si>
    <t>035:22:30.73 N</t>
  </si>
  <si>
    <t>076:07:24.51 W</t>
  </si>
  <si>
    <t>035:22:26.80 N</t>
  </si>
  <si>
    <t>076:07:26.98 W</t>
  </si>
  <si>
    <t>035:22:23.09 N</t>
  </si>
  <si>
    <t>076:07:29.29 W</t>
  </si>
  <si>
    <t>035:22:20.15 N</t>
  </si>
  <si>
    <t>076:07:31.07 W</t>
  </si>
  <si>
    <t>035:22:16.91 N</t>
  </si>
  <si>
    <t>076:07:33.16 W</t>
  </si>
  <si>
    <t>035:22:13.89 N</t>
  </si>
  <si>
    <t>076:07:35.17 W</t>
  </si>
  <si>
    <t>035:22:10.26 N</t>
  </si>
  <si>
    <t>076:07:37.48 W</t>
  </si>
  <si>
    <t>035:22:07.41 N</t>
  </si>
  <si>
    <t>076:07:39.34 W</t>
  </si>
  <si>
    <t>035:22:04.01 N</t>
  </si>
  <si>
    <t>076:07:41.42 W</t>
  </si>
  <si>
    <t>035:21:59.99 N</t>
  </si>
  <si>
    <t>076:07:43.97 W</t>
  </si>
  <si>
    <t>035:21:56.82 N</t>
  </si>
  <si>
    <t>076:07:45.90 W</t>
  </si>
  <si>
    <t>035:21:53.42 N</t>
  </si>
  <si>
    <t>076:07:47.99 W</t>
  </si>
  <si>
    <t>035:21:50.49 N</t>
  </si>
  <si>
    <t>076:07:50.00 W</t>
  </si>
  <si>
    <t>035:21:47.24 N</t>
  </si>
  <si>
    <t>076:07:52.08 W</t>
  </si>
  <si>
    <t>035:21:43.92 N</t>
  </si>
  <si>
    <t>076:07:54.17 W</t>
  </si>
  <si>
    <t>035:21:40.91 N</t>
  </si>
  <si>
    <t>076:07:55.94 W</t>
  </si>
  <si>
    <t>035:21:38.36 N</t>
  </si>
  <si>
    <t>076:07:57.64 W</t>
  </si>
  <si>
    <t>035:21:34.65 N</t>
  </si>
  <si>
    <t>076:08:00.12 W</t>
  </si>
  <si>
    <t>035:21:31.18 N</t>
  </si>
  <si>
    <t>076:08:02.28 W</t>
  </si>
  <si>
    <t>035:21:27.86 N</t>
  </si>
  <si>
    <t>076:08:04.36 W</t>
  </si>
  <si>
    <t>035:21:24.77 N</t>
  </si>
  <si>
    <t>076:08:06.30 W</t>
  </si>
  <si>
    <t>035:21:21.98 N</t>
  </si>
  <si>
    <t>076:08:08.15 W</t>
  </si>
  <si>
    <t>035:21:18.59 N</t>
  </si>
  <si>
    <t>076:08:10.31 W</t>
  </si>
  <si>
    <t>035:21:14.88 N</t>
  </si>
  <si>
    <t>076:08:12.71 W</t>
  </si>
  <si>
    <t>035:21:11.40 N</t>
  </si>
  <si>
    <t>076:08:14.87 W</t>
  </si>
  <si>
    <t>035:21:07.38 N</t>
  </si>
  <si>
    <t>076:08:17.42 W</t>
  </si>
  <si>
    <t>035:21:04.53 N</t>
  </si>
  <si>
    <t>076:08:19.27 W</t>
  </si>
  <si>
    <t>035:21:01.20 N</t>
  </si>
  <si>
    <t>076:08:21.51 W</t>
  </si>
  <si>
    <t>035:20:58.19 N</t>
  </si>
  <si>
    <t>076:08:23.29 W</t>
  </si>
  <si>
    <t>035:20:55.33 N</t>
  </si>
  <si>
    <t>076:08:25.22 W</t>
  </si>
  <si>
    <t>035:20:52.32 N</t>
  </si>
  <si>
    <t>076:08:27.08 W</t>
  </si>
  <si>
    <t>035:20:49.39 N</t>
  </si>
  <si>
    <t>076:08:29.16 W</t>
  </si>
  <si>
    <t>035:20:45.45 N</t>
  </si>
  <si>
    <t>076:08:31.63 W</t>
  </si>
  <si>
    <t>035:20:42.12 N</t>
  </si>
  <si>
    <t>076:08:33.72 W</t>
  </si>
  <si>
    <t>035:20:38.57 N</t>
  </si>
  <si>
    <t>076:08:36.19 W</t>
  </si>
  <si>
    <t>035:20:34.86 N</t>
  </si>
  <si>
    <t>076:08:38.43 W</t>
  </si>
  <si>
    <t>035:20:32.01 N</t>
  </si>
  <si>
    <t>076:08:40.36 W</t>
  </si>
  <si>
    <t>035:20:28.68 N</t>
  </si>
  <si>
    <t>076:08:42.45 W</t>
  </si>
  <si>
    <t>035:20:25.52 N</t>
  </si>
  <si>
    <t>076:08:44.53 W</t>
  </si>
  <si>
    <t>035:20:21.81 N</t>
  </si>
  <si>
    <t>076:08:46.85 W</t>
  </si>
  <si>
    <t>035:20:18.80 N</t>
  </si>
  <si>
    <t>076:08:48.78 W</t>
  </si>
  <si>
    <t>035:20:15.63 N</t>
  </si>
  <si>
    <t>076:08:50.87 W</t>
  </si>
  <si>
    <t>035:20:12.62 N</t>
  </si>
  <si>
    <t>076:08:52.88 W</t>
  </si>
  <si>
    <t>035:20:09.06 N</t>
  </si>
  <si>
    <t>076:08:55.12 W</t>
  </si>
  <si>
    <t>035:20:06.36 N</t>
  </si>
  <si>
    <t>076:08:56.74 W</t>
  </si>
  <si>
    <t>035:20:03.19 N</t>
  </si>
  <si>
    <t>076:08:58.90 W</t>
  </si>
  <si>
    <t>035:20:00.26 N</t>
  </si>
  <si>
    <t>076:09:00.91 W</t>
  </si>
  <si>
    <t>035:19:56.63 N</t>
  </si>
  <si>
    <t>076:09:03.07 W</t>
  </si>
  <si>
    <t>035:19:53.30 N</t>
  </si>
  <si>
    <t>076:09:05.39 W</t>
  </si>
  <si>
    <t>035:19:49.44 N</t>
  </si>
  <si>
    <t>076:09:07.94 W</t>
  </si>
  <si>
    <t>035:19:46.12 N</t>
  </si>
  <si>
    <t>076:09:10.03 W</t>
  </si>
  <si>
    <t>035:19:42.64 N</t>
  </si>
  <si>
    <t>076:09:12.65 W</t>
  </si>
  <si>
    <t>035:19:39.24 N</t>
  </si>
  <si>
    <t>076:09:15.05 W</t>
  </si>
  <si>
    <t>035:19:35.38 N</t>
  </si>
  <si>
    <t>076:09:18.06 W</t>
  </si>
  <si>
    <t>035:19:32.60 N</t>
  </si>
  <si>
    <t>076:09:20.22 W</t>
  </si>
  <si>
    <t>035:19:29.59 N</t>
  </si>
  <si>
    <t>076:09:22.69 W</t>
  </si>
  <si>
    <t>035:19:26.96 N</t>
  </si>
  <si>
    <t>076:09:25.17 W</t>
  </si>
  <si>
    <t>035:19:23.87 N</t>
  </si>
  <si>
    <t>076:09:28.26 W</t>
  </si>
  <si>
    <t>035:19:21.32 N</t>
  </si>
  <si>
    <t>076:09:30.88 W</t>
  </si>
  <si>
    <t>035:19:18.93 N</t>
  </si>
  <si>
    <t>076:09:33.66 W</t>
  </si>
  <si>
    <t>035:19:16.23 N</t>
  </si>
  <si>
    <t>076:09:36.91 W</t>
  </si>
  <si>
    <t>035:19:12.98 N</t>
  </si>
  <si>
    <t>076:09:41.70 W</t>
  </si>
  <si>
    <t>035:19:10.66 N</t>
  </si>
  <si>
    <t>076:09:45.17 W</t>
  </si>
  <si>
    <t>035:19:08.50 N</t>
  </si>
  <si>
    <t>076:09:48.65 W</t>
  </si>
  <si>
    <t>035:19:06.34 N</t>
  </si>
  <si>
    <t>076:09:52.36 W</t>
  </si>
  <si>
    <t>035:19:04.72 N</t>
  </si>
  <si>
    <t>076:09:55.91 W</t>
  </si>
  <si>
    <t>035:19:03.09 N</t>
  </si>
  <si>
    <t>076:09:59.39 W</t>
  </si>
  <si>
    <t>035:19:01.55 N</t>
  </si>
  <si>
    <t>076:10:02.86 W</t>
  </si>
  <si>
    <t>035:18:58.61 N</t>
  </si>
  <si>
    <t>076:10:09.66 W</t>
  </si>
  <si>
    <t>035:18:56.84 N</t>
  </si>
  <si>
    <t>076:10:13.99 W</t>
  </si>
  <si>
    <t>035:18:55.29 N</t>
  </si>
  <si>
    <t>076:10:18.16 W</t>
  </si>
  <si>
    <t>035:18:53.67 N</t>
  </si>
  <si>
    <t>076:10:22.64 W</t>
  </si>
  <si>
    <t>035:18:51.97 N</t>
  </si>
  <si>
    <t>076:10:27.04 W</t>
  </si>
  <si>
    <t>035:18:49.96 N</t>
  </si>
  <si>
    <t>076:10:31.83 W</t>
  </si>
  <si>
    <t>035:18:47.64 N</t>
  </si>
  <si>
    <t>076:10:37.55 W</t>
  </si>
  <si>
    <t>035:18:46.10 N</t>
  </si>
  <si>
    <t>076:10:41.02 W</t>
  </si>
  <si>
    <t>035:18:43.94 N</t>
  </si>
  <si>
    <t>076:10:45.35 W</t>
  </si>
  <si>
    <t>035:18:42.16 N</t>
  </si>
  <si>
    <t>076:10:48.59 W</t>
  </si>
  <si>
    <t>035:18:40.00 N</t>
  </si>
  <si>
    <t>076:10:52.30 W</t>
  </si>
  <si>
    <t>035:18:38.22 N</t>
  </si>
  <si>
    <t>076:10:55.00 W</t>
  </si>
  <si>
    <t>035:18:35.90 N</t>
  </si>
  <si>
    <t>076:10:58.48 W</t>
  </si>
  <si>
    <t>035:18:33.66 N</t>
  </si>
  <si>
    <t>076:11:01.34 W</t>
  </si>
  <si>
    <t>035:18:29.64 N</t>
  </si>
  <si>
    <t>076:11:06.13 W</t>
  </si>
  <si>
    <t>035:18:27.02 N</t>
  </si>
  <si>
    <t>076:11:08.99 W</t>
  </si>
  <si>
    <t>035:18:24.70 N</t>
  </si>
  <si>
    <t>076:11:11.30 W</t>
  </si>
  <si>
    <t>035:18:21.69 N</t>
  </si>
  <si>
    <t>076:11:13.93 W</t>
  </si>
  <si>
    <t>035:18:18.29 N</t>
  </si>
  <si>
    <t>076:11:16.71 W</t>
  </si>
  <si>
    <t>035:18:14.97 N</t>
  </si>
  <si>
    <t>076:11:19.34 W</t>
  </si>
  <si>
    <t>035:18:09.41 N</t>
  </si>
  <si>
    <t>076:11:22.74 W</t>
  </si>
  <si>
    <t>035:18:06.01 N</t>
  </si>
  <si>
    <t>076:11:24.67 W</t>
  </si>
  <si>
    <t>035:18:02.30 N</t>
  </si>
  <si>
    <t>076:11:26.75 W</t>
  </si>
  <si>
    <t>035:17:59.21 N</t>
  </si>
  <si>
    <t>076:11:28.07 W</t>
  </si>
  <si>
    <t>035:17:55.66 N</t>
  </si>
  <si>
    <t>076:11:29.53 W</t>
  </si>
  <si>
    <t>035:17:52.10 N</t>
  </si>
  <si>
    <t>076:11:31.00 W</t>
  </si>
  <si>
    <t>035:17:46.77 N</t>
  </si>
  <si>
    <t>076:11:33.09 W</t>
  </si>
  <si>
    <t>035:17:43.76 N</t>
  </si>
  <si>
    <t>076:11:34.32 W</t>
  </si>
  <si>
    <t>035:17:40.90 N</t>
  </si>
  <si>
    <t>076:11:35.64 W</t>
  </si>
  <si>
    <t>035:17:37.04 N</t>
  </si>
  <si>
    <t>076:11:37.26 W</t>
  </si>
  <si>
    <t>035:17:33.18 N</t>
  </si>
  <si>
    <t>076:11:39.19 W</t>
  </si>
  <si>
    <t>035:17:29.47 N</t>
  </si>
  <si>
    <t>076:11:41.12 W</t>
  </si>
  <si>
    <t>035:17:25.84 N</t>
  </si>
  <si>
    <t>076:11:43.36 W</t>
  </si>
  <si>
    <t>035:17:22.90 N</t>
  </si>
  <si>
    <t>076:11:45.29 W</t>
  </si>
  <si>
    <t>035:17:19.74 N</t>
  </si>
  <si>
    <t>076:11:47.53 W</t>
  </si>
  <si>
    <t>035:17:16.65 N</t>
  </si>
  <si>
    <t>076:11:50.01 W</t>
  </si>
  <si>
    <t>035:17:13.63 N</t>
  </si>
  <si>
    <t>076:11:52.48 W</t>
  </si>
  <si>
    <t>035:17:10.93 N</t>
  </si>
  <si>
    <t>076:11:54.95 W</t>
  </si>
  <si>
    <t>035:17:08.38 N</t>
  </si>
  <si>
    <t>076:11:57.42 W</t>
  </si>
  <si>
    <t>035:17:05.91 N</t>
  </si>
  <si>
    <t>076:12:00.05 W</t>
  </si>
  <si>
    <t>035:17:00.04 N</t>
  </si>
  <si>
    <t>076:12:06.92 W</t>
  </si>
  <si>
    <t>035:16:57.80 N</t>
  </si>
  <si>
    <t>076:12:09.78 W</t>
  </si>
  <si>
    <t>035:16:55.56 N</t>
  </si>
  <si>
    <t>076:12:13.26 W</t>
  </si>
  <si>
    <t>035:16:53.70 N</t>
  </si>
  <si>
    <t>076:12:16.19 W</t>
  </si>
  <si>
    <t>035:16:51.31 N</t>
  </si>
  <si>
    <t>076:12:19.98 W</t>
  </si>
  <si>
    <t>035:16:49.15 N</t>
  </si>
  <si>
    <t>076:12:23.76 W</t>
  </si>
  <si>
    <t>035:16:46.91 N</t>
  </si>
  <si>
    <t>076:12:28.17 W</t>
  </si>
  <si>
    <t>035:16:44.97 N</t>
  </si>
  <si>
    <t>076:12:32.65 W</t>
  </si>
  <si>
    <t>035:16:43.43 N</t>
  </si>
  <si>
    <t>076:12:36.20 W</t>
  </si>
  <si>
    <t>035:16:41.88 N</t>
  </si>
  <si>
    <t>076:12:40.22 W</t>
  </si>
  <si>
    <t>035:16:40.73 N</t>
  </si>
  <si>
    <t>076:12:44.00 W</t>
  </si>
  <si>
    <t>035:16:39.03 N</t>
  </si>
  <si>
    <t>076:12:48.95 W</t>
  </si>
  <si>
    <t>035:16:37.71 N</t>
  </si>
  <si>
    <t>076:12:53.66 W</t>
  </si>
  <si>
    <t>035:16:36.71 N</t>
  </si>
  <si>
    <t>076:12:57.37 W</t>
  </si>
  <si>
    <t>035:16:35.40 N</t>
  </si>
  <si>
    <t>076:13:01.69 W</t>
  </si>
  <si>
    <t>035:16:34.24 N</t>
  </si>
  <si>
    <t>076:13:06.02 W</t>
  </si>
  <si>
    <t>035:16:32.38 N</t>
  </si>
  <si>
    <t>076:13:12.20 W</t>
  </si>
  <si>
    <t>035:16:31.15 N</t>
  </si>
  <si>
    <t>076:13:15.90 W</t>
  </si>
  <si>
    <t>035:16:29.83 N</t>
  </si>
  <si>
    <t>076:13:19.23 W</t>
  </si>
  <si>
    <t>035:16:28.21 N</t>
  </si>
  <si>
    <t>076:13:23.71 W</t>
  </si>
  <si>
    <t>035:16:26.20 N</t>
  </si>
  <si>
    <t>076:13:28.03 W</t>
  </si>
  <si>
    <t>035:16:24.35 N</t>
  </si>
  <si>
    <t>076:13:31.97 W</t>
  </si>
  <si>
    <t>035:16:22.65 N</t>
  </si>
  <si>
    <t>076:13:35.53 W</t>
  </si>
  <si>
    <t>035:16:20.72 N</t>
  </si>
  <si>
    <t>076:13:38.77 W</t>
  </si>
  <si>
    <t>035:16:18.79 N</t>
  </si>
  <si>
    <t>076:13:42.25 W</t>
  </si>
  <si>
    <t>035:16:16.24 N</t>
  </si>
  <si>
    <t>076:13:46.49 W</t>
  </si>
  <si>
    <t>035:16:14.08 N</t>
  </si>
  <si>
    <t>076:13:50.05 W</t>
  </si>
  <si>
    <t>035:16:11.53 N</t>
  </si>
  <si>
    <t>076:13:53.99 W</t>
  </si>
  <si>
    <t>035:16:08.90 N</t>
  </si>
  <si>
    <t>076:13:57.85 W</t>
  </si>
  <si>
    <t>035:16:05.35 N</t>
  </si>
  <si>
    <t>076:14:02.48 W</t>
  </si>
  <si>
    <t>035:16:02.80 N</t>
  </si>
  <si>
    <t>076:14:05.96 W</t>
  </si>
  <si>
    <t>035:16:00.33 N</t>
  </si>
  <si>
    <t>076:14:08.97 W</t>
  </si>
  <si>
    <t>035:15:57.85 N</t>
  </si>
  <si>
    <t>076:14:12.14 W</t>
  </si>
  <si>
    <t>035:15:55.38 N</t>
  </si>
  <si>
    <t>076:14:15.00 W</t>
  </si>
  <si>
    <t>035:15:51.60 N</t>
  </si>
  <si>
    <t>076:14:19.17 W</t>
  </si>
  <si>
    <t>035:15:49.12 N</t>
  </si>
  <si>
    <t>076:14:22.03 W</t>
  </si>
  <si>
    <t>035:15:45.80 N</t>
  </si>
  <si>
    <t>076:14:25.35 W</t>
  </si>
  <si>
    <t>035:15:41.25 N</t>
  </si>
  <si>
    <t>076:14:29.99 W</t>
  </si>
  <si>
    <t>035:15:35.37 N</t>
  </si>
  <si>
    <t>076:14:35.70 W</t>
  </si>
  <si>
    <t>035:15:32.52 N</t>
  </si>
  <si>
    <t>076:14:38.40 W</t>
  </si>
  <si>
    <t>035:15:29.97 N</t>
  </si>
  <si>
    <t>076:14:40.95 W</t>
  </si>
  <si>
    <t>035:15:27.34 N</t>
  </si>
  <si>
    <t>076:14:43.50 W</t>
  </si>
  <si>
    <t>035:15:24.33 N</t>
  </si>
  <si>
    <t>076:14:45.98 W</t>
  </si>
  <si>
    <t>035:15:21.08 N</t>
  </si>
  <si>
    <t>076:14:48.99 W</t>
  </si>
  <si>
    <t>035:15:17.76 N</t>
  </si>
  <si>
    <t>076:14:52.08 W</t>
  </si>
  <si>
    <t>035:15:14.29 N</t>
  </si>
  <si>
    <t>076:14:55.24 W</t>
  </si>
  <si>
    <t>035:15:10.11 N</t>
  </si>
  <si>
    <t>076:14:59.03 W</t>
  </si>
  <si>
    <t>035:15:07.41 N</t>
  </si>
  <si>
    <t>076:15:01.35 W</t>
  </si>
  <si>
    <t>035:15:02.47 N</t>
  </si>
  <si>
    <t>076:15:05.52 W</t>
  </si>
  <si>
    <t>035:14:59.84 N</t>
  </si>
  <si>
    <t>076:15:07.91 W</t>
  </si>
  <si>
    <t>035:14:50.42 N</t>
  </si>
  <si>
    <t>076:15:15.79 W</t>
  </si>
  <si>
    <t>035:14:46.94 N</t>
  </si>
  <si>
    <t>076:15:18.57 W</t>
  </si>
  <si>
    <t>035:14:40.91 N</t>
  </si>
  <si>
    <t>076:15:23.44 W</t>
  </si>
  <si>
    <t>035:14:37.90 N</t>
  </si>
  <si>
    <t>076:15:26.14 W</t>
  </si>
  <si>
    <t>035:14:34.89 N</t>
  </si>
  <si>
    <t>076:15:28.69 W</t>
  </si>
  <si>
    <t>035:14:32.19 N</t>
  </si>
  <si>
    <t>076:15:31.01 W</t>
  </si>
  <si>
    <t>035:14:29.17 N</t>
  </si>
  <si>
    <t>076:15:33.71 W</t>
  </si>
  <si>
    <t>035:14:26.01 N</t>
  </si>
  <si>
    <t>076:15:36.73 W</t>
  </si>
  <si>
    <t>035:14:22.99 N</t>
  </si>
  <si>
    <t>076:15:39.43 W</t>
  </si>
  <si>
    <t>035:14:19.44 N</t>
  </si>
  <si>
    <t>076:15:42.83 W</t>
  </si>
  <si>
    <t>035:14:16.35 N</t>
  </si>
  <si>
    <t>076:15:45.84 W</t>
  </si>
  <si>
    <t>035:14:10.87 N</t>
  </si>
  <si>
    <t>076:15:50.63 W</t>
  </si>
  <si>
    <t>035:14:07.54 N</t>
  </si>
  <si>
    <t>076:15:53.34 W</t>
  </si>
  <si>
    <t>035:13:54.41 N</t>
  </si>
  <si>
    <t>076:16:02.37 W</t>
  </si>
  <si>
    <t>035:13:50.63 N</t>
  </si>
  <si>
    <t>076:16:04.23 W</t>
  </si>
  <si>
    <t>035:13:42.52 N</t>
  </si>
  <si>
    <t>076:16:07.39 W</t>
  </si>
  <si>
    <t>035:13:11.77 N</t>
  </si>
  <si>
    <t>076:16:11.02 W</t>
  </si>
  <si>
    <t>035:13:08.06 N</t>
  </si>
  <si>
    <t>076:16:10.56 W</t>
  </si>
  <si>
    <t>035:13:04.66 N</t>
  </si>
  <si>
    <t>076:16:10.02 W</t>
  </si>
  <si>
    <t>035:13:00.72 N</t>
  </si>
  <si>
    <t>076:16:09.17 W</t>
  </si>
  <si>
    <t>035:12:57.25 N</t>
  </si>
  <si>
    <t>076:16:08.17 W</t>
  </si>
  <si>
    <t>035:12:54.00 N</t>
  </si>
  <si>
    <t>076:16:07.09 W</t>
  </si>
  <si>
    <t>035:12:47.21 N</t>
  </si>
  <si>
    <t>076:16:04.38 W</t>
  </si>
  <si>
    <t>035:12:43.27 N</t>
  </si>
  <si>
    <t>035:12:39.71 N</t>
  </si>
  <si>
    <t>076:16:00.52 W</t>
  </si>
  <si>
    <t>035:12:36.47 N</t>
  </si>
  <si>
    <t>076:15:58.67 W</t>
  </si>
  <si>
    <t>035:12:33.38 N</t>
  </si>
  <si>
    <t>076:15:56.58 W</t>
  </si>
  <si>
    <t>035:12:17.47 N</t>
  </si>
  <si>
    <t>076:15:42.98 W</t>
  </si>
  <si>
    <t>035:12:14.45 N</t>
  </si>
  <si>
    <t>076:15:39.66 W</t>
  </si>
  <si>
    <t>035:12:03.87 N</t>
  </si>
  <si>
    <t>076:15:25.84 W</t>
  </si>
  <si>
    <t>035:12:01.71 N</t>
  </si>
  <si>
    <t>076:15:22.20 W</t>
  </si>
  <si>
    <t>035:11:54.91 N</t>
  </si>
  <si>
    <t>076:15:09.23 W</t>
  </si>
  <si>
    <t>035:11:52.82 N</t>
  </si>
  <si>
    <t>076:15:04.44 W</t>
  </si>
  <si>
    <t>035:11:46.64 N</t>
  </si>
  <si>
    <t>076:14:46.13 W</t>
  </si>
  <si>
    <t>035:11:45.18 N</t>
  </si>
  <si>
    <t>076:14:40.80 W</t>
  </si>
  <si>
    <t>035:11:43.40 N</t>
  </si>
  <si>
    <t>076:14:31.92 W</t>
  </si>
  <si>
    <t>035:11:42.78 N</t>
  </si>
  <si>
    <t>076:14:27.59 W</t>
  </si>
  <si>
    <t>035:11:42.09 N</t>
  </si>
  <si>
    <t>076:14:22.41 W</t>
  </si>
  <si>
    <t>035:11:41.62 N</t>
  </si>
  <si>
    <t>076:14:17.01 W</t>
  </si>
  <si>
    <t>035:11:41.24 N</t>
  </si>
  <si>
    <t>076:14:11.29 W</t>
  </si>
  <si>
    <t>035:11:41.08 N</t>
  </si>
  <si>
    <t>076:14:05.73 W</t>
  </si>
  <si>
    <t>076:14:00.17 W</t>
  </si>
  <si>
    <t>035:11:41.39 N</t>
  </si>
  <si>
    <t>076:13:54.61 W</t>
  </si>
  <si>
    <t>035:11:41.78 N</t>
  </si>
  <si>
    <t>076:13:49.89 W</t>
  </si>
  <si>
    <t>035:11:42.24 N</t>
  </si>
  <si>
    <t>076:13:44.72 W</t>
  </si>
  <si>
    <t>035:11:43.09 N</t>
  </si>
  <si>
    <t>076:13:39.77 W</t>
  </si>
  <si>
    <t>035:11:43.94 N</t>
  </si>
  <si>
    <t>076:13:34.68 W</t>
  </si>
  <si>
    <t>035:11:44.87 N</t>
  </si>
  <si>
    <t>076:13:30.20 W</t>
  </si>
  <si>
    <t>035:11:45.79 N</t>
  </si>
  <si>
    <t>076:13:25.56 W</t>
  </si>
  <si>
    <t>035:11:47.03 N</t>
  </si>
  <si>
    <t>076:13:21.31 W</t>
  </si>
  <si>
    <t>035:11:50.51 N</t>
  </si>
  <si>
    <t>076:13:10.11 W</t>
  </si>
  <si>
    <t>035:12:32.68 N</t>
  </si>
  <si>
    <t>076:11:39.11 W</t>
  </si>
  <si>
    <t>035:12:58.87 N</t>
  </si>
  <si>
    <t>076:09:55.68 W</t>
  </si>
  <si>
    <t>035:13:00.18 N</t>
  </si>
  <si>
    <t>076:09:45.56 W</t>
  </si>
  <si>
    <t>035:13:01.50 N</t>
  </si>
  <si>
    <t>076:09:38.14 W</t>
  </si>
  <si>
    <t>035:13:01.88 N</t>
  </si>
  <si>
    <t>076:09:30.96 W</t>
  </si>
  <si>
    <t>035:13:02.50 N</t>
  </si>
  <si>
    <t>076:09:15.36 W</t>
  </si>
  <si>
    <t>035:13:02.58 N</t>
  </si>
  <si>
    <t>076:09:11.42 W</t>
  </si>
  <si>
    <t>035:13:05.90 N</t>
  </si>
  <si>
    <t>076:08:49.55 W</t>
  </si>
  <si>
    <t>035:13:08.76 N</t>
  </si>
  <si>
    <t>076:08:40.59 W</t>
  </si>
  <si>
    <t>035:13:28.38 N</t>
  </si>
  <si>
    <t>076:07:57.41 W</t>
  </si>
  <si>
    <t>035:13:32.47 N</t>
  </si>
  <si>
    <t>076:07:48.14 W</t>
  </si>
  <si>
    <t>035:13:33.63 N</t>
  </si>
  <si>
    <t>076:07:44.74 W</t>
  </si>
  <si>
    <t>035:13:34.64 N</t>
  </si>
  <si>
    <t>076:07:41.50 W</t>
  </si>
  <si>
    <t>035:13:36.72 N</t>
  </si>
  <si>
    <t>076:07:32.31 W</t>
  </si>
  <si>
    <t>035:13:41.74 N</t>
  </si>
  <si>
    <t>076:06:54.30 W</t>
  </si>
  <si>
    <t>035:13:42.28 N</t>
  </si>
  <si>
    <t>076:06:46.34 W</t>
  </si>
  <si>
    <t>035:13:43.06 N</t>
  </si>
  <si>
    <t>076:06:37.92 W</t>
  </si>
  <si>
    <t>035:13:43.37 N</t>
  </si>
  <si>
    <t>076:06:31.67 W</t>
  </si>
  <si>
    <t>035:13:43.60 N</t>
  </si>
  <si>
    <t>076:06:28.66 W</t>
  </si>
  <si>
    <t>035:13:43.83 N</t>
  </si>
  <si>
    <t>076:06:24.79 W</t>
  </si>
  <si>
    <t>035:13:44.21 N</t>
  </si>
  <si>
    <t>076:06:21.39 W</t>
  </si>
  <si>
    <t>035:13:44.37 N</t>
  </si>
  <si>
    <t>076:06:17.38 W</t>
  </si>
  <si>
    <t>035:13:44.76 N</t>
  </si>
  <si>
    <t>076:06:13.51 W</t>
  </si>
  <si>
    <t>035:13:45.22 N</t>
  </si>
  <si>
    <t>076:06:07.03 W</t>
  </si>
  <si>
    <t>035:13:47.00 N</t>
  </si>
  <si>
    <t>076:05:41.46 W</t>
  </si>
  <si>
    <t>035:13:47.15 N</t>
  </si>
  <si>
    <t>035:13:47.30 N</t>
  </si>
  <si>
    <t>076:05:35.20 W</t>
  </si>
  <si>
    <t>035:13:47.61 N</t>
  </si>
  <si>
    <t>076:05:30.64 W</t>
  </si>
  <si>
    <t>035:13:48.00 N</t>
  </si>
  <si>
    <t>076:05:25.62 W</t>
  </si>
  <si>
    <t>035:13:48.31 N</t>
  </si>
  <si>
    <t>035:13:48.62 N</t>
  </si>
  <si>
    <t>076:05:12.72 W</t>
  </si>
  <si>
    <t>035:13:48.77 N</t>
  </si>
  <si>
    <t>076:05:09.17 W</t>
  </si>
  <si>
    <t>035:13:49.31 N</t>
  </si>
  <si>
    <t>076:05:02.22 W</t>
  </si>
  <si>
    <t>035:13:49.47 N</t>
  </si>
  <si>
    <t>076:04:58.82 W</t>
  </si>
  <si>
    <t>035:13:49.78 N</t>
  </si>
  <si>
    <t>076:04:52.48 W</t>
  </si>
  <si>
    <t>035:13:49.93 N</t>
  </si>
  <si>
    <t>076:04:49.16 W</t>
  </si>
  <si>
    <t>035:13:50.32 N</t>
  </si>
  <si>
    <t>076:04:43.68 W</t>
  </si>
  <si>
    <t>035:13:50.47 N</t>
  </si>
  <si>
    <t>076:04:39.89 W</t>
  </si>
  <si>
    <t>035:13:50.78 N</t>
  </si>
  <si>
    <t>076:04:32.71 W</t>
  </si>
  <si>
    <t>035:13:51.09 N</t>
  </si>
  <si>
    <t>076:04:24.05 W</t>
  </si>
  <si>
    <t>035:13:51.32 N</t>
  </si>
  <si>
    <t>076:04:19.11 W</t>
  </si>
  <si>
    <t>035:13:51.63 N</t>
  </si>
  <si>
    <t>076:04:14.78 W</t>
  </si>
  <si>
    <t>035:13:51.79 N</t>
  </si>
  <si>
    <t>076:04:10.23 W</t>
  </si>
  <si>
    <t>035:13:51.94 N</t>
  </si>
  <si>
    <t>076:04:06.75 W</t>
  </si>
  <si>
    <t>035:13:52.02 N</t>
  </si>
  <si>
    <t>076:04:03.12 W</t>
  </si>
  <si>
    <t>076:03:55.63 W</t>
  </si>
  <si>
    <t>076:03:49.22 W</t>
  </si>
  <si>
    <t>035:13:51.24 N</t>
  </si>
  <si>
    <t>076:03:46.36 W</t>
  </si>
  <si>
    <t>035:13:51.01 N</t>
  </si>
  <si>
    <t>076:03:43.35 W</t>
  </si>
  <si>
    <t>035:13:49.62 N</t>
  </si>
  <si>
    <t>076:03:36.62 W</t>
  </si>
  <si>
    <t>076:03:33.23 W</t>
  </si>
  <si>
    <t>035:13:47.46 N</t>
  </si>
  <si>
    <t>076:03:30.06 W</t>
  </si>
  <si>
    <t>035:13:46.30 N</t>
  </si>
  <si>
    <t>076:03:27.20 W</t>
  </si>
  <si>
    <t>035:13:45.14 N</t>
  </si>
  <si>
    <t>076:03:24.57 W</t>
  </si>
  <si>
    <t>035:13:43.75 N</t>
  </si>
  <si>
    <t>076:03:21.79 W</t>
  </si>
  <si>
    <t>076:03:19.17 W</t>
  </si>
  <si>
    <t>035:13:40.58 N</t>
  </si>
  <si>
    <t>076:03:16.31 W</t>
  </si>
  <si>
    <t>035:13:39.12 N</t>
  </si>
  <si>
    <t>076:03:13.68 W</t>
  </si>
  <si>
    <t>035:13:36.26 N</t>
  </si>
  <si>
    <t>076:03:09.43 W</t>
  </si>
  <si>
    <t>035:13:33.79 N</t>
  </si>
  <si>
    <t>076:03:05.88 W</t>
  </si>
  <si>
    <t>035:13:32.24 N</t>
  </si>
  <si>
    <t>076:03:03.49 W</t>
  </si>
  <si>
    <t>035:13:30.54 N</t>
  </si>
  <si>
    <t>076:03:01.25 W</t>
  </si>
  <si>
    <t>035:13:28.84 N</t>
  </si>
  <si>
    <t>076:02:58.77 W</t>
  </si>
  <si>
    <t>035:13:27.22 N</t>
  </si>
  <si>
    <t>076:02:56.53 W</t>
  </si>
  <si>
    <t>035:13:25.75 N</t>
  </si>
  <si>
    <t>076:02:54.76 W</t>
  </si>
  <si>
    <t>035:13:23.13 N</t>
  </si>
  <si>
    <t>035:13:21.43 N</t>
  </si>
  <si>
    <t>076:02:49.12 W</t>
  </si>
  <si>
    <t>035:13:19.65 N</t>
  </si>
  <si>
    <t>076:02:46.65 W</t>
  </si>
  <si>
    <t>035:13:17.80 N</t>
  </si>
  <si>
    <t>076:02:44.10 W</t>
  </si>
  <si>
    <t>035:13:15.94 N</t>
  </si>
  <si>
    <t>076:02:41.62 W</t>
  </si>
  <si>
    <t>035:13:13.78 N</t>
  </si>
  <si>
    <t>076:02:39.00 W</t>
  </si>
  <si>
    <t>035:13:11.69 N</t>
  </si>
  <si>
    <t>076:02:36.37 W</t>
  </si>
  <si>
    <t>035:13:10.07 N</t>
  </si>
  <si>
    <t>035:13:08.60 N</t>
  </si>
  <si>
    <t>076:02:32.12 W</t>
  </si>
  <si>
    <t>035:13:06.60 N</t>
  </si>
  <si>
    <t>076:02:29.50 W</t>
  </si>
  <si>
    <t>035:13:03.81 N</t>
  </si>
  <si>
    <t>076:02:26.10 W</t>
  </si>
  <si>
    <t>035:13:02.04 N</t>
  </si>
  <si>
    <t>076:02:24.17 W</t>
  </si>
  <si>
    <t>035:13:00.34 N</t>
  </si>
  <si>
    <t>076:02:22.08 W</t>
  </si>
  <si>
    <t>035:12:56.48 N</t>
  </si>
  <si>
    <t>035:12:53.00 N</t>
  </si>
  <si>
    <t>076:02:15.28 W</t>
  </si>
  <si>
    <t>035:12:47.82 N</t>
  </si>
  <si>
    <t>076:02:11.58 W</t>
  </si>
  <si>
    <t>035:12:45.82 N</t>
  </si>
  <si>
    <t>076:02:10.11 W</t>
  </si>
  <si>
    <t>035:12:43.73 N</t>
  </si>
  <si>
    <t>076:02:08.95 W</t>
  </si>
  <si>
    <t>035:12:39.94 N</t>
  </si>
  <si>
    <t>076:02:06.71 W</t>
  </si>
  <si>
    <t>035:12:34.85 N</t>
  </si>
  <si>
    <t>076:02:03.70 W</t>
  </si>
  <si>
    <t>035:12:32.22 N</t>
  </si>
  <si>
    <t>076:02:02.31 W</t>
  </si>
  <si>
    <t>035:12:30.21 N</t>
  </si>
  <si>
    <t>076:02:01.07 W</t>
  </si>
  <si>
    <t>035:12:28.05 N</t>
  </si>
  <si>
    <t>076:01:59.83 W</t>
  </si>
  <si>
    <t>035:12:25.42 N</t>
  </si>
  <si>
    <t>076:01:58.21 W</t>
  </si>
  <si>
    <t>035:12:22.33 N</t>
  </si>
  <si>
    <t>076:01:56.51 W</t>
  </si>
  <si>
    <t>035:12:19.94 N</t>
  </si>
  <si>
    <t>076:01:55.28 W</t>
  </si>
  <si>
    <t>035:12:17.85 N</t>
  </si>
  <si>
    <t>035:12:15.30 N</t>
  </si>
  <si>
    <t>035:12:13.22 N</t>
  </si>
  <si>
    <t>076:01:51.18 W</t>
  </si>
  <si>
    <t>035:12:11.13 N</t>
  </si>
  <si>
    <t>076:01:49.95 W</t>
  </si>
  <si>
    <t>035:12:08.58 N</t>
  </si>
  <si>
    <t>076:01:48.32 W</t>
  </si>
  <si>
    <t>035:12:06.42 N</t>
  </si>
  <si>
    <t>076:01:47.09 W</t>
  </si>
  <si>
    <t>035:12:04.33 N</t>
  </si>
  <si>
    <t>076:01:45.93 W</t>
  </si>
  <si>
    <t>035:12:02.25 N</t>
  </si>
  <si>
    <t>076:01:44.62 W</t>
  </si>
  <si>
    <t>035:11:59.85 N</t>
  </si>
  <si>
    <t>076:01:43.15 W</t>
  </si>
  <si>
    <t>035:11:54.83 N</t>
  </si>
  <si>
    <t>076:01:40.06 W</t>
  </si>
  <si>
    <t>035:11:52.28 N</t>
  </si>
  <si>
    <t>076:01:38.44 W</t>
  </si>
  <si>
    <t>035:11:49.66 N</t>
  </si>
  <si>
    <t>076:01:36.74 W</t>
  </si>
  <si>
    <t>035:11:44.40 N</t>
  </si>
  <si>
    <t>076:01:33.41 W</t>
  </si>
  <si>
    <t>035:11:39.92 N</t>
  </si>
  <si>
    <t>076:01:30.79 W</t>
  </si>
  <si>
    <t>035:11:37.76 N</t>
  </si>
  <si>
    <t>076:01:29.40 W</t>
  </si>
  <si>
    <t>035:11:35.21 N</t>
  </si>
  <si>
    <t>076:01:27.70 W</t>
  </si>
  <si>
    <t>035:11:33.36 N</t>
  </si>
  <si>
    <t>076:01:26.69 W</t>
  </si>
  <si>
    <t>035:11:29.03 N</t>
  </si>
  <si>
    <t>076:01:23.76 W</t>
  </si>
  <si>
    <t>035:11:26.56 N</t>
  </si>
  <si>
    <t>076:01:22.29 W</t>
  </si>
  <si>
    <t>035:11:24.32 N</t>
  </si>
  <si>
    <t>076:01:20.90 W</t>
  </si>
  <si>
    <t>035:11:22.31 N</t>
  </si>
  <si>
    <t>076:01:19.43 W</t>
  </si>
  <si>
    <t>035:11:20.46 N</t>
  </si>
  <si>
    <t>076:01:18.43 W</t>
  </si>
  <si>
    <t>035:11:17.83 N</t>
  </si>
  <si>
    <t>076:01:16.65 W</t>
  </si>
  <si>
    <t>035:11:15.28 N</t>
  </si>
  <si>
    <t>076:01:15.11 W</t>
  </si>
  <si>
    <t>035:11:12.73 N</t>
  </si>
  <si>
    <t>035:11:08.10 N</t>
  </si>
  <si>
    <t>076:01:10.63 W</t>
  </si>
  <si>
    <t>035:11:05.86 N</t>
  </si>
  <si>
    <t>076:01:09.00 W</t>
  </si>
  <si>
    <t>035:11:03.54 N</t>
  </si>
  <si>
    <t>076:01:07.61 W</t>
  </si>
  <si>
    <t>035:11:00.84 N</t>
  </si>
  <si>
    <t>076:01:05.84 W</t>
  </si>
  <si>
    <t>035:10:58.44 N</t>
  </si>
  <si>
    <t>076:01:04.37 W</t>
  </si>
  <si>
    <t>035:10:55.58 N</t>
  </si>
  <si>
    <t>076:01:02.52 W</t>
  </si>
  <si>
    <t>035:10:53.50 N</t>
  </si>
  <si>
    <t>076:01:01.36 W</t>
  </si>
  <si>
    <t>035:10:49.17 N</t>
  </si>
  <si>
    <t>076:00:58.50 W</t>
  </si>
  <si>
    <t>035:10:46.62 N</t>
  </si>
  <si>
    <t>076:00:56.80 W</t>
  </si>
  <si>
    <t>035:10:44.77 N</t>
  </si>
  <si>
    <t>076:00:55.56 W</t>
  </si>
  <si>
    <t>035:10:42.45 N</t>
  </si>
  <si>
    <t>076:00:54.10 W</t>
  </si>
  <si>
    <t>035:10:40.29 N</t>
  </si>
  <si>
    <t>035:10:35.34 N</t>
  </si>
  <si>
    <t>035:10:33.03 N</t>
  </si>
  <si>
    <t>076:00:48.22 W</t>
  </si>
  <si>
    <t>035:10:23.99 N</t>
  </si>
  <si>
    <t>076:00:42.35 W</t>
  </si>
  <si>
    <t>035:10:12.94 N</t>
  </si>
  <si>
    <t>076:00:35.40 W</t>
  </si>
  <si>
    <t>035:10:10.32 N</t>
  </si>
  <si>
    <t>076:00:33.70 W</t>
  </si>
  <si>
    <t>035:10:01.59 N</t>
  </si>
  <si>
    <t>076:00:28.22 W</t>
  </si>
  <si>
    <t>035:09:49.85 N</t>
  </si>
  <si>
    <t>076:00:20.72 W</t>
  </si>
  <si>
    <t>035:09:44.82 N</t>
  </si>
  <si>
    <t>076:00:17.48 W</t>
  </si>
  <si>
    <t>035:09:30.84 N</t>
  </si>
  <si>
    <t>076:00:08.60 W</t>
  </si>
  <si>
    <t>035:09:28.68 N</t>
  </si>
  <si>
    <t>076:00:07.13 W</t>
  </si>
  <si>
    <t>035:09:24.51 N</t>
  </si>
  <si>
    <t>076:00:04.50 W</t>
  </si>
  <si>
    <t>035:09:20.03 N</t>
  </si>
  <si>
    <t>076:00:01.80 W</t>
  </si>
  <si>
    <t>035:09:17.71 N</t>
  </si>
  <si>
    <t>076:00:00.18 W</t>
  </si>
  <si>
    <t>035:09:15.78 N</t>
  </si>
  <si>
    <t>075:59:58.94 W</t>
  </si>
  <si>
    <t>035:09:13.31 N</t>
  </si>
  <si>
    <t>075:59:57.40 W</t>
  </si>
  <si>
    <t>035:09:01.41 N</t>
  </si>
  <si>
    <t>075:59:49.83 W</t>
  </si>
  <si>
    <t>035:08:17.84 N</t>
  </si>
  <si>
    <t>075:59:22.25 W</t>
  </si>
  <si>
    <t>035:08:13.13 N</t>
  </si>
  <si>
    <t>075:59:19.39 W</t>
  </si>
  <si>
    <t>035:08:03.24 N</t>
  </si>
  <si>
    <t>075:59:12.98 W</t>
  </si>
  <si>
    <t>034:54:48.60 N</t>
  </si>
  <si>
    <t>076:06:02.62 W</t>
  </si>
  <si>
    <t>034:54:46.43 N</t>
  </si>
  <si>
    <t>076:06:03.86 W</t>
  </si>
  <si>
    <t>034:54:33.46 N</t>
  </si>
  <si>
    <t>076:06:11.51 W</t>
  </si>
  <si>
    <t>034:54:30.91 N</t>
  </si>
  <si>
    <t>076:06:12.82 W</t>
  </si>
  <si>
    <t>034:54:24.73 N</t>
  </si>
  <si>
    <t>076:06:16.53 W</t>
  </si>
  <si>
    <t>034:54:19.71 N</t>
  </si>
  <si>
    <t>034:54:17.78 N</t>
  </si>
  <si>
    <t>076:06:20.54 W</t>
  </si>
  <si>
    <t>034:54:15.61 N</t>
  </si>
  <si>
    <t>076:06:21.78 W</t>
  </si>
  <si>
    <t>034:54:13.68 N</t>
  </si>
  <si>
    <t>076:06:22.86 W</t>
  </si>
  <si>
    <t>034:54:11.21 N</t>
  </si>
  <si>
    <t>076:06:24.41 W</t>
  </si>
  <si>
    <t>034:54:09.51 N</t>
  </si>
  <si>
    <t>076:06:25.41 W</t>
  </si>
  <si>
    <t>034:54:06.27 N</t>
  </si>
  <si>
    <t>076:06:27.19 W</t>
  </si>
  <si>
    <t>034:54:02.94 N</t>
  </si>
  <si>
    <t>076:06:29.27 W</t>
  </si>
  <si>
    <t>034:54:00.78 N</t>
  </si>
  <si>
    <t>076:06:30.43 W</t>
  </si>
  <si>
    <t>034:53:57.85 N</t>
  </si>
  <si>
    <t>076:06:32.29 W</t>
  </si>
  <si>
    <t>034:53:55.91 N</t>
  </si>
  <si>
    <t>076:06:33.60 W</t>
  </si>
  <si>
    <t>034:53:54.06 N</t>
  </si>
  <si>
    <t>076:06:34.68 W</t>
  </si>
  <si>
    <t>034:53:51.43 N</t>
  </si>
  <si>
    <t>076:06:36.30 W</t>
  </si>
  <si>
    <t>034:53:49.27 N</t>
  </si>
  <si>
    <t>076:06:37.69 W</t>
  </si>
  <si>
    <t>034:53:46.65 N</t>
  </si>
  <si>
    <t>076:06:39.32 W</t>
  </si>
  <si>
    <t>034:53:43.48 N</t>
  </si>
  <si>
    <t>076:06:41.25 W</t>
  </si>
  <si>
    <t>034:53:41.55 N</t>
  </si>
  <si>
    <t>076:06:42.56 W</t>
  </si>
  <si>
    <t>034:53:38.84 N</t>
  </si>
  <si>
    <t>076:06:44.34 W</t>
  </si>
  <si>
    <t>034:53:35.29 N</t>
  </si>
  <si>
    <t>076:06:46.58 W</t>
  </si>
  <si>
    <t>034:53:32.97 N</t>
  </si>
  <si>
    <t>076:06:48.04 W</t>
  </si>
  <si>
    <t>034:53:30.50 N</t>
  </si>
  <si>
    <t>076:06:49.67 W</t>
  </si>
  <si>
    <t>034:53:27.26 N</t>
  </si>
  <si>
    <t>076:06:51.52 W</t>
  </si>
  <si>
    <t>034:53:24.40 N</t>
  </si>
  <si>
    <t>076:06:53.37 W</t>
  </si>
  <si>
    <t>034:53:22.23 N</t>
  </si>
  <si>
    <t>076:06:54.84 W</t>
  </si>
  <si>
    <t>034:53:20.07 N</t>
  </si>
  <si>
    <t>076:06:56.23 W</t>
  </si>
  <si>
    <t>034:53:18.30 N</t>
  </si>
  <si>
    <t>076:06:57.47 W</t>
  </si>
  <si>
    <t>034:53:15.21 N</t>
  </si>
  <si>
    <t>034:53:13.35 N</t>
  </si>
  <si>
    <t>076:07:01.10 W</t>
  </si>
  <si>
    <t>034:53:11.50 N</t>
  </si>
  <si>
    <t>076:07:02.64 W</t>
  </si>
  <si>
    <t>034:53:09.72 N</t>
  </si>
  <si>
    <t>076:07:03.96 W</t>
  </si>
  <si>
    <t>034:53:07.40 N</t>
  </si>
  <si>
    <t>076:07:05.73 W</t>
  </si>
  <si>
    <t>034:53:04.08 N</t>
  </si>
  <si>
    <t>076:07:08.36 W</t>
  </si>
  <si>
    <t>034:53:02.15 N</t>
  </si>
  <si>
    <t>076:07:09.98 W</t>
  </si>
  <si>
    <t>034:53:00.06 N</t>
  </si>
  <si>
    <t>076:07:11.91 W</t>
  </si>
  <si>
    <t>034:52:58.37 N</t>
  </si>
  <si>
    <t>076:07:13.23 W</t>
  </si>
  <si>
    <t>034:52:56.59 N</t>
  </si>
  <si>
    <t>076:07:14.77 W</t>
  </si>
  <si>
    <t>034:52:54.73 N</t>
  </si>
  <si>
    <t>076:07:16.24 W</t>
  </si>
  <si>
    <t>034:52:52.73 N</t>
  </si>
  <si>
    <t>076:07:17.86 W</t>
  </si>
  <si>
    <t>034:52:49.79 N</t>
  </si>
  <si>
    <t>076:07:20.49 W</t>
  </si>
  <si>
    <t>034:52:47.32 N</t>
  </si>
  <si>
    <t>076:07:22.50 W</t>
  </si>
  <si>
    <t>034:52:45.46 N</t>
  </si>
  <si>
    <t>076:07:24.12 W</t>
  </si>
  <si>
    <t>034:52:43.53 N</t>
  </si>
  <si>
    <t>076:07:25.97 W</t>
  </si>
  <si>
    <t>034:52:41.68 N</t>
  </si>
  <si>
    <t>076:07:27.36 W</t>
  </si>
  <si>
    <t>034:52:40.06 N</t>
  </si>
  <si>
    <t>076:07:28.75 W</t>
  </si>
  <si>
    <t>034:52:37.82 N</t>
  </si>
  <si>
    <t>076:07:30.68 W</t>
  </si>
  <si>
    <t>034:52:36.12 N</t>
  </si>
  <si>
    <t>076:07:32.23 W</t>
  </si>
  <si>
    <t>034:52:34.26 N</t>
  </si>
  <si>
    <t>076:07:33.77 W</t>
  </si>
  <si>
    <t>034:52:32.64 N</t>
  </si>
  <si>
    <t>076:07:35.24 W</t>
  </si>
  <si>
    <t>034:52:30.63 N</t>
  </si>
  <si>
    <t>076:07:36.86 W</t>
  </si>
  <si>
    <t>034:52:27.54 N</t>
  </si>
  <si>
    <t>076:07:39.49 W</t>
  </si>
  <si>
    <t>034:52:24.22 N</t>
  </si>
  <si>
    <t>076:07:42.43 W</t>
  </si>
  <si>
    <t>034:52:22.21 N</t>
  </si>
  <si>
    <t>076:07:44.05 W</t>
  </si>
  <si>
    <t>034:52:20.44 N</t>
  </si>
  <si>
    <t>076:07:45.75 W</t>
  </si>
  <si>
    <t>034:52:18.74 N</t>
  </si>
  <si>
    <t>076:07:47.14 W</t>
  </si>
  <si>
    <t>034:52:16.73 N</t>
  </si>
  <si>
    <t>076:07:48.99 W</t>
  </si>
  <si>
    <t>034:52:14.49 N</t>
  </si>
  <si>
    <t>076:07:50.77 W</t>
  </si>
  <si>
    <t>034:52:12.17 N</t>
  </si>
  <si>
    <t>076:07:52.70 W</t>
  </si>
  <si>
    <t>034:52:09.93 N</t>
  </si>
  <si>
    <t>076:07:54.79 W</t>
  </si>
  <si>
    <t>034:52:05.76 N</t>
  </si>
  <si>
    <t>076:07:58.42 W</t>
  </si>
  <si>
    <t>034:52:02.59 N</t>
  </si>
  <si>
    <t>076:08:01.12 W</t>
  </si>
  <si>
    <t>034:51:54.71 N</t>
  </si>
  <si>
    <t>034:48:45.69 N</t>
  </si>
  <si>
    <t>076:15:30.86 W</t>
  </si>
  <si>
    <t>034:48:47.70 N</t>
  </si>
  <si>
    <t>076:15:30.24 W</t>
  </si>
  <si>
    <t>034:48:51.02 N</t>
  </si>
  <si>
    <t>076:15:29.47 W</t>
  </si>
  <si>
    <t>034:48:52.56 N</t>
  </si>
  <si>
    <t>076:15:29.16 W</t>
  </si>
  <si>
    <t>034:48:54.11 N</t>
  </si>
  <si>
    <t>076:15:29.00 W</t>
  </si>
  <si>
    <t>034:48:55.27 N</t>
  </si>
  <si>
    <t>034:48:56.73 N</t>
  </si>
  <si>
    <t>034:48:58.05 N</t>
  </si>
  <si>
    <t>034:48:59.28 N</t>
  </si>
  <si>
    <t>076:15:29.39 W</t>
  </si>
  <si>
    <t>034:49:00.44 N</t>
  </si>
  <si>
    <t>076:15:29.77 W</t>
  </si>
  <si>
    <t>034:49:01.83 N</t>
  </si>
  <si>
    <t>076:15:30.47 W</t>
  </si>
  <si>
    <t>034:49:03.15 N</t>
  </si>
  <si>
    <t>076:15:31.47 W</t>
  </si>
  <si>
    <t>034:49:04.15 N</t>
  </si>
  <si>
    <t>076:15:32.48 W</t>
  </si>
  <si>
    <t>034:49:05.15 N</t>
  </si>
  <si>
    <t>034:49:06.31 N</t>
  </si>
  <si>
    <t>076:15:35.49 W</t>
  </si>
  <si>
    <t>034:49:07.01 N</t>
  </si>
  <si>
    <t>076:15:37.19 W</t>
  </si>
  <si>
    <t>034:49:07.63 N</t>
  </si>
  <si>
    <t>076:15:39.28 W</t>
  </si>
  <si>
    <t>034:49:08.17 N</t>
  </si>
  <si>
    <t>076:15:40.90 W</t>
  </si>
  <si>
    <t>034:49:08.63 N</t>
  </si>
  <si>
    <t>076:15:43.22 W</t>
  </si>
  <si>
    <t>034:49:09.25 N</t>
  </si>
  <si>
    <t>076:15:46.00 W</t>
  </si>
  <si>
    <t>034:49:09.87 N</t>
  </si>
  <si>
    <t>076:15:48.78 W</t>
  </si>
  <si>
    <t>034:49:10.87 N</t>
  </si>
  <si>
    <t>076:15:52.49 W</t>
  </si>
  <si>
    <t>034:49:12.11 N</t>
  </si>
  <si>
    <t>076:15:56.50 W</t>
  </si>
  <si>
    <t>034:49:12.88 N</t>
  </si>
  <si>
    <t>076:15:59.13 W</t>
  </si>
  <si>
    <t>034:49:13.88 N</t>
  </si>
  <si>
    <t>076:16:01.29 W</t>
  </si>
  <si>
    <t>034:49:15.74 N</t>
  </si>
  <si>
    <t>076:16:05.39 W</t>
  </si>
  <si>
    <t>034:49:17.90 N</t>
  </si>
  <si>
    <t>076:16:09.79 W</t>
  </si>
  <si>
    <t>034:49:19.37 N</t>
  </si>
  <si>
    <t>076:16:12.65 W</t>
  </si>
  <si>
    <t>034:49:20.53 N</t>
  </si>
  <si>
    <t>076:16:14.89 W</t>
  </si>
  <si>
    <t>034:49:21.92 N</t>
  </si>
  <si>
    <t>076:16:17.36 W</t>
  </si>
  <si>
    <t>034:49:22.92 N</t>
  </si>
  <si>
    <t>076:16:19.44 W</t>
  </si>
  <si>
    <t>034:49:24.08 N</t>
  </si>
  <si>
    <t>076:16:21.69 W</t>
  </si>
  <si>
    <t>034:49:25.08 N</t>
  </si>
  <si>
    <t>076:16:24.16 W</t>
  </si>
  <si>
    <t>034:49:27.25 N</t>
  </si>
  <si>
    <t>076:16:29.33 W</t>
  </si>
  <si>
    <t>034:49:28.10 N</t>
  </si>
  <si>
    <t>076:16:31.96 W</t>
  </si>
  <si>
    <t>034:49:28.72 N</t>
  </si>
  <si>
    <t>076:16:34.43 W</t>
  </si>
  <si>
    <t>034:49:29.41 N</t>
  </si>
  <si>
    <t>076:16:37.68 W</t>
  </si>
  <si>
    <t>034:49:29.80 N</t>
  </si>
  <si>
    <t>076:16:40.22 W</t>
  </si>
  <si>
    <t>034:49:29.87 N</t>
  </si>
  <si>
    <t>076:16:42.31 W</t>
  </si>
  <si>
    <t>034:49:29.57 N</t>
  </si>
  <si>
    <t>076:16:46.71 W</t>
  </si>
  <si>
    <t>034:49:29.26 N</t>
  </si>
  <si>
    <t>076:16:48.49 W</t>
  </si>
  <si>
    <t>076:16:50.34 W</t>
  </si>
  <si>
    <t>034:49:27.71 N</t>
  </si>
  <si>
    <t>076:16:52.58 W</t>
  </si>
  <si>
    <t>034:49:26.78 N</t>
  </si>
  <si>
    <t>076:16:54.21 W</t>
  </si>
  <si>
    <t>034:49:25.39 N</t>
  </si>
  <si>
    <t>076:16:55.91 W</t>
  </si>
  <si>
    <t>034:49:23.77 N</t>
  </si>
  <si>
    <t>076:16:57.22 W</t>
  </si>
  <si>
    <t>034:49:22.30 N</t>
  </si>
  <si>
    <t>076:16:58.45 W</t>
  </si>
  <si>
    <t>034:49:20.76 N</t>
  </si>
  <si>
    <t>076:16:59.23 W</t>
  </si>
  <si>
    <t>034:49:18.83 N</t>
  </si>
  <si>
    <t>076:17:00.08 W</t>
  </si>
  <si>
    <t>034:49:15.89 N</t>
  </si>
  <si>
    <t>076:17:00.85 W</t>
  </si>
  <si>
    <t>076:17:01.24 W</t>
  </si>
  <si>
    <t>034:49:10.95 N</t>
  </si>
  <si>
    <t>034:49:09.17 N</t>
  </si>
  <si>
    <t>034:49:07.16 N</t>
  </si>
  <si>
    <t>076:17:01.08 W</t>
  </si>
  <si>
    <t>034:49:05.62 N</t>
  </si>
  <si>
    <t>034:49:03.38 N</t>
  </si>
  <si>
    <t>076:17:00.62 W</t>
  </si>
  <si>
    <t>034:49:00.37 N</t>
  </si>
  <si>
    <t>076:17:00.23 W</t>
  </si>
  <si>
    <t>034:48:58.74 N</t>
  </si>
  <si>
    <t>076:16:60.00 W</t>
  </si>
  <si>
    <t>034:48:57.12 N</t>
  </si>
  <si>
    <t>076:16:59.85 W</t>
  </si>
  <si>
    <t>076:16:59.61 W</t>
  </si>
  <si>
    <t>034:48:53.64 N</t>
  </si>
  <si>
    <t>076:16:59.46 W</t>
  </si>
  <si>
    <t>034:48:52.33 N</t>
  </si>
  <si>
    <t>034:48:50.40 N</t>
  </si>
  <si>
    <t>076:16:59.38 W</t>
  </si>
  <si>
    <t>034:48:47.54 N</t>
  </si>
  <si>
    <t>034:48:45.53 N</t>
  </si>
  <si>
    <t>034:48:43.83 N</t>
  </si>
  <si>
    <t>076:17:00.46 W</t>
  </si>
  <si>
    <t>034:48:41.44 N</t>
  </si>
  <si>
    <t>076:17:01.62 W</t>
  </si>
  <si>
    <t>034:48:40.28 N</t>
  </si>
  <si>
    <t>076:17:02.24 W</t>
  </si>
  <si>
    <t>034:48:38.97 N</t>
  </si>
  <si>
    <t>076:17:03.48 W</t>
  </si>
  <si>
    <t>034:48:37.65 N</t>
  </si>
  <si>
    <t>076:17:04.79 W</t>
  </si>
  <si>
    <t>034:48:36.34 N</t>
  </si>
  <si>
    <t>076:17:06.49 W</t>
  </si>
  <si>
    <t>034:48:35.34 N</t>
  </si>
  <si>
    <t>076:17:08.34 W</t>
  </si>
  <si>
    <t>034:48:34.49 N</t>
  </si>
  <si>
    <t>076:17:10.74 W</t>
  </si>
  <si>
    <t>034:48:34.10 N</t>
  </si>
  <si>
    <t>076:17:13.44 W</t>
  </si>
  <si>
    <t>034:48:34.18 N</t>
  </si>
  <si>
    <t>076:17:15.76 W</t>
  </si>
  <si>
    <t>034:48:34.64 N</t>
  </si>
  <si>
    <t>076:17:18.15 W</t>
  </si>
  <si>
    <t>034:48:35.65 N</t>
  </si>
  <si>
    <t>076:17:21.01 W</t>
  </si>
  <si>
    <t>076:17:24.10 W</t>
  </si>
  <si>
    <t>034:48:39.82 N</t>
  </si>
  <si>
    <t>076:17:26.50 W</t>
  </si>
  <si>
    <t>034:48:42.68 N</t>
  </si>
  <si>
    <t>076:17:28.27 W</t>
  </si>
  <si>
    <t>034:48:46.07 N</t>
  </si>
  <si>
    <t>076:17:29.12 W</t>
  </si>
  <si>
    <t>034:48:49.55 N</t>
  </si>
  <si>
    <t>076:17:28.89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</si>
</sst>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215"/>
  <sheetViews>
    <sheetView tabSelected="1" workbookViewId="0"/>
  </sheetViews>
  <sheetFormatPr defaultRowHeight="14.4" x14ac:dyDescent="0.3"/>
  <sheetData>
    <row r="1" spans="1:1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</row>
    <row r="2" spans="1:113" x14ac:dyDescent="0.3">
      <c r="A2" t="str">
        <f>"02/13/2022 18:35:20.775"</f>
        <v>02/13/2022 18:35:20.775</v>
      </c>
      <c r="C2" t="str">
        <f>"FFD353C0"</f>
        <v>FFD353C0</v>
      </c>
      <c r="D2" t="s">
        <v>113</v>
      </c>
      <c r="E2">
        <v>3</v>
      </c>
      <c r="F2">
        <v>1003</v>
      </c>
      <c r="G2" t="s">
        <v>114</v>
      </c>
      <c r="J2" t="s">
        <v>115</v>
      </c>
      <c r="K2">
        <v>0</v>
      </c>
      <c r="L2">
        <v>3</v>
      </c>
      <c r="M2">
        <v>0</v>
      </c>
      <c r="N2">
        <v>2</v>
      </c>
      <c r="O2">
        <v>1</v>
      </c>
      <c r="P2">
        <v>0</v>
      </c>
      <c r="Q2">
        <v>0</v>
      </c>
      <c r="S2" t="str">
        <f>"18:35:20.539"</f>
        <v>18:35:20.539</v>
      </c>
      <c r="T2" t="str">
        <f>"18:35:17.939"</f>
        <v>18:35:17.939</v>
      </c>
      <c r="U2" t="str">
        <f t="shared" ref="U2:U65" si="0">"AAB6EE"</f>
        <v>AAB6EE</v>
      </c>
      <c r="V2">
        <v>0</v>
      </c>
      <c r="W2">
        <v>0</v>
      </c>
      <c r="X2">
        <v>4</v>
      </c>
      <c r="Z2">
        <v>0</v>
      </c>
      <c r="AA2">
        <v>8</v>
      </c>
      <c r="AB2">
        <v>3</v>
      </c>
      <c r="AC2">
        <v>0</v>
      </c>
      <c r="AD2">
        <v>10</v>
      </c>
      <c r="AE2">
        <v>0</v>
      </c>
      <c r="AF2">
        <v>0</v>
      </c>
      <c r="AH2">
        <v>1</v>
      </c>
      <c r="AI2" t="s">
        <v>116</v>
      </c>
      <c r="AJ2">
        <v>35.565255000000001</v>
      </c>
      <c r="AK2" t="s">
        <v>117</v>
      </c>
      <c r="AL2">
        <v>-75.991809000000003</v>
      </c>
      <c r="AM2">
        <v>25</v>
      </c>
      <c r="AN2">
        <v>1100</v>
      </c>
      <c r="AO2" t="s">
        <v>118</v>
      </c>
      <c r="AP2">
        <v>-134</v>
      </c>
      <c r="AQ2">
        <v>8</v>
      </c>
      <c r="AR2">
        <v>1728</v>
      </c>
      <c r="AZ2">
        <v>1200</v>
      </c>
      <c r="BA2">
        <v>1</v>
      </c>
      <c r="BE2">
        <v>0</v>
      </c>
      <c r="BF2">
        <v>0</v>
      </c>
      <c r="BG2">
        <v>0</v>
      </c>
      <c r="BI2">
        <v>0</v>
      </c>
      <c r="BJ2">
        <v>0</v>
      </c>
      <c r="BK2">
        <v>0</v>
      </c>
      <c r="BL2">
        <v>0</v>
      </c>
      <c r="BO2">
        <v>0</v>
      </c>
      <c r="BP2">
        <v>0</v>
      </c>
      <c r="BW2" t="str">
        <f>"18:35:20.540"</f>
        <v>18:35:20.540</v>
      </c>
      <c r="CJ2">
        <v>0</v>
      </c>
      <c r="CK2">
        <v>2</v>
      </c>
      <c r="CL2">
        <v>0</v>
      </c>
      <c r="CM2">
        <v>2</v>
      </c>
      <c r="CN2">
        <v>0</v>
      </c>
      <c r="CO2">
        <v>2</v>
      </c>
      <c r="CP2" t="s">
        <v>119</v>
      </c>
      <c r="CQ2">
        <v>145</v>
      </c>
      <c r="CR2">
        <v>1</v>
      </c>
      <c r="CW2">
        <v>8844440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1</v>
      </c>
      <c r="DG2">
        <v>0</v>
      </c>
      <c r="DH2">
        <v>0</v>
      </c>
      <c r="DI2">
        <v>1</v>
      </c>
    </row>
    <row r="3" spans="1:113" x14ac:dyDescent="0.3">
      <c r="A3" t="str">
        <f>"02/13/2022 18:35:20.775"</f>
        <v>02/13/2022 18:35:20.775</v>
      </c>
      <c r="C3" t="str">
        <f>"FFD353C0"</f>
        <v>FFD353C0</v>
      </c>
      <c r="D3" t="s">
        <v>113</v>
      </c>
      <c r="E3">
        <v>4</v>
      </c>
      <c r="F3">
        <v>1004</v>
      </c>
      <c r="G3" t="s">
        <v>120</v>
      </c>
      <c r="J3" t="s">
        <v>115</v>
      </c>
      <c r="K3">
        <v>0</v>
      </c>
      <c r="L3">
        <v>3</v>
      </c>
      <c r="M3">
        <v>0</v>
      </c>
      <c r="N3">
        <v>2</v>
      </c>
      <c r="O3">
        <v>1</v>
      </c>
      <c r="P3">
        <v>0</v>
      </c>
      <c r="Q3">
        <v>0</v>
      </c>
      <c r="S3" t="str">
        <f>"18:35:20.539"</f>
        <v>18:35:20.539</v>
      </c>
      <c r="T3" t="str">
        <f>"18:35:17.939"</f>
        <v>18:35:17.939</v>
      </c>
      <c r="U3" t="str">
        <f t="shared" si="0"/>
        <v>AAB6EE</v>
      </c>
      <c r="V3">
        <v>0</v>
      </c>
      <c r="W3">
        <v>0</v>
      </c>
      <c r="X3">
        <v>4</v>
      </c>
      <c r="Z3">
        <v>0</v>
      </c>
      <c r="AA3">
        <v>8</v>
      </c>
      <c r="AB3">
        <v>3</v>
      </c>
      <c r="AC3">
        <v>0</v>
      </c>
      <c r="AD3">
        <v>10</v>
      </c>
      <c r="AE3">
        <v>0</v>
      </c>
      <c r="AF3">
        <v>0</v>
      </c>
      <c r="AH3">
        <v>1</v>
      </c>
      <c r="AI3" t="s">
        <v>116</v>
      </c>
      <c r="AJ3">
        <v>35.565255000000001</v>
      </c>
      <c r="AK3" t="s">
        <v>117</v>
      </c>
      <c r="AL3">
        <v>-75.991809000000003</v>
      </c>
      <c r="AM3">
        <v>25</v>
      </c>
      <c r="AN3">
        <v>1100</v>
      </c>
      <c r="AO3" t="s">
        <v>118</v>
      </c>
      <c r="AP3">
        <v>-134</v>
      </c>
      <c r="AQ3">
        <v>8</v>
      </c>
      <c r="AR3">
        <v>1728</v>
      </c>
      <c r="AZ3">
        <v>1200</v>
      </c>
      <c r="BA3">
        <v>1</v>
      </c>
      <c r="BE3">
        <v>0</v>
      </c>
      <c r="BF3">
        <v>0</v>
      </c>
      <c r="BG3">
        <v>0</v>
      </c>
      <c r="BI3">
        <v>0</v>
      </c>
      <c r="BJ3">
        <v>0</v>
      </c>
      <c r="BK3">
        <v>0</v>
      </c>
      <c r="BL3">
        <v>0</v>
      </c>
      <c r="BO3">
        <v>0</v>
      </c>
      <c r="BP3">
        <v>0</v>
      </c>
      <c r="BW3" t="str">
        <f>"18:35:20.540"</f>
        <v>18:35:20.540</v>
      </c>
      <c r="CJ3">
        <v>0</v>
      </c>
      <c r="CK3">
        <v>2</v>
      </c>
      <c r="CL3">
        <v>0</v>
      </c>
      <c r="CM3">
        <v>2</v>
      </c>
      <c r="CN3">
        <v>0</v>
      </c>
      <c r="CO3">
        <v>2</v>
      </c>
      <c r="CP3" t="s">
        <v>119</v>
      </c>
      <c r="CQ3">
        <v>145</v>
      </c>
      <c r="CR3">
        <v>1</v>
      </c>
      <c r="CW3">
        <v>8844440</v>
      </c>
      <c r="CY3">
        <v>0</v>
      </c>
      <c r="CZ3">
        <v>0</v>
      </c>
      <c r="DA3">
        <v>1</v>
      </c>
      <c r="DB3">
        <v>0</v>
      </c>
      <c r="DC3">
        <v>0</v>
      </c>
      <c r="DD3">
        <v>0</v>
      </c>
      <c r="DE3">
        <v>0</v>
      </c>
      <c r="DF3">
        <v>1</v>
      </c>
      <c r="DG3">
        <v>0</v>
      </c>
      <c r="DH3">
        <v>0</v>
      </c>
      <c r="DI3">
        <v>1</v>
      </c>
    </row>
    <row r="4" spans="1:113" x14ac:dyDescent="0.3">
      <c r="A4" t="str">
        <f>"02/13/2022 18:35:20.775"</f>
        <v>02/13/2022 18:35:20.775</v>
      </c>
      <c r="C4" t="str">
        <f>"FFD353C0"</f>
        <v>FFD353C0</v>
      </c>
      <c r="D4" t="s">
        <v>121</v>
      </c>
      <c r="E4">
        <v>2</v>
      </c>
      <c r="H4">
        <v>158</v>
      </c>
      <c r="I4" t="s">
        <v>120</v>
      </c>
      <c r="J4" t="s">
        <v>122</v>
      </c>
      <c r="K4">
        <v>0</v>
      </c>
      <c r="L4">
        <v>3</v>
      </c>
      <c r="M4">
        <v>0</v>
      </c>
      <c r="N4">
        <v>2</v>
      </c>
      <c r="O4">
        <v>1</v>
      </c>
      <c r="P4">
        <v>0</v>
      </c>
      <c r="Q4">
        <v>0</v>
      </c>
      <c r="S4" t="str">
        <f>"18:35:20.539"</f>
        <v>18:35:20.539</v>
      </c>
      <c r="T4" t="str">
        <f>"18:35:17.939"</f>
        <v>18:35:17.939</v>
      </c>
      <c r="U4" t="str">
        <f t="shared" si="0"/>
        <v>AAB6EE</v>
      </c>
      <c r="V4">
        <v>0</v>
      </c>
      <c r="W4">
        <v>0</v>
      </c>
      <c r="X4">
        <v>4</v>
      </c>
      <c r="Z4">
        <v>0</v>
      </c>
      <c r="AA4">
        <v>8</v>
      </c>
      <c r="AB4">
        <v>3</v>
      </c>
      <c r="AC4">
        <v>0</v>
      </c>
      <c r="AD4">
        <v>10</v>
      </c>
      <c r="AE4">
        <v>0</v>
      </c>
      <c r="AF4">
        <v>0</v>
      </c>
      <c r="AH4">
        <v>1</v>
      </c>
      <c r="AI4" t="s">
        <v>116</v>
      </c>
      <c r="AJ4">
        <v>35.565255000000001</v>
      </c>
      <c r="AK4" t="s">
        <v>117</v>
      </c>
      <c r="AL4">
        <v>-75.991809000000003</v>
      </c>
      <c r="AM4">
        <v>25</v>
      </c>
      <c r="AN4">
        <v>1100</v>
      </c>
      <c r="AO4" t="s">
        <v>118</v>
      </c>
      <c r="AP4">
        <v>-134</v>
      </c>
      <c r="AQ4">
        <v>8</v>
      </c>
      <c r="AR4">
        <v>1728</v>
      </c>
      <c r="AZ4">
        <v>1200</v>
      </c>
      <c r="BA4">
        <v>1</v>
      </c>
      <c r="BE4">
        <v>0</v>
      </c>
      <c r="BF4">
        <v>0</v>
      </c>
      <c r="BG4">
        <v>0</v>
      </c>
      <c r="BI4">
        <v>0</v>
      </c>
      <c r="BJ4">
        <v>0</v>
      </c>
      <c r="BK4">
        <v>0</v>
      </c>
      <c r="BL4">
        <v>0</v>
      </c>
      <c r="BO4">
        <v>0</v>
      </c>
      <c r="BP4">
        <v>0</v>
      </c>
      <c r="BW4" t="str">
        <f>"18:35:20.540"</f>
        <v>18:35:20.540</v>
      </c>
      <c r="CJ4">
        <v>0</v>
      </c>
      <c r="CK4">
        <v>2</v>
      </c>
      <c r="CL4">
        <v>0</v>
      </c>
      <c r="CM4">
        <v>2</v>
      </c>
      <c r="CN4">
        <v>0</v>
      </c>
      <c r="CO4">
        <v>2</v>
      </c>
      <c r="CP4" t="s">
        <v>119</v>
      </c>
      <c r="CQ4">
        <v>145</v>
      </c>
      <c r="CR4">
        <v>1</v>
      </c>
      <c r="CW4">
        <v>8844440</v>
      </c>
      <c r="CY4">
        <v>0</v>
      </c>
      <c r="CZ4">
        <v>0</v>
      </c>
      <c r="DA4">
        <v>1</v>
      </c>
      <c r="DB4">
        <v>0</v>
      </c>
      <c r="DC4">
        <v>0</v>
      </c>
      <c r="DD4">
        <v>0</v>
      </c>
      <c r="DE4">
        <v>0</v>
      </c>
      <c r="DF4">
        <v>1</v>
      </c>
      <c r="DG4">
        <v>0</v>
      </c>
      <c r="DH4">
        <v>0</v>
      </c>
      <c r="DI4">
        <v>1</v>
      </c>
    </row>
    <row r="5" spans="1:113" x14ac:dyDescent="0.3">
      <c r="A5" t="str">
        <f>"02/13/2022 18:35:22.604"</f>
        <v>02/13/2022 18:35:22.604</v>
      </c>
      <c r="C5" t="str">
        <f t="shared" ref="C5:C68" si="1">"FFDFD7C0"</f>
        <v>FFDFD7C0</v>
      </c>
      <c r="D5" t="s">
        <v>121</v>
      </c>
      <c r="E5">
        <v>2</v>
      </c>
      <c r="H5">
        <v>158</v>
      </c>
      <c r="I5" t="s">
        <v>120</v>
      </c>
      <c r="J5" t="s">
        <v>122</v>
      </c>
      <c r="K5">
        <v>0</v>
      </c>
      <c r="L5">
        <v>3</v>
      </c>
      <c r="M5">
        <v>0</v>
      </c>
      <c r="N5">
        <v>2</v>
      </c>
      <c r="O5">
        <v>1</v>
      </c>
      <c r="P5">
        <v>0</v>
      </c>
      <c r="Q5">
        <v>0</v>
      </c>
      <c r="S5" t="str">
        <f>"18:35:22.305"</f>
        <v>18:35:22.305</v>
      </c>
      <c r="T5" t="str">
        <f>"18:35:21.605"</f>
        <v>18:35:21.605</v>
      </c>
      <c r="U5" t="str">
        <f t="shared" si="0"/>
        <v>AAB6EE</v>
      </c>
      <c r="V5">
        <v>0</v>
      </c>
      <c r="W5">
        <v>0</v>
      </c>
      <c r="X5">
        <v>4</v>
      </c>
      <c r="Z5">
        <v>0</v>
      </c>
      <c r="AA5">
        <v>8</v>
      </c>
      <c r="AB5">
        <v>3</v>
      </c>
      <c r="AC5">
        <v>0</v>
      </c>
      <c r="AD5">
        <v>10</v>
      </c>
      <c r="AE5">
        <v>0</v>
      </c>
      <c r="AF5">
        <v>0</v>
      </c>
      <c r="AG5">
        <v>1</v>
      </c>
      <c r="AH5">
        <v>1</v>
      </c>
      <c r="AI5" t="s">
        <v>123</v>
      </c>
      <c r="AJ5">
        <v>35.565212000000002</v>
      </c>
      <c r="AK5" t="s">
        <v>124</v>
      </c>
      <c r="AL5">
        <v>-75.993183000000002</v>
      </c>
      <c r="AM5">
        <v>25</v>
      </c>
      <c r="AN5">
        <v>1150</v>
      </c>
      <c r="AO5" t="s">
        <v>118</v>
      </c>
      <c r="AP5">
        <v>-136</v>
      </c>
      <c r="AQ5">
        <v>-3</v>
      </c>
      <c r="AR5">
        <v>1920</v>
      </c>
      <c r="AZ5">
        <v>1200</v>
      </c>
      <c r="BA5">
        <v>1</v>
      </c>
      <c r="BB5" t="str">
        <f t="shared" ref="BB5:BB68" si="2">"N79NX   "</f>
        <v xml:space="preserve">N79NX   </v>
      </c>
      <c r="BC5">
        <v>1</v>
      </c>
      <c r="BE5">
        <v>0</v>
      </c>
      <c r="BF5">
        <v>0</v>
      </c>
      <c r="BG5">
        <v>0</v>
      </c>
      <c r="BH5">
        <v>1000</v>
      </c>
      <c r="BI5">
        <v>0</v>
      </c>
      <c r="BJ5">
        <v>0</v>
      </c>
      <c r="BK5">
        <v>0</v>
      </c>
      <c r="BL5">
        <v>0</v>
      </c>
      <c r="BO5">
        <v>0</v>
      </c>
      <c r="BP5">
        <v>0</v>
      </c>
      <c r="BW5" t="str">
        <f>"18:35:22.310"</f>
        <v>18:35:22.310</v>
      </c>
      <c r="BZ5">
        <v>0</v>
      </c>
      <c r="CA5">
        <v>3488</v>
      </c>
      <c r="CB5">
        <v>216</v>
      </c>
      <c r="CC5">
        <v>587.8125</v>
      </c>
      <c r="CD5">
        <v>1</v>
      </c>
      <c r="CE5">
        <v>1</v>
      </c>
      <c r="CF5">
        <v>0</v>
      </c>
      <c r="CG5">
        <v>0</v>
      </c>
      <c r="CH5">
        <v>0</v>
      </c>
      <c r="CI5">
        <v>0</v>
      </c>
      <c r="CJ5">
        <v>0</v>
      </c>
      <c r="CK5">
        <v>2</v>
      </c>
      <c r="CL5">
        <v>0</v>
      </c>
      <c r="CM5">
        <v>2</v>
      </c>
      <c r="CN5">
        <v>0</v>
      </c>
      <c r="CO5">
        <v>1</v>
      </c>
      <c r="CP5" t="s">
        <v>119</v>
      </c>
      <c r="CQ5">
        <v>145</v>
      </c>
      <c r="CR5">
        <v>1</v>
      </c>
      <c r="CW5">
        <v>8845242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</row>
    <row r="6" spans="1:113" x14ac:dyDescent="0.3">
      <c r="A6" t="str">
        <f>"02/13/2022 18:35:22.604"</f>
        <v>02/13/2022 18:35:22.604</v>
      </c>
      <c r="C6" t="str">
        <f t="shared" si="1"/>
        <v>FFDFD7C0</v>
      </c>
      <c r="D6" t="s">
        <v>113</v>
      </c>
      <c r="E6">
        <v>4</v>
      </c>
      <c r="F6">
        <v>1004</v>
      </c>
      <c r="G6" t="s">
        <v>120</v>
      </c>
      <c r="J6" t="s">
        <v>115</v>
      </c>
      <c r="K6">
        <v>0</v>
      </c>
      <c r="L6">
        <v>3</v>
      </c>
      <c r="M6">
        <v>0</v>
      </c>
      <c r="N6">
        <v>2</v>
      </c>
      <c r="O6">
        <v>1</v>
      </c>
      <c r="P6">
        <v>0</v>
      </c>
      <c r="Q6">
        <v>0</v>
      </c>
      <c r="S6" t="str">
        <f>"18:35:22.305"</f>
        <v>18:35:22.305</v>
      </c>
      <c r="T6" t="str">
        <f>"18:35:21.605"</f>
        <v>18:35:21.605</v>
      </c>
      <c r="U6" t="str">
        <f t="shared" si="0"/>
        <v>AAB6EE</v>
      </c>
      <c r="V6">
        <v>0</v>
      </c>
      <c r="W6">
        <v>0</v>
      </c>
      <c r="X6">
        <v>4</v>
      </c>
      <c r="Z6">
        <v>0</v>
      </c>
      <c r="AA6">
        <v>8</v>
      </c>
      <c r="AB6">
        <v>3</v>
      </c>
      <c r="AC6">
        <v>0</v>
      </c>
      <c r="AD6">
        <v>10</v>
      </c>
      <c r="AE6">
        <v>0</v>
      </c>
      <c r="AF6">
        <v>0</v>
      </c>
      <c r="AG6">
        <v>1</v>
      </c>
      <c r="AH6">
        <v>1</v>
      </c>
      <c r="AI6" t="s">
        <v>123</v>
      </c>
      <c r="AJ6">
        <v>35.565212000000002</v>
      </c>
      <c r="AK6" t="s">
        <v>124</v>
      </c>
      <c r="AL6">
        <v>-75.993183000000002</v>
      </c>
      <c r="AM6">
        <v>25</v>
      </c>
      <c r="AN6">
        <v>1150</v>
      </c>
      <c r="AO6" t="s">
        <v>118</v>
      </c>
      <c r="AP6">
        <v>-136</v>
      </c>
      <c r="AQ6">
        <v>-3</v>
      </c>
      <c r="AR6">
        <v>1920</v>
      </c>
      <c r="AZ6">
        <v>1200</v>
      </c>
      <c r="BA6">
        <v>1</v>
      </c>
      <c r="BB6" t="str">
        <f t="shared" si="2"/>
        <v xml:space="preserve">N79NX   </v>
      </c>
      <c r="BC6">
        <v>1</v>
      </c>
      <c r="BE6">
        <v>0</v>
      </c>
      <c r="BF6">
        <v>0</v>
      </c>
      <c r="BG6">
        <v>0</v>
      </c>
      <c r="BH6">
        <v>1000</v>
      </c>
      <c r="BI6">
        <v>0</v>
      </c>
      <c r="BJ6">
        <v>0</v>
      </c>
      <c r="BK6">
        <v>0</v>
      </c>
      <c r="BL6">
        <v>0</v>
      </c>
      <c r="BO6">
        <v>0</v>
      </c>
      <c r="BP6">
        <v>0</v>
      </c>
      <c r="BW6" t="str">
        <f>"18:35:22.310"</f>
        <v>18:35:22.310</v>
      </c>
      <c r="BZ6">
        <v>0</v>
      </c>
      <c r="CA6">
        <v>3488</v>
      </c>
      <c r="CB6">
        <v>216</v>
      </c>
      <c r="CC6">
        <v>587.8125</v>
      </c>
      <c r="CD6">
        <v>1</v>
      </c>
      <c r="CE6">
        <v>1</v>
      </c>
      <c r="CF6">
        <v>0</v>
      </c>
      <c r="CG6">
        <v>0</v>
      </c>
      <c r="CH6">
        <v>0</v>
      </c>
      <c r="CI6">
        <v>0</v>
      </c>
      <c r="CJ6">
        <v>0</v>
      </c>
      <c r="CK6">
        <v>2</v>
      </c>
      <c r="CL6">
        <v>0</v>
      </c>
      <c r="CM6">
        <v>2</v>
      </c>
      <c r="CN6">
        <v>0</v>
      </c>
      <c r="CO6">
        <v>1</v>
      </c>
      <c r="CP6" t="s">
        <v>119</v>
      </c>
      <c r="CQ6">
        <v>145</v>
      </c>
      <c r="CR6">
        <v>1</v>
      </c>
      <c r="CW6">
        <v>8845242</v>
      </c>
      <c r="CY6">
        <v>0</v>
      </c>
      <c r="CZ6">
        <v>0</v>
      </c>
      <c r="DA6">
        <v>1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</row>
    <row r="7" spans="1:113" x14ac:dyDescent="0.3">
      <c r="A7" t="str">
        <f>"02/13/2022 18:35:22.604"</f>
        <v>02/13/2022 18:35:22.604</v>
      </c>
      <c r="C7" t="str">
        <f t="shared" si="1"/>
        <v>FFDFD7C0</v>
      </c>
      <c r="D7" t="s">
        <v>113</v>
      </c>
      <c r="E7">
        <v>3</v>
      </c>
      <c r="F7">
        <v>1003</v>
      </c>
      <c r="G7" t="s">
        <v>114</v>
      </c>
      <c r="J7" t="s">
        <v>115</v>
      </c>
      <c r="K7">
        <v>0</v>
      </c>
      <c r="L7">
        <v>3</v>
      </c>
      <c r="M7">
        <v>0</v>
      </c>
      <c r="N7">
        <v>2</v>
      </c>
      <c r="O7">
        <v>1</v>
      </c>
      <c r="P7">
        <v>0</v>
      </c>
      <c r="Q7">
        <v>0</v>
      </c>
      <c r="S7" t="str">
        <f>"18:35:22.305"</f>
        <v>18:35:22.305</v>
      </c>
      <c r="T7" t="str">
        <f>"18:35:21.605"</f>
        <v>18:35:21.605</v>
      </c>
      <c r="U7" t="str">
        <f t="shared" si="0"/>
        <v>AAB6EE</v>
      </c>
      <c r="V7">
        <v>0</v>
      </c>
      <c r="W7">
        <v>0</v>
      </c>
      <c r="X7">
        <v>4</v>
      </c>
      <c r="Z7">
        <v>0</v>
      </c>
      <c r="AA7">
        <v>8</v>
      </c>
      <c r="AB7">
        <v>3</v>
      </c>
      <c r="AC7">
        <v>0</v>
      </c>
      <c r="AD7">
        <v>10</v>
      </c>
      <c r="AE7">
        <v>0</v>
      </c>
      <c r="AF7">
        <v>0</v>
      </c>
      <c r="AG7">
        <v>1</v>
      </c>
      <c r="AH7">
        <v>1</v>
      </c>
      <c r="AI7" t="s">
        <v>123</v>
      </c>
      <c r="AJ7">
        <v>35.565212000000002</v>
      </c>
      <c r="AK7" t="s">
        <v>124</v>
      </c>
      <c r="AL7">
        <v>-75.993183000000002</v>
      </c>
      <c r="AM7">
        <v>25</v>
      </c>
      <c r="AN7">
        <v>1150</v>
      </c>
      <c r="AO7" t="s">
        <v>118</v>
      </c>
      <c r="AP7">
        <v>-136</v>
      </c>
      <c r="AQ7">
        <v>-3</v>
      </c>
      <c r="AR7">
        <v>1920</v>
      </c>
      <c r="AZ7">
        <v>1200</v>
      </c>
      <c r="BA7">
        <v>1</v>
      </c>
      <c r="BB7" t="str">
        <f t="shared" si="2"/>
        <v xml:space="preserve">N79NX   </v>
      </c>
      <c r="BC7">
        <v>1</v>
      </c>
      <c r="BE7">
        <v>0</v>
      </c>
      <c r="BF7">
        <v>0</v>
      </c>
      <c r="BG7">
        <v>0</v>
      </c>
      <c r="BH7">
        <v>1000</v>
      </c>
      <c r="BI7">
        <v>0</v>
      </c>
      <c r="BJ7">
        <v>0</v>
      </c>
      <c r="BK7">
        <v>0</v>
      </c>
      <c r="BL7">
        <v>0</v>
      </c>
      <c r="BO7">
        <v>0</v>
      </c>
      <c r="BP7">
        <v>0</v>
      </c>
      <c r="BW7" t="str">
        <f>"18:35:22.310"</f>
        <v>18:35:22.310</v>
      </c>
      <c r="BZ7">
        <v>0</v>
      </c>
      <c r="CA7">
        <v>3488</v>
      </c>
      <c r="CB7">
        <v>216</v>
      </c>
      <c r="CC7">
        <v>587.8125</v>
      </c>
      <c r="CD7">
        <v>1</v>
      </c>
      <c r="CE7">
        <v>1</v>
      </c>
      <c r="CF7">
        <v>0</v>
      </c>
      <c r="CG7">
        <v>0</v>
      </c>
      <c r="CH7">
        <v>0</v>
      </c>
      <c r="CI7">
        <v>0</v>
      </c>
      <c r="CJ7">
        <v>0</v>
      </c>
      <c r="CK7">
        <v>2</v>
      </c>
      <c r="CL7">
        <v>0</v>
      </c>
      <c r="CM7">
        <v>2</v>
      </c>
      <c r="CN7">
        <v>0</v>
      </c>
      <c r="CO7">
        <v>1</v>
      </c>
      <c r="CP7" t="s">
        <v>119</v>
      </c>
      <c r="CQ7">
        <v>145</v>
      </c>
      <c r="CR7">
        <v>1</v>
      </c>
      <c r="CW7">
        <v>8845242</v>
      </c>
      <c r="CY7">
        <v>0</v>
      </c>
      <c r="CZ7">
        <v>0</v>
      </c>
      <c r="DA7">
        <v>1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</row>
    <row r="8" spans="1:113" x14ac:dyDescent="0.3">
      <c r="A8" t="str">
        <f>"02/13/2022 18:35:25.795"</f>
        <v>02/13/2022 18:35:25.795</v>
      </c>
      <c r="C8" t="str">
        <f t="shared" si="1"/>
        <v>FFDFD7C0</v>
      </c>
      <c r="D8" t="s">
        <v>113</v>
      </c>
      <c r="E8">
        <v>3</v>
      </c>
      <c r="F8">
        <v>1003</v>
      </c>
      <c r="G8" t="s">
        <v>114</v>
      </c>
      <c r="J8" t="s">
        <v>115</v>
      </c>
      <c r="K8">
        <v>0</v>
      </c>
      <c r="L8">
        <v>3</v>
      </c>
      <c r="M8">
        <v>0</v>
      </c>
      <c r="N8">
        <v>2</v>
      </c>
      <c r="O8">
        <v>1</v>
      </c>
      <c r="P8">
        <v>0</v>
      </c>
      <c r="Q8">
        <v>0</v>
      </c>
      <c r="S8" t="str">
        <f>"18:35:25.555"</f>
        <v>18:35:25.555</v>
      </c>
      <c r="T8" t="str">
        <f>"18:35:24.555"</f>
        <v>18:35:24.555</v>
      </c>
      <c r="U8" t="str">
        <f t="shared" si="0"/>
        <v>AAB6EE</v>
      </c>
      <c r="V8">
        <v>0</v>
      </c>
      <c r="W8">
        <v>0</v>
      </c>
      <c r="X8">
        <v>4</v>
      </c>
      <c r="Z8">
        <v>0</v>
      </c>
      <c r="AA8">
        <v>8</v>
      </c>
      <c r="AB8">
        <v>3</v>
      </c>
      <c r="AC8">
        <v>0</v>
      </c>
      <c r="AD8">
        <v>10</v>
      </c>
      <c r="AE8">
        <v>0</v>
      </c>
      <c r="AF8">
        <v>0</v>
      </c>
      <c r="AG8">
        <v>1</v>
      </c>
      <c r="AH8">
        <v>1</v>
      </c>
      <c r="AI8" t="s">
        <v>125</v>
      </c>
      <c r="AJ8">
        <v>35.564847</v>
      </c>
      <c r="AK8" t="s">
        <v>126</v>
      </c>
      <c r="AL8">
        <v>-75.995693000000003</v>
      </c>
      <c r="AM8">
        <v>25</v>
      </c>
      <c r="AN8">
        <v>1275</v>
      </c>
      <c r="AO8" t="s">
        <v>118</v>
      </c>
      <c r="AP8">
        <v>-137</v>
      </c>
      <c r="AQ8">
        <v>-28</v>
      </c>
      <c r="AR8">
        <v>2048</v>
      </c>
      <c r="AZ8">
        <v>1200</v>
      </c>
      <c r="BA8">
        <v>1</v>
      </c>
      <c r="BB8" t="str">
        <f t="shared" si="2"/>
        <v xml:space="preserve">N79NX   </v>
      </c>
      <c r="BC8">
        <v>1</v>
      </c>
      <c r="BE8">
        <v>0</v>
      </c>
      <c r="BF8">
        <v>0</v>
      </c>
      <c r="BG8">
        <v>0</v>
      </c>
      <c r="BH8">
        <v>1050</v>
      </c>
      <c r="BI8">
        <v>0</v>
      </c>
      <c r="BJ8">
        <v>0</v>
      </c>
      <c r="BK8">
        <v>0</v>
      </c>
      <c r="BL8">
        <v>0</v>
      </c>
      <c r="BO8">
        <v>0</v>
      </c>
      <c r="BP8">
        <v>0</v>
      </c>
      <c r="BW8" t="str">
        <f>"18:35:25.560"</f>
        <v>18:35:25.560</v>
      </c>
      <c r="BZ8">
        <v>0</v>
      </c>
      <c r="CA8">
        <v>3488</v>
      </c>
      <c r="CB8">
        <v>216</v>
      </c>
      <c r="CC8">
        <v>583.59379999999999</v>
      </c>
      <c r="CD8">
        <v>1</v>
      </c>
      <c r="CE8">
        <v>1</v>
      </c>
      <c r="CF8">
        <v>0</v>
      </c>
      <c r="CG8">
        <v>0</v>
      </c>
      <c r="CH8">
        <v>0</v>
      </c>
      <c r="CI8">
        <v>0</v>
      </c>
      <c r="CJ8">
        <v>0</v>
      </c>
      <c r="CK8">
        <v>2</v>
      </c>
      <c r="CL8">
        <v>0</v>
      </c>
      <c r="CM8">
        <v>2</v>
      </c>
      <c r="CN8">
        <v>0</v>
      </c>
      <c r="CO8">
        <v>2</v>
      </c>
      <c r="CP8" t="s">
        <v>119</v>
      </c>
      <c r="CQ8">
        <v>145</v>
      </c>
      <c r="CR8">
        <v>1</v>
      </c>
      <c r="CW8">
        <v>8846887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</row>
    <row r="9" spans="1:113" x14ac:dyDescent="0.3">
      <c r="A9" t="str">
        <f>"02/13/2022 18:35:25.795"</f>
        <v>02/13/2022 18:35:25.795</v>
      </c>
      <c r="C9" t="str">
        <f t="shared" si="1"/>
        <v>FFDFD7C0</v>
      </c>
      <c r="D9" t="s">
        <v>113</v>
      </c>
      <c r="E9">
        <v>4</v>
      </c>
      <c r="F9">
        <v>1004</v>
      </c>
      <c r="G9" t="s">
        <v>120</v>
      </c>
      <c r="J9" t="s">
        <v>115</v>
      </c>
      <c r="K9">
        <v>0</v>
      </c>
      <c r="L9">
        <v>3</v>
      </c>
      <c r="M9">
        <v>0</v>
      </c>
      <c r="N9">
        <v>2</v>
      </c>
      <c r="O9">
        <v>1</v>
      </c>
      <c r="P9">
        <v>0</v>
      </c>
      <c r="Q9">
        <v>0</v>
      </c>
      <c r="S9" t="str">
        <f>"18:35:25.555"</f>
        <v>18:35:25.555</v>
      </c>
      <c r="T9" t="str">
        <f>"18:35:24.555"</f>
        <v>18:35:24.555</v>
      </c>
      <c r="U9" t="str">
        <f t="shared" si="0"/>
        <v>AAB6EE</v>
      </c>
      <c r="V9">
        <v>0</v>
      </c>
      <c r="W9">
        <v>0</v>
      </c>
      <c r="X9">
        <v>4</v>
      </c>
      <c r="Z9">
        <v>0</v>
      </c>
      <c r="AA9">
        <v>8</v>
      </c>
      <c r="AB9">
        <v>3</v>
      </c>
      <c r="AC9">
        <v>0</v>
      </c>
      <c r="AD9">
        <v>10</v>
      </c>
      <c r="AE9">
        <v>0</v>
      </c>
      <c r="AF9">
        <v>0</v>
      </c>
      <c r="AG9">
        <v>1</v>
      </c>
      <c r="AH9">
        <v>1</v>
      </c>
      <c r="AI9" t="s">
        <v>125</v>
      </c>
      <c r="AJ9">
        <v>35.564847</v>
      </c>
      <c r="AK9" t="s">
        <v>126</v>
      </c>
      <c r="AL9">
        <v>-75.995693000000003</v>
      </c>
      <c r="AM9">
        <v>25</v>
      </c>
      <c r="AN9">
        <v>1275</v>
      </c>
      <c r="AO9" t="s">
        <v>118</v>
      </c>
      <c r="AP9">
        <v>-137</v>
      </c>
      <c r="AQ9">
        <v>-28</v>
      </c>
      <c r="AR9">
        <v>2048</v>
      </c>
      <c r="AZ9">
        <v>1200</v>
      </c>
      <c r="BA9">
        <v>1</v>
      </c>
      <c r="BB9" t="str">
        <f t="shared" si="2"/>
        <v xml:space="preserve">N79NX   </v>
      </c>
      <c r="BC9">
        <v>1</v>
      </c>
      <c r="BE9">
        <v>0</v>
      </c>
      <c r="BF9">
        <v>0</v>
      </c>
      <c r="BG9">
        <v>0</v>
      </c>
      <c r="BH9">
        <v>1050</v>
      </c>
      <c r="BI9">
        <v>0</v>
      </c>
      <c r="BJ9">
        <v>0</v>
      </c>
      <c r="BK9">
        <v>0</v>
      </c>
      <c r="BL9">
        <v>0</v>
      </c>
      <c r="BO9">
        <v>0</v>
      </c>
      <c r="BP9">
        <v>0</v>
      </c>
      <c r="BW9" t="str">
        <f>"18:35:25.560"</f>
        <v>18:35:25.560</v>
      </c>
      <c r="BZ9">
        <v>0</v>
      </c>
      <c r="CA9">
        <v>3488</v>
      </c>
      <c r="CB9">
        <v>216</v>
      </c>
      <c r="CC9">
        <v>583.59379999999999</v>
      </c>
      <c r="CD9">
        <v>1</v>
      </c>
      <c r="CE9">
        <v>1</v>
      </c>
      <c r="CF9">
        <v>0</v>
      </c>
      <c r="CG9">
        <v>0</v>
      </c>
      <c r="CH9">
        <v>0</v>
      </c>
      <c r="CI9">
        <v>0</v>
      </c>
      <c r="CJ9">
        <v>0</v>
      </c>
      <c r="CK9">
        <v>2</v>
      </c>
      <c r="CL9">
        <v>0</v>
      </c>
      <c r="CM9">
        <v>2</v>
      </c>
      <c r="CN9">
        <v>0</v>
      </c>
      <c r="CO9">
        <v>2</v>
      </c>
      <c r="CP9" t="s">
        <v>119</v>
      </c>
      <c r="CQ9">
        <v>145</v>
      </c>
      <c r="CR9">
        <v>1</v>
      </c>
      <c r="CW9">
        <v>8846887</v>
      </c>
      <c r="CY9">
        <v>0</v>
      </c>
      <c r="CZ9">
        <v>0</v>
      </c>
      <c r="DA9">
        <v>1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</row>
    <row r="10" spans="1:113" x14ac:dyDescent="0.3">
      <c r="A10" t="str">
        <f>"02/13/2022 18:35:25.795"</f>
        <v>02/13/2022 18:35:25.795</v>
      </c>
      <c r="C10" t="str">
        <f t="shared" si="1"/>
        <v>FFDFD7C0</v>
      </c>
      <c r="D10" t="s">
        <v>121</v>
      </c>
      <c r="E10">
        <v>2</v>
      </c>
      <c r="H10">
        <v>158</v>
      </c>
      <c r="I10" t="s">
        <v>120</v>
      </c>
      <c r="J10" t="s">
        <v>122</v>
      </c>
      <c r="K10">
        <v>0</v>
      </c>
      <c r="L10">
        <v>3</v>
      </c>
      <c r="M10">
        <v>0</v>
      </c>
      <c r="N10">
        <v>2</v>
      </c>
      <c r="O10">
        <v>1</v>
      </c>
      <c r="P10">
        <v>0</v>
      </c>
      <c r="Q10">
        <v>0</v>
      </c>
      <c r="S10" t="str">
        <f>"18:35:25.555"</f>
        <v>18:35:25.555</v>
      </c>
      <c r="T10" t="str">
        <f>"18:35:24.555"</f>
        <v>18:35:24.555</v>
      </c>
      <c r="U10" t="str">
        <f t="shared" si="0"/>
        <v>AAB6EE</v>
      </c>
      <c r="V10">
        <v>0</v>
      </c>
      <c r="W10">
        <v>0</v>
      </c>
      <c r="X10">
        <v>4</v>
      </c>
      <c r="Z10">
        <v>0</v>
      </c>
      <c r="AA10">
        <v>8</v>
      </c>
      <c r="AB10">
        <v>3</v>
      </c>
      <c r="AC10">
        <v>0</v>
      </c>
      <c r="AD10">
        <v>10</v>
      </c>
      <c r="AE10">
        <v>0</v>
      </c>
      <c r="AF10">
        <v>0</v>
      </c>
      <c r="AG10">
        <v>1</v>
      </c>
      <c r="AH10">
        <v>1</v>
      </c>
      <c r="AI10" t="s">
        <v>125</v>
      </c>
      <c r="AJ10">
        <v>35.564847</v>
      </c>
      <c r="AK10" t="s">
        <v>126</v>
      </c>
      <c r="AL10">
        <v>-75.995693000000003</v>
      </c>
      <c r="AM10">
        <v>25</v>
      </c>
      <c r="AN10">
        <v>1275</v>
      </c>
      <c r="AO10" t="s">
        <v>118</v>
      </c>
      <c r="AP10">
        <v>-137</v>
      </c>
      <c r="AQ10">
        <v>-28</v>
      </c>
      <c r="AR10">
        <v>2048</v>
      </c>
      <c r="AZ10">
        <v>1200</v>
      </c>
      <c r="BA10">
        <v>1</v>
      </c>
      <c r="BB10" t="str">
        <f t="shared" si="2"/>
        <v xml:space="preserve">N79NX   </v>
      </c>
      <c r="BC10">
        <v>1</v>
      </c>
      <c r="BE10">
        <v>0</v>
      </c>
      <c r="BF10">
        <v>0</v>
      </c>
      <c r="BG10">
        <v>0</v>
      </c>
      <c r="BH10">
        <v>1050</v>
      </c>
      <c r="BI10">
        <v>0</v>
      </c>
      <c r="BJ10">
        <v>0</v>
      </c>
      <c r="BK10">
        <v>0</v>
      </c>
      <c r="BL10">
        <v>0</v>
      </c>
      <c r="BO10">
        <v>0</v>
      </c>
      <c r="BP10">
        <v>0</v>
      </c>
      <c r="BW10" t="str">
        <f>"18:35:25.560"</f>
        <v>18:35:25.560</v>
      </c>
      <c r="BZ10">
        <v>0</v>
      </c>
      <c r="CA10">
        <v>3488</v>
      </c>
      <c r="CB10">
        <v>216</v>
      </c>
      <c r="CC10">
        <v>583.59379999999999</v>
      </c>
      <c r="CD10">
        <v>1</v>
      </c>
      <c r="CE10">
        <v>1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2</v>
      </c>
      <c r="CL10">
        <v>0</v>
      </c>
      <c r="CM10">
        <v>2</v>
      </c>
      <c r="CN10">
        <v>0</v>
      </c>
      <c r="CO10">
        <v>2</v>
      </c>
      <c r="CP10" t="s">
        <v>119</v>
      </c>
      <c r="CQ10">
        <v>145</v>
      </c>
      <c r="CR10">
        <v>1</v>
      </c>
      <c r="CW10">
        <v>8846887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</row>
    <row r="11" spans="1:113" x14ac:dyDescent="0.3">
      <c r="A11" t="str">
        <f>"02/13/2022 18:35:26.920"</f>
        <v>02/13/2022 18:35:26.920</v>
      </c>
      <c r="C11" t="str">
        <f t="shared" si="1"/>
        <v>FFDFD7C0</v>
      </c>
      <c r="D11" t="s">
        <v>113</v>
      </c>
      <c r="E11">
        <v>3</v>
      </c>
      <c r="F11">
        <v>1003</v>
      </c>
      <c r="G11" t="s">
        <v>114</v>
      </c>
      <c r="J11" t="s">
        <v>115</v>
      </c>
      <c r="K11">
        <v>0</v>
      </c>
      <c r="L11">
        <v>3</v>
      </c>
      <c r="M11">
        <v>0</v>
      </c>
      <c r="N11">
        <v>2</v>
      </c>
      <c r="O11">
        <v>1</v>
      </c>
      <c r="P11">
        <v>0</v>
      </c>
      <c r="Q11">
        <v>0</v>
      </c>
      <c r="S11" t="str">
        <f>"18:35:26.687"</f>
        <v>18:35:26.687</v>
      </c>
      <c r="T11" t="str">
        <f>"18:35:25.687"</f>
        <v>18:35:25.687</v>
      </c>
      <c r="U11" t="str">
        <f t="shared" si="0"/>
        <v>AAB6EE</v>
      </c>
      <c r="V11">
        <v>0</v>
      </c>
      <c r="W11">
        <v>0</v>
      </c>
      <c r="X11">
        <v>4</v>
      </c>
      <c r="Z11">
        <v>0</v>
      </c>
      <c r="AA11">
        <v>8</v>
      </c>
      <c r="AB11">
        <v>3</v>
      </c>
      <c r="AC11">
        <v>0</v>
      </c>
      <c r="AD11">
        <v>10</v>
      </c>
      <c r="AE11">
        <v>0</v>
      </c>
      <c r="AF11">
        <v>0</v>
      </c>
      <c r="AG11">
        <v>1</v>
      </c>
      <c r="AH11">
        <v>1</v>
      </c>
      <c r="AI11" t="s">
        <v>127</v>
      </c>
      <c r="AJ11">
        <v>35.564610999999999</v>
      </c>
      <c r="AK11" t="s">
        <v>128</v>
      </c>
      <c r="AL11">
        <v>-75.996530000000007</v>
      </c>
      <c r="AM11">
        <v>25</v>
      </c>
      <c r="AN11">
        <v>1325</v>
      </c>
      <c r="AO11" t="s">
        <v>118</v>
      </c>
      <c r="AP11">
        <v>-136</v>
      </c>
      <c r="AQ11">
        <v>-37</v>
      </c>
      <c r="AR11">
        <v>2176</v>
      </c>
      <c r="AZ11">
        <v>1200</v>
      </c>
      <c r="BA11">
        <v>1</v>
      </c>
      <c r="BB11" t="str">
        <f t="shared" si="2"/>
        <v xml:space="preserve">N79NX   </v>
      </c>
      <c r="BC11">
        <v>1</v>
      </c>
      <c r="BE11">
        <v>0</v>
      </c>
      <c r="BF11">
        <v>0</v>
      </c>
      <c r="BG11">
        <v>0</v>
      </c>
      <c r="BH11">
        <v>1175</v>
      </c>
      <c r="BI11">
        <v>0</v>
      </c>
      <c r="BJ11">
        <v>0</v>
      </c>
      <c r="BK11">
        <v>0</v>
      </c>
      <c r="BL11">
        <v>0</v>
      </c>
      <c r="BO11">
        <v>0</v>
      </c>
      <c r="BP11">
        <v>0</v>
      </c>
      <c r="BW11" t="str">
        <f>"18:35:26.690"</f>
        <v>18:35:26.690</v>
      </c>
      <c r="BZ11">
        <v>0</v>
      </c>
      <c r="CA11">
        <v>3488</v>
      </c>
      <c r="CB11">
        <v>216</v>
      </c>
      <c r="CC11">
        <v>583.59379999999999</v>
      </c>
      <c r="CD11">
        <v>1</v>
      </c>
      <c r="CE11">
        <v>1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2</v>
      </c>
      <c r="CL11">
        <v>0</v>
      </c>
      <c r="CM11">
        <v>2</v>
      </c>
      <c r="CN11">
        <v>0</v>
      </c>
      <c r="CO11">
        <v>3</v>
      </c>
      <c r="CP11" t="s">
        <v>119</v>
      </c>
      <c r="CQ11">
        <v>145</v>
      </c>
      <c r="CR11">
        <v>1</v>
      </c>
      <c r="CW11">
        <v>8847434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</row>
    <row r="12" spans="1:113" x14ac:dyDescent="0.3">
      <c r="A12" t="str">
        <f>"02/13/2022 18:35:26.920"</f>
        <v>02/13/2022 18:35:26.920</v>
      </c>
      <c r="C12" t="str">
        <f t="shared" si="1"/>
        <v>FFDFD7C0</v>
      </c>
      <c r="D12" t="s">
        <v>113</v>
      </c>
      <c r="E12">
        <v>4</v>
      </c>
      <c r="F12">
        <v>1004</v>
      </c>
      <c r="G12" t="s">
        <v>120</v>
      </c>
      <c r="J12" t="s">
        <v>115</v>
      </c>
      <c r="K12">
        <v>0</v>
      </c>
      <c r="L12">
        <v>3</v>
      </c>
      <c r="M12">
        <v>0</v>
      </c>
      <c r="N12">
        <v>2</v>
      </c>
      <c r="O12">
        <v>1</v>
      </c>
      <c r="P12">
        <v>0</v>
      </c>
      <c r="Q12">
        <v>0</v>
      </c>
      <c r="S12" t="str">
        <f>"18:35:26.687"</f>
        <v>18:35:26.687</v>
      </c>
      <c r="T12" t="str">
        <f>"18:35:25.687"</f>
        <v>18:35:25.687</v>
      </c>
      <c r="U12" t="str">
        <f t="shared" si="0"/>
        <v>AAB6EE</v>
      </c>
      <c r="V12">
        <v>0</v>
      </c>
      <c r="W12">
        <v>0</v>
      </c>
      <c r="X12">
        <v>4</v>
      </c>
      <c r="Z12">
        <v>0</v>
      </c>
      <c r="AA12">
        <v>8</v>
      </c>
      <c r="AB12">
        <v>3</v>
      </c>
      <c r="AC12">
        <v>0</v>
      </c>
      <c r="AD12">
        <v>10</v>
      </c>
      <c r="AE12">
        <v>0</v>
      </c>
      <c r="AF12">
        <v>0</v>
      </c>
      <c r="AG12">
        <v>1</v>
      </c>
      <c r="AH12">
        <v>1</v>
      </c>
      <c r="AI12" t="s">
        <v>127</v>
      </c>
      <c r="AJ12">
        <v>35.564610999999999</v>
      </c>
      <c r="AK12" t="s">
        <v>128</v>
      </c>
      <c r="AL12">
        <v>-75.996530000000007</v>
      </c>
      <c r="AM12">
        <v>25</v>
      </c>
      <c r="AN12">
        <v>1325</v>
      </c>
      <c r="AO12" t="s">
        <v>118</v>
      </c>
      <c r="AP12">
        <v>-136</v>
      </c>
      <c r="AQ12">
        <v>-37</v>
      </c>
      <c r="AR12">
        <v>2176</v>
      </c>
      <c r="AZ12">
        <v>1200</v>
      </c>
      <c r="BA12">
        <v>1</v>
      </c>
      <c r="BB12" t="str">
        <f t="shared" si="2"/>
        <v xml:space="preserve">N79NX   </v>
      </c>
      <c r="BC12">
        <v>1</v>
      </c>
      <c r="BE12">
        <v>0</v>
      </c>
      <c r="BF12">
        <v>0</v>
      </c>
      <c r="BG12">
        <v>0</v>
      </c>
      <c r="BH12">
        <v>1175</v>
      </c>
      <c r="BI12">
        <v>0</v>
      </c>
      <c r="BJ12">
        <v>0</v>
      </c>
      <c r="BK12">
        <v>0</v>
      </c>
      <c r="BL12">
        <v>0</v>
      </c>
      <c r="BO12">
        <v>0</v>
      </c>
      <c r="BP12">
        <v>0</v>
      </c>
      <c r="BW12" t="str">
        <f>"18:35:26.690"</f>
        <v>18:35:26.690</v>
      </c>
      <c r="BZ12">
        <v>0</v>
      </c>
      <c r="CA12">
        <v>3488</v>
      </c>
      <c r="CB12">
        <v>216</v>
      </c>
      <c r="CC12">
        <v>583.59379999999999</v>
      </c>
      <c r="CD12">
        <v>1</v>
      </c>
      <c r="CE12">
        <v>1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2</v>
      </c>
      <c r="CL12">
        <v>0</v>
      </c>
      <c r="CM12">
        <v>2</v>
      </c>
      <c r="CN12">
        <v>0</v>
      </c>
      <c r="CO12">
        <v>3</v>
      </c>
      <c r="CP12" t="s">
        <v>119</v>
      </c>
      <c r="CQ12">
        <v>145</v>
      </c>
      <c r="CR12">
        <v>1</v>
      </c>
      <c r="CW12">
        <v>8847434</v>
      </c>
      <c r="CY12">
        <v>0</v>
      </c>
      <c r="CZ12">
        <v>0</v>
      </c>
      <c r="DA12">
        <v>1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</row>
    <row r="13" spans="1:113" x14ac:dyDescent="0.3">
      <c r="A13" t="str">
        <f>"02/13/2022 18:35:26.920"</f>
        <v>02/13/2022 18:35:26.920</v>
      </c>
      <c r="C13" t="str">
        <f t="shared" si="1"/>
        <v>FFDFD7C0</v>
      </c>
      <c r="D13" t="s">
        <v>121</v>
      </c>
      <c r="E13">
        <v>2</v>
      </c>
      <c r="H13">
        <v>158</v>
      </c>
      <c r="I13" t="s">
        <v>120</v>
      </c>
      <c r="J13" t="s">
        <v>122</v>
      </c>
      <c r="K13">
        <v>0</v>
      </c>
      <c r="L13">
        <v>3</v>
      </c>
      <c r="M13">
        <v>0</v>
      </c>
      <c r="N13">
        <v>2</v>
      </c>
      <c r="O13">
        <v>1</v>
      </c>
      <c r="P13">
        <v>0</v>
      </c>
      <c r="Q13">
        <v>0</v>
      </c>
      <c r="S13" t="str">
        <f>"18:35:26.687"</f>
        <v>18:35:26.687</v>
      </c>
      <c r="T13" t="str">
        <f>"18:35:25.687"</f>
        <v>18:35:25.687</v>
      </c>
      <c r="U13" t="str">
        <f t="shared" si="0"/>
        <v>AAB6EE</v>
      </c>
      <c r="V13">
        <v>0</v>
      </c>
      <c r="W13">
        <v>0</v>
      </c>
      <c r="X13">
        <v>4</v>
      </c>
      <c r="Z13">
        <v>0</v>
      </c>
      <c r="AA13">
        <v>8</v>
      </c>
      <c r="AB13">
        <v>3</v>
      </c>
      <c r="AC13">
        <v>0</v>
      </c>
      <c r="AD13">
        <v>10</v>
      </c>
      <c r="AE13">
        <v>0</v>
      </c>
      <c r="AF13">
        <v>0</v>
      </c>
      <c r="AG13">
        <v>1</v>
      </c>
      <c r="AH13">
        <v>1</v>
      </c>
      <c r="AI13" t="s">
        <v>127</v>
      </c>
      <c r="AJ13">
        <v>35.564610999999999</v>
      </c>
      <c r="AK13" t="s">
        <v>128</v>
      </c>
      <c r="AL13">
        <v>-75.996530000000007</v>
      </c>
      <c r="AM13">
        <v>25</v>
      </c>
      <c r="AN13">
        <v>1325</v>
      </c>
      <c r="AO13" t="s">
        <v>118</v>
      </c>
      <c r="AP13">
        <v>-136</v>
      </c>
      <c r="AQ13">
        <v>-37</v>
      </c>
      <c r="AR13">
        <v>2176</v>
      </c>
      <c r="AZ13">
        <v>1200</v>
      </c>
      <c r="BA13">
        <v>1</v>
      </c>
      <c r="BB13" t="str">
        <f t="shared" si="2"/>
        <v xml:space="preserve">N79NX   </v>
      </c>
      <c r="BC13">
        <v>1</v>
      </c>
      <c r="BE13">
        <v>0</v>
      </c>
      <c r="BF13">
        <v>0</v>
      </c>
      <c r="BG13">
        <v>0</v>
      </c>
      <c r="BH13">
        <v>1175</v>
      </c>
      <c r="BI13">
        <v>0</v>
      </c>
      <c r="BJ13">
        <v>0</v>
      </c>
      <c r="BK13">
        <v>0</v>
      </c>
      <c r="BL13">
        <v>0</v>
      </c>
      <c r="BO13">
        <v>0</v>
      </c>
      <c r="BP13">
        <v>0</v>
      </c>
      <c r="BW13" t="str">
        <f>"18:35:26.690"</f>
        <v>18:35:26.690</v>
      </c>
      <c r="BZ13">
        <v>0</v>
      </c>
      <c r="CA13">
        <v>3488</v>
      </c>
      <c r="CB13">
        <v>216</v>
      </c>
      <c r="CC13">
        <v>583.59379999999999</v>
      </c>
      <c r="CD13">
        <v>1</v>
      </c>
      <c r="CE13">
        <v>1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2</v>
      </c>
      <c r="CL13">
        <v>0</v>
      </c>
      <c r="CM13">
        <v>2</v>
      </c>
      <c r="CN13">
        <v>0</v>
      </c>
      <c r="CO13">
        <v>3</v>
      </c>
      <c r="CP13" t="s">
        <v>119</v>
      </c>
      <c r="CQ13">
        <v>145</v>
      </c>
      <c r="CR13">
        <v>1</v>
      </c>
      <c r="CW13">
        <v>8847434</v>
      </c>
      <c r="CY13">
        <v>0</v>
      </c>
      <c r="CZ13">
        <v>0</v>
      </c>
      <c r="DA13">
        <v>1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</row>
    <row r="14" spans="1:113" x14ac:dyDescent="0.3">
      <c r="A14" t="str">
        <f>"02/13/2022 18:35:27.826"</f>
        <v>02/13/2022 18:35:27.826</v>
      </c>
      <c r="C14" t="str">
        <f t="shared" si="1"/>
        <v>FFDFD7C0</v>
      </c>
      <c r="D14" t="s">
        <v>113</v>
      </c>
      <c r="E14">
        <v>3</v>
      </c>
      <c r="F14">
        <v>1003</v>
      </c>
      <c r="G14" t="s">
        <v>114</v>
      </c>
      <c r="J14" t="s">
        <v>115</v>
      </c>
      <c r="K14">
        <v>0</v>
      </c>
      <c r="L14">
        <v>3</v>
      </c>
      <c r="M14">
        <v>0</v>
      </c>
      <c r="N14">
        <v>2</v>
      </c>
      <c r="O14">
        <v>1</v>
      </c>
      <c r="P14">
        <v>0</v>
      </c>
      <c r="Q14">
        <v>0</v>
      </c>
      <c r="S14" t="str">
        <f>"18:35:27.609"</f>
        <v>18:35:27.609</v>
      </c>
      <c r="T14" t="str">
        <f>"18:35:26.809"</f>
        <v>18:35:26.809</v>
      </c>
      <c r="U14" t="str">
        <f t="shared" si="0"/>
        <v>AAB6EE</v>
      </c>
      <c r="V14">
        <v>0</v>
      </c>
      <c r="W14">
        <v>0</v>
      </c>
      <c r="X14">
        <v>4</v>
      </c>
      <c r="Z14">
        <v>0</v>
      </c>
      <c r="AA14">
        <v>8</v>
      </c>
      <c r="AB14">
        <v>3</v>
      </c>
      <c r="AC14">
        <v>0</v>
      </c>
      <c r="AD14">
        <v>10</v>
      </c>
      <c r="AE14">
        <v>0</v>
      </c>
      <c r="AF14">
        <v>0</v>
      </c>
      <c r="AG14">
        <v>1</v>
      </c>
      <c r="AH14">
        <v>1</v>
      </c>
      <c r="AI14" t="s">
        <v>129</v>
      </c>
      <c r="AJ14">
        <v>35.564374999999998</v>
      </c>
      <c r="AK14" t="s">
        <v>130</v>
      </c>
      <c r="AL14">
        <v>-75.997281000000001</v>
      </c>
      <c r="AM14">
        <v>25</v>
      </c>
      <c r="AN14">
        <v>1350</v>
      </c>
      <c r="AO14" t="s">
        <v>118</v>
      </c>
      <c r="AP14">
        <v>-135</v>
      </c>
      <c r="AQ14">
        <v>-46</v>
      </c>
      <c r="AR14">
        <v>2048</v>
      </c>
      <c r="AZ14">
        <v>1200</v>
      </c>
      <c r="BA14">
        <v>1</v>
      </c>
      <c r="BB14" t="str">
        <f t="shared" si="2"/>
        <v xml:space="preserve">N79NX   </v>
      </c>
      <c r="BC14">
        <v>1</v>
      </c>
      <c r="BE14">
        <v>0</v>
      </c>
      <c r="BF14">
        <v>0</v>
      </c>
      <c r="BG14">
        <v>0</v>
      </c>
      <c r="BH14">
        <v>1200</v>
      </c>
      <c r="BI14">
        <v>0</v>
      </c>
      <c r="BJ14">
        <v>0</v>
      </c>
      <c r="BK14">
        <v>0</v>
      </c>
      <c r="BL14">
        <v>0</v>
      </c>
      <c r="BO14">
        <v>0</v>
      </c>
      <c r="BP14">
        <v>0</v>
      </c>
      <c r="BW14" t="str">
        <f>"18:35:27.610"</f>
        <v>18:35:27.610</v>
      </c>
      <c r="BZ14">
        <v>0</v>
      </c>
      <c r="CA14">
        <v>3488</v>
      </c>
      <c r="CB14">
        <v>216</v>
      </c>
      <c r="CC14">
        <v>583.59379999999999</v>
      </c>
      <c r="CD14">
        <v>1</v>
      </c>
      <c r="CE14">
        <v>1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2</v>
      </c>
      <c r="CL14">
        <v>0</v>
      </c>
      <c r="CM14">
        <v>2</v>
      </c>
      <c r="CN14">
        <v>0</v>
      </c>
      <c r="CO14">
        <v>2</v>
      </c>
      <c r="CP14" t="s">
        <v>119</v>
      </c>
      <c r="CQ14">
        <v>145</v>
      </c>
      <c r="CR14">
        <v>1</v>
      </c>
      <c r="CW14">
        <v>8847853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</row>
    <row r="15" spans="1:113" x14ac:dyDescent="0.3">
      <c r="A15" t="str">
        <f>"02/13/2022 18:35:27.826"</f>
        <v>02/13/2022 18:35:27.826</v>
      </c>
      <c r="C15" t="str">
        <f t="shared" si="1"/>
        <v>FFDFD7C0</v>
      </c>
      <c r="D15" t="s">
        <v>113</v>
      </c>
      <c r="E15">
        <v>4</v>
      </c>
      <c r="F15">
        <v>1004</v>
      </c>
      <c r="G15" t="s">
        <v>120</v>
      </c>
      <c r="J15" t="s">
        <v>115</v>
      </c>
      <c r="K15">
        <v>0</v>
      </c>
      <c r="L15">
        <v>3</v>
      </c>
      <c r="M15">
        <v>0</v>
      </c>
      <c r="N15">
        <v>2</v>
      </c>
      <c r="O15">
        <v>1</v>
      </c>
      <c r="P15">
        <v>0</v>
      </c>
      <c r="Q15">
        <v>0</v>
      </c>
      <c r="S15" t="str">
        <f>"18:35:27.609"</f>
        <v>18:35:27.609</v>
      </c>
      <c r="T15" t="str">
        <f>"18:35:26.809"</f>
        <v>18:35:26.809</v>
      </c>
      <c r="U15" t="str">
        <f t="shared" si="0"/>
        <v>AAB6EE</v>
      </c>
      <c r="V15">
        <v>0</v>
      </c>
      <c r="W15">
        <v>0</v>
      </c>
      <c r="X15">
        <v>4</v>
      </c>
      <c r="Z15">
        <v>0</v>
      </c>
      <c r="AA15">
        <v>8</v>
      </c>
      <c r="AB15">
        <v>3</v>
      </c>
      <c r="AC15">
        <v>0</v>
      </c>
      <c r="AD15">
        <v>10</v>
      </c>
      <c r="AE15">
        <v>0</v>
      </c>
      <c r="AF15">
        <v>0</v>
      </c>
      <c r="AG15">
        <v>1</v>
      </c>
      <c r="AH15">
        <v>1</v>
      </c>
      <c r="AI15" t="s">
        <v>129</v>
      </c>
      <c r="AJ15">
        <v>35.564374999999998</v>
      </c>
      <c r="AK15" t="s">
        <v>130</v>
      </c>
      <c r="AL15">
        <v>-75.997281000000001</v>
      </c>
      <c r="AM15">
        <v>25</v>
      </c>
      <c r="AN15">
        <v>1350</v>
      </c>
      <c r="AO15" t="s">
        <v>118</v>
      </c>
      <c r="AP15">
        <v>-135</v>
      </c>
      <c r="AQ15">
        <v>-46</v>
      </c>
      <c r="AR15">
        <v>2048</v>
      </c>
      <c r="AZ15">
        <v>1200</v>
      </c>
      <c r="BA15">
        <v>1</v>
      </c>
      <c r="BB15" t="str">
        <f t="shared" si="2"/>
        <v xml:space="preserve">N79NX   </v>
      </c>
      <c r="BC15">
        <v>1</v>
      </c>
      <c r="BE15">
        <v>0</v>
      </c>
      <c r="BF15">
        <v>0</v>
      </c>
      <c r="BG15">
        <v>0</v>
      </c>
      <c r="BH15">
        <v>1200</v>
      </c>
      <c r="BI15">
        <v>0</v>
      </c>
      <c r="BJ15">
        <v>0</v>
      </c>
      <c r="BK15">
        <v>0</v>
      </c>
      <c r="BL15">
        <v>0</v>
      </c>
      <c r="BO15">
        <v>0</v>
      </c>
      <c r="BP15">
        <v>0</v>
      </c>
      <c r="BW15" t="str">
        <f>"18:35:27.610"</f>
        <v>18:35:27.610</v>
      </c>
      <c r="BZ15">
        <v>0</v>
      </c>
      <c r="CA15">
        <v>3488</v>
      </c>
      <c r="CB15">
        <v>216</v>
      </c>
      <c r="CC15">
        <v>583.59379999999999</v>
      </c>
      <c r="CD15">
        <v>1</v>
      </c>
      <c r="CE15">
        <v>1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2</v>
      </c>
      <c r="CL15">
        <v>0</v>
      </c>
      <c r="CM15">
        <v>2</v>
      </c>
      <c r="CN15">
        <v>0</v>
      </c>
      <c r="CO15">
        <v>2</v>
      </c>
      <c r="CP15" t="s">
        <v>119</v>
      </c>
      <c r="CQ15">
        <v>145</v>
      </c>
      <c r="CR15">
        <v>1</v>
      </c>
      <c r="CW15">
        <v>8847853</v>
      </c>
      <c r="CY15">
        <v>0</v>
      </c>
      <c r="CZ15">
        <v>0</v>
      </c>
      <c r="DA15">
        <v>1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</row>
    <row r="16" spans="1:113" x14ac:dyDescent="0.3">
      <c r="A16" t="str">
        <f>"02/13/2022 18:35:27.873"</f>
        <v>02/13/2022 18:35:27.873</v>
      </c>
      <c r="C16" t="str">
        <f t="shared" si="1"/>
        <v>FFDFD7C0</v>
      </c>
      <c r="D16" t="s">
        <v>121</v>
      </c>
      <c r="E16">
        <v>2</v>
      </c>
      <c r="H16">
        <v>158</v>
      </c>
      <c r="I16" t="s">
        <v>120</v>
      </c>
      <c r="J16" t="s">
        <v>122</v>
      </c>
      <c r="K16">
        <v>0</v>
      </c>
      <c r="L16">
        <v>3</v>
      </c>
      <c r="M16">
        <v>0</v>
      </c>
      <c r="N16">
        <v>2</v>
      </c>
      <c r="O16">
        <v>1</v>
      </c>
      <c r="P16">
        <v>0</v>
      </c>
      <c r="Q16">
        <v>0</v>
      </c>
      <c r="S16" t="str">
        <f>"18:35:27.609"</f>
        <v>18:35:27.609</v>
      </c>
      <c r="T16" t="str">
        <f>"18:35:26.809"</f>
        <v>18:35:26.809</v>
      </c>
      <c r="U16" t="str">
        <f t="shared" si="0"/>
        <v>AAB6EE</v>
      </c>
      <c r="V16">
        <v>0</v>
      </c>
      <c r="W16">
        <v>0</v>
      </c>
      <c r="X16">
        <v>4</v>
      </c>
      <c r="Z16">
        <v>0</v>
      </c>
      <c r="AA16">
        <v>8</v>
      </c>
      <c r="AB16">
        <v>3</v>
      </c>
      <c r="AC16">
        <v>0</v>
      </c>
      <c r="AD16">
        <v>10</v>
      </c>
      <c r="AE16">
        <v>0</v>
      </c>
      <c r="AF16">
        <v>0</v>
      </c>
      <c r="AG16">
        <v>1</v>
      </c>
      <c r="AH16">
        <v>1</v>
      </c>
      <c r="AI16" t="s">
        <v>129</v>
      </c>
      <c r="AJ16">
        <v>35.564374999999998</v>
      </c>
      <c r="AK16" t="s">
        <v>130</v>
      </c>
      <c r="AL16">
        <v>-75.997281000000001</v>
      </c>
      <c r="AM16">
        <v>25</v>
      </c>
      <c r="AN16">
        <v>1350</v>
      </c>
      <c r="AO16" t="s">
        <v>118</v>
      </c>
      <c r="AP16">
        <v>-135</v>
      </c>
      <c r="AQ16">
        <v>-46</v>
      </c>
      <c r="AR16">
        <v>2048</v>
      </c>
      <c r="AZ16">
        <v>1200</v>
      </c>
      <c r="BA16">
        <v>1</v>
      </c>
      <c r="BB16" t="str">
        <f t="shared" si="2"/>
        <v xml:space="preserve">N79NX   </v>
      </c>
      <c r="BC16">
        <v>1</v>
      </c>
      <c r="BE16">
        <v>0</v>
      </c>
      <c r="BF16">
        <v>0</v>
      </c>
      <c r="BG16">
        <v>0</v>
      </c>
      <c r="BH16">
        <v>1200</v>
      </c>
      <c r="BI16">
        <v>0</v>
      </c>
      <c r="BJ16">
        <v>0</v>
      </c>
      <c r="BK16">
        <v>0</v>
      </c>
      <c r="BL16">
        <v>0</v>
      </c>
      <c r="BO16">
        <v>0</v>
      </c>
      <c r="BP16">
        <v>0</v>
      </c>
      <c r="BW16" t="str">
        <f>"18:35:27.610"</f>
        <v>18:35:27.610</v>
      </c>
      <c r="BZ16">
        <v>0</v>
      </c>
      <c r="CA16">
        <v>3488</v>
      </c>
      <c r="CB16">
        <v>216</v>
      </c>
      <c r="CC16">
        <v>583.59379999999999</v>
      </c>
      <c r="CD16">
        <v>1</v>
      </c>
      <c r="CE16">
        <v>1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2</v>
      </c>
      <c r="CL16">
        <v>0</v>
      </c>
      <c r="CM16">
        <v>2</v>
      </c>
      <c r="CN16">
        <v>0</v>
      </c>
      <c r="CO16">
        <v>2</v>
      </c>
      <c r="CP16" t="s">
        <v>119</v>
      </c>
      <c r="CQ16">
        <v>145</v>
      </c>
      <c r="CR16">
        <v>1</v>
      </c>
      <c r="CW16">
        <v>8847853</v>
      </c>
      <c r="CY16">
        <v>0</v>
      </c>
      <c r="CZ16">
        <v>0</v>
      </c>
      <c r="DA16">
        <v>1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</row>
    <row r="17" spans="1:113" x14ac:dyDescent="0.3">
      <c r="A17" t="str">
        <f>"02/13/2022 18:35:28.826"</f>
        <v>02/13/2022 18:35:28.826</v>
      </c>
      <c r="C17" t="str">
        <f t="shared" si="1"/>
        <v>FFDFD7C0</v>
      </c>
      <c r="D17" t="s">
        <v>121</v>
      </c>
      <c r="E17">
        <v>2</v>
      </c>
      <c r="H17">
        <v>158</v>
      </c>
      <c r="I17" t="s">
        <v>120</v>
      </c>
      <c r="J17" t="s">
        <v>122</v>
      </c>
      <c r="K17">
        <v>0</v>
      </c>
      <c r="L17">
        <v>3</v>
      </c>
      <c r="M17">
        <v>0</v>
      </c>
      <c r="N17">
        <v>2</v>
      </c>
      <c r="O17">
        <v>1</v>
      </c>
      <c r="P17">
        <v>0</v>
      </c>
      <c r="Q17">
        <v>0</v>
      </c>
      <c r="S17" t="str">
        <f>"18:35:28.594"</f>
        <v>18:35:28.594</v>
      </c>
      <c r="T17" t="str">
        <f>"18:35:28.194"</f>
        <v>18:35:28.194</v>
      </c>
      <c r="U17" t="str">
        <f t="shared" si="0"/>
        <v>AAB6EE</v>
      </c>
      <c r="V17">
        <v>0</v>
      </c>
      <c r="W17">
        <v>0</v>
      </c>
      <c r="X17">
        <v>4</v>
      </c>
      <c r="Z17">
        <v>0</v>
      </c>
      <c r="AA17">
        <v>8</v>
      </c>
      <c r="AB17">
        <v>3</v>
      </c>
      <c r="AC17">
        <v>0</v>
      </c>
      <c r="AD17">
        <v>10</v>
      </c>
      <c r="AE17">
        <v>0</v>
      </c>
      <c r="AF17">
        <v>0</v>
      </c>
      <c r="AG17">
        <v>1</v>
      </c>
      <c r="AH17">
        <v>1</v>
      </c>
      <c r="AI17" t="s">
        <v>131</v>
      </c>
      <c r="AJ17">
        <v>35.564117000000003</v>
      </c>
      <c r="AK17" t="s">
        <v>132</v>
      </c>
      <c r="AL17">
        <v>-75.997989000000004</v>
      </c>
      <c r="AM17">
        <v>25</v>
      </c>
      <c r="AN17">
        <v>1375</v>
      </c>
      <c r="AO17" t="s">
        <v>118</v>
      </c>
      <c r="AP17">
        <v>-133</v>
      </c>
      <c r="AQ17">
        <v>-58</v>
      </c>
      <c r="AR17">
        <v>1856</v>
      </c>
      <c r="AZ17">
        <v>1200</v>
      </c>
      <c r="BA17">
        <v>1</v>
      </c>
      <c r="BB17" t="str">
        <f t="shared" si="2"/>
        <v xml:space="preserve">N79NX   </v>
      </c>
      <c r="BC17">
        <v>1</v>
      </c>
      <c r="BE17">
        <v>0</v>
      </c>
      <c r="BF17">
        <v>0</v>
      </c>
      <c r="BG17">
        <v>0</v>
      </c>
      <c r="BH17">
        <v>1250</v>
      </c>
      <c r="BI17">
        <v>0</v>
      </c>
      <c r="BJ17">
        <v>0</v>
      </c>
      <c r="BK17">
        <v>0</v>
      </c>
      <c r="BL17">
        <v>0</v>
      </c>
      <c r="BO17">
        <v>0</v>
      </c>
      <c r="BP17">
        <v>0</v>
      </c>
      <c r="BW17" t="str">
        <f>"18:35:28.600"</f>
        <v>18:35:28.600</v>
      </c>
      <c r="BZ17">
        <v>0</v>
      </c>
      <c r="CA17">
        <v>3488</v>
      </c>
      <c r="CB17">
        <v>216</v>
      </c>
      <c r="CC17">
        <v>583.59379999999999</v>
      </c>
      <c r="CD17">
        <v>1</v>
      </c>
      <c r="CE17">
        <v>1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2</v>
      </c>
      <c r="CL17">
        <v>0</v>
      </c>
      <c r="CM17">
        <v>2</v>
      </c>
      <c r="CN17">
        <v>0</v>
      </c>
      <c r="CO17">
        <v>3</v>
      </c>
      <c r="CP17" t="s">
        <v>119</v>
      </c>
      <c r="CQ17">
        <v>145</v>
      </c>
      <c r="CR17">
        <v>1</v>
      </c>
      <c r="CW17">
        <v>8848356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</row>
    <row r="18" spans="1:113" x14ac:dyDescent="0.3">
      <c r="A18" t="str">
        <f>"02/13/2022 18:35:28.826"</f>
        <v>02/13/2022 18:35:28.826</v>
      </c>
      <c r="C18" t="str">
        <f t="shared" si="1"/>
        <v>FFDFD7C0</v>
      </c>
      <c r="D18" t="s">
        <v>113</v>
      </c>
      <c r="E18">
        <v>4</v>
      </c>
      <c r="F18">
        <v>1004</v>
      </c>
      <c r="G18" t="s">
        <v>120</v>
      </c>
      <c r="J18" t="s">
        <v>115</v>
      </c>
      <c r="K18">
        <v>0</v>
      </c>
      <c r="L18">
        <v>3</v>
      </c>
      <c r="M18">
        <v>0</v>
      </c>
      <c r="N18">
        <v>2</v>
      </c>
      <c r="O18">
        <v>1</v>
      </c>
      <c r="P18">
        <v>0</v>
      </c>
      <c r="Q18">
        <v>0</v>
      </c>
      <c r="S18" t="str">
        <f>"18:35:28.594"</f>
        <v>18:35:28.594</v>
      </c>
      <c r="T18" t="str">
        <f>"18:35:28.194"</f>
        <v>18:35:28.194</v>
      </c>
      <c r="U18" t="str">
        <f t="shared" si="0"/>
        <v>AAB6EE</v>
      </c>
      <c r="V18">
        <v>0</v>
      </c>
      <c r="W18">
        <v>0</v>
      </c>
      <c r="X18">
        <v>4</v>
      </c>
      <c r="Z18">
        <v>0</v>
      </c>
      <c r="AA18">
        <v>8</v>
      </c>
      <c r="AB18">
        <v>3</v>
      </c>
      <c r="AC18">
        <v>0</v>
      </c>
      <c r="AD18">
        <v>10</v>
      </c>
      <c r="AE18">
        <v>0</v>
      </c>
      <c r="AF18">
        <v>0</v>
      </c>
      <c r="AG18">
        <v>1</v>
      </c>
      <c r="AH18">
        <v>1</v>
      </c>
      <c r="AI18" t="s">
        <v>131</v>
      </c>
      <c r="AJ18">
        <v>35.564117000000003</v>
      </c>
      <c r="AK18" t="s">
        <v>132</v>
      </c>
      <c r="AL18">
        <v>-75.997989000000004</v>
      </c>
      <c r="AM18">
        <v>25</v>
      </c>
      <c r="AN18">
        <v>1375</v>
      </c>
      <c r="AO18" t="s">
        <v>118</v>
      </c>
      <c r="AP18">
        <v>-133</v>
      </c>
      <c r="AQ18">
        <v>-58</v>
      </c>
      <c r="AR18">
        <v>1856</v>
      </c>
      <c r="AZ18">
        <v>1200</v>
      </c>
      <c r="BA18">
        <v>1</v>
      </c>
      <c r="BB18" t="str">
        <f t="shared" si="2"/>
        <v xml:space="preserve">N79NX   </v>
      </c>
      <c r="BC18">
        <v>1</v>
      </c>
      <c r="BE18">
        <v>0</v>
      </c>
      <c r="BF18">
        <v>0</v>
      </c>
      <c r="BG18">
        <v>0</v>
      </c>
      <c r="BH18">
        <v>1250</v>
      </c>
      <c r="BI18">
        <v>0</v>
      </c>
      <c r="BJ18">
        <v>0</v>
      </c>
      <c r="BK18">
        <v>0</v>
      </c>
      <c r="BL18">
        <v>0</v>
      </c>
      <c r="BO18">
        <v>0</v>
      </c>
      <c r="BP18">
        <v>0</v>
      </c>
      <c r="BW18" t="str">
        <f>"18:35:28.600"</f>
        <v>18:35:28.600</v>
      </c>
      <c r="BZ18">
        <v>0</v>
      </c>
      <c r="CA18">
        <v>3488</v>
      </c>
      <c r="CB18">
        <v>216</v>
      </c>
      <c r="CC18">
        <v>583.59379999999999</v>
      </c>
      <c r="CD18">
        <v>1</v>
      </c>
      <c r="CE18">
        <v>1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2</v>
      </c>
      <c r="CL18">
        <v>0</v>
      </c>
      <c r="CM18">
        <v>2</v>
      </c>
      <c r="CN18">
        <v>0</v>
      </c>
      <c r="CO18">
        <v>3</v>
      </c>
      <c r="CP18" t="s">
        <v>119</v>
      </c>
      <c r="CQ18">
        <v>145</v>
      </c>
      <c r="CR18">
        <v>1</v>
      </c>
      <c r="CW18">
        <v>8848356</v>
      </c>
      <c r="CY18">
        <v>0</v>
      </c>
      <c r="CZ18">
        <v>0</v>
      </c>
      <c r="DA18">
        <v>1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</row>
    <row r="19" spans="1:113" x14ac:dyDescent="0.3">
      <c r="A19" t="str">
        <f>"02/13/2022 18:35:28.826"</f>
        <v>02/13/2022 18:35:28.826</v>
      </c>
      <c r="C19" t="str">
        <f t="shared" si="1"/>
        <v>FFDFD7C0</v>
      </c>
      <c r="D19" t="s">
        <v>113</v>
      </c>
      <c r="E19">
        <v>3</v>
      </c>
      <c r="F19">
        <v>1003</v>
      </c>
      <c r="G19" t="s">
        <v>114</v>
      </c>
      <c r="J19" t="s">
        <v>115</v>
      </c>
      <c r="K19">
        <v>0</v>
      </c>
      <c r="L19">
        <v>3</v>
      </c>
      <c r="M19">
        <v>0</v>
      </c>
      <c r="N19">
        <v>2</v>
      </c>
      <c r="O19">
        <v>1</v>
      </c>
      <c r="P19">
        <v>0</v>
      </c>
      <c r="Q19">
        <v>0</v>
      </c>
      <c r="S19" t="str">
        <f>"18:35:28.594"</f>
        <v>18:35:28.594</v>
      </c>
      <c r="T19" t="str">
        <f>"18:35:28.194"</f>
        <v>18:35:28.194</v>
      </c>
      <c r="U19" t="str">
        <f t="shared" si="0"/>
        <v>AAB6EE</v>
      </c>
      <c r="V19">
        <v>0</v>
      </c>
      <c r="W19">
        <v>0</v>
      </c>
      <c r="X19">
        <v>4</v>
      </c>
      <c r="Z19">
        <v>0</v>
      </c>
      <c r="AA19">
        <v>8</v>
      </c>
      <c r="AB19">
        <v>3</v>
      </c>
      <c r="AC19">
        <v>0</v>
      </c>
      <c r="AD19">
        <v>10</v>
      </c>
      <c r="AE19">
        <v>0</v>
      </c>
      <c r="AF19">
        <v>0</v>
      </c>
      <c r="AG19">
        <v>1</v>
      </c>
      <c r="AH19">
        <v>1</v>
      </c>
      <c r="AI19" t="s">
        <v>131</v>
      </c>
      <c r="AJ19">
        <v>35.564117000000003</v>
      </c>
      <c r="AK19" t="s">
        <v>132</v>
      </c>
      <c r="AL19">
        <v>-75.997989000000004</v>
      </c>
      <c r="AM19">
        <v>25</v>
      </c>
      <c r="AN19">
        <v>1375</v>
      </c>
      <c r="AO19" t="s">
        <v>118</v>
      </c>
      <c r="AP19">
        <v>-133</v>
      </c>
      <c r="AQ19">
        <v>-58</v>
      </c>
      <c r="AR19">
        <v>1856</v>
      </c>
      <c r="AZ19">
        <v>1200</v>
      </c>
      <c r="BA19">
        <v>1</v>
      </c>
      <c r="BB19" t="str">
        <f t="shared" si="2"/>
        <v xml:space="preserve">N79NX   </v>
      </c>
      <c r="BC19">
        <v>1</v>
      </c>
      <c r="BE19">
        <v>0</v>
      </c>
      <c r="BF19">
        <v>0</v>
      </c>
      <c r="BG19">
        <v>0</v>
      </c>
      <c r="BH19">
        <v>1250</v>
      </c>
      <c r="BI19">
        <v>0</v>
      </c>
      <c r="BJ19">
        <v>0</v>
      </c>
      <c r="BK19">
        <v>0</v>
      </c>
      <c r="BL19">
        <v>0</v>
      </c>
      <c r="BO19">
        <v>0</v>
      </c>
      <c r="BP19">
        <v>0</v>
      </c>
      <c r="BW19" t="str">
        <f>"18:35:28.600"</f>
        <v>18:35:28.600</v>
      </c>
      <c r="BZ19">
        <v>0</v>
      </c>
      <c r="CA19">
        <v>3488</v>
      </c>
      <c r="CB19">
        <v>216</v>
      </c>
      <c r="CC19">
        <v>583.59379999999999</v>
      </c>
      <c r="CD19">
        <v>1</v>
      </c>
      <c r="CE19">
        <v>1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2</v>
      </c>
      <c r="CL19">
        <v>0</v>
      </c>
      <c r="CM19">
        <v>2</v>
      </c>
      <c r="CN19">
        <v>0</v>
      </c>
      <c r="CO19">
        <v>3</v>
      </c>
      <c r="CP19" t="s">
        <v>119</v>
      </c>
      <c r="CQ19">
        <v>145</v>
      </c>
      <c r="CR19">
        <v>1</v>
      </c>
      <c r="CW19">
        <v>8848356</v>
      </c>
      <c r="CY19">
        <v>0</v>
      </c>
      <c r="CZ19">
        <v>0</v>
      </c>
      <c r="DA19">
        <v>1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</row>
    <row r="20" spans="1:113" x14ac:dyDescent="0.3">
      <c r="A20" t="str">
        <f>"02/13/2022 18:35:29.735"</f>
        <v>02/13/2022 18:35:29.735</v>
      </c>
      <c r="C20" t="str">
        <f t="shared" si="1"/>
        <v>FFDFD7C0</v>
      </c>
      <c r="D20" t="s">
        <v>121</v>
      </c>
      <c r="E20">
        <v>2</v>
      </c>
      <c r="H20">
        <v>158</v>
      </c>
      <c r="I20" t="s">
        <v>120</v>
      </c>
      <c r="J20" t="s">
        <v>122</v>
      </c>
      <c r="K20">
        <v>0</v>
      </c>
      <c r="L20">
        <v>3</v>
      </c>
      <c r="M20">
        <v>0</v>
      </c>
      <c r="N20">
        <v>2</v>
      </c>
      <c r="O20">
        <v>1</v>
      </c>
      <c r="P20">
        <v>0</v>
      </c>
      <c r="Q20">
        <v>0</v>
      </c>
      <c r="S20" t="str">
        <f>"18:35:29.523"</f>
        <v>18:35:29.523</v>
      </c>
      <c r="T20" t="str">
        <f>"18:35:29.123"</f>
        <v>18:35:29.123</v>
      </c>
      <c r="U20" t="str">
        <f t="shared" si="0"/>
        <v>AAB6EE</v>
      </c>
      <c r="V20">
        <v>0</v>
      </c>
      <c r="W20">
        <v>0</v>
      </c>
      <c r="X20">
        <v>4</v>
      </c>
      <c r="Z20">
        <v>0</v>
      </c>
      <c r="AA20">
        <v>8</v>
      </c>
      <c r="AB20">
        <v>3</v>
      </c>
      <c r="AC20">
        <v>0</v>
      </c>
      <c r="AD20">
        <v>10</v>
      </c>
      <c r="AE20">
        <v>0</v>
      </c>
      <c r="AF20">
        <v>0</v>
      </c>
      <c r="AG20">
        <v>1</v>
      </c>
      <c r="AH20">
        <v>1</v>
      </c>
      <c r="AI20" t="s">
        <v>133</v>
      </c>
      <c r="AJ20">
        <v>35.563796000000004</v>
      </c>
      <c r="AK20" t="s">
        <v>134</v>
      </c>
      <c r="AL20">
        <v>-75.998676000000003</v>
      </c>
      <c r="AM20">
        <v>25</v>
      </c>
      <c r="AN20">
        <v>1400</v>
      </c>
      <c r="AO20" t="s">
        <v>118</v>
      </c>
      <c r="AP20">
        <v>-130</v>
      </c>
      <c r="AQ20">
        <v>-67</v>
      </c>
      <c r="AR20">
        <v>1792</v>
      </c>
      <c r="AZ20">
        <v>1200</v>
      </c>
      <c r="BA20">
        <v>1</v>
      </c>
      <c r="BB20" t="str">
        <f t="shared" si="2"/>
        <v xml:space="preserve">N79NX   </v>
      </c>
      <c r="BC20">
        <v>1</v>
      </c>
      <c r="BE20">
        <v>0</v>
      </c>
      <c r="BF20">
        <v>0</v>
      </c>
      <c r="BG20">
        <v>0</v>
      </c>
      <c r="BH20">
        <v>1275</v>
      </c>
      <c r="BI20">
        <v>0</v>
      </c>
      <c r="BJ20">
        <v>0</v>
      </c>
      <c r="BK20">
        <v>0</v>
      </c>
      <c r="BL20">
        <v>0</v>
      </c>
      <c r="BO20">
        <v>0</v>
      </c>
      <c r="BP20">
        <v>0</v>
      </c>
      <c r="BW20" t="str">
        <f>"18:35:29.530"</f>
        <v>18:35:29.530</v>
      </c>
      <c r="BZ20">
        <v>0</v>
      </c>
      <c r="CA20">
        <v>3488</v>
      </c>
      <c r="CB20">
        <v>216</v>
      </c>
      <c r="CC20">
        <v>583.59379999999999</v>
      </c>
      <c r="CD20">
        <v>1</v>
      </c>
      <c r="CE20">
        <v>1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2</v>
      </c>
      <c r="CL20">
        <v>0</v>
      </c>
      <c r="CM20">
        <v>2</v>
      </c>
      <c r="CN20">
        <v>0</v>
      </c>
      <c r="CO20">
        <v>3</v>
      </c>
      <c r="CP20" t="s">
        <v>119</v>
      </c>
      <c r="CQ20">
        <v>145</v>
      </c>
      <c r="CR20">
        <v>1</v>
      </c>
      <c r="CW20">
        <v>8848832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</row>
    <row r="21" spans="1:113" x14ac:dyDescent="0.3">
      <c r="A21" t="str">
        <f>"02/13/2022 18:35:29.781"</f>
        <v>02/13/2022 18:35:29.781</v>
      </c>
      <c r="C21" t="str">
        <f t="shared" si="1"/>
        <v>FFDFD7C0</v>
      </c>
      <c r="D21" t="s">
        <v>113</v>
      </c>
      <c r="E21">
        <v>3</v>
      </c>
      <c r="F21">
        <v>1003</v>
      </c>
      <c r="G21" t="s">
        <v>114</v>
      </c>
      <c r="J21" t="s">
        <v>115</v>
      </c>
      <c r="K21">
        <v>0</v>
      </c>
      <c r="L21">
        <v>3</v>
      </c>
      <c r="M21">
        <v>0</v>
      </c>
      <c r="N21">
        <v>2</v>
      </c>
      <c r="O21">
        <v>1</v>
      </c>
      <c r="P21">
        <v>0</v>
      </c>
      <c r="Q21">
        <v>0</v>
      </c>
      <c r="S21" t="str">
        <f>"18:35:29.523"</f>
        <v>18:35:29.523</v>
      </c>
      <c r="T21" t="str">
        <f>"18:35:29.123"</f>
        <v>18:35:29.123</v>
      </c>
      <c r="U21" t="str">
        <f t="shared" si="0"/>
        <v>AAB6EE</v>
      </c>
      <c r="V21">
        <v>0</v>
      </c>
      <c r="W21">
        <v>0</v>
      </c>
      <c r="X21">
        <v>4</v>
      </c>
      <c r="Z21">
        <v>0</v>
      </c>
      <c r="AA21">
        <v>8</v>
      </c>
      <c r="AB21">
        <v>3</v>
      </c>
      <c r="AC21">
        <v>0</v>
      </c>
      <c r="AD21">
        <v>10</v>
      </c>
      <c r="AE21">
        <v>0</v>
      </c>
      <c r="AF21">
        <v>0</v>
      </c>
      <c r="AG21">
        <v>1</v>
      </c>
      <c r="AH21">
        <v>1</v>
      </c>
      <c r="AI21" t="s">
        <v>133</v>
      </c>
      <c r="AJ21">
        <v>35.563796000000004</v>
      </c>
      <c r="AK21" t="s">
        <v>134</v>
      </c>
      <c r="AL21">
        <v>-75.998676000000003</v>
      </c>
      <c r="AM21">
        <v>25</v>
      </c>
      <c r="AN21">
        <v>1400</v>
      </c>
      <c r="AO21" t="s">
        <v>118</v>
      </c>
      <c r="AP21">
        <v>-130</v>
      </c>
      <c r="AQ21">
        <v>-67</v>
      </c>
      <c r="AR21">
        <v>1792</v>
      </c>
      <c r="AZ21">
        <v>1200</v>
      </c>
      <c r="BA21">
        <v>1</v>
      </c>
      <c r="BB21" t="str">
        <f t="shared" si="2"/>
        <v xml:space="preserve">N79NX   </v>
      </c>
      <c r="BC21">
        <v>1</v>
      </c>
      <c r="BE21">
        <v>0</v>
      </c>
      <c r="BF21">
        <v>0</v>
      </c>
      <c r="BG21">
        <v>0</v>
      </c>
      <c r="BH21">
        <v>1275</v>
      </c>
      <c r="BI21">
        <v>0</v>
      </c>
      <c r="BJ21">
        <v>0</v>
      </c>
      <c r="BK21">
        <v>0</v>
      </c>
      <c r="BL21">
        <v>0</v>
      </c>
      <c r="BO21">
        <v>0</v>
      </c>
      <c r="BP21">
        <v>0</v>
      </c>
      <c r="BW21" t="str">
        <f>"18:35:29.530"</f>
        <v>18:35:29.530</v>
      </c>
      <c r="BZ21">
        <v>0</v>
      </c>
      <c r="CA21">
        <v>3488</v>
      </c>
      <c r="CB21">
        <v>216</v>
      </c>
      <c r="CC21">
        <v>583.59379999999999</v>
      </c>
      <c r="CD21">
        <v>1</v>
      </c>
      <c r="CE21">
        <v>1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2</v>
      </c>
      <c r="CL21">
        <v>0</v>
      </c>
      <c r="CM21">
        <v>2</v>
      </c>
      <c r="CN21">
        <v>0</v>
      </c>
      <c r="CO21">
        <v>3</v>
      </c>
      <c r="CP21" t="s">
        <v>119</v>
      </c>
      <c r="CQ21">
        <v>145</v>
      </c>
      <c r="CR21">
        <v>1</v>
      </c>
      <c r="CW21">
        <v>8848832</v>
      </c>
      <c r="CY21">
        <v>0</v>
      </c>
      <c r="CZ21">
        <v>0</v>
      </c>
      <c r="DA21">
        <v>1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</row>
    <row r="22" spans="1:113" x14ac:dyDescent="0.3">
      <c r="A22" t="str">
        <f>"02/13/2022 18:35:29.781"</f>
        <v>02/13/2022 18:35:29.781</v>
      </c>
      <c r="C22" t="str">
        <f t="shared" si="1"/>
        <v>FFDFD7C0</v>
      </c>
      <c r="D22" t="s">
        <v>113</v>
      </c>
      <c r="E22">
        <v>4</v>
      </c>
      <c r="F22">
        <v>1004</v>
      </c>
      <c r="G22" t="s">
        <v>120</v>
      </c>
      <c r="J22" t="s">
        <v>115</v>
      </c>
      <c r="K22">
        <v>0</v>
      </c>
      <c r="L22">
        <v>3</v>
      </c>
      <c r="M22">
        <v>0</v>
      </c>
      <c r="N22">
        <v>2</v>
      </c>
      <c r="O22">
        <v>1</v>
      </c>
      <c r="P22">
        <v>0</v>
      </c>
      <c r="Q22">
        <v>0</v>
      </c>
      <c r="S22" t="str">
        <f>"18:35:29.523"</f>
        <v>18:35:29.523</v>
      </c>
      <c r="T22" t="str">
        <f>"18:35:29.123"</f>
        <v>18:35:29.123</v>
      </c>
      <c r="U22" t="str">
        <f t="shared" si="0"/>
        <v>AAB6EE</v>
      </c>
      <c r="V22">
        <v>0</v>
      </c>
      <c r="W22">
        <v>0</v>
      </c>
      <c r="X22">
        <v>4</v>
      </c>
      <c r="Z22">
        <v>0</v>
      </c>
      <c r="AA22">
        <v>8</v>
      </c>
      <c r="AB22">
        <v>3</v>
      </c>
      <c r="AC22">
        <v>0</v>
      </c>
      <c r="AD22">
        <v>10</v>
      </c>
      <c r="AE22">
        <v>0</v>
      </c>
      <c r="AF22">
        <v>0</v>
      </c>
      <c r="AG22">
        <v>1</v>
      </c>
      <c r="AH22">
        <v>1</v>
      </c>
      <c r="AI22" t="s">
        <v>133</v>
      </c>
      <c r="AJ22">
        <v>35.563796000000004</v>
      </c>
      <c r="AK22" t="s">
        <v>134</v>
      </c>
      <c r="AL22">
        <v>-75.998676000000003</v>
      </c>
      <c r="AM22">
        <v>25</v>
      </c>
      <c r="AN22">
        <v>1400</v>
      </c>
      <c r="AO22" t="s">
        <v>118</v>
      </c>
      <c r="AP22">
        <v>-130</v>
      </c>
      <c r="AQ22">
        <v>-67</v>
      </c>
      <c r="AR22">
        <v>1792</v>
      </c>
      <c r="AZ22">
        <v>1200</v>
      </c>
      <c r="BA22">
        <v>1</v>
      </c>
      <c r="BB22" t="str">
        <f t="shared" si="2"/>
        <v xml:space="preserve">N79NX   </v>
      </c>
      <c r="BC22">
        <v>1</v>
      </c>
      <c r="BE22">
        <v>0</v>
      </c>
      <c r="BF22">
        <v>0</v>
      </c>
      <c r="BG22">
        <v>0</v>
      </c>
      <c r="BH22">
        <v>1275</v>
      </c>
      <c r="BI22">
        <v>0</v>
      </c>
      <c r="BJ22">
        <v>0</v>
      </c>
      <c r="BK22">
        <v>0</v>
      </c>
      <c r="BL22">
        <v>0</v>
      </c>
      <c r="BO22">
        <v>0</v>
      </c>
      <c r="BP22">
        <v>0</v>
      </c>
      <c r="BW22" t="str">
        <f>"18:35:29.530"</f>
        <v>18:35:29.530</v>
      </c>
      <c r="BZ22">
        <v>0</v>
      </c>
      <c r="CA22">
        <v>3488</v>
      </c>
      <c r="CB22">
        <v>216</v>
      </c>
      <c r="CC22">
        <v>583.59379999999999</v>
      </c>
      <c r="CD22">
        <v>1</v>
      </c>
      <c r="CE22">
        <v>1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2</v>
      </c>
      <c r="CL22">
        <v>0</v>
      </c>
      <c r="CM22">
        <v>2</v>
      </c>
      <c r="CN22">
        <v>0</v>
      </c>
      <c r="CO22">
        <v>3</v>
      </c>
      <c r="CP22" t="s">
        <v>119</v>
      </c>
      <c r="CQ22">
        <v>145</v>
      </c>
      <c r="CR22">
        <v>1</v>
      </c>
      <c r="CW22">
        <v>8848832</v>
      </c>
      <c r="CY22">
        <v>0</v>
      </c>
      <c r="CZ22">
        <v>0</v>
      </c>
      <c r="DA22">
        <v>1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</row>
    <row r="23" spans="1:113" x14ac:dyDescent="0.3">
      <c r="A23" t="str">
        <f>"02/13/2022 18:35:31.689"</f>
        <v>02/13/2022 18:35:31.689</v>
      </c>
      <c r="C23" t="str">
        <f t="shared" si="1"/>
        <v>FFDFD7C0</v>
      </c>
      <c r="D23" t="s">
        <v>113</v>
      </c>
      <c r="E23">
        <v>3</v>
      </c>
      <c r="F23">
        <v>1003</v>
      </c>
      <c r="G23" t="s">
        <v>114</v>
      </c>
      <c r="J23" t="s">
        <v>115</v>
      </c>
      <c r="K23">
        <v>0</v>
      </c>
      <c r="L23">
        <v>3</v>
      </c>
      <c r="M23">
        <v>0</v>
      </c>
      <c r="N23">
        <v>2</v>
      </c>
      <c r="O23">
        <v>1</v>
      </c>
      <c r="P23">
        <v>0</v>
      </c>
      <c r="Q23">
        <v>0</v>
      </c>
      <c r="S23" t="str">
        <f>"18:35:31.484"</f>
        <v>18:35:31.484</v>
      </c>
      <c r="T23" t="str">
        <f>"18:35:31.084"</f>
        <v>18:35:31.084</v>
      </c>
      <c r="U23" t="str">
        <f t="shared" si="0"/>
        <v>AAB6EE</v>
      </c>
      <c r="V23">
        <v>0</v>
      </c>
      <c r="W23">
        <v>0</v>
      </c>
      <c r="X23">
        <v>4</v>
      </c>
      <c r="Z23">
        <v>0</v>
      </c>
      <c r="AA23">
        <v>8</v>
      </c>
      <c r="AB23">
        <v>3</v>
      </c>
      <c r="AC23">
        <v>0</v>
      </c>
      <c r="AD23">
        <v>10</v>
      </c>
      <c r="AE23">
        <v>0</v>
      </c>
      <c r="AF23">
        <v>0</v>
      </c>
      <c r="AG23">
        <v>1</v>
      </c>
      <c r="AH23">
        <v>1</v>
      </c>
      <c r="AI23" t="s">
        <v>135</v>
      </c>
      <c r="AJ23">
        <v>35.563108999999997</v>
      </c>
      <c r="AK23" t="s">
        <v>136</v>
      </c>
      <c r="AL23">
        <v>-76.000028</v>
      </c>
      <c r="AM23">
        <v>25</v>
      </c>
      <c r="AN23">
        <v>1475</v>
      </c>
      <c r="AO23" t="s">
        <v>118</v>
      </c>
      <c r="AP23">
        <v>-124</v>
      </c>
      <c r="AQ23">
        <v>-83</v>
      </c>
      <c r="AR23">
        <v>1728</v>
      </c>
      <c r="AZ23">
        <v>1200</v>
      </c>
      <c r="BA23">
        <v>1</v>
      </c>
      <c r="BB23" t="str">
        <f t="shared" si="2"/>
        <v xml:space="preserve">N79NX   </v>
      </c>
      <c r="BC23">
        <v>1</v>
      </c>
      <c r="BE23">
        <v>0</v>
      </c>
      <c r="BF23">
        <v>0</v>
      </c>
      <c r="BG23">
        <v>0</v>
      </c>
      <c r="BH23">
        <v>1300</v>
      </c>
      <c r="BI23">
        <v>0</v>
      </c>
      <c r="BJ23">
        <v>0</v>
      </c>
      <c r="BK23">
        <v>0</v>
      </c>
      <c r="BL23">
        <v>0</v>
      </c>
      <c r="BO23">
        <v>0</v>
      </c>
      <c r="BP23">
        <v>0</v>
      </c>
      <c r="BW23" t="str">
        <f>"18:35:31.490"</f>
        <v>18:35:31.490</v>
      </c>
      <c r="BZ23">
        <v>0</v>
      </c>
      <c r="CA23">
        <v>3488</v>
      </c>
      <c r="CB23">
        <v>216</v>
      </c>
      <c r="CC23">
        <v>583.59379999999999</v>
      </c>
      <c r="CD23">
        <v>1</v>
      </c>
      <c r="CE23">
        <v>1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2</v>
      </c>
      <c r="CL23">
        <v>0</v>
      </c>
      <c r="CM23">
        <v>2</v>
      </c>
      <c r="CN23">
        <v>0</v>
      </c>
      <c r="CO23">
        <v>3</v>
      </c>
      <c r="CP23" t="s">
        <v>119</v>
      </c>
      <c r="CQ23">
        <v>145</v>
      </c>
      <c r="CR23">
        <v>1</v>
      </c>
      <c r="CW23">
        <v>8849864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</row>
    <row r="24" spans="1:113" x14ac:dyDescent="0.3">
      <c r="A24" t="str">
        <f>"02/13/2022 18:35:31.689"</f>
        <v>02/13/2022 18:35:31.689</v>
      </c>
      <c r="C24" t="str">
        <f t="shared" si="1"/>
        <v>FFDFD7C0</v>
      </c>
      <c r="D24" t="s">
        <v>113</v>
      </c>
      <c r="E24">
        <v>4</v>
      </c>
      <c r="F24">
        <v>1004</v>
      </c>
      <c r="G24" t="s">
        <v>120</v>
      </c>
      <c r="J24" t="s">
        <v>115</v>
      </c>
      <c r="K24">
        <v>0</v>
      </c>
      <c r="L24">
        <v>3</v>
      </c>
      <c r="M24">
        <v>0</v>
      </c>
      <c r="N24">
        <v>2</v>
      </c>
      <c r="O24">
        <v>1</v>
      </c>
      <c r="P24">
        <v>0</v>
      </c>
      <c r="Q24">
        <v>0</v>
      </c>
      <c r="S24" t="str">
        <f>"18:35:31.484"</f>
        <v>18:35:31.484</v>
      </c>
      <c r="T24" t="str">
        <f>"18:35:31.084"</f>
        <v>18:35:31.084</v>
      </c>
      <c r="U24" t="str">
        <f t="shared" si="0"/>
        <v>AAB6EE</v>
      </c>
      <c r="V24">
        <v>0</v>
      </c>
      <c r="W24">
        <v>0</v>
      </c>
      <c r="X24">
        <v>4</v>
      </c>
      <c r="Z24">
        <v>0</v>
      </c>
      <c r="AA24">
        <v>8</v>
      </c>
      <c r="AB24">
        <v>3</v>
      </c>
      <c r="AC24">
        <v>0</v>
      </c>
      <c r="AD24">
        <v>10</v>
      </c>
      <c r="AE24">
        <v>0</v>
      </c>
      <c r="AF24">
        <v>0</v>
      </c>
      <c r="AG24">
        <v>1</v>
      </c>
      <c r="AH24">
        <v>1</v>
      </c>
      <c r="AI24" t="s">
        <v>135</v>
      </c>
      <c r="AJ24">
        <v>35.563108999999997</v>
      </c>
      <c r="AK24" t="s">
        <v>136</v>
      </c>
      <c r="AL24">
        <v>-76.000028</v>
      </c>
      <c r="AM24">
        <v>25</v>
      </c>
      <c r="AN24">
        <v>1475</v>
      </c>
      <c r="AO24" t="s">
        <v>118</v>
      </c>
      <c r="AP24">
        <v>-124</v>
      </c>
      <c r="AQ24">
        <v>-83</v>
      </c>
      <c r="AR24">
        <v>1728</v>
      </c>
      <c r="AZ24">
        <v>1200</v>
      </c>
      <c r="BA24">
        <v>1</v>
      </c>
      <c r="BB24" t="str">
        <f t="shared" si="2"/>
        <v xml:space="preserve">N79NX   </v>
      </c>
      <c r="BC24">
        <v>1</v>
      </c>
      <c r="BE24">
        <v>0</v>
      </c>
      <c r="BF24">
        <v>0</v>
      </c>
      <c r="BG24">
        <v>0</v>
      </c>
      <c r="BH24">
        <v>1300</v>
      </c>
      <c r="BI24">
        <v>0</v>
      </c>
      <c r="BJ24">
        <v>0</v>
      </c>
      <c r="BK24">
        <v>0</v>
      </c>
      <c r="BL24">
        <v>0</v>
      </c>
      <c r="BO24">
        <v>0</v>
      </c>
      <c r="BP24">
        <v>0</v>
      </c>
      <c r="BW24" t="str">
        <f>"18:35:31.490"</f>
        <v>18:35:31.490</v>
      </c>
      <c r="BZ24">
        <v>0</v>
      </c>
      <c r="CA24">
        <v>3488</v>
      </c>
      <c r="CB24">
        <v>216</v>
      </c>
      <c r="CC24">
        <v>583.59379999999999</v>
      </c>
      <c r="CD24">
        <v>1</v>
      </c>
      <c r="CE24">
        <v>1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2</v>
      </c>
      <c r="CL24">
        <v>0</v>
      </c>
      <c r="CM24">
        <v>2</v>
      </c>
      <c r="CN24">
        <v>0</v>
      </c>
      <c r="CO24">
        <v>3</v>
      </c>
      <c r="CP24" t="s">
        <v>119</v>
      </c>
      <c r="CQ24">
        <v>145</v>
      </c>
      <c r="CR24">
        <v>1</v>
      </c>
      <c r="CW24">
        <v>8849864</v>
      </c>
      <c r="CY24">
        <v>0</v>
      </c>
      <c r="CZ24">
        <v>0</v>
      </c>
      <c r="DA24">
        <v>1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</row>
    <row r="25" spans="1:113" x14ac:dyDescent="0.3">
      <c r="A25" t="str">
        <f>"02/13/2022 18:35:31.720"</f>
        <v>02/13/2022 18:35:31.720</v>
      </c>
      <c r="C25" t="str">
        <f t="shared" si="1"/>
        <v>FFDFD7C0</v>
      </c>
      <c r="D25" t="s">
        <v>121</v>
      </c>
      <c r="E25">
        <v>2</v>
      </c>
      <c r="H25">
        <v>158</v>
      </c>
      <c r="I25" t="s">
        <v>120</v>
      </c>
      <c r="J25" t="s">
        <v>122</v>
      </c>
      <c r="K25">
        <v>0</v>
      </c>
      <c r="L25">
        <v>3</v>
      </c>
      <c r="M25">
        <v>0</v>
      </c>
      <c r="N25">
        <v>2</v>
      </c>
      <c r="O25">
        <v>1</v>
      </c>
      <c r="P25">
        <v>0</v>
      </c>
      <c r="Q25">
        <v>0</v>
      </c>
      <c r="S25" t="str">
        <f>"18:35:31.484"</f>
        <v>18:35:31.484</v>
      </c>
      <c r="T25" t="str">
        <f>"18:35:31.084"</f>
        <v>18:35:31.084</v>
      </c>
      <c r="U25" t="str">
        <f t="shared" si="0"/>
        <v>AAB6EE</v>
      </c>
      <c r="V25">
        <v>0</v>
      </c>
      <c r="W25">
        <v>0</v>
      </c>
      <c r="X25">
        <v>4</v>
      </c>
      <c r="Z25">
        <v>0</v>
      </c>
      <c r="AA25">
        <v>8</v>
      </c>
      <c r="AB25">
        <v>3</v>
      </c>
      <c r="AC25">
        <v>0</v>
      </c>
      <c r="AD25">
        <v>10</v>
      </c>
      <c r="AE25">
        <v>0</v>
      </c>
      <c r="AF25">
        <v>0</v>
      </c>
      <c r="AG25">
        <v>1</v>
      </c>
      <c r="AH25">
        <v>1</v>
      </c>
      <c r="AI25" t="s">
        <v>135</v>
      </c>
      <c r="AJ25">
        <v>35.563108999999997</v>
      </c>
      <c r="AK25" t="s">
        <v>136</v>
      </c>
      <c r="AL25">
        <v>-76.000028</v>
      </c>
      <c r="AM25">
        <v>25</v>
      </c>
      <c r="AN25">
        <v>1475</v>
      </c>
      <c r="AO25" t="s">
        <v>118</v>
      </c>
      <c r="AP25">
        <v>-124</v>
      </c>
      <c r="AQ25">
        <v>-83</v>
      </c>
      <c r="AR25">
        <v>1728</v>
      </c>
      <c r="AZ25">
        <v>1200</v>
      </c>
      <c r="BA25">
        <v>1</v>
      </c>
      <c r="BB25" t="str">
        <f t="shared" si="2"/>
        <v xml:space="preserve">N79NX   </v>
      </c>
      <c r="BC25">
        <v>1</v>
      </c>
      <c r="BE25">
        <v>0</v>
      </c>
      <c r="BF25">
        <v>0</v>
      </c>
      <c r="BG25">
        <v>0</v>
      </c>
      <c r="BH25">
        <v>1300</v>
      </c>
      <c r="BI25">
        <v>0</v>
      </c>
      <c r="BJ25">
        <v>0</v>
      </c>
      <c r="BK25">
        <v>0</v>
      </c>
      <c r="BL25">
        <v>0</v>
      </c>
      <c r="BO25">
        <v>0</v>
      </c>
      <c r="BP25">
        <v>0</v>
      </c>
      <c r="BW25" t="str">
        <f>"18:35:31.490"</f>
        <v>18:35:31.490</v>
      </c>
      <c r="BZ25">
        <v>0</v>
      </c>
      <c r="CA25">
        <v>3488</v>
      </c>
      <c r="CB25">
        <v>216</v>
      </c>
      <c r="CC25">
        <v>583.59379999999999</v>
      </c>
      <c r="CD25">
        <v>1</v>
      </c>
      <c r="CE25">
        <v>1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2</v>
      </c>
      <c r="CL25">
        <v>0</v>
      </c>
      <c r="CM25">
        <v>2</v>
      </c>
      <c r="CN25">
        <v>0</v>
      </c>
      <c r="CO25">
        <v>3</v>
      </c>
      <c r="CP25" t="s">
        <v>119</v>
      </c>
      <c r="CQ25">
        <v>145</v>
      </c>
      <c r="CR25">
        <v>1</v>
      </c>
      <c r="CW25">
        <v>8849864</v>
      </c>
      <c r="CY25">
        <v>0</v>
      </c>
      <c r="CZ25">
        <v>0</v>
      </c>
      <c r="DA25">
        <v>1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</row>
    <row r="26" spans="1:113" x14ac:dyDescent="0.3">
      <c r="A26" t="str">
        <f>"02/13/2022 18:35:32.486"</f>
        <v>02/13/2022 18:35:32.486</v>
      </c>
      <c r="C26" t="str">
        <f t="shared" si="1"/>
        <v>FFDFD7C0</v>
      </c>
      <c r="D26" t="s">
        <v>113</v>
      </c>
      <c r="E26">
        <v>3</v>
      </c>
      <c r="F26">
        <v>1003</v>
      </c>
      <c r="G26" t="s">
        <v>114</v>
      </c>
      <c r="J26" t="s">
        <v>115</v>
      </c>
      <c r="K26">
        <v>0</v>
      </c>
      <c r="L26">
        <v>3</v>
      </c>
      <c r="M26">
        <v>0</v>
      </c>
      <c r="N26">
        <v>2</v>
      </c>
      <c r="O26">
        <v>1</v>
      </c>
      <c r="P26">
        <v>0</v>
      </c>
      <c r="Q26">
        <v>0</v>
      </c>
      <c r="S26" t="str">
        <f t="shared" ref="S26:T28" si="3">"18:35:32.312"</f>
        <v>18:35:32.312</v>
      </c>
      <c r="T26" t="str">
        <f t="shared" si="3"/>
        <v>18:35:32.312</v>
      </c>
      <c r="U26" t="str">
        <f t="shared" si="0"/>
        <v>AAB6EE</v>
      </c>
      <c r="V26">
        <v>0</v>
      </c>
      <c r="W26">
        <v>0</v>
      </c>
      <c r="X26">
        <v>4</v>
      </c>
      <c r="Z26">
        <v>0</v>
      </c>
      <c r="AA26">
        <v>8</v>
      </c>
      <c r="AB26">
        <v>3</v>
      </c>
      <c r="AC26">
        <v>0</v>
      </c>
      <c r="AD26">
        <v>10</v>
      </c>
      <c r="AE26">
        <v>0</v>
      </c>
      <c r="AF26">
        <v>0</v>
      </c>
      <c r="AG26">
        <v>1</v>
      </c>
      <c r="AH26">
        <v>1</v>
      </c>
      <c r="AI26" t="s">
        <v>137</v>
      </c>
      <c r="AJ26">
        <v>35.562744000000002</v>
      </c>
      <c r="AK26" t="s">
        <v>138</v>
      </c>
      <c r="AL26">
        <v>-76.000670999999997</v>
      </c>
      <c r="AM26">
        <v>25</v>
      </c>
      <c r="AN26">
        <v>1500</v>
      </c>
      <c r="AO26" t="s">
        <v>118</v>
      </c>
      <c r="AP26">
        <v>-119</v>
      </c>
      <c r="AQ26">
        <v>-93</v>
      </c>
      <c r="AR26">
        <v>1664</v>
      </c>
      <c r="AZ26">
        <v>1200</v>
      </c>
      <c r="BA26">
        <v>1</v>
      </c>
      <c r="BB26" t="str">
        <f t="shared" si="2"/>
        <v xml:space="preserve">N79NX   </v>
      </c>
      <c r="BC26">
        <v>1</v>
      </c>
      <c r="BE26">
        <v>0</v>
      </c>
      <c r="BF26">
        <v>0</v>
      </c>
      <c r="BG26">
        <v>0</v>
      </c>
      <c r="BH26">
        <v>1350</v>
      </c>
      <c r="BI26">
        <v>0</v>
      </c>
      <c r="BJ26">
        <v>0</v>
      </c>
      <c r="BK26">
        <v>0</v>
      </c>
      <c r="BL26">
        <v>0</v>
      </c>
      <c r="BO26">
        <v>0</v>
      </c>
      <c r="BP26">
        <v>0</v>
      </c>
      <c r="BW26" t="str">
        <f>"18:35:32.320"</f>
        <v>18:35:32.320</v>
      </c>
      <c r="BZ26">
        <v>0</v>
      </c>
      <c r="CA26">
        <v>3488</v>
      </c>
      <c r="CB26">
        <v>216</v>
      </c>
      <c r="CC26">
        <v>583.59379999999999</v>
      </c>
      <c r="CD26">
        <v>1</v>
      </c>
      <c r="CE26">
        <v>1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2</v>
      </c>
      <c r="CL26">
        <v>0</v>
      </c>
      <c r="CM26">
        <v>2</v>
      </c>
      <c r="CN26">
        <v>0</v>
      </c>
      <c r="CO26">
        <v>4</v>
      </c>
      <c r="CP26" t="s">
        <v>119</v>
      </c>
      <c r="CQ26">
        <v>145</v>
      </c>
      <c r="CR26">
        <v>1</v>
      </c>
      <c r="CW26">
        <v>8850258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</row>
    <row r="27" spans="1:113" x14ac:dyDescent="0.3">
      <c r="A27" t="str">
        <f>"02/13/2022 18:35:32.486"</f>
        <v>02/13/2022 18:35:32.486</v>
      </c>
      <c r="C27" t="str">
        <f t="shared" si="1"/>
        <v>FFDFD7C0</v>
      </c>
      <c r="D27" t="s">
        <v>113</v>
      </c>
      <c r="E27">
        <v>4</v>
      </c>
      <c r="F27">
        <v>1004</v>
      </c>
      <c r="G27" t="s">
        <v>120</v>
      </c>
      <c r="J27" t="s">
        <v>115</v>
      </c>
      <c r="K27">
        <v>0</v>
      </c>
      <c r="L27">
        <v>3</v>
      </c>
      <c r="M27">
        <v>0</v>
      </c>
      <c r="N27">
        <v>2</v>
      </c>
      <c r="O27">
        <v>1</v>
      </c>
      <c r="P27">
        <v>0</v>
      </c>
      <c r="Q27">
        <v>0</v>
      </c>
      <c r="S27" t="str">
        <f t="shared" si="3"/>
        <v>18:35:32.312</v>
      </c>
      <c r="T27" t="str">
        <f t="shared" si="3"/>
        <v>18:35:32.312</v>
      </c>
      <c r="U27" t="str">
        <f t="shared" si="0"/>
        <v>AAB6EE</v>
      </c>
      <c r="V27">
        <v>0</v>
      </c>
      <c r="W27">
        <v>0</v>
      </c>
      <c r="X27">
        <v>4</v>
      </c>
      <c r="Z27">
        <v>0</v>
      </c>
      <c r="AA27">
        <v>8</v>
      </c>
      <c r="AB27">
        <v>3</v>
      </c>
      <c r="AC27">
        <v>0</v>
      </c>
      <c r="AD27">
        <v>10</v>
      </c>
      <c r="AE27">
        <v>0</v>
      </c>
      <c r="AF27">
        <v>0</v>
      </c>
      <c r="AG27">
        <v>1</v>
      </c>
      <c r="AH27">
        <v>1</v>
      </c>
      <c r="AI27" t="s">
        <v>137</v>
      </c>
      <c r="AJ27">
        <v>35.562744000000002</v>
      </c>
      <c r="AK27" t="s">
        <v>138</v>
      </c>
      <c r="AL27">
        <v>-76.000670999999997</v>
      </c>
      <c r="AM27">
        <v>25</v>
      </c>
      <c r="AN27">
        <v>1500</v>
      </c>
      <c r="AO27" t="s">
        <v>118</v>
      </c>
      <c r="AP27">
        <v>-119</v>
      </c>
      <c r="AQ27">
        <v>-93</v>
      </c>
      <c r="AR27">
        <v>1664</v>
      </c>
      <c r="AZ27">
        <v>1200</v>
      </c>
      <c r="BA27">
        <v>1</v>
      </c>
      <c r="BB27" t="str">
        <f t="shared" si="2"/>
        <v xml:space="preserve">N79NX   </v>
      </c>
      <c r="BC27">
        <v>1</v>
      </c>
      <c r="BE27">
        <v>0</v>
      </c>
      <c r="BF27">
        <v>0</v>
      </c>
      <c r="BG27">
        <v>0</v>
      </c>
      <c r="BH27">
        <v>1350</v>
      </c>
      <c r="BI27">
        <v>0</v>
      </c>
      <c r="BJ27">
        <v>0</v>
      </c>
      <c r="BK27">
        <v>0</v>
      </c>
      <c r="BL27">
        <v>0</v>
      </c>
      <c r="BO27">
        <v>0</v>
      </c>
      <c r="BP27">
        <v>0</v>
      </c>
      <c r="BW27" t="str">
        <f>"18:35:32.320"</f>
        <v>18:35:32.320</v>
      </c>
      <c r="BZ27">
        <v>0</v>
      </c>
      <c r="CA27">
        <v>3488</v>
      </c>
      <c r="CB27">
        <v>216</v>
      </c>
      <c r="CC27">
        <v>583.59379999999999</v>
      </c>
      <c r="CD27">
        <v>1</v>
      </c>
      <c r="CE27">
        <v>1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2</v>
      </c>
      <c r="CL27">
        <v>0</v>
      </c>
      <c r="CM27">
        <v>2</v>
      </c>
      <c r="CN27">
        <v>0</v>
      </c>
      <c r="CO27">
        <v>4</v>
      </c>
      <c r="CP27" t="s">
        <v>119</v>
      </c>
      <c r="CQ27">
        <v>145</v>
      </c>
      <c r="CR27">
        <v>1</v>
      </c>
      <c r="CW27">
        <v>8850258</v>
      </c>
      <c r="CY27">
        <v>0</v>
      </c>
      <c r="CZ27">
        <v>0</v>
      </c>
      <c r="DA27">
        <v>1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</row>
    <row r="28" spans="1:113" x14ac:dyDescent="0.3">
      <c r="A28" t="str">
        <f>"02/13/2022 18:35:32.517"</f>
        <v>02/13/2022 18:35:32.517</v>
      </c>
      <c r="C28" t="str">
        <f t="shared" si="1"/>
        <v>FFDFD7C0</v>
      </c>
      <c r="D28" t="s">
        <v>121</v>
      </c>
      <c r="E28">
        <v>2</v>
      </c>
      <c r="H28">
        <v>158</v>
      </c>
      <c r="I28" t="s">
        <v>120</v>
      </c>
      <c r="J28" t="s">
        <v>122</v>
      </c>
      <c r="K28">
        <v>0</v>
      </c>
      <c r="L28">
        <v>3</v>
      </c>
      <c r="M28">
        <v>0</v>
      </c>
      <c r="N28">
        <v>2</v>
      </c>
      <c r="O28">
        <v>1</v>
      </c>
      <c r="P28">
        <v>0</v>
      </c>
      <c r="Q28">
        <v>0</v>
      </c>
      <c r="S28" t="str">
        <f t="shared" si="3"/>
        <v>18:35:32.312</v>
      </c>
      <c r="T28" t="str">
        <f t="shared" si="3"/>
        <v>18:35:32.312</v>
      </c>
      <c r="U28" t="str">
        <f t="shared" si="0"/>
        <v>AAB6EE</v>
      </c>
      <c r="V28">
        <v>0</v>
      </c>
      <c r="W28">
        <v>0</v>
      </c>
      <c r="X28">
        <v>4</v>
      </c>
      <c r="Z28">
        <v>0</v>
      </c>
      <c r="AA28">
        <v>8</v>
      </c>
      <c r="AB28">
        <v>3</v>
      </c>
      <c r="AC28">
        <v>0</v>
      </c>
      <c r="AD28">
        <v>10</v>
      </c>
      <c r="AE28">
        <v>0</v>
      </c>
      <c r="AF28">
        <v>0</v>
      </c>
      <c r="AG28">
        <v>1</v>
      </c>
      <c r="AH28">
        <v>1</v>
      </c>
      <c r="AI28" t="s">
        <v>137</v>
      </c>
      <c r="AJ28">
        <v>35.562744000000002</v>
      </c>
      <c r="AK28" t="s">
        <v>138</v>
      </c>
      <c r="AL28">
        <v>-76.000670999999997</v>
      </c>
      <c r="AM28">
        <v>25</v>
      </c>
      <c r="AN28">
        <v>1500</v>
      </c>
      <c r="AO28" t="s">
        <v>118</v>
      </c>
      <c r="AP28">
        <v>-119</v>
      </c>
      <c r="AQ28">
        <v>-93</v>
      </c>
      <c r="AR28">
        <v>1664</v>
      </c>
      <c r="AZ28">
        <v>1200</v>
      </c>
      <c r="BA28">
        <v>1</v>
      </c>
      <c r="BB28" t="str">
        <f t="shared" si="2"/>
        <v xml:space="preserve">N79NX   </v>
      </c>
      <c r="BC28">
        <v>1</v>
      </c>
      <c r="BE28">
        <v>0</v>
      </c>
      <c r="BF28">
        <v>0</v>
      </c>
      <c r="BG28">
        <v>0</v>
      </c>
      <c r="BH28">
        <v>1350</v>
      </c>
      <c r="BI28">
        <v>0</v>
      </c>
      <c r="BJ28">
        <v>0</v>
      </c>
      <c r="BK28">
        <v>0</v>
      </c>
      <c r="BL28">
        <v>0</v>
      </c>
      <c r="BO28">
        <v>0</v>
      </c>
      <c r="BP28">
        <v>0</v>
      </c>
      <c r="BW28" t="str">
        <f>"18:35:32.320"</f>
        <v>18:35:32.320</v>
      </c>
      <c r="BZ28">
        <v>0</v>
      </c>
      <c r="CA28">
        <v>3488</v>
      </c>
      <c r="CB28">
        <v>216</v>
      </c>
      <c r="CC28">
        <v>583.59379999999999</v>
      </c>
      <c r="CD28">
        <v>1</v>
      </c>
      <c r="CE28">
        <v>1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2</v>
      </c>
      <c r="CL28">
        <v>0</v>
      </c>
      <c r="CM28">
        <v>2</v>
      </c>
      <c r="CN28">
        <v>0</v>
      </c>
      <c r="CO28">
        <v>4</v>
      </c>
      <c r="CP28" t="s">
        <v>119</v>
      </c>
      <c r="CQ28">
        <v>145</v>
      </c>
      <c r="CR28">
        <v>1</v>
      </c>
      <c r="CW28">
        <v>8850258</v>
      </c>
      <c r="CY28">
        <v>0</v>
      </c>
      <c r="CZ28">
        <v>0</v>
      </c>
      <c r="DA28">
        <v>1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</row>
    <row r="29" spans="1:113" x14ac:dyDescent="0.3">
      <c r="A29" t="str">
        <f>"02/13/2022 18:35:33.564"</f>
        <v>02/13/2022 18:35:33.564</v>
      </c>
      <c r="C29" t="str">
        <f t="shared" si="1"/>
        <v>FFDFD7C0</v>
      </c>
      <c r="D29" t="s">
        <v>113</v>
      </c>
      <c r="E29">
        <v>3</v>
      </c>
      <c r="F29">
        <v>1003</v>
      </c>
      <c r="G29" t="s">
        <v>114</v>
      </c>
      <c r="J29" t="s">
        <v>115</v>
      </c>
      <c r="K29">
        <v>0</v>
      </c>
      <c r="L29">
        <v>3</v>
      </c>
      <c r="M29">
        <v>0</v>
      </c>
      <c r="N29">
        <v>2</v>
      </c>
      <c r="O29">
        <v>1</v>
      </c>
      <c r="P29">
        <v>0</v>
      </c>
      <c r="Q29">
        <v>0</v>
      </c>
      <c r="S29" t="str">
        <f>"18:35:33.367"</f>
        <v>18:35:33.367</v>
      </c>
      <c r="T29" t="str">
        <f>"18:35:33.267"</f>
        <v>18:35:33.267</v>
      </c>
      <c r="U29" t="str">
        <f t="shared" si="0"/>
        <v>AAB6EE</v>
      </c>
      <c r="V29">
        <v>0</v>
      </c>
      <c r="W29">
        <v>0</v>
      </c>
      <c r="X29">
        <v>4</v>
      </c>
      <c r="Z29">
        <v>0</v>
      </c>
      <c r="AA29">
        <v>8</v>
      </c>
      <c r="AB29">
        <v>3</v>
      </c>
      <c r="AC29">
        <v>0</v>
      </c>
      <c r="AD29">
        <v>10</v>
      </c>
      <c r="AE29">
        <v>0</v>
      </c>
      <c r="AF29">
        <v>0</v>
      </c>
      <c r="AG29">
        <v>1</v>
      </c>
      <c r="AH29">
        <v>1</v>
      </c>
      <c r="AI29" t="s">
        <v>139</v>
      </c>
      <c r="AJ29">
        <v>35.562294000000001</v>
      </c>
      <c r="AK29" t="s">
        <v>140</v>
      </c>
      <c r="AL29">
        <v>-76.001294000000001</v>
      </c>
      <c r="AM29">
        <v>25</v>
      </c>
      <c r="AN29">
        <v>1525</v>
      </c>
      <c r="AO29" t="s">
        <v>118</v>
      </c>
      <c r="AP29">
        <v>-114</v>
      </c>
      <c r="AQ29">
        <v>-100</v>
      </c>
      <c r="AR29">
        <v>1728</v>
      </c>
      <c r="AZ29">
        <v>1200</v>
      </c>
      <c r="BA29">
        <v>1</v>
      </c>
      <c r="BB29" t="str">
        <f t="shared" si="2"/>
        <v xml:space="preserve">N79NX   </v>
      </c>
      <c r="BC29">
        <v>1</v>
      </c>
      <c r="BE29">
        <v>0</v>
      </c>
      <c r="BF29">
        <v>0</v>
      </c>
      <c r="BG29">
        <v>0</v>
      </c>
      <c r="BH29">
        <v>1400</v>
      </c>
      <c r="BI29">
        <v>0</v>
      </c>
      <c r="BJ29">
        <v>0</v>
      </c>
      <c r="BK29">
        <v>0</v>
      </c>
      <c r="BL29">
        <v>0</v>
      </c>
      <c r="BO29">
        <v>0</v>
      </c>
      <c r="BP29">
        <v>0</v>
      </c>
      <c r="BW29" t="str">
        <f>"18:35:33.370"</f>
        <v>18:35:33.370</v>
      </c>
      <c r="BZ29">
        <v>0</v>
      </c>
      <c r="CA29">
        <v>3488</v>
      </c>
      <c r="CB29">
        <v>216</v>
      </c>
      <c r="CC29">
        <v>583.59379999999999</v>
      </c>
      <c r="CD29">
        <v>1</v>
      </c>
      <c r="CE29">
        <v>1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2</v>
      </c>
      <c r="CL29">
        <v>0</v>
      </c>
      <c r="CM29">
        <v>2</v>
      </c>
      <c r="CN29">
        <v>0</v>
      </c>
      <c r="CO29">
        <v>3</v>
      </c>
      <c r="CP29" t="s">
        <v>119</v>
      </c>
      <c r="CQ29">
        <v>145</v>
      </c>
      <c r="CR29">
        <v>1</v>
      </c>
      <c r="CW29">
        <v>8850793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</row>
    <row r="30" spans="1:113" x14ac:dyDescent="0.3">
      <c r="A30" t="str">
        <f>"02/13/2022 18:35:33.564"</f>
        <v>02/13/2022 18:35:33.564</v>
      </c>
      <c r="C30" t="str">
        <f t="shared" si="1"/>
        <v>FFDFD7C0</v>
      </c>
      <c r="D30" t="s">
        <v>113</v>
      </c>
      <c r="E30">
        <v>4</v>
      </c>
      <c r="F30">
        <v>1004</v>
      </c>
      <c r="G30" t="s">
        <v>120</v>
      </c>
      <c r="J30" t="s">
        <v>115</v>
      </c>
      <c r="K30">
        <v>0</v>
      </c>
      <c r="L30">
        <v>3</v>
      </c>
      <c r="M30">
        <v>0</v>
      </c>
      <c r="N30">
        <v>2</v>
      </c>
      <c r="O30">
        <v>1</v>
      </c>
      <c r="P30">
        <v>0</v>
      </c>
      <c r="Q30">
        <v>0</v>
      </c>
      <c r="S30" t="str">
        <f>"18:35:33.367"</f>
        <v>18:35:33.367</v>
      </c>
      <c r="T30" t="str">
        <f>"18:35:33.267"</f>
        <v>18:35:33.267</v>
      </c>
      <c r="U30" t="str">
        <f t="shared" si="0"/>
        <v>AAB6EE</v>
      </c>
      <c r="V30">
        <v>0</v>
      </c>
      <c r="W30">
        <v>0</v>
      </c>
      <c r="X30">
        <v>4</v>
      </c>
      <c r="Z30">
        <v>0</v>
      </c>
      <c r="AA30">
        <v>8</v>
      </c>
      <c r="AB30">
        <v>3</v>
      </c>
      <c r="AC30">
        <v>0</v>
      </c>
      <c r="AD30">
        <v>10</v>
      </c>
      <c r="AE30">
        <v>0</v>
      </c>
      <c r="AF30">
        <v>0</v>
      </c>
      <c r="AG30">
        <v>1</v>
      </c>
      <c r="AH30">
        <v>1</v>
      </c>
      <c r="AI30" t="s">
        <v>139</v>
      </c>
      <c r="AJ30">
        <v>35.562294000000001</v>
      </c>
      <c r="AK30" t="s">
        <v>140</v>
      </c>
      <c r="AL30">
        <v>-76.001294000000001</v>
      </c>
      <c r="AM30">
        <v>25</v>
      </c>
      <c r="AN30">
        <v>1525</v>
      </c>
      <c r="AO30" t="s">
        <v>118</v>
      </c>
      <c r="AP30">
        <v>-114</v>
      </c>
      <c r="AQ30">
        <v>-100</v>
      </c>
      <c r="AR30">
        <v>1728</v>
      </c>
      <c r="AZ30">
        <v>1200</v>
      </c>
      <c r="BA30">
        <v>1</v>
      </c>
      <c r="BB30" t="str">
        <f t="shared" si="2"/>
        <v xml:space="preserve">N79NX   </v>
      </c>
      <c r="BC30">
        <v>1</v>
      </c>
      <c r="BE30">
        <v>0</v>
      </c>
      <c r="BF30">
        <v>0</v>
      </c>
      <c r="BG30">
        <v>0</v>
      </c>
      <c r="BH30">
        <v>1400</v>
      </c>
      <c r="BI30">
        <v>0</v>
      </c>
      <c r="BJ30">
        <v>0</v>
      </c>
      <c r="BK30">
        <v>0</v>
      </c>
      <c r="BL30">
        <v>0</v>
      </c>
      <c r="BO30">
        <v>0</v>
      </c>
      <c r="BP30">
        <v>0</v>
      </c>
      <c r="BW30" t="str">
        <f>"18:35:33.370"</f>
        <v>18:35:33.370</v>
      </c>
      <c r="BZ30">
        <v>0</v>
      </c>
      <c r="CA30">
        <v>3488</v>
      </c>
      <c r="CB30">
        <v>216</v>
      </c>
      <c r="CC30">
        <v>583.59379999999999</v>
      </c>
      <c r="CD30">
        <v>1</v>
      </c>
      <c r="CE30">
        <v>1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2</v>
      </c>
      <c r="CL30">
        <v>0</v>
      </c>
      <c r="CM30">
        <v>2</v>
      </c>
      <c r="CN30">
        <v>0</v>
      </c>
      <c r="CO30">
        <v>3</v>
      </c>
      <c r="CP30" t="s">
        <v>119</v>
      </c>
      <c r="CQ30">
        <v>145</v>
      </c>
      <c r="CR30">
        <v>1</v>
      </c>
      <c r="CW30">
        <v>8850793</v>
      </c>
      <c r="CY30">
        <v>0</v>
      </c>
      <c r="CZ30">
        <v>0</v>
      </c>
      <c r="DA30">
        <v>1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</row>
    <row r="31" spans="1:113" x14ac:dyDescent="0.3">
      <c r="A31" t="str">
        <f>"02/13/2022 18:35:33.580"</f>
        <v>02/13/2022 18:35:33.580</v>
      </c>
      <c r="C31" t="str">
        <f t="shared" si="1"/>
        <v>FFDFD7C0</v>
      </c>
      <c r="D31" t="s">
        <v>121</v>
      </c>
      <c r="E31">
        <v>2</v>
      </c>
      <c r="H31">
        <v>158</v>
      </c>
      <c r="I31" t="s">
        <v>120</v>
      </c>
      <c r="J31" t="s">
        <v>122</v>
      </c>
      <c r="K31">
        <v>0</v>
      </c>
      <c r="L31">
        <v>3</v>
      </c>
      <c r="M31">
        <v>0</v>
      </c>
      <c r="N31">
        <v>2</v>
      </c>
      <c r="O31">
        <v>1</v>
      </c>
      <c r="P31">
        <v>0</v>
      </c>
      <c r="Q31">
        <v>0</v>
      </c>
      <c r="S31" t="str">
        <f>"18:35:33.367"</f>
        <v>18:35:33.367</v>
      </c>
      <c r="T31" t="str">
        <f>"18:35:33.267"</f>
        <v>18:35:33.267</v>
      </c>
      <c r="U31" t="str">
        <f t="shared" si="0"/>
        <v>AAB6EE</v>
      </c>
      <c r="V31">
        <v>0</v>
      </c>
      <c r="W31">
        <v>0</v>
      </c>
      <c r="X31">
        <v>4</v>
      </c>
      <c r="Z31">
        <v>0</v>
      </c>
      <c r="AA31">
        <v>8</v>
      </c>
      <c r="AB31">
        <v>3</v>
      </c>
      <c r="AC31">
        <v>0</v>
      </c>
      <c r="AD31">
        <v>10</v>
      </c>
      <c r="AE31">
        <v>0</v>
      </c>
      <c r="AF31">
        <v>0</v>
      </c>
      <c r="AG31">
        <v>1</v>
      </c>
      <c r="AH31">
        <v>1</v>
      </c>
      <c r="AI31" t="s">
        <v>139</v>
      </c>
      <c r="AJ31">
        <v>35.562294000000001</v>
      </c>
      <c r="AK31" t="s">
        <v>140</v>
      </c>
      <c r="AL31">
        <v>-76.001294000000001</v>
      </c>
      <c r="AM31">
        <v>25</v>
      </c>
      <c r="AN31">
        <v>1525</v>
      </c>
      <c r="AO31" t="s">
        <v>118</v>
      </c>
      <c r="AP31">
        <v>-114</v>
      </c>
      <c r="AQ31">
        <v>-100</v>
      </c>
      <c r="AR31">
        <v>1728</v>
      </c>
      <c r="AZ31">
        <v>1200</v>
      </c>
      <c r="BA31">
        <v>1</v>
      </c>
      <c r="BB31" t="str">
        <f t="shared" si="2"/>
        <v xml:space="preserve">N79NX   </v>
      </c>
      <c r="BC31">
        <v>1</v>
      </c>
      <c r="BE31">
        <v>0</v>
      </c>
      <c r="BF31">
        <v>0</v>
      </c>
      <c r="BG31">
        <v>0</v>
      </c>
      <c r="BH31">
        <v>1400</v>
      </c>
      <c r="BI31">
        <v>0</v>
      </c>
      <c r="BJ31">
        <v>0</v>
      </c>
      <c r="BK31">
        <v>0</v>
      </c>
      <c r="BL31">
        <v>0</v>
      </c>
      <c r="BO31">
        <v>0</v>
      </c>
      <c r="BP31">
        <v>0</v>
      </c>
      <c r="BW31" t="str">
        <f>"18:35:33.370"</f>
        <v>18:35:33.370</v>
      </c>
      <c r="BZ31">
        <v>0</v>
      </c>
      <c r="CA31">
        <v>3488</v>
      </c>
      <c r="CB31">
        <v>216</v>
      </c>
      <c r="CC31">
        <v>583.59379999999999</v>
      </c>
      <c r="CD31">
        <v>1</v>
      </c>
      <c r="CE31">
        <v>1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2</v>
      </c>
      <c r="CL31">
        <v>0</v>
      </c>
      <c r="CM31">
        <v>2</v>
      </c>
      <c r="CN31">
        <v>0</v>
      </c>
      <c r="CO31">
        <v>3</v>
      </c>
      <c r="CP31" t="s">
        <v>119</v>
      </c>
      <c r="CQ31">
        <v>145</v>
      </c>
      <c r="CR31">
        <v>1</v>
      </c>
      <c r="CW31">
        <v>8850793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</row>
    <row r="32" spans="1:113" x14ac:dyDescent="0.3">
      <c r="A32" t="str">
        <f>"02/13/2022 18:35:35.177"</f>
        <v>02/13/2022 18:35:35.177</v>
      </c>
      <c r="C32" t="str">
        <f t="shared" si="1"/>
        <v>FFDFD7C0</v>
      </c>
      <c r="D32" t="s">
        <v>113</v>
      </c>
      <c r="E32">
        <v>3</v>
      </c>
      <c r="F32">
        <v>1003</v>
      </c>
      <c r="G32" t="s">
        <v>114</v>
      </c>
      <c r="J32" t="s">
        <v>115</v>
      </c>
      <c r="K32">
        <v>0</v>
      </c>
      <c r="L32">
        <v>3</v>
      </c>
      <c r="M32">
        <v>0</v>
      </c>
      <c r="N32">
        <v>2</v>
      </c>
      <c r="O32">
        <v>1</v>
      </c>
      <c r="P32">
        <v>0</v>
      </c>
      <c r="Q32">
        <v>0</v>
      </c>
      <c r="S32" t="str">
        <f t="shared" ref="S32:T34" si="4">"18:35:34.977"</f>
        <v>18:35:34.977</v>
      </c>
      <c r="T32" t="str">
        <f t="shared" si="4"/>
        <v>18:35:34.977</v>
      </c>
      <c r="U32" t="str">
        <f t="shared" si="0"/>
        <v>AAB6EE</v>
      </c>
      <c r="V32">
        <v>0</v>
      </c>
      <c r="W32">
        <v>0</v>
      </c>
      <c r="X32">
        <v>4</v>
      </c>
      <c r="Z32">
        <v>0</v>
      </c>
      <c r="AA32">
        <v>8</v>
      </c>
      <c r="AB32">
        <v>3</v>
      </c>
      <c r="AC32">
        <v>0</v>
      </c>
      <c r="AD32">
        <v>10</v>
      </c>
      <c r="AE32">
        <v>0</v>
      </c>
      <c r="AF32">
        <v>0</v>
      </c>
      <c r="AG32">
        <v>1</v>
      </c>
      <c r="AH32">
        <v>1</v>
      </c>
      <c r="AI32" t="s">
        <v>141</v>
      </c>
      <c r="AJ32">
        <v>35.561456999999997</v>
      </c>
      <c r="AK32" t="s">
        <v>142</v>
      </c>
      <c r="AL32">
        <v>-76.002280999999996</v>
      </c>
      <c r="AM32">
        <v>25</v>
      </c>
      <c r="AN32">
        <v>1575</v>
      </c>
      <c r="AO32" t="s">
        <v>118</v>
      </c>
      <c r="AP32">
        <v>-105</v>
      </c>
      <c r="AQ32">
        <v>-111</v>
      </c>
      <c r="AR32">
        <v>1728</v>
      </c>
      <c r="AZ32">
        <v>1200</v>
      </c>
      <c r="BA32">
        <v>1</v>
      </c>
      <c r="BB32" t="str">
        <f t="shared" si="2"/>
        <v xml:space="preserve">N79NX   </v>
      </c>
      <c r="BC32">
        <v>1</v>
      </c>
      <c r="BE32">
        <v>0</v>
      </c>
      <c r="BF32">
        <v>0</v>
      </c>
      <c r="BG32">
        <v>0</v>
      </c>
      <c r="BH32">
        <v>1425</v>
      </c>
      <c r="BI32">
        <v>0</v>
      </c>
      <c r="BJ32">
        <v>0</v>
      </c>
      <c r="BK32">
        <v>0</v>
      </c>
      <c r="BL32">
        <v>0</v>
      </c>
      <c r="BO32">
        <v>0</v>
      </c>
      <c r="BP32">
        <v>0</v>
      </c>
      <c r="BW32" t="str">
        <f>"18:35:34.980"</f>
        <v>18:35:34.980</v>
      </c>
      <c r="BZ32">
        <v>0</v>
      </c>
      <c r="CA32">
        <v>3488</v>
      </c>
      <c r="CB32">
        <v>216</v>
      </c>
      <c r="CC32">
        <v>583.59379999999999</v>
      </c>
      <c r="CD32">
        <v>1</v>
      </c>
      <c r="CE32">
        <v>1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2</v>
      </c>
      <c r="CL32">
        <v>0</v>
      </c>
      <c r="CM32">
        <v>2</v>
      </c>
      <c r="CN32">
        <v>0</v>
      </c>
      <c r="CO32">
        <v>3</v>
      </c>
      <c r="CP32" t="s">
        <v>119</v>
      </c>
      <c r="CQ32">
        <v>145</v>
      </c>
      <c r="CR32">
        <v>1</v>
      </c>
      <c r="CW32">
        <v>8851647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</row>
    <row r="33" spans="1:113" x14ac:dyDescent="0.3">
      <c r="A33" t="str">
        <f>"02/13/2022 18:35:35.177"</f>
        <v>02/13/2022 18:35:35.177</v>
      </c>
      <c r="C33" t="str">
        <f t="shared" si="1"/>
        <v>FFDFD7C0</v>
      </c>
      <c r="D33" t="s">
        <v>113</v>
      </c>
      <c r="E33">
        <v>4</v>
      </c>
      <c r="F33">
        <v>1004</v>
      </c>
      <c r="G33" t="s">
        <v>120</v>
      </c>
      <c r="J33" t="s">
        <v>115</v>
      </c>
      <c r="K33">
        <v>0</v>
      </c>
      <c r="L33">
        <v>3</v>
      </c>
      <c r="M33">
        <v>0</v>
      </c>
      <c r="N33">
        <v>2</v>
      </c>
      <c r="O33">
        <v>1</v>
      </c>
      <c r="P33">
        <v>0</v>
      </c>
      <c r="Q33">
        <v>0</v>
      </c>
      <c r="S33" t="str">
        <f t="shared" si="4"/>
        <v>18:35:34.977</v>
      </c>
      <c r="T33" t="str">
        <f t="shared" si="4"/>
        <v>18:35:34.977</v>
      </c>
      <c r="U33" t="str">
        <f t="shared" si="0"/>
        <v>AAB6EE</v>
      </c>
      <c r="V33">
        <v>0</v>
      </c>
      <c r="W33">
        <v>0</v>
      </c>
      <c r="X33">
        <v>4</v>
      </c>
      <c r="Z33">
        <v>0</v>
      </c>
      <c r="AA33">
        <v>8</v>
      </c>
      <c r="AB33">
        <v>3</v>
      </c>
      <c r="AC33">
        <v>0</v>
      </c>
      <c r="AD33">
        <v>10</v>
      </c>
      <c r="AE33">
        <v>0</v>
      </c>
      <c r="AF33">
        <v>0</v>
      </c>
      <c r="AG33">
        <v>1</v>
      </c>
      <c r="AH33">
        <v>1</v>
      </c>
      <c r="AI33" t="s">
        <v>141</v>
      </c>
      <c r="AJ33">
        <v>35.561456999999997</v>
      </c>
      <c r="AK33" t="s">
        <v>142</v>
      </c>
      <c r="AL33">
        <v>-76.002280999999996</v>
      </c>
      <c r="AM33">
        <v>25</v>
      </c>
      <c r="AN33">
        <v>1575</v>
      </c>
      <c r="AO33" t="s">
        <v>118</v>
      </c>
      <c r="AP33">
        <v>-105</v>
      </c>
      <c r="AQ33">
        <v>-111</v>
      </c>
      <c r="AR33">
        <v>1728</v>
      </c>
      <c r="AZ33">
        <v>1200</v>
      </c>
      <c r="BA33">
        <v>1</v>
      </c>
      <c r="BB33" t="str">
        <f t="shared" si="2"/>
        <v xml:space="preserve">N79NX   </v>
      </c>
      <c r="BC33">
        <v>1</v>
      </c>
      <c r="BE33">
        <v>0</v>
      </c>
      <c r="BF33">
        <v>0</v>
      </c>
      <c r="BG33">
        <v>0</v>
      </c>
      <c r="BH33">
        <v>1425</v>
      </c>
      <c r="BI33">
        <v>0</v>
      </c>
      <c r="BJ33">
        <v>0</v>
      </c>
      <c r="BK33">
        <v>0</v>
      </c>
      <c r="BL33">
        <v>0</v>
      </c>
      <c r="BO33">
        <v>0</v>
      </c>
      <c r="BP33">
        <v>0</v>
      </c>
      <c r="BW33" t="str">
        <f>"18:35:34.980"</f>
        <v>18:35:34.980</v>
      </c>
      <c r="BZ33">
        <v>0</v>
      </c>
      <c r="CA33">
        <v>3488</v>
      </c>
      <c r="CB33">
        <v>216</v>
      </c>
      <c r="CC33">
        <v>583.59379999999999</v>
      </c>
      <c r="CD33">
        <v>1</v>
      </c>
      <c r="CE33">
        <v>1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2</v>
      </c>
      <c r="CL33">
        <v>0</v>
      </c>
      <c r="CM33">
        <v>2</v>
      </c>
      <c r="CN33">
        <v>0</v>
      </c>
      <c r="CO33">
        <v>3</v>
      </c>
      <c r="CP33" t="s">
        <v>119</v>
      </c>
      <c r="CQ33">
        <v>145</v>
      </c>
      <c r="CR33">
        <v>1</v>
      </c>
      <c r="CW33">
        <v>8851647</v>
      </c>
      <c r="CY33">
        <v>0</v>
      </c>
      <c r="CZ33">
        <v>0</v>
      </c>
      <c r="DA33">
        <v>1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</row>
    <row r="34" spans="1:113" x14ac:dyDescent="0.3">
      <c r="A34" t="str">
        <f>"02/13/2022 18:35:35.229"</f>
        <v>02/13/2022 18:35:35.229</v>
      </c>
      <c r="C34" t="str">
        <f t="shared" si="1"/>
        <v>FFDFD7C0</v>
      </c>
      <c r="D34" t="s">
        <v>121</v>
      </c>
      <c r="E34">
        <v>2</v>
      </c>
      <c r="H34">
        <v>158</v>
      </c>
      <c r="I34" t="s">
        <v>120</v>
      </c>
      <c r="J34" t="s">
        <v>122</v>
      </c>
      <c r="K34">
        <v>0</v>
      </c>
      <c r="L34">
        <v>3</v>
      </c>
      <c r="M34">
        <v>0</v>
      </c>
      <c r="N34">
        <v>2</v>
      </c>
      <c r="O34">
        <v>1</v>
      </c>
      <c r="P34">
        <v>0</v>
      </c>
      <c r="Q34">
        <v>0</v>
      </c>
      <c r="S34" t="str">
        <f t="shared" si="4"/>
        <v>18:35:34.977</v>
      </c>
      <c r="T34" t="str">
        <f t="shared" si="4"/>
        <v>18:35:34.977</v>
      </c>
      <c r="U34" t="str">
        <f t="shared" si="0"/>
        <v>AAB6EE</v>
      </c>
      <c r="V34">
        <v>0</v>
      </c>
      <c r="W34">
        <v>0</v>
      </c>
      <c r="X34">
        <v>4</v>
      </c>
      <c r="Z34">
        <v>0</v>
      </c>
      <c r="AA34">
        <v>8</v>
      </c>
      <c r="AB34">
        <v>3</v>
      </c>
      <c r="AC34">
        <v>0</v>
      </c>
      <c r="AD34">
        <v>10</v>
      </c>
      <c r="AE34">
        <v>0</v>
      </c>
      <c r="AF34">
        <v>0</v>
      </c>
      <c r="AG34">
        <v>1</v>
      </c>
      <c r="AH34">
        <v>1</v>
      </c>
      <c r="AI34" t="s">
        <v>141</v>
      </c>
      <c r="AJ34">
        <v>35.561456999999997</v>
      </c>
      <c r="AK34" t="s">
        <v>142</v>
      </c>
      <c r="AL34">
        <v>-76.002280999999996</v>
      </c>
      <c r="AM34">
        <v>25</v>
      </c>
      <c r="AN34">
        <v>1575</v>
      </c>
      <c r="AO34" t="s">
        <v>118</v>
      </c>
      <c r="AP34">
        <v>-105</v>
      </c>
      <c r="AQ34">
        <v>-111</v>
      </c>
      <c r="AR34">
        <v>1728</v>
      </c>
      <c r="AZ34">
        <v>1200</v>
      </c>
      <c r="BA34">
        <v>1</v>
      </c>
      <c r="BB34" t="str">
        <f t="shared" si="2"/>
        <v xml:space="preserve">N79NX   </v>
      </c>
      <c r="BC34">
        <v>1</v>
      </c>
      <c r="BE34">
        <v>0</v>
      </c>
      <c r="BF34">
        <v>0</v>
      </c>
      <c r="BG34">
        <v>0</v>
      </c>
      <c r="BH34">
        <v>1425</v>
      </c>
      <c r="BI34">
        <v>0</v>
      </c>
      <c r="BJ34">
        <v>0</v>
      </c>
      <c r="BK34">
        <v>0</v>
      </c>
      <c r="BL34">
        <v>0</v>
      </c>
      <c r="BO34">
        <v>0</v>
      </c>
      <c r="BP34">
        <v>0</v>
      </c>
      <c r="BW34" t="str">
        <f>"18:35:34.980"</f>
        <v>18:35:34.980</v>
      </c>
      <c r="BZ34">
        <v>0</v>
      </c>
      <c r="CA34">
        <v>3488</v>
      </c>
      <c r="CB34">
        <v>216</v>
      </c>
      <c r="CC34">
        <v>583.59379999999999</v>
      </c>
      <c r="CD34">
        <v>1</v>
      </c>
      <c r="CE34">
        <v>1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2</v>
      </c>
      <c r="CL34">
        <v>0</v>
      </c>
      <c r="CM34">
        <v>2</v>
      </c>
      <c r="CN34">
        <v>0</v>
      </c>
      <c r="CO34">
        <v>3</v>
      </c>
      <c r="CP34" t="s">
        <v>119</v>
      </c>
      <c r="CQ34">
        <v>145</v>
      </c>
      <c r="CR34">
        <v>1</v>
      </c>
      <c r="CW34">
        <v>8851647</v>
      </c>
      <c r="CY34">
        <v>0</v>
      </c>
      <c r="CZ34">
        <v>0</v>
      </c>
      <c r="DA34">
        <v>1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</row>
    <row r="35" spans="1:113" x14ac:dyDescent="0.3">
      <c r="A35" t="str">
        <f>"02/13/2022 18:35:36.369"</f>
        <v>02/13/2022 18:35:36.369</v>
      </c>
      <c r="C35" t="str">
        <f t="shared" si="1"/>
        <v>FFDFD7C0</v>
      </c>
      <c r="D35" t="s">
        <v>121</v>
      </c>
      <c r="E35">
        <v>2</v>
      </c>
      <c r="H35">
        <v>158</v>
      </c>
      <c r="I35" t="s">
        <v>120</v>
      </c>
      <c r="J35" t="s">
        <v>122</v>
      </c>
      <c r="K35">
        <v>0</v>
      </c>
      <c r="L35">
        <v>3</v>
      </c>
      <c r="M35">
        <v>0</v>
      </c>
      <c r="N35">
        <v>2</v>
      </c>
      <c r="O35">
        <v>1</v>
      </c>
      <c r="P35">
        <v>0</v>
      </c>
      <c r="Q35">
        <v>0</v>
      </c>
      <c r="S35" t="str">
        <f>"18:35:36.133"</f>
        <v>18:35:36.133</v>
      </c>
      <c r="T35" t="str">
        <f>"18:35:35.933"</f>
        <v>18:35:35.933</v>
      </c>
      <c r="U35" t="str">
        <f t="shared" si="0"/>
        <v>AAB6EE</v>
      </c>
      <c r="V35">
        <v>0</v>
      </c>
      <c r="W35">
        <v>0</v>
      </c>
      <c r="X35">
        <v>4</v>
      </c>
      <c r="Z35">
        <v>0</v>
      </c>
      <c r="AA35">
        <v>8</v>
      </c>
      <c r="AB35">
        <v>3</v>
      </c>
      <c r="AC35">
        <v>0</v>
      </c>
      <c r="AD35">
        <v>10</v>
      </c>
      <c r="AE35">
        <v>0</v>
      </c>
      <c r="AF35">
        <v>0</v>
      </c>
      <c r="AG35">
        <v>2</v>
      </c>
      <c r="AH35">
        <v>1</v>
      </c>
      <c r="AI35" t="s">
        <v>143</v>
      </c>
      <c r="AJ35">
        <v>35.560813000000003</v>
      </c>
      <c r="AK35" t="s">
        <v>144</v>
      </c>
      <c r="AL35">
        <v>-76.002966999999998</v>
      </c>
      <c r="AM35">
        <v>25</v>
      </c>
      <c r="AN35">
        <v>1625</v>
      </c>
      <c r="AO35" t="s">
        <v>118</v>
      </c>
      <c r="AP35">
        <v>-101</v>
      </c>
      <c r="AQ35">
        <v>-115</v>
      </c>
      <c r="AR35">
        <v>1728</v>
      </c>
      <c r="AZ35">
        <v>1200</v>
      </c>
      <c r="BA35">
        <v>1</v>
      </c>
      <c r="BB35" t="str">
        <f t="shared" si="2"/>
        <v xml:space="preserve">N79NX   </v>
      </c>
      <c r="BC35">
        <v>1</v>
      </c>
      <c r="BE35">
        <v>0</v>
      </c>
      <c r="BF35">
        <v>0</v>
      </c>
      <c r="BG35">
        <v>0</v>
      </c>
      <c r="BH35">
        <v>1475</v>
      </c>
      <c r="BI35">
        <v>0</v>
      </c>
      <c r="BJ35">
        <v>0</v>
      </c>
      <c r="BK35">
        <v>0</v>
      </c>
      <c r="BL35">
        <v>0</v>
      </c>
      <c r="BO35">
        <v>0</v>
      </c>
      <c r="BP35">
        <v>0</v>
      </c>
      <c r="BW35" t="str">
        <f>"18:35:36.140"</f>
        <v>18:35:36.140</v>
      </c>
      <c r="BZ35">
        <v>0</v>
      </c>
      <c r="CA35">
        <v>3488</v>
      </c>
      <c r="CB35">
        <v>216</v>
      </c>
      <c r="CC35">
        <v>583.59379999999999</v>
      </c>
      <c r="CD35">
        <v>1</v>
      </c>
      <c r="CE35">
        <v>1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2</v>
      </c>
      <c r="CL35">
        <v>0</v>
      </c>
      <c r="CM35">
        <v>2</v>
      </c>
      <c r="CN35">
        <v>0</v>
      </c>
      <c r="CO35">
        <v>4</v>
      </c>
      <c r="CP35" t="s">
        <v>119</v>
      </c>
      <c r="CQ35">
        <v>145</v>
      </c>
      <c r="CR35">
        <v>1</v>
      </c>
      <c r="CW35">
        <v>8852221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</row>
    <row r="36" spans="1:113" x14ac:dyDescent="0.3">
      <c r="A36" t="str">
        <f>"02/13/2022 18:35:36.385"</f>
        <v>02/13/2022 18:35:36.385</v>
      </c>
      <c r="C36" t="str">
        <f t="shared" si="1"/>
        <v>FFDFD7C0</v>
      </c>
      <c r="D36" t="s">
        <v>113</v>
      </c>
      <c r="E36">
        <v>3</v>
      </c>
      <c r="F36">
        <v>1003</v>
      </c>
      <c r="G36" t="s">
        <v>114</v>
      </c>
      <c r="J36" t="s">
        <v>115</v>
      </c>
      <c r="K36">
        <v>0</v>
      </c>
      <c r="L36">
        <v>3</v>
      </c>
      <c r="M36">
        <v>0</v>
      </c>
      <c r="N36">
        <v>2</v>
      </c>
      <c r="O36">
        <v>1</v>
      </c>
      <c r="P36">
        <v>0</v>
      </c>
      <c r="Q36">
        <v>0</v>
      </c>
      <c r="S36" t="str">
        <f>"18:35:36.133"</f>
        <v>18:35:36.133</v>
      </c>
      <c r="T36" t="str">
        <f>"18:35:35.933"</f>
        <v>18:35:35.933</v>
      </c>
      <c r="U36" t="str">
        <f t="shared" si="0"/>
        <v>AAB6EE</v>
      </c>
      <c r="V36">
        <v>0</v>
      </c>
      <c r="W36">
        <v>0</v>
      </c>
      <c r="X36">
        <v>4</v>
      </c>
      <c r="Z36">
        <v>0</v>
      </c>
      <c r="AA36">
        <v>8</v>
      </c>
      <c r="AB36">
        <v>3</v>
      </c>
      <c r="AC36">
        <v>0</v>
      </c>
      <c r="AD36">
        <v>10</v>
      </c>
      <c r="AE36">
        <v>0</v>
      </c>
      <c r="AF36">
        <v>0</v>
      </c>
      <c r="AG36">
        <v>2</v>
      </c>
      <c r="AH36">
        <v>1</v>
      </c>
      <c r="AI36" t="s">
        <v>143</v>
      </c>
      <c r="AJ36">
        <v>35.560813000000003</v>
      </c>
      <c r="AK36" t="s">
        <v>144</v>
      </c>
      <c r="AL36">
        <v>-76.002966999999998</v>
      </c>
      <c r="AM36">
        <v>25</v>
      </c>
      <c r="AN36">
        <v>1625</v>
      </c>
      <c r="AO36" t="s">
        <v>118</v>
      </c>
      <c r="AP36">
        <v>-101</v>
      </c>
      <c r="AQ36">
        <v>-115</v>
      </c>
      <c r="AR36">
        <v>1728</v>
      </c>
      <c r="AZ36">
        <v>1200</v>
      </c>
      <c r="BA36">
        <v>1</v>
      </c>
      <c r="BB36" t="str">
        <f t="shared" si="2"/>
        <v xml:space="preserve">N79NX   </v>
      </c>
      <c r="BC36">
        <v>1</v>
      </c>
      <c r="BE36">
        <v>0</v>
      </c>
      <c r="BF36">
        <v>0</v>
      </c>
      <c r="BG36">
        <v>0</v>
      </c>
      <c r="BH36">
        <v>1475</v>
      </c>
      <c r="BI36">
        <v>0</v>
      </c>
      <c r="BJ36">
        <v>0</v>
      </c>
      <c r="BK36">
        <v>0</v>
      </c>
      <c r="BL36">
        <v>0</v>
      </c>
      <c r="BO36">
        <v>0</v>
      </c>
      <c r="BP36">
        <v>0</v>
      </c>
      <c r="BW36" t="str">
        <f>"18:35:36.140"</f>
        <v>18:35:36.140</v>
      </c>
      <c r="BZ36">
        <v>0</v>
      </c>
      <c r="CA36">
        <v>3488</v>
      </c>
      <c r="CB36">
        <v>216</v>
      </c>
      <c r="CC36">
        <v>583.59379999999999</v>
      </c>
      <c r="CD36">
        <v>1</v>
      </c>
      <c r="CE36">
        <v>1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2</v>
      </c>
      <c r="CL36">
        <v>0</v>
      </c>
      <c r="CM36">
        <v>2</v>
      </c>
      <c r="CN36">
        <v>0</v>
      </c>
      <c r="CO36">
        <v>4</v>
      </c>
      <c r="CP36" t="s">
        <v>119</v>
      </c>
      <c r="CQ36">
        <v>145</v>
      </c>
      <c r="CR36">
        <v>1</v>
      </c>
      <c r="CW36">
        <v>8852221</v>
      </c>
      <c r="CY36">
        <v>0</v>
      </c>
      <c r="CZ36">
        <v>0</v>
      </c>
      <c r="DA36">
        <v>1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</row>
    <row r="37" spans="1:113" x14ac:dyDescent="0.3">
      <c r="A37" t="str">
        <f>"02/13/2022 18:35:36.385"</f>
        <v>02/13/2022 18:35:36.385</v>
      </c>
      <c r="C37" t="str">
        <f t="shared" si="1"/>
        <v>FFDFD7C0</v>
      </c>
      <c r="D37" t="s">
        <v>113</v>
      </c>
      <c r="E37">
        <v>4</v>
      </c>
      <c r="F37">
        <v>1004</v>
      </c>
      <c r="G37" t="s">
        <v>120</v>
      </c>
      <c r="J37" t="s">
        <v>115</v>
      </c>
      <c r="K37">
        <v>0</v>
      </c>
      <c r="L37">
        <v>3</v>
      </c>
      <c r="M37">
        <v>0</v>
      </c>
      <c r="N37">
        <v>2</v>
      </c>
      <c r="O37">
        <v>1</v>
      </c>
      <c r="P37">
        <v>0</v>
      </c>
      <c r="Q37">
        <v>0</v>
      </c>
      <c r="S37" t="str">
        <f>"18:35:36.133"</f>
        <v>18:35:36.133</v>
      </c>
      <c r="T37" t="str">
        <f>"18:35:35.933"</f>
        <v>18:35:35.933</v>
      </c>
      <c r="U37" t="str">
        <f t="shared" si="0"/>
        <v>AAB6EE</v>
      </c>
      <c r="V37">
        <v>0</v>
      </c>
      <c r="W37">
        <v>0</v>
      </c>
      <c r="X37">
        <v>4</v>
      </c>
      <c r="Z37">
        <v>0</v>
      </c>
      <c r="AA37">
        <v>8</v>
      </c>
      <c r="AB37">
        <v>3</v>
      </c>
      <c r="AC37">
        <v>0</v>
      </c>
      <c r="AD37">
        <v>10</v>
      </c>
      <c r="AE37">
        <v>0</v>
      </c>
      <c r="AF37">
        <v>0</v>
      </c>
      <c r="AG37">
        <v>2</v>
      </c>
      <c r="AH37">
        <v>1</v>
      </c>
      <c r="AI37" t="s">
        <v>143</v>
      </c>
      <c r="AJ37">
        <v>35.560813000000003</v>
      </c>
      <c r="AK37" t="s">
        <v>144</v>
      </c>
      <c r="AL37">
        <v>-76.002966999999998</v>
      </c>
      <c r="AM37">
        <v>25</v>
      </c>
      <c r="AN37">
        <v>1625</v>
      </c>
      <c r="AO37" t="s">
        <v>118</v>
      </c>
      <c r="AP37">
        <v>-101</v>
      </c>
      <c r="AQ37">
        <v>-115</v>
      </c>
      <c r="AR37">
        <v>1728</v>
      </c>
      <c r="AZ37">
        <v>1200</v>
      </c>
      <c r="BA37">
        <v>1</v>
      </c>
      <c r="BB37" t="str">
        <f t="shared" si="2"/>
        <v xml:space="preserve">N79NX   </v>
      </c>
      <c r="BC37">
        <v>1</v>
      </c>
      <c r="BE37">
        <v>0</v>
      </c>
      <c r="BF37">
        <v>0</v>
      </c>
      <c r="BG37">
        <v>0</v>
      </c>
      <c r="BH37">
        <v>1475</v>
      </c>
      <c r="BI37">
        <v>0</v>
      </c>
      <c r="BJ37">
        <v>0</v>
      </c>
      <c r="BK37">
        <v>0</v>
      </c>
      <c r="BL37">
        <v>0</v>
      </c>
      <c r="BO37">
        <v>0</v>
      </c>
      <c r="BP37">
        <v>0</v>
      </c>
      <c r="BW37" t="str">
        <f>"18:35:36.140"</f>
        <v>18:35:36.140</v>
      </c>
      <c r="BZ37">
        <v>0</v>
      </c>
      <c r="CA37">
        <v>3488</v>
      </c>
      <c r="CB37">
        <v>216</v>
      </c>
      <c r="CC37">
        <v>583.59379999999999</v>
      </c>
      <c r="CD37">
        <v>1</v>
      </c>
      <c r="CE37">
        <v>1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2</v>
      </c>
      <c r="CL37">
        <v>0</v>
      </c>
      <c r="CM37">
        <v>2</v>
      </c>
      <c r="CN37">
        <v>0</v>
      </c>
      <c r="CO37">
        <v>4</v>
      </c>
      <c r="CP37" t="s">
        <v>119</v>
      </c>
      <c r="CQ37">
        <v>145</v>
      </c>
      <c r="CR37">
        <v>1</v>
      </c>
      <c r="CW37">
        <v>8852221</v>
      </c>
      <c r="CY37">
        <v>0</v>
      </c>
      <c r="CZ37">
        <v>0</v>
      </c>
      <c r="DA37">
        <v>1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</row>
    <row r="38" spans="1:113" x14ac:dyDescent="0.3">
      <c r="A38" t="str">
        <f>"02/13/2022 18:35:37.447"</f>
        <v>02/13/2022 18:35:37.447</v>
      </c>
      <c r="C38" t="str">
        <f t="shared" si="1"/>
        <v>FFDFD7C0</v>
      </c>
      <c r="D38" t="s">
        <v>121</v>
      </c>
      <c r="E38">
        <v>2</v>
      </c>
      <c r="H38">
        <v>158</v>
      </c>
      <c r="I38" t="s">
        <v>120</v>
      </c>
      <c r="J38" t="s">
        <v>122</v>
      </c>
      <c r="K38">
        <v>0</v>
      </c>
      <c r="L38">
        <v>3</v>
      </c>
      <c r="M38">
        <v>0</v>
      </c>
      <c r="N38">
        <v>2</v>
      </c>
      <c r="O38">
        <v>1</v>
      </c>
      <c r="P38">
        <v>0</v>
      </c>
      <c r="Q38">
        <v>0</v>
      </c>
      <c r="S38" t="str">
        <f>"18:35:37.219"</f>
        <v>18:35:37.219</v>
      </c>
      <c r="T38" t="str">
        <f>"18:35:36.919"</f>
        <v>18:35:36.919</v>
      </c>
      <c r="U38" t="str">
        <f t="shared" si="0"/>
        <v>AAB6EE</v>
      </c>
      <c r="V38">
        <v>0</v>
      </c>
      <c r="W38">
        <v>0</v>
      </c>
      <c r="X38">
        <v>4</v>
      </c>
      <c r="Z38">
        <v>0</v>
      </c>
      <c r="AA38">
        <v>8</v>
      </c>
      <c r="AB38">
        <v>3</v>
      </c>
      <c r="AC38">
        <v>0</v>
      </c>
      <c r="AD38">
        <v>10</v>
      </c>
      <c r="AE38">
        <v>0</v>
      </c>
      <c r="AF38">
        <v>0</v>
      </c>
      <c r="AG38">
        <v>2</v>
      </c>
      <c r="AH38">
        <v>1</v>
      </c>
      <c r="AI38" t="s">
        <v>145</v>
      </c>
      <c r="AJ38">
        <v>35.560234000000001</v>
      </c>
      <c r="AK38" t="s">
        <v>146</v>
      </c>
      <c r="AL38">
        <v>-76.003590000000003</v>
      </c>
      <c r="AM38">
        <v>25</v>
      </c>
      <c r="AN38">
        <v>1650</v>
      </c>
      <c r="AO38" t="s">
        <v>118</v>
      </c>
      <c r="AP38">
        <v>-97</v>
      </c>
      <c r="AQ38">
        <v>-119</v>
      </c>
      <c r="AR38">
        <v>1728</v>
      </c>
      <c r="AZ38">
        <v>1200</v>
      </c>
      <c r="BA38">
        <v>1</v>
      </c>
      <c r="BB38" t="str">
        <f t="shared" si="2"/>
        <v xml:space="preserve">N79NX   </v>
      </c>
      <c r="BC38">
        <v>1</v>
      </c>
      <c r="BE38">
        <v>0</v>
      </c>
      <c r="BF38">
        <v>0</v>
      </c>
      <c r="BG38">
        <v>0</v>
      </c>
      <c r="BH38">
        <v>1500</v>
      </c>
      <c r="BI38">
        <v>0</v>
      </c>
      <c r="BJ38">
        <v>0</v>
      </c>
      <c r="BK38">
        <v>0</v>
      </c>
      <c r="BL38">
        <v>0</v>
      </c>
      <c r="BO38">
        <v>0</v>
      </c>
      <c r="BP38">
        <v>0</v>
      </c>
      <c r="BW38" t="str">
        <f>"18:35:37.220"</f>
        <v>18:35:37.220</v>
      </c>
      <c r="BZ38">
        <v>0</v>
      </c>
      <c r="CA38">
        <v>3488</v>
      </c>
      <c r="CB38">
        <v>216</v>
      </c>
      <c r="CC38">
        <v>583.59379999999999</v>
      </c>
      <c r="CD38">
        <v>1</v>
      </c>
      <c r="CE38">
        <v>1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2</v>
      </c>
      <c r="CL38">
        <v>0</v>
      </c>
      <c r="CM38">
        <v>2</v>
      </c>
      <c r="CN38">
        <v>0</v>
      </c>
      <c r="CO38">
        <v>4</v>
      </c>
      <c r="CP38" t="s">
        <v>119</v>
      </c>
      <c r="CQ38">
        <v>145</v>
      </c>
      <c r="CR38">
        <v>1</v>
      </c>
      <c r="CW38">
        <v>8852764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</row>
    <row r="39" spans="1:113" x14ac:dyDescent="0.3">
      <c r="A39" t="str">
        <f>"02/13/2022 18:35:37.447"</f>
        <v>02/13/2022 18:35:37.447</v>
      </c>
      <c r="C39" t="str">
        <f t="shared" si="1"/>
        <v>FFDFD7C0</v>
      </c>
      <c r="D39" t="s">
        <v>113</v>
      </c>
      <c r="E39">
        <v>3</v>
      </c>
      <c r="F39">
        <v>1003</v>
      </c>
      <c r="G39" t="s">
        <v>114</v>
      </c>
      <c r="J39" t="s">
        <v>115</v>
      </c>
      <c r="K39">
        <v>0</v>
      </c>
      <c r="L39">
        <v>3</v>
      </c>
      <c r="M39">
        <v>0</v>
      </c>
      <c r="N39">
        <v>2</v>
      </c>
      <c r="O39">
        <v>1</v>
      </c>
      <c r="P39">
        <v>0</v>
      </c>
      <c r="Q39">
        <v>0</v>
      </c>
      <c r="S39" t="str">
        <f>"18:35:37.219"</f>
        <v>18:35:37.219</v>
      </c>
      <c r="T39" t="str">
        <f>"18:35:36.919"</f>
        <v>18:35:36.919</v>
      </c>
      <c r="U39" t="str">
        <f t="shared" si="0"/>
        <v>AAB6EE</v>
      </c>
      <c r="V39">
        <v>0</v>
      </c>
      <c r="W39">
        <v>0</v>
      </c>
      <c r="X39">
        <v>4</v>
      </c>
      <c r="Z39">
        <v>0</v>
      </c>
      <c r="AA39">
        <v>8</v>
      </c>
      <c r="AB39">
        <v>3</v>
      </c>
      <c r="AC39">
        <v>0</v>
      </c>
      <c r="AD39">
        <v>10</v>
      </c>
      <c r="AE39">
        <v>0</v>
      </c>
      <c r="AF39">
        <v>0</v>
      </c>
      <c r="AG39">
        <v>2</v>
      </c>
      <c r="AH39">
        <v>1</v>
      </c>
      <c r="AI39" t="s">
        <v>145</v>
      </c>
      <c r="AJ39">
        <v>35.560234000000001</v>
      </c>
      <c r="AK39" t="s">
        <v>146</v>
      </c>
      <c r="AL39">
        <v>-76.003590000000003</v>
      </c>
      <c r="AM39">
        <v>25</v>
      </c>
      <c r="AN39">
        <v>1650</v>
      </c>
      <c r="AO39" t="s">
        <v>118</v>
      </c>
      <c r="AP39">
        <v>-97</v>
      </c>
      <c r="AQ39">
        <v>-119</v>
      </c>
      <c r="AR39">
        <v>1728</v>
      </c>
      <c r="AZ39">
        <v>1200</v>
      </c>
      <c r="BA39">
        <v>1</v>
      </c>
      <c r="BB39" t="str">
        <f t="shared" si="2"/>
        <v xml:space="preserve">N79NX   </v>
      </c>
      <c r="BC39">
        <v>1</v>
      </c>
      <c r="BE39">
        <v>0</v>
      </c>
      <c r="BF39">
        <v>0</v>
      </c>
      <c r="BG39">
        <v>0</v>
      </c>
      <c r="BH39">
        <v>1500</v>
      </c>
      <c r="BI39">
        <v>0</v>
      </c>
      <c r="BJ39">
        <v>0</v>
      </c>
      <c r="BK39">
        <v>0</v>
      </c>
      <c r="BL39">
        <v>0</v>
      </c>
      <c r="BO39">
        <v>0</v>
      </c>
      <c r="BP39">
        <v>0</v>
      </c>
      <c r="BW39" t="str">
        <f>"18:35:37.220"</f>
        <v>18:35:37.220</v>
      </c>
      <c r="BZ39">
        <v>0</v>
      </c>
      <c r="CA39">
        <v>3488</v>
      </c>
      <c r="CB39">
        <v>216</v>
      </c>
      <c r="CC39">
        <v>583.59379999999999</v>
      </c>
      <c r="CD39">
        <v>1</v>
      </c>
      <c r="CE39">
        <v>1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2</v>
      </c>
      <c r="CL39">
        <v>0</v>
      </c>
      <c r="CM39">
        <v>2</v>
      </c>
      <c r="CN39">
        <v>0</v>
      </c>
      <c r="CO39">
        <v>4</v>
      </c>
      <c r="CP39" t="s">
        <v>119</v>
      </c>
      <c r="CQ39">
        <v>145</v>
      </c>
      <c r="CR39">
        <v>1</v>
      </c>
      <c r="CW39">
        <v>8852764</v>
      </c>
      <c r="CY39">
        <v>0</v>
      </c>
      <c r="CZ39">
        <v>0</v>
      </c>
      <c r="DA39">
        <v>1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</row>
    <row r="40" spans="1:113" x14ac:dyDescent="0.3">
      <c r="A40" t="str">
        <f>"02/13/2022 18:35:37.447"</f>
        <v>02/13/2022 18:35:37.447</v>
      </c>
      <c r="C40" t="str">
        <f t="shared" si="1"/>
        <v>FFDFD7C0</v>
      </c>
      <c r="D40" t="s">
        <v>113</v>
      </c>
      <c r="E40">
        <v>4</v>
      </c>
      <c r="F40">
        <v>1004</v>
      </c>
      <c r="G40" t="s">
        <v>120</v>
      </c>
      <c r="J40" t="s">
        <v>115</v>
      </c>
      <c r="K40">
        <v>0</v>
      </c>
      <c r="L40">
        <v>3</v>
      </c>
      <c r="M40">
        <v>0</v>
      </c>
      <c r="N40">
        <v>2</v>
      </c>
      <c r="O40">
        <v>1</v>
      </c>
      <c r="P40">
        <v>0</v>
      </c>
      <c r="Q40">
        <v>0</v>
      </c>
      <c r="S40" t="str">
        <f>"18:35:37.219"</f>
        <v>18:35:37.219</v>
      </c>
      <c r="T40" t="str">
        <f>"18:35:36.919"</f>
        <v>18:35:36.919</v>
      </c>
      <c r="U40" t="str">
        <f t="shared" si="0"/>
        <v>AAB6EE</v>
      </c>
      <c r="V40">
        <v>0</v>
      </c>
      <c r="W40">
        <v>0</v>
      </c>
      <c r="X40">
        <v>4</v>
      </c>
      <c r="Z40">
        <v>0</v>
      </c>
      <c r="AA40">
        <v>8</v>
      </c>
      <c r="AB40">
        <v>3</v>
      </c>
      <c r="AC40">
        <v>0</v>
      </c>
      <c r="AD40">
        <v>10</v>
      </c>
      <c r="AE40">
        <v>0</v>
      </c>
      <c r="AF40">
        <v>0</v>
      </c>
      <c r="AG40">
        <v>2</v>
      </c>
      <c r="AH40">
        <v>1</v>
      </c>
      <c r="AI40" t="s">
        <v>145</v>
      </c>
      <c r="AJ40">
        <v>35.560234000000001</v>
      </c>
      <c r="AK40" t="s">
        <v>146</v>
      </c>
      <c r="AL40">
        <v>-76.003590000000003</v>
      </c>
      <c r="AM40">
        <v>25</v>
      </c>
      <c r="AN40">
        <v>1650</v>
      </c>
      <c r="AO40" t="s">
        <v>118</v>
      </c>
      <c r="AP40">
        <v>-97</v>
      </c>
      <c r="AQ40">
        <v>-119</v>
      </c>
      <c r="AR40">
        <v>1728</v>
      </c>
      <c r="AZ40">
        <v>1200</v>
      </c>
      <c r="BA40">
        <v>1</v>
      </c>
      <c r="BB40" t="str">
        <f t="shared" si="2"/>
        <v xml:space="preserve">N79NX   </v>
      </c>
      <c r="BC40">
        <v>1</v>
      </c>
      <c r="BE40">
        <v>0</v>
      </c>
      <c r="BF40">
        <v>0</v>
      </c>
      <c r="BG40">
        <v>0</v>
      </c>
      <c r="BH40">
        <v>1500</v>
      </c>
      <c r="BI40">
        <v>0</v>
      </c>
      <c r="BJ40">
        <v>0</v>
      </c>
      <c r="BK40">
        <v>0</v>
      </c>
      <c r="BL40">
        <v>0</v>
      </c>
      <c r="BO40">
        <v>0</v>
      </c>
      <c r="BP40">
        <v>0</v>
      </c>
      <c r="BW40" t="str">
        <f>"18:35:37.220"</f>
        <v>18:35:37.220</v>
      </c>
      <c r="BZ40">
        <v>0</v>
      </c>
      <c r="CA40">
        <v>3488</v>
      </c>
      <c r="CB40">
        <v>216</v>
      </c>
      <c r="CC40">
        <v>583.59379999999999</v>
      </c>
      <c r="CD40">
        <v>1</v>
      </c>
      <c r="CE40">
        <v>1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2</v>
      </c>
      <c r="CL40">
        <v>0</v>
      </c>
      <c r="CM40">
        <v>2</v>
      </c>
      <c r="CN40">
        <v>0</v>
      </c>
      <c r="CO40">
        <v>4</v>
      </c>
      <c r="CP40" t="s">
        <v>119</v>
      </c>
      <c r="CQ40">
        <v>145</v>
      </c>
      <c r="CR40">
        <v>1</v>
      </c>
      <c r="CW40">
        <v>8852764</v>
      </c>
      <c r="CY40">
        <v>0</v>
      </c>
      <c r="CZ40">
        <v>0</v>
      </c>
      <c r="DA40">
        <v>1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</row>
    <row r="41" spans="1:113" x14ac:dyDescent="0.3">
      <c r="A41" t="str">
        <f>"02/13/2022 18:35:38.385"</f>
        <v>02/13/2022 18:35:38.385</v>
      </c>
      <c r="C41" t="str">
        <f t="shared" si="1"/>
        <v>FFDFD7C0</v>
      </c>
      <c r="D41" t="s">
        <v>121</v>
      </c>
      <c r="E41">
        <v>2</v>
      </c>
      <c r="H41">
        <v>158</v>
      </c>
      <c r="I41" t="s">
        <v>120</v>
      </c>
      <c r="J41" t="s">
        <v>122</v>
      </c>
      <c r="K41">
        <v>0</v>
      </c>
      <c r="L41">
        <v>3</v>
      </c>
      <c r="M41">
        <v>0</v>
      </c>
      <c r="N41">
        <v>2</v>
      </c>
      <c r="O41">
        <v>1</v>
      </c>
      <c r="P41">
        <v>0</v>
      </c>
      <c r="Q41">
        <v>0</v>
      </c>
      <c r="S41" t="str">
        <f>"18:35:38.156"</f>
        <v>18:35:38.156</v>
      </c>
      <c r="T41" t="str">
        <f>"18:35:37.856"</f>
        <v>18:35:37.856</v>
      </c>
      <c r="U41" t="str">
        <f t="shared" si="0"/>
        <v>AAB6EE</v>
      </c>
      <c r="V41">
        <v>0</v>
      </c>
      <c r="W41">
        <v>0</v>
      </c>
      <c r="X41">
        <v>4</v>
      </c>
      <c r="Z41">
        <v>0</v>
      </c>
      <c r="AA41">
        <v>8</v>
      </c>
      <c r="AB41">
        <v>3</v>
      </c>
      <c r="AC41">
        <v>0</v>
      </c>
      <c r="AD41">
        <v>10</v>
      </c>
      <c r="AE41">
        <v>0</v>
      </c>
      <c r="AF41">
        <v>0</v>
      </c>
      <c r="AG41">
        <v>2</v>
      </c>
      <c r="AH41">
        <v>1</v>
      </c>
      <c r="AI41" t="s">
        <v>147</v>
      </c>
      <c r="AJ41">
        <v>35.559719000000001</v>
      </c>
      <c r="AK41" t="s">
        <v>148</v>
      </c>
      <c r="AL41">
        <v>-76.004040000000003</v>
      </c>
      <c r="AM41">
        <v>25</v>
      </c>
      <c r="AN41">
        <v>1675</v>
      </c>
      <c r="AO41" t="s">
        <v>118</v>
      </c>
      <c r="AP41">
        <v>-94</v>
      </c>
      <c r="AQ41">
        <v>-122</v>
      </c>
      <c r="AR41">
        <v>1728</v>
      </c>
      <c r="AZ41">
        <v>1200</v>
      </c>
      <c r="BA41">
        <v>1</v>
      </c>
      <c r="BB41" t="str">
        <f t="shared" si="2"/>
        <v xml:space="preserve">N79NX   </v>
      </c>
      <c r="BC41">
        <v>1</v>
      </c>
      <c r="BE41">
        <v>0</v>
      </c>
      <c r="BF41">
        <v>0</v>
      </c>
      <c r="BG41">
        <v>0</v>
      </c>
      <c r="BH41">
        <v>1550</v>
      </c>
      <c r="BI41">
        <v>0</v>
      </c>
      <c r="BJ41">
        <v>0</v>
      </c>
      <c r="BK41">
        <v>0</v>
      </c>
      <c r="BL41">
        <v>0</v>
      </c>
      <c r="BO41">
        <v>0</v>
      </c>
      <c r="BP41">
        <v>0</v>
      </c>
      <c r="BW41" t="str">
        <f>"18:35:38.160"</f>
        <v>18:35:38.160</v>
      </c>
      <c r="BZ41">
        <v>0</v>
      </c>
      <c r="CA41">
        <v>3488</v>
      </c>
      <c r="CB41">
        <v>216</v>
      </c>
      <c r="CC41">
        <v>583.59379999999999</v>
      </c>
      <c r="CD41">
        <v>1</v>
      </c>
      <c r="CE41">
        <v>1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2</v>
      </c>
      <c r="CL41">
        <v>0</v>
      </c>
      <c r="CM41">
        <v>2</v>
      </c>
      <c r="CN41">
        <v>0</v>
      </c>
      <c r="CO41">
        <v>5</v>
      </c>
      <c r="CP41" t="s">
        <v>119</v>
      </c>
      <c r="CQ41">
        <v>145</v>
      </c>
      <c r="CR41">
        <v>1</v>
      </c>
      <c r="CW41">
        <v>8853254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</row>
    <row r="42" spans="1:113" x14ac:dyDescent="0.3">
      <c r="A42" t="str">
        <f>"02/13/2022 18:35:38.401"</f>
        <v>02/13/2022 18:35:38.401</v>
      </c>
      <c r="C42" t="str">
        <f t="shared" si="1"/>
        <v>FFDFD7C0</v>
      </c>
      <c r="D42" t="s">
        <v>113</v>
      </c>
      <c r="E42">
        <v>3</v>
      </c>
      <c r="F42">
        <v>1003</v>
      </c>
      <c r="G42" t="s">
        <v>114</v>
      </c>
      <c r="J42" t="s">
        <v>115</v>
      </c>
      <c r="K42">
        <v>0</v>
      </c>
      <c r="L42">
        <v>3</v>
      </c>
      <c r="M42">
        <v>0</v>
      </c>
      <c r="N42">
        <v>2</v>
      </c>
      <c r="O42">
        <v>1</v>
      </c>
      <c r="P42">
        <v>0</v>
      </c>
      <c r="Q42">
        <v>0</v>
      </c>
      <c r="S42" t="str">
        <f>"18:35:38.156"</f>
        <v>18:35:38.156</v>
      </c>
      <c r="T42" t="str">
        <f>"18:35:37.856"</f>
        <v>18:35:37.856</v>
      </c>
      <c r="U42" t="str">
        <f t="shared" si="0"/>
        <v>AAB6EE</v>
      </c>
      <c r="V42">
        <v>0</v>
      </c>
      <c r="W42">
        <v>0</v>
      </c>
      <c r="X42">
        <v>4</v>
      </c>
      <c r="Z42">
        <v>0</v>
      </c>
      <c r="AA42">
        <v>8</v>
      </c>
      <c r="AB42">
        <v>3</v>
      </c>
      <c r="AC42">
        <v>0</v>
      </c>
      <c r="AD42">
        <v>10</v>
      </c>
      <c r="AE42">
        <v>0</v>
      </c>
      <c r="AF42">
        <v>0</v>
      </c>
      <c r="AG42">
        <v>2</v>
      </c>
      <c r="AH42">
        <v>1</v>
      </c>
      <c r="AI42" t="s">
        <v>147</v>
      </c>
      <c r="AJ42">
        <v>35.559719000000001</v>
      </c>
      <c r="AK42" t="s">
        <v>148</v>
      </c>
      <c r="AL42">
        <v>-76.004040000000003</v>
      </c>
      <c r="AM42">
        <v>25</v>
      </c>
      <c r="AN42">
        <v>1675</v>
      </c>
      <c r="AO42" t="s">
        <v>118</v>
      </c>
      <c r="AP42">
        <v>-94</v>
      </c>
      <c r="AQ42">
        <v>-122</v>
      </c>
      <c r="AR42">
        <v>1728</v>
      </c>
      <c r="AZ42">
        <v>1200</v>
      </c>
      <c r="BA42">
        <v>1</v>
      </c>
      <c r="BB42" t="str">
        <f t="shared" si="2"/>
        <v xml:space="preserve">N79NX   </v>
      </c>
      <c r="BC42">
        <v>1</v>
      </c>
      <c r="BE42">
        <v>0</v>
      </c>
      <c r="BF42">
        <v>0</v>
      </c>
      <c r="BG42">
        <v>0</v>
      </c>
      <c r="BH42">
        <v>1550</v>
      </c>
      <c r="BI42">
        <v>0</v>
      </c>
      <c r="BJ42">
        <v>0</v>
      </c>
      <c r="BK42">
        <v>0</v>
      </c>
      <c r="BL42">
        <v>0</v>
      </c>
      <c r="BO42">
        <v>0</v>
      </c>
      <c r="BP42">
        <v>0</v>
      </c>
      <c r="BW42" t="str">
        <f>"18:35:38.160"</f>
        <v>18:35:38.160</v>
      </c>
      <c r="BZ42">
        <v>0</v>
      </c>
      <c r="CA42">
        <v>3488</v>
      </c>
      <c r="CB42">
        <v>216</v>
      </c>
      <c r="CC42">
        <v>583.59379999999999</v>
      </c>
      <c r="CD42">
        <v>1</v>
      </c>
      <c r="CE42">
        <v>1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2</v>
      </c>
      <c r="CL42">
        <v>0</v>
      </c>
      <c r="CM42">
        <v>2</v>
      </c>
      <c r="CN42">
        <v>0</v>
      </c>
      <c r="CO42">
        <v>5</v>
      </c>
      <c r="CP42" t="s">
        <v>119</v>
      </c>
      <c r="CQ42">
        <v>145</v>
      </c>
      <c r="CR42">
        <v>1</v>
      </c>
      <c r="CW42">
        <v>8853254</v>
      </c>
      <c r="CY42">
        <v>0</v>
      </c>
      <c r="CZ42">
        <v>0</v>
      </c>
      <c r="DA42">
        <v>1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</row>
    <row r="43" spans="1:113" x14ac:dyDescent="0.3">
      <c r="A43" t="str">
        <f>"02/13/2022 18:35:38.401"</f>
        <v>02/13/2022 18:35:38.401</v>
      </c>
      <c r="C43" t="str">
        <f t="shared" si="1"/>
        <v>FFDFD7C0</v>
      </c>
      <c r="D43" t="s">
        <v>113</v>
      </c>
      <c r="E43">
        <v>4</v>
      </c>
      <c r="F43">
        <v>1004</v>
      </c>
      <c r="G43" t="s">
        <v>120</v>
      </c>
      <c r="J43" t="s">
        <v>115</v>
      </c>
      <c r="K43">
        <v>0</v>
      </c>
      <c r="L43">
        <v>3</v>
      </c>
      <c r="M43">
        <v>0</v>
      </c>
      <c r="N43">
        <v>2</v>
      </c>
      <c r="O43">
        <v>1</v>
      </c>
      <c r="P43">
        <v>0</v>
      </c>
      <c r="Q43">
        <v>0</v>
      </c>
      <c r="S43" t="str">
        <f>"18:35:38.156"</f>
        <v>18:35:38.156</v>
      </c>
      <c r="T43" t="str">
        <f>"18:35:37.856"</f>
        <v>18:35:37.856</v>
      </c>
      <c r="U43" t="str">
        <f t="shared" si="0"/>
        <v>AAB6EE</v>
      </c>
      <c r="V43">
        <v>0</v>
      </c>
      <c r="W43">
        <v>0</v>
      </c>
      <c r="X43">
        <v>4</v>
      </c>
      <c r="Z43">
        <v>0</v>
      </c>
      <c r="AA43">
        <v>8</v>
      </c>
      <c r="AB43">
        <v>3</v>
      </c>
      <c r="AC43">
        <v>0</v>
      </c>
      <c r="AD43">
        <v>10</v>
      </c>
      <c r="AE43">
        <v>0</v>
      </c>
      <c r="AF43">
        <v>0</v>
      </c>
      <c r="AG43">
        <v>2</v>
      </c>
      <c r="AH43">
        <v>1</v>
      </c>
      <c r="AI43" t="s">
        <v>147</v>
      </c>
      <c r="AJ43">
        <v>35.559719000000001</v>
      </c>
      <c r="AK43" t="s">
        <v>148</v>
      </c>
      <c r="AL43">
        <v>-76.004040000000003</v>
      </c>
      <c r="AM43">
        <v>25</v>
      </c>
      <c r="AN43">
        <v>1675</v>
      </c>
      <c r="AO43" t="s">
        <v>118</v>
      </c>
      <c r="AP43">
        <v>-94</v>
      </c>
      <c r="AQ43">
        <v>-122</v>
      </c>
      <c r="AR43">
        <v>1728</v>
      </c>
      <c r="AZ43">
        <v>1200</v>
      </c>
      <c r="BA43">
        <v>1</v>
      </c>
      <c r="BB43" t="str">
        <f t="shared" si="2"/>
        <v xml:space="preserve">N79NX   </v>
      </c>
      <c r="BC43">
        <v>1</v>
      </c>
      <c r="BE43">
        <v>0</v>
      </c>
      <c r="BF43">
        <v>0</v>
      </c>
      <c r="BG43">
        <v>0</v>
      </c>
      <c r="BH43">
        <v>1550</v>
      </c>
      <c r="BI43">
        <v>0</v>
      </c>
      <c r="BJ43">
        <v>0</v>
      </c>
      <c r="BK43">
        <v>0</v>
      </c>
      <c r="BL43">
        <v>0</v>
      </c>
      <c r="BO43">
        <v>0</v>
      </c>
      <c r="BP43">
        <v>0</v>
      </c>
      <c r="BW43" t="str">
        <f>"18:35:38.160"</f>
        <v>18:35:38.160</v>
      </c>
      <c r="BZ43">
        <v>0</v>
      </c>
      <c r="CA43">
        <v>3488</v>
      </c>
      <c r="CB43">
        <v>216</v>
      </c>
      <c r="CC43">
        <v>583.59379999999999</v>
      </c>
      <c r="CD43">
        <v>1</v>
      </c>
      <c r="CE43">
        <v>1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2</v>
      </c>
      <c r="CL43">
        <v>0</v>
      </c>
      <c r="CM43">
        <v>2</v>
      </c>
      <c r="CN43">
        <v>0</v>
      </c>
      <c r="CO43">
        <v>5</v>
      </c>
      <c r="CP43" t="s">
        <v>119</v>
      </c>
      <c r="CQ43">
        <v>145</v>
      </c>
      <c r="CR43">
        <v>1</v>
      </c>
      <c r="CW43">
        <v>8853254</v>
      </c>
      <c r="CY43">
        <v>0</v>
      </c>
      <c r="CZ43">
        <v>0</v>
      </c>
      <c r="DA43">
        <v>1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</row>
    <row r="44" spans="1:113" x14ac:dyDescent="0.3">
      <c r="A44" t="str">
        <f>"02/13/2022 18:35:39.276"</f>
        <v>02/13/2022 18:35:39.276</v>
      </c>
      <c r="C44" t="str">
        <f t="shared" si="1"/>
        <v>FFDFD7C0</v>
      </c>
      <c r="D44" t="s">
        <v>113</v>
      </c>
      <c r="E44">
        <v>4</v>
      </c>
      <c r="F44">
        <v>1004</v>
      </c>
      <c r="G44" t="s">
        <v>120</v>
      </c>
      <c r="J44" t="s">
        <v>115</v>
      </c>
      <c r="K44">
        <v>0</v>
      </c>
      <c r="L44">
        <v>3</v>
      </c>
      <c r="M44">
        <v>0</v>
      </c>
      <c r="N44">
        <v>2</v>
      </c>
      <c r="O44">
        <v>1</v>
      </c>
      <c r="P44">
        <v>0</v>
      </c>
      <c r="Q44">
        <v>0</v>
      </c>
      <c r="S44" t="str">
        <f>"18:35:39.062"</f>
        <v>18:35:39.062</v>
      </c>
      <c r="T44" t="str">
        <f>"18:35:38.863"</f>
        <v>18:35:38.863</v>
      </c>
      <c r="U44" t="str">
        <f t="shared" si="0"/>
        <v>AAB6EE</v>
      </c>
      <c r="V44">
        <v>0</v>
      </c>
      <c r="W44">
        <v>0</v>
      </c>
      <c r="X44">
        <v>4</v>
      </c>
      <c r="Z44">
        <v>0</v>
      </c>
      <c r="AA44">
        <v>8</v>
      </c>
      <c r="AB44">
        <v>3</v>
      </c>
      <c r="AC44">
        <v>0</v>
      </c>
      <c r="AD44">
        <v>10</v>
      </c>
      <c r="AE44">
        <v>0</v>
      </c>
      <c r="AF44">
        <v>0</v>
      </c>
      <c r="AG44">
        <v>2</v>
      </c>
      <c r="AH44">
        <v>1</v>
      </c>
      <c r="AI44" t="s">
        <v>149</v>
      </c>
      <c r="AJ44">
        <v>35.559204000000001</v>
      </c>
      <c r="AK44" t="s">
        <v>150</v>
      </c>
      <c r="AL44">
        <v>-76.004534000000007</v>
      </c>
      <c r="AM44">
        <v>25</v>
      </c>
      <c r="AN44">
        <v>1725</v>
      </c>
      <c r="AO44" t="s">
        <v>118</v>
      </c>
      <c r="AP44">
        <v>-90</v>
      </c>
      <c r="AQ44">
        <v>-125</v>
      </c>
      <c r="AR44">
        <v>1792</v>
      </c>
      <c r="AZ44">
        <v>1200</v>
      </c>
      <c r="BA44">
        <v>1</v>
      </c>
      <c r="BB44" t="str">
        <f t="shared" si="2"/>
        <v xml:space="preserve">N79NX   </v>
      </c>
      <c r="BC44">
        <v>1</v>
      </c>
      <c r="BE44">
        <v>0</v>
      </c>
      <c r="BF44">
        <v>0</v>
      </c>
      <c r="BG44">
        <v>0</v>
      </c>
      <c r="BH44">
        <v>1575</v>
      </c>
      <c r="BI44">
        <v>0</v>
      </c>
      <c r="BJ44">
        <v>0</v>
      </c>
      <c r="BK44">
        <v>0</v>
      </c>
      <c r="BL44">
        <v>0</v>
      </c>
      <c r="BO44">
        <v>0</v>
      </c>
      <c r="BP44">
        <v>0</v>
      </c>
      <c r="BW44" t="str">
        <f>"18:35:39.070"</f>
        <v>18:35:39.070</v>
      </c>
      <c r="BZ44">
        <v>0</v>
      </c>
      <c r="CA44">
        <v>3488</v>
      </c>
      <c r="CB44">
        <v>216</v>
      </c>
      <c r="CC44">
        <v>583.59379999999999</v>
      </c>
      <c r="CD44">
        <v>1</v>
      </c>
      <c r="CE44">
        <v>1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2</v>
      </c>
      <c r="CL44">
        <v>0</v>
      </c>
      <c r="CM44">
        <v>2</v>
      </c>
      <c r="CN44">
        <v>0</v>
      </c>
      <c r="CO44">
        <v>4</v>
      </c>
      <c r="CP44" t="s">
        <v>119</v>
      </c>
      <c r="CQ44">
        <v>145</v>
      </c>
      <c r="CR44">
        <v>1</v>
      </c>
      <c r="CW44">
        <v>8853771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</row>
    <row r="45" spans="1:113" x14ac:dyDescent="0.3">
      <c r="A45" t="str">
        <f>"02/13/2022 18:35:39.276"</f>
        <v>02/13/2022 18:35:39.276</v>
      </c>
      <c r="C45" t="str">
        <f t="shared" si="1"/>
        <v>FFDFD7C0</v>
      </c>
      <c r="D45" t="s">
        <v>113</v>
      </c>
      <c r="E45">
        <v>3</v>
      </c>
      <c r="F45">
        <v>1003</v>
      </c>
      <c r="G45" t="s">
        <v>114</v>
      </c>
      <c r="J45" t="s">
        <v>115</v>
      </c>
      <c r="K45">
        <v>0</v>
      </c>
      <c r="L45">
        <v>3</v>
      </c>
      <c r="M45">
        <v>0</v>
      </c>
      <c r="N45">
        <v>2</v>
      </c>
      <c r="O45">
        <v>1</v>
      </c>
      <c r="P45">
        <v>0</v>
      </c>
      <c r="Q45">
        <v>0</v>
      </c>
      <c r="S45" t="str">
        <f>"18:35:39.062"</f>
        <v>18:35:39.062</v>
      </c>
      <c r="T45" t="str">
        <f>"18:35:38.863"</f>
        <v>18:35:38.863</v>
      </c>
      <c r="U45" t="str">
        <f t="shared" si="0"/>
        <v>AAB6EE</v>
      </c>
      <c r="V45">
        <v>0</v>
      </c>
      <c r="W45">
        <v>0</v>
      </c>
      <c r="X45">
        <v>4</v>
      </c>
      <c r="Z45">
        <v>0</v>
      </c>
      <c r="AA45">
        <v>8</v>
      </c>
      <c r="AB45">
        <v>3</v>
      </c>
      <c r="AC45">
        <v>0</v>
      </c>
      <c r="AD45">
        <v>10</v>
      </c>
      <c r="AE45">
        <v>0</v>
      </c>
      <c r="AF45">
        <v>0</v>
      </c>
      <c r="AG45">
        <v>2</v>
      </c>
      <c r="AH45">
        <v>1</v>
      </c>
      <c r="AI45" t="s">
        <v>149</v>
      </c>
      <c r="AJ45">
        <v>35.559204000000001</v>
      </c>
      <c r="AK45" t="s">
        <v>150</v>
      </c>
      <c r="AL45">
        <v>-76.004534000000007</v>
      </c>
      <c r="AM45">
        <v>25</v>
      </c>
      <c r="AN45">
        <v>1725</v>
      </c>
      <c r="AO45" t="s">
        <v>118</v>
      </c>
      <c r="AP45">
        <v>-90</v>
      </c>
      <c r="AQ45">
        <v>-125</v>
      </c>
      <c r="AR45">
        <v>1792</v>
      </c>
      <c r="AZ45">
        <v>1200</v>
      </c>
      <c r="BA45">
        <v>1</v>
      </c>
      <c r="BB45" t="str">
        <f t="shared" si="2"/>
        <v xml:space="preserve">N79NX   </v>
      </c>
      <c r="BC45">
        <v>1</v>
      </c>
      <c r="BE45">
        <v>0</v>
      </c>
      <c r="BF45">
        <v>0</v>
      </c>
      <c r="BG45">
        <v>0</v>
      </c>
      <c r="BH45">
        <v>1575</v>
      </c>
      <c r="BI45">
        <v>0</v>
      </c>
      <c r="BJ45">
        <v>0</v>
      </c>
      <c r="BK45">
        <v>0</v>
      </c>
      <c r="BL45">
        <v>0</v>
      </c>
      <c r="BO45">
        <v>0</v>
      </c>
      <c r="BP45">
        <v>0</v>
      </c>
      <c r="BW45" t="str">
        <f>"18:35:39.070"</f>
        <v>18:35:39.070</v>
      </c>
      <c r="BZ45">
        <v>0</v>
      </c>
      <c r="CA45">
        <v>3488</v>
      </c>
      <c r="CB45">
        <v>216</v>
      </c>
      <c r="CC45">
        <v>583.59379999999999</v>
      </c>
      <c r="CD45">
        <v>1</v>
      </c>
      <c r="CE45">
        <v>1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2</v>
      </c>
      <c r="CL45">
        <v>0</v>
      </c>
      <c r="CM45">
        <v>2</v>
      </c>
      <c r="CN45">
        <v>0</v>
      </c>
      <c r="CO45">
        <v>4</v>
      </c>
      <c r="CP45" t="s">
        <v>119</v>
      </c>
      <c r="CQ45">
        <v>145</v>
      </c>
      <c r="CR45">
        <v>1</v>
      </c>
      <c r="CW45">
        <v>8853771</v>
      </c>
      <c r="CY45">
        <v>0</v>
      </c>
      <c r="CZ45">
        <v>0</v>
      </c>
      <c r="DA45">
        <v>1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</row>
    <row r="46" spans="1:113" x14ac:dyDescent="0.3">
      <c r="A46" t="str">
        <f>"02/13/2022 18:35:39.307"</f>
        <v>02/13/2022 18:35:39.307</v>
      </c>
      <c r="C46" t="str">
        <f t="shared" si="1"/>
        <v>FFDFD7C0</v>
      </c>
      <c r="D46" t="s">
        <v>121</v>
      </c>
      <c r="E46">
        <v>2</v>
      </c>
      <c r="H46">
        <v>158</v>
      </c>
      <c r="I46" t="s">
        <v>120</v>
      </c>
      <c r="J46" t="s">
        <v>122</v>
      </c>
      <c r="K46">
        <v>0</v>
      </c>
      <c r="L46">
        <v>3</v>
      </c>
      <c r="M46">
        <v>0</v>
      </c>
      <c r="N46">
        <v>2</v>
      </c>
      <c r="O46">
        <v>1</v>
      </c>
      <c r="P46">
        <v>0</v>
      </c>
      <c r="Q46">
        <v>0</v>
      </c>
      <c r="S46" t="str">
        <f>"18:35:39.062"</f>
        <v>18:35:39.062</v>
      </c>
      <c r="T46" t="str">
        <f>"18:35:38.863"</f>
        <v>18:35:38.863</v>
      </c>
      <c r="U46" t="str">
        <f t="shared" si="0"/>
        <v>AAB6EE</v>
      </c>
      <c r="V46">
        <v>0</v>
      </c>
      <c r="W46">
        <v>0</v>
      </c>
      <c r="X46">
        <v>4</v>
      </c>
      <c r="Z46">
        <v>0</v>
      </c>
      <c r="AA46">
        <v>8</v>
      </c>
      <c r="AB46">
        <v>3</v>
      </c>
      <c r="AC46">
        <v>0</v>
      </c>
      <c r="AD46">
        <v>10</v>
      </c>
      <c r="AE46">
        <v>0</v>
      </c>
      <c r="AF46">
        <v>0</v>
      </c>
      <c r="AG46">
        <v>2</v>
      </c>
      <c r="AH46">
        <v>1</v>
      </c>
      <c r="AI46" t="s">
        <v>149</v>
      </c>
      <c r="AJ46">
        <v>35.559204000000001</v>
      </c>
      <c r="AK46" t="s">
        <v>150</v>
      </c>
      <c r="AL46">
        <v>-76.004534000000007</v>
      </c>
      <c r="AM46">
        <v>25</v>
      </c>
      <c r="AN46">
        <v>1725</v>
      </c>
      <c r="AO46" t="s">
        <v>118</v>
      </c>
      <c r="AP46">
        <v>-90</v>
      </c>
      <c r="AQ46">
        <v>-125</v>
      </c>
      <c r="AR46">
        <v>1792</v>
      </c>
      <c r="AZ46">
        <v>1200</v>
      </c>
      <c r="BA46">
        <v>1</v>
      </c>
      <c r="BB46" t="str">
        <f t="shared" si="2"/>
        <v xml:space="preserve">N79NX   </v>
      </c>
      <c r="BC46">
        <v>1</v>
      </c>
      <c r="BE46">
        <v>0</v>
      </c>
      <c r="BF46">
        <v>0</v>
      </c>
      <c r="BG46">
        <v>0</v>
      </c>
      <c r="BH46">
        <v>1575</v>
      </c>
      <c r="BI46">
        <v>0</v>
      </c>
      <c r="BJ46">
        <v>0</v>
      </c>
      <c r="BK46">
        <v>0</v>
      </c>
      <c r="BL46">
        <v>0</v>
      </c>
      <c r="BO46">
        <v>0</v>
      </c>
      <c r="BP46">
        <v>0</v>
      </c>
      <c r="BW46" t="str">
        <f>"18:35:39.070"</f>
        <v>18:35:39.070</v>
      </c>
      <c r="BZ46">
        <v>0</v>
      </c>
      <c r="CA46">
        <v>3488</v>
      </c>
      <c r="CB46">
        <v>216</v>
      </c>
      <c r="CC46">
        <v>583.59379999999999</v>
      </c>
      <c r="CD46">
        <v>1</v>
      </c>
      <c r="CE46">
        <v>1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2</v>
      </c>
      <c r="CL46">
        <v>0</v>
      </c>
      <c r="CM46">
        <v>2</v>
      </c>
      <c r="CN46">
        <v>0</v>
      </c>
      <c r="CO46">
        <v>4</v>
      </c>
      <c r="CP46" t="s">
        <v>119</v>
      </c>
      <c r="CQ46">
        <v>145</v>
      </c>
      <c r="CR46">
        <v>1</v>
      </c>
      <c r="CW46">
        <v>8853771</v>
      </c>
      <c r="CY46">
        <v>0</v>
      </c>
      <c r="CZ46">
        <v>0</v>
      </c>
      <c r="DA46">
        <v>1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</row>
    <row r="47" spans="1:113" x14ac:dyDescent="0.3">
      <c r="A47" t="str">
        <f>"02/13/2022 18:35:40.357"</f>
        <v>02/13/2022 18:35:40.357</v>
      </c>
      <c r="C47" t="str">
        <f t="shared" si="1"/>
        <v>FFDFD7C0</v>
      </c>
      <c r="D47" t="s">
        <v>121</v>
      </c>
      <c r="E47">
        <v>2</v>
      </c>
      <c r="H47">
        <v>158</v>
      </c>
      <c r="I47" t="s">
        <v>120</v>
      </c>
      <c r="J47" t="s">
        <v>122</v>
      </c>
      <c r="K47">
        <v>0</v>
      </c>
      <c r="L47">
        <v>3</v>
      </c>
      <c r="M47">
        <v>0</v>
      </c>
      <c r="N47">
        <v>2</v>
      </c>
      <c r="O47">
        <v>1</v>
      </c>
      <c r="P47">
        <v>0</v>
      </c>
      <c r="Q47">
        <v>0</v>
      </c>
      <c r="S47" t="str">
        <f>"18:35:40.117"</f>
        <v>18:35:40.117</v>
      </c>
      <c r="T47" t="str">
        <f>"18:35:39.817"</f>
        <v>18:35:39.817</v>
      </c>
      <c r="U47" t="str">
        <f t="shared" si="0"/>
        <v>AAB6EE</v>
      </c>
      <c r="V47">
        <v>0</v>
      </c>
      <c r="W47">
        <v>0</v>
      </c>
      <c r="X47">
        <v>4</v>
      </c>
      <c r="Z47">
        <v>0</v>
      </c>
      <c r="AA47">
        <v>8</v>
      </c>
      <c r="AB47">
        <v>3</v>
      </c>
      <c r="AC47">
        <v>0</v>
      </c>
      <c r="AD47">
        <v>10</v>
      </c>
      <c r="AE47">
        <v>0</v>
      </c>
      <c r="AF47">
        <v>0</v>
      </c>
      <c r="AG47">
        <v>2</v>
      </c>
      <c r="AH47">
        <v>1</v>
      </c>
      <c r="AI47" t="s">
        <v>151</v>
      </c>
      <c r="AJ47">
        <v>35.558580999999997</v>
      </c>
      <c r="AK47" t="s">
        <v>152</v>
      </c>
      <c r="AL47">
        <v>-76.005070000000003</v>
      </c>
      <c r="AM47">
        <v>25</v>
      </c>
      <c r="AN47">
        <v>1750</v>
      </c>
      <c r="AO47" t="s">
        <v>118</v>
      </c>
      <c r="AP47">
        <v>-88</v>
      </c>
      <c r="AQ47">
        <v>-126</v>
      </c>
      <c r="AR47">
        <v>1792</v>
      </c>
      <c r="AZ47">
        <v>1200</v>
      </c>
      <c r="BA47">
        <v>1</v>
      </c>
      <c r="BB47" t="str">
        <f t="shared" si="2"/>
        <v xml:space="preserve">N79NX   </v>
      </c>
      <c r="BC47">
        <v>1</v>
      </c>
      <c r="BE47">
        <v>0</v>
      </c>
      <c r="BF47">
        <v>0</v>
      </c>
      <c r="BG47">
        <v>0</v>
      </c>
      <c r="BH47">
        <v>1600</v>
      </c>
      <c r="BI47">
        <v>0</v>
      </c>
      <c r="BJ47">
        <v>0</v>
      </c>
      <c r="BK47">
        <v>0</v>
      </c>
      <c r="BL47">
        <v>0</v>
      </c>
      <c r="BO47">
        <v>0</v>
      </c>
      <c r="BP47">
        <v>0</v>
      </c>
      <c r="BW47" t="str">
        <f>"18:35:40.120"</f>
        <v>18:35:40.120</v>
      </c>
      <c r="BZ47">
        <v>0</v>
      </c>
      <c r="CA47">
        <v>3488</v>
      </c>
      <c r="CB47">
        <v>216</v>
      </c>
      <c r="CC47">
        <v>583.59379999999999</v>
      </c>
      <c r="CD47">
        <v>1</v>
      </c>
      <c r="CE47">
        <v>1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2</v>
      </c>
      <c r="CL47">
        <v>0</v>
      </c>
      <c r="CM47">
        <v>2</v>
      </c>
      <c r="CN47">
        <v>0</v>
      </c>
      <c r="CO47">
        <v>4</v>
      </c>
      <c r="CP47" t="s">
        <v>119</v>
      </c>
      <c r="CQ47">
        <v>145</v>
      </c>
      <c r="CR47">
        <v>1</v>
      </c>
      <c r="CW47">
        <v>8854368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</row>
    <row r="48" spans="1:113" x14ac:dyDescent="0.3">
      <c r="A48" t="str">
        <f>"02/13/2022 18:35:40.373"</f>
        <v>02/13/2022 18:35:40.373</v>
      </c>
      <c r="C48" t="str">
        <f t="shared" si="1"/>
        <v>FFDFD7C0</v>
      </c>
      <c r="D48" t="s">
        <v>113</v>
      </c>
      <c r="E48">
        <v>3</v>
      </c>
      <c r="F48">
        <v>1003</v>
      </c>
      <c r="G48" t="s">
        <v>114</v>
      </c>
      <c r="J48" t="s">
        <v>115</v>
      </c>
      <c r="K48">
        <v>0</v>
      </c>
      <c r="L48">
        <v>3</v>
      </c>
      <c r="M48">
        <v>0</v>
      </c>
      <c r="N48">
        <v>2</v>
      </c>
      <c r="O48">
        <v>1</v>
      </c>
      <c r="P48">
        <v>0</v>
      </c>
      <c r="Q48">
        <v>0</v>
      </c>
      <c r="S48" t="str">
        <f>"18:35:40.117"</f>
        <v>18:35:40.117</v>
      </c>
      <c r="T48" t="str">
        <f>"18:35:39.817"</f>
        <v>18:35:39.817</v>
      </c>
      <c r="U48" t="str">
        <f t="shared" si="0"/>
        <v>AAB6EE</v>
      </c>
      <c r="V48">
        <v>0</v>
      </c>
      <c r="W48">
        <v>0</v>
      </c>
      <c r="X48">
        <v>4</v>
      </c>
      <c r="Z48">
        <v>0</v>
      </c>
      <c r="AA48">
        <v>8</v>
      </c>
      <c r="AB48">
        <v>3</v>
      </c>
      <c r="AC48">
        <v>0</v>
      </c>
      <c r="AD48">
        <v>10</v>
      </c>
      <c r="AE48">
        <v>0</v>
      </c>
      <c r="AF48">
        <v>0</v>
      </c>
      <c r="AG48">
        <v>2</v>
      </c>
      <c r="AH48">
        <v>1</v>
      </c>
      <c r="AI48" t="s">
        <v>151</v>
      </c>
      <c r="AJ48">
        <v>35.558580999999997</v>
      </c>
      <c r="AK48" t="s">
        <v>152</v>
      </c>
      <c r="AL48">
        <v>-76.005070000000003</v>
      </c>
      <c r="AM48">
        <v>25</v>
      </c>
      <c r="AN48">
        <v>1750</v>
      </c>
      <c r="AO48" t="s">
        <v>118</v>
      </c>
      <c r="AP48">
        <v>-88</v>
      </c>
      <c r="AQ48">
        <v>-126</v>
      </c>
      <c r="AR48">
        <v>1792</v>
      </c>
      <c r="AZ48">
        <v>1200</v>
      </c>
      <c r="BA48">
        <v>1</v>
      </c>
      <c r="BB48" t="str">
        <f t="shared" si="2"/>
        <v xml:space="preserve">N79NX   </v>
      </c>
      <c r="BC48">
        <v>1</v>
      </c>
      <c r="BE48">
        <v>0</v>
      </c>
      <c r="BF48">
        <v>0</v>
      </c>
      <c r="BG48">
        <v>0</v>
      </c>
      <c r="BH48">
        <v>1600</v>
      </c>
      <c r="BI48">
        <v>0</v>
      </c>
      <c r="BJ48">
        <v>0</v>
      </c>
      <c r="BK48">
        <v>0</v>
      </c>
      <c r="BL48">
        <v>0</v>
      </c>
      <c r="BO48">
        <v>0</v>
      </c>
      <c r="BP48">
        <v>0</v>
      </c>
      <c r="BW48" t="str">
        <f>"18:35:40.120"</f>
        <v>18:35:40.120</v>
      </c>
      <c r="BZ48">
        <v>0</v>
      </c>
      <c r="CA48">
        <v>3488</v>
      </c>
      <c r="CB48">
        <v>216</v>
      </c>
      <c r="CC48">
        <v>583.59379999999999</v>
      </c>
      <c r="CD48">
        <v>1</v>
      </c>
      <c r="CE48">
        <v>1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2</v>
      </c>
      <c r="CL48">
        <v>0</v>
      </c>
      <c r="CM48">
        <v>2</v>
      </c>
      <c r="CN48">
        <v>0</v>
      </c>
      <c r="CO48">
        <v>4</v>
      </c>
      <c r="CP48" t="s">
        <v>119</v>
      </c>
      <c r="CQ48">
        <v>145</v>
      </c>
      <c r="CR48">
        <v>1</v>
      </c>
      <c r="CW48">
        <v>8854368</v>
      </c>
      <c r="CY48">
        <v>0</v>
      </c>
      <c r="CZ48">
        <v>0</v>
      </c>
      <c r="DA48">
        <v>1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</row>
    <row r="49" spans="1:113" x14ac:dyDescent="0.3">
      <c r="A49" t="str">
        <f>"02/13/2022 18:35:40.373"</f>
        <v>02/13/2022 18:35:40.373</v>
      </c>
      <c r="C49" t="str">
        <f t="shared" si="1"/>
        <v>FFDFD7C0</v>
      </c>
      <c r="D49" t="s">
        <v>113</v>
      </c>
      <c r="E49">
        <v>4</v>
      </c>
      <c r="F49">
        <v>1004</v>
      </c>
      <c r="G49" t="s">
        <v>120</v>
      </c>
      <c r="J49" t="s">
        <v>115</v>
      </c>
      <c r="K49">
        <v>0</v>
      </c>
      <c r="L49">
        <v>3</v>
      </c>
      <c r="M49">
        <v>0</v>
      </c>
      <c r="N49">
        <v>2</v>
      </c>
      <c r="O49">
        <v>1</v>
      </c>
      <c r="P49">
        <v>0</v>
      </c>
      <c r="Q49">
        <v>0</v>
      </c>
      <c r="S49" t="str">
        <f>"18:35:40.117"</f>
        <v>18:35:40.117</v>
      </c>
      <c r="T49" t="str">
        <f>"18:35:39.817"</f>
        <v>18:35:39.817</v>
      </c>
      <c r="U49" t="str">
        <f t="shared" si="0"/>
        <v>AAB6EE</v>
      </c>
      <c r="V49">
        <v>0</v>
      </c>
      <c r="W49">
        <v>0</v>
      </c>
      <c r="X49">
        <v>4</v>
      </c>
      <c r="Z49">
        <v>0</v>
      </c>
      <c r="AA49">
        <v>8</v>
      </c>
      <c r="AB49">
        <v>3</v>
      </c>
      <c r="AC49">
        <v>0</v>
      </c>
      <c r="AD49">
        <v>10</v>
      </c>
      <c r="AE49">
        <v>0</v>
      </c>
      <c r="AF49">
        <v>0</v>
      </c>
      <c r="AG49">
        <v>2</v>
      </c>
      <c r="AH49">
        <v>1</v>
      </c>
      <c r="AI49" t="s">
        <v>151</v>
      </c>
      <c r="AJ49">
        <v>35.558580999999997</v>
      </c>
      <c r="AK49" t="s">
        <v>152</v>
      </c>
      <c r="AL49">
        <v>-76.005070000000003</v>
      </c>
      <c r="AM49">
        <v>25</v>
      </c>
      <c r="AN49">
        <v>1750</v>
      </c>
      <c r="AO49" t="s">
        <v>118</v>
      </c>
      <c r="AP49">
        <v>-88</v>
      </c>
      <c r="AQ49">
        <v>-126</v>
      </c>
      <c r="AR49">
        <v>1792</v>
      </c>
      <c r="AZ49">
        <v>1200</v>
      </c>
      <c r="BA49">
        <v>1</v>
      </c>
      <c r="BB49" t="str">
        <f t="shared" si="2"/>
        <v xml:space="preserve">N79NX   </v>
      </c>
      <c r="BC49">
        <v>1</v>
      </c>
      <c r="BE49">
        <v>0</v>
      </c>
      <c r="BF49">
        <v>0</v>
      </c>
      <c r="BG49">
        <v>0</v>
      </c>
      <c r="BH49">
        <v>1600</v>
      </c>
      <c r="BI49">
        <v>0</v>
      </c>
      <c r="BJ49">
        <v>0</v>
      </c>
      <c r="BK49">
        <v>0</v>
      </c>
      <c r="BL49">
        <v>0</v>
      </c>
      <c r="BO49">
        <v>0</v>
      </c>
      <c r="BP49">
        <v>0</v>
      </c>
      <c r="BW49" t="str">
        <f>"18:35:40.120"</f>
        <v>18:35:40.120</v>
      </c>
      <c r="BZ49">
        <v>0</v>
      </c>
      <c r="CA49">
        <v>3488</v>
      </c>
      <c r="CB49">
        <v>216</v>
      </c>
      <c r="CC49">
        <v>583.59379999999999</v>
      </c>
      <c r="CD49">
        <v>1</v>
      </c>
      <c r="CE49">
        <v>1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2</v>
      </c>
      <c r="CL49">
        <v>0</v>
      </c>
      <c r="CM49">
        <v>2</v>
      </c>
      <c r="CN49">
        <v>0</v>
      </c>
      <c r="CO49">
        <v>4</v>
      </c>
      <c r="CP49" t="s">
        <v>119</v>
      </c>
      <c r="CQ49">
        <v>145</v>
      </c>
      <c r="CR49">
        <v>1</v>
      </c>
      <c r="CW49">
        <v>8854368</v>
      </c>
      <c r="CY49">
        <v>0</v>
      </c>
      <c r="CZ49">
        <v>0</v>
      </c>
      <c r="DA49">
        <v>1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</row>
    <row r="50" spans="1:113" x14ac:dyDescent="0.3">
      <c r="A50" t="str">
        <f>"02/13/2022 18:35:41.451"</f>
        <v>02/13/2022 18:35:41.451</v>
      </c>
      <c r="C50" t="str">
        <f t="shared" si="1"/>
        <v>FFDFD7C0</v>
      </c>
      <c r="D50" t="s">
        <v>121</v>
      </c>
      <c r="E50">
        <v>2</v>
      </c>
      <c r="H50">
        <v>158</v>
      </c>
      <c r="I50" t="s">
        <v>120</v>
      </c>
      <c r="J50" t="s">
        <v>122</v>
      </c>
      <c r="K50">
        <v>0</v>
      </c>
      <c r="L50">
        <v>3</v>
      </c>
      <c r="M50">
        <v>0</v>
      </c>
      <c r="N50">
        <v>2</v>
      </c>
      <c r="O50">
        <v>1</v>
      </c>
      <c r="P50">
        <v>0</v>
      </c>
      <c r="Q50">
        <v>0</v>
      </c>
      <c r="S50" t="str">
        <f>"18:35:41.203"</f>
        <v>18:35:41.203</v>
      </c>
      <c r="T50" t="str">
        <f>"18:35:41.103"</f>
        <v>18:35:41.103</v>
      </c>
      <c r="U50" t="str">
        <f t="shared" si="0"/>
        <v>AAB6EE</v>
      </c>
      <c r="V50">
        <v>0</v>
      </c>
      <c r="W50">
        <v>0</v>
      </c>
      <c r="X50">
        <v>4</v>
      </c>
      <c r="Z50">
        <v>0</v>
      </c>
      <c r="AA50">
        <v>8</v>
      </c>
      <c r="AB50">
        <v>3</v>
      </c>
      <c r="AC50">
        <v>0</v>
      </c>
      <c r="AD50">
        <v>10</v>
      </c>
      <c r="AE50">
        <v>0</v>
      </c>
      <c r="AF50">
        <v>0</v>
      </c>
      <c r="AG50">
        <v>1</v>
      </c>
      <c r="AH50">
        <v>1</v>
      </c>
      <c r="AI50" t="s">
        <v>153</v>
      </c>
      <c r="AJ50">
        <v>35.557895000000002</v>
      </c>
      <c r="AK50" t="s">
        <v>154</v>
      </c>
      <c r="AL50">
        <v>-76.005584999999996</v>
      </c>
      <c r="AM50">
        <v>25</v>
      </c>
      <c r="AN50">
        <v>1775</v>
      </c>
      <c r="AO50" t="s">
        <v>118</v>
      </c>
      <c r="AP50">
        <v>-85</v>
      </c>
      <c r="AQ50">
        <v>-129</v>
      </c>
      <c r="AR50">
        <v>1792</v>
      </c>
      <c r="AZ50">
        <v>1200</v>
      </c>
      <c r="BA50">
        <v>1</v>
      </c>
      <c r="BB50" t="str">
        <f t="shared" si="2"/>
        <v xml:space="preserve">N79NX   </v>
      </c>
      <c r="BC50">
        <v>1</v>
      </c>
      <c r="BE50">
        <v>0</v>
      </c>
      <c r="BF50">
        <v>0</v>
      </c>
      <c r="BG50">
        <v>0</v>
      </c>
      <c r="BH50">
        <v>1650</v>
      </c>
      <c r="BI50">
        <v>0</v>
      </c>
      <c r="BJ50">
        <v>0</v>
      </c>
      <c r="BK50">
        <v>0</v>
      </c>
      <c r="BL50">
        <v>0</v>
      </c>
      <c r="BO50">
        <v>0</v>
      </c>
      <c r="BP50">
        <v>0</v>
      </c>
      <c r="BW50" t="str">
        <f>"18:35:41.210"</f>
        <v>18:35:41.210</v>
      </c>
      <c r="BZ50">
        <v>0</v>
      </c>
      <c r="CA50">
        <v>3488</v>
      </c>
      <c r="CB50">
        <v>216</v>
      </c>
      <c r="CC50">
        <v>583.59379999999999</v>
      </c>
      <c r="CD50">
        <v>1</v>
      </c>
      <c r="CE50">
        <v>1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2</v>
      </c>
      <c r="CL50">
        <v>0</v>
      </c>
      <c r="CM50">
        <v>2</v>
      </c>
      <c r="CN50">
        <v>0</v>
      </c>
      <c r="CO50">
        <v>4</v>
      </c>
      <c r="CP50" t="s">
        <v>119</v>
      </c>
      <c r="CQ50">
        <v>145</v>
      </c>
      <c r="CR50">
        <v>1</v>
      </c>
      <c r="CW50">
        <v>8854867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</row>
    <row r="51" spans="1:113" x14ac:dyDescent="0.3">
      <c r="A51" t="str">
        <f>"02/13/2022 18:35:41.451"</f>
        <v>02/13/2022 18:35:41.451</v>
      </c>
      <c r="C51" t="str">
        <f t="shared" si="1"/>
        <v>FFDFD7C0</v>
      </c>
      <c r="D51" t="s">
        <v>113</v>
      </c>
      <c r="E51">
        <v>3</v>
      </c>
      <c r="F51">
        <v>1003</v>
      </c>
      <c r="G51" t="s">
        <v>114</v>
      </c>
      <c r="J51" t="s">
        <v>115</v>
      </c>
      <c r="K51">
        <v>0</v>
      </c>
      <c r="L51">
        <v>3</v>
      </c>
      <c r="M51">
        <v>0</v>
      </c>
      <c r="N51">
        <v>2</v>
      </c>
      <c r="O51">
        <v>1</v>
      </c>
      <c r="P51">
        <v>0</v>
      </c>
      <c r="Q51">
        <v>0</v>
      </c>
      <c r="S51" t="str">
        <f>"18:35:41.203"</f>
        <v>18:35:41.203</v>
      </c>
      <c r="T51" t="str">
        <f>"18:35:41.103"</f>
        <v>18:35:41.103</v>
      </c>
      <c r="U51" t="str">
        <f t="shared" si="0"/>
        <v>AAB6EE</v>
      </c>
      <c r="V51">
        <v>0</v>
      </c>
      <c r="W51">
        <v>0</v>
      </c>
      <c r="X51">
        <v>4</v>
      </c>
      <c r="Z51">
        <v>0</v>
      </c>
      <c r="AA51">
        <v>8</v>
      </c>
      <c r="AB51">
        <v>3</v>
      </c>
      <c r="AC51">
        <v>0</v>
      </c>
      <c r="AD51">
        <v>10</v>
      </c>
      <c r="AE51">
        <v>0</v>
      </c>
      <c r="AF51">
        <v>0</v>
      </c>
      <c r="AG51">
        <v>1</v>
      </c>
      <c r="AH51">
        <v>1</v>
      </c>
      <c r="AI51" t="s">
        <v>153</v>
      </c>
      <c r="AJ51">
        <v>35.557895000000002</v>
      </c>
      <c r="AK51" t="s">
        <v>154</v>
      </c>
      <c r="AL51">
        <v>-76.005584999999996</v>
      </c>
      <c r="AM51">
        <v>25</v>
      </c>
      <c r="AN51">
        <v>1775</v>
      </c>
      <c r="AO51" t="s">
        <v>118</v>
      </c>
      <c r="AP51">
        <v>-85</v>
      </c>
      <c r="AQ51">
        <v>-129</v>
      </c>
      <c r="AR51">
        <v>1792</v>
      </c>
      <c r="AZ51">
        <v>1200</v>
      </c>
      <c r="BA51">
        <v>1</v>
      </c>
      <c r="BB51" t="str">
        <f t="shared" si="2"/>
        <v xml:space="preserve">N79NX   </v>
      </c>
      <c r="BC51">
        <v>1</v>
      </c>
      <c r="BE51">
        <v>0</v>
      </c>
      <c r="BF51">
        <v>0</v>
      </c>
      <c r="BG51">
        <v>0</v>
      </c>
      <c r="BH51">
        <v>1650</v>
      </c>
      <c r="BI51">
        <v>0</v>
      </c>
      <c r="BJ51">
        <v>0</v>
      </c>
      <c r="BK51">
        <v>0</v>
      </c>
      <c r="BL51">
        <v>0</v>
      </c>
      <c r="BO51">
        <v>0</v>
      </c>
      <c r="BP51">
        <v>0</v>
      </c>
      <c r="BW51" t="str">
        <f>"18:35:41.210"</f>
        <v>18:35:41.210</v>
      </c>
      <c r="BZ51">
        <v>0</v>
      </c>
      <c r="CA51">
        <v>3488</v>
      </c>
      <c r="CB51">
        <v>216</v>
      </c>
      <c r="CC51">
        <v>583.59379999999999</v>
      </c>
      <c r="CD51">
        <v>1</v>
      </c>
      <c r="CE51">
        <v>1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2</v>
      </c>
      <c r="CL51">
        <v>0</v>
      </c>
      <c r="CM51">
        <v>2</v>
      </c>
      <c r="CN51">
        <v>0</v>
      </c>
      <c r="CO51">
        <v>4</v>
      </c>
      <c r="CP51" t="s">
        <v>119</v>
      </c>
      <c r="CQ51">
        <v>145</v>
      </c>
      <c r="CR51">
        <v>1</v>
      </c>
      <c r="CW51">
        <v>8854867</v>
      </c>
      <c r="CY51">
        <v>0</v>
      </c>
      <c r="CZ51">
        <v>0</v>
      </c>
      <c r="DA51">
        <v>1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</row>
    <row r="52" spans="1:113" x14ac:dyDescent="0.3">
      <c r="A52" t="str">
        <f>"02/13/2022 18:35:41.451"</f>
        <v>02/13/2022 18:35:41.451</v>
      </c>
      <c r="C52" t="str">
        <f t="shared" si="1"/>
        <v>FFDFD7C0</v>
      </c>
      <c r="D52" t="s">
        <v>113</v>
      </c>
      <c r="E52">
        <v>4</v>
      </c>
      <c r="F52">
        <v>1004</v>
      </c>
      <c r="G52" t="s">
        <v>120</v>
      </c>
      <c r="J52" t="s">
        <v>115</v>
      </c>
      <c r="K52">
        <v>0</v>
      </c>
      <c r="L52">
        <v>3</v>
      </c>
      <c r="M52">
        <v>0</v>
      </c>
      <c r="N52">
        <v>2</v>
      </c>
      <c r="O52">
        <v>1</v>
      </c>
      <c r="P52">
        <v>0</v>
      </c>
      <c r="Q52">
        <v>0</v>
      </c>
      <c r="S52" t="str">
        <f>"18:35:41.203"</f>
        <v>18:35:41.203</v>
      </c>
      <c r="T52" t="str">
        <f>"18:35:41.103"</f>
        <v>18:35:41.103</v>
      </c>
      <c r="U52" t="str">
        <f t="shared" si="0"/>
        <v>AAB6EE</v>
      </c>
      <c r="V52">
        <v>0</v>
      </c>
      <c r="W52">
        <v>0</v>
      </c>
      <c r="X52">
        <v>4</v>
      </c>
      <c r="Z52">
        <v>0</v>
      </c>
      <c r="AA52">
        <v>8</v>
      </c>
      <c r="AB52">
        <v>3</v>
      </c>
      <c r="AC52">
        <v>0</v>
      </c>
      <c r="AD52">
        <v>10</v>
      </c>
      <c r="AE52">
        <v>0</v>
      </c>
      <c r="AF52">
        <v>0</v>
      </c>
      <c r="AG52">
        <v>1</v>
      </c>
      <c r="AH52">
        <v>1</v>
      </c>
      <c r="AI52" t="s">
        <v>153</v>
      </c>
      <c r="AJ52">
        <v>35.557895000000002</v>
      </c>
      <c r="AK52" t="s">
        <v>154</v>
      </c>
      <c r="AL52">
        <v>-76.005584999999996</v>
      </c>
      <c r="AM52">
        <v>25</v>
      </c>
      <c r="AN52">
        <v>1775</v>
      </c>
      <c r="AO52" t="s">
        <v>118</v>
      </c>
      <c r="AP52">
        <v>-85</v>
      </c>
      <c r="AQ52">
        <v>-129</v>
      </c>
      <c r="AR52">
        <v>1792</v>
      </c>
      <c r="AZ52">
        <v>1200</v>
      </c>
      <c r="BA52">
        <v>1</v>
      </c>
      <c r="BB52" t="str">
        <f t="shared" si="2"/>
        <v xml:space="preserve">N79NX   </v>
      </c>
      <c r="BC52">
        <v>1</v>
      </c>
      <c r="BE52">
        <v>0</v>
      </c>
      <c r="BF52">
        <v>0</v>
      </c>
      <c r="BG52">
        <v>0</v>
      </c>
      <c r="BH52">
        <v>1650</v>
      </c>
      <c r="BI52">
        <v>0</v>
      </c>
      <c r="BJ52">
        <v>0</v>
      </c>
      <c r="BK52">
        <v>0</v>
      </c>
      <c r="BL52">
        <v>0</v>
      </c>
      <c r="BO52">
        <v>0</v>
      </c>
      <c r="BP52">
        <v>0</v>
      </c>
      <c r="BW52" t="str">
        <f>"18:35:41.210"</f>
        <v>18:35:41.210</v>
      </c>
      <c r="BZ52">
        <v>0</v>
      </c>
      <c r="CA52">
        <v>3488</v>
      </c>
      <c r="CB52">
        <v>216</v>
      </c>
      <c r="CC52">
        <v>583.59379999999999</v>
      </c>
      <c r="CD52">
        <v>1</v>
      </c>
      <c r="CE52">
        <v>1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2</v>
      </c>
      <c r="CL52">
        <v>0</v>
      </c>
      <c r="CM52">
        <v>2</v>
      </c>
      <c r="CN52">
        <v>0</v>
      </c>
      <c r="CO52">
        <v>4</v>
      </c>
      <c r="CP52" t="s">
        <v>119</v>
      </c>
      <c r="CQ52">
        <v>145</v>
      </c>
      <c r="CR52">
        <v>1</v>
      </c>
      <c r="CW52">
        <v>8854867</v>
      </c>
      <c r="CY52">
        <v>0</v>
      </c>
      <c r="CZ52">
        <v>0</v>
      </c>
      <c r="DA52">
        <v>1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</row>
    <row r="53" spans="1:113" x14ac:dyDescent="0.3">
      <c r="A53" t="str">
        <f>"02/13/2022 18:35:42.435"</f>
        <v>02/13/2022 18:35:42.435</v>
      </c>
      <c r="C53" t="str">
        <f t="shared" si="1"/>
        <v>FFDFD7C0</v>
      </c>
      <c r="D53" t="s">
        <v>121</v>
      </c>
      <c r="E53">
        <v>2</v>
      </c>
      <c r="H53">
        <v>158</v>
      </c>
      <c r="I53" t="s">
        <v>120</v>
      </c>
      <c r="J53" t="s">
        <v>122</v>
      </c>
      <c r="K53">
        <v>0</v>
      </c>
      <c r="L53">
        <v>3</v>
      </c>
      <c r="M53">
        <v>0</v>
      </c>
      <c r="N53">
        <v>2</v>
      </c>
      <c r="O53">
        <v>1</v>
      </c>
      <c r="P53">
        <v>0</v>
      </c>
      <c r="Q53">
        <v>0</v>
      </c>
      <c r="S53" t="str">
        <f>"18:35:42.219"</f>
        <v>18:35:42.219</v>
      </c>
      <c r="T53" t="str">
        <f>"18:35:42.119"</f>
        <v>18:35:42.119</v>
      </c>
      <c r="U53" t="str">
        <f t="shared" si="0"/>
        <v>AAB6EE</v>
      </c>
      <c r="V53">
        <v>0</v>
      </c>
      <c r="W53">
        <v>0</v>
      </c>
      <c r="X53">
        <v>4</v>
      </c>
      <c r="Z53">
        <v>0</v>
      </c>
      <c r="AA53">
        <v>8</v>
      </c>
      <c r="AB53">
        <v>3</v>
      </c>
      <c r="AC53">
        <v>0</v>
      </c>
      <c r="AD53">
        <v>10</v>
      </c>
      <c r="AE53">
        <v>0</v>
      </c>
      <c r="AF53">
        <v>0</v>
      </c>
      <c r="AG53">
        <v>1</v>
      </c>
      <c r="AH53">
        <v>1</v>
      </c>
      <c r="AI53" t="s">
        <v>155</v>
      </c>
      <c r="AJ53">
        <v>35.557293999999999</v>
      </c>
      <c r="AK53" t="s">
        <v>156</v>
      </c>
      <c r="AL53">
        <v>-76.006100000000004</v>
      </c>
      <c r="AM53">
        <v>25</v>
      </c>
      <c r="AN53">
        <v>1825</v>
      </c>
      <c r="AO53" t="s">
        <v>118</v>
      </c>
      <c r="AP53">
        <v>-84</v>
      </c>
      <c r="AQ53">
        <v>-129</v>
      </c>
      <c r="AR53">
        <v>1792</v>
      </c>
      <c r="AZ53">
        <v>1200</v>
      </c>
      <c r="BA53">
        <v>1</v>
      </c>
      <c r="BB53" t="str">
        <f t="shared" si="2"/>
        <v xml:space="preserve">N79NX   </v>
      </c>
      <c r="BC53">
        <v>1</v>
      </c>
      <c r="BE53">
        <v>0</v>
      </c>
      <c r="BF53">
        <v>0</v>
      </c>
      <c r="BG53">
        <v>0</v>
      </c>
      <c r="BH53">
        <v>1675</v>
      </c>
      <c r="BI53">
        <v>0</v>
      </c>
      <c r="BJ53">
        <v>0</v>
      </c>
      <c r="BK53">
        <v>0</v>
      </c>
      <c r="BL53">
        <v>0</v>
      </c>
      <c r="BO53">
        <v>0</v>
      </c>
      <c r="BP53">
        <v>0</v>
      </c>
      <c r="BW53" t="str">
        <f>"18:35:42.220"</f>
        <v>18:35:42.220</v>
      </c>
      <c r="BZ53">
        <v>0</v>
      </c>
      <c r="CA53">
        <v>3488</v>
      </c>
      <c r="CB53">
        <v>216</v>
      </c>
      <c r="CC53">
        <v>583.59379999999999</v>
      </c>
      <c r="CD53">
        <v>1</v>
      </c>
      <c r="CE53">
        <v>1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2</v>
      </c>
      <c r="CL53">
        <v>0</v>
      </c>
      <c r="CM53">
        <v>2</v>
      </c>
      <c r="CN53">
        <v>0</v>
      </c>
      <c r="CO53">
        <v>5</v>
      </c>
      <c r="CP53" t="s">
        <v>119</v>
      </c>
      <c r="CQ53">
        <v>145</v>
      </c>
      <c r="CR53">
        <v>1</v>
      </c>
      <c r="CW53">
        <v>8855351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</row>
    <row r="54" spans="1:113" x14ac:dyDescent="0.3">
      <c r="A54" t="str">
        <f>"02/13/2022 18:35:42.435"</f>
        <v>02/13/2022 18:35:42.435</v>
      </c>
      <c r="C54" t="str">
        <f t="shared" si="1"/>
        <v>FFDFD7C0</v>
      </c>
      <c r="D54" t="s">
        <v>113</v>
      </c>
      <c r="E54">
        <v>3</v>
      </c>
      <c r="F54">
        <v>1003</v>
      </c>
      <c r="G54" t="s">
        <v>114</v>
      </c>
      <c r="J54" t="s">
        <v>115</v>
      </c>
      <c r="K54">
        <v>0</v>
      </c>
      <c r="L54">
        <v>3</v>
      </c>
      <c r="M54">
        <v>0</v>
      </c>
      <c r="N54">
        <v>2</v>
      </c>
      <c r="O54">
        <v>1</v>
      </c>
      <c r="P54">
        <v>0</v>
      </c>
      <c r="Q54">
        <v>0</v>
      </c>
      <c r="S54" t="str">
        <f>"18:35:42.219"</f>
        <v>18:35:42.219</v>
      </c>
      <c r="T54" t="str">
        <f>"18:35:42.119"</f>
        <v>18:35:42.119</v>
      </c>
      <c r="U54" t="str">
        <f t="shared" si="0"/>
        <v>AAB6EE</v>
      </c>
      <c r="V54">
        <v>0</v>
      </c>
      <c r="W54">
        <v>0</v>
      </c>
      <c r="X54">
        <v>4</v>
      </c>
      <c r="Z54">
        <v>0</v>
      </c>
      <c r="AA54">
        <v>8</v>
      </c>
      <c r="AB54">
        <v>3</v>
      </c>
      <c r="AC54">
        <v>0</v>
      </c>
      <c r="AD54">
        <v>10</v>
      </c>
      <c r="AE54">
        <v>0</v>
      </c>
      <c r="AF54">
        <v>0</v>
      </c>
      <c r="AG54">
        <v>1</v>
      </c>
      <c r="AH54">
        <v>1</v>
      </c>
      <c r="AI54" t="s">
        <v>155</v>
      </c>
      <c r="AJ54">
        <v>35.557293999999999</v>
      </c>
      <c r="AK54" t="s">
        <v>156</v>
      </c>
      <c r="AL54">
        <v>-76.006100000000004</v>
      </c>
      <c r="AM54">
        <v>25</v>
      </c>
      <c r="AN54">
        <v>1825</v>
      </c>
      <c r="AO54" t="s">
        <v>118</v>
      </c>
      <c r="AP54">
        <v>-84</v>
      </c>
      <c r="AQ54">
        <v>-129</v>
      </c>
      <c r="AR54">
        <v>1792</v>
      </c>
      <c r="AZ54">
        <v>1200</v>
      </c>
      <c r="BA54">
        <v>1</v>
      </c>
      <c r="BB54" t="str">
        <f t="shared" si="2"/>
        <v xml:space="preserve">N79NX   </v>
      </c>
      <c r="BC54">
        <v>1</v>
      </c>
      <c r="BE54">
        <v>0</v>
      </c>
      <c r="BF54">
        <v>0</v>
      </c>
      <c r="BG54">
        <v>0</v>
      </c>
      <c r="BH54">
        <v>1675</v>
      </c>
      <c r="BI54">
        <v>0</v>
      </c>
      <c r="BJ54">
        <v>0</v>
      </c>
      <c r="BK54">
        <v>0</v>
      </c>
      <c r="BL54">
        <v>0</v>
      </c>
      <c r="BO54">
        <v>0</v>
      </c>
      <c r="BP54">
        <v>0</v>
      </c>
      <c r="BW54" t="str">
        <f>"18:35:42.220"</f>
        <v>18:35:42.220</v>
      </c>
      <c r="BZ54">
        <v>0</v>
      </c>
      <c r="CA54">
        <v>3488</v>
      </c>
      <c r="CB54">
        <v>216</v>
      </c>
      <c r="CC54">
        <v>583.59379999999999</v>
      </c>
      <c r="CD54">
        <v>1</v>
      </c>
      <c r="CE54">
        <v>1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2</v>
      </c>
      <c r="CL54">
        <v>0</v>
      </c>
      <c r="CM54">
        <v>2</v>
      </c>
      <c r="CN54">
        <v>0</v>
      </c>
      <c r="CO54">
        <v>5</v>
      </c>
      <c r="CP54" t="s">
        <v>119</v>
      </c>
      <c r="CQ54">
        <v>145</v>
      </c>
      <c r="CR54">
        <v>1</v>
      </c>
      <c r="CW54">
        <v>8855351</v>
      </c>
      <c r="CY54">
        <v>0</v>
      </c>
      <c r="CZ54">
        <v>0</v>
      </c>
      <c r="DA54">
        <v>1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</row>
    <row r="55" spans="1:113" x14ac:dyDescent="0.3">
      <c r="A55" t="str">
        <f>"02/13/2022 18:35:42.435"</f>
        <v>02/13/2022 18:35:42.435</v>
      </c>
      <c r="C55" t="str">
        <f t="shared" si="1"/>
        <v>FFDFD7C0</v>
      </c>
      <c r="D55" t="s">
        <v>113</v>
      </c>
      <c r="E55">
        <v>4</v>
      </c>
      <c r="F55">
        <v>1004</v>
      </c>
      <c r="G55" t="s">
        <v>120</v>
      </c>
      <c r="J55" t="s">
        <v>115</v>
      </c>
      <c r="K55">
        <v>0</v>
      </c>
      <c r="L55">
        <v>3</v>
      </c>
      <c r="M55">
        <v>0</v>
      </c>
      <c r="N55">
        <v>2</v>
      </c>
      <c r="O55">
        <v>1</v>
      </c>
      <c r="P55">
        <v>0</v>
      </c>
      <c r="Q55">
        <v>0</v>
      </c>
      <c r="S55" t="str">
        <f>"18:35:42.219"</f>
        <v>18:35:42.219</v>
      </c>
      <c r="T55" t="str">
        <f>"18:35:42.119"</f>
        <v>18:35:42.119</v>
      </c>
      <c r="U55" t="str">
        <f t="shared" si="0"/>
        <v>AAB6EE</v>
      </c>
      <c r="V55">
        <v>0</v>
      </c>
      <c r="W55">
        <v>0</v>
      </c>
      <c r="X55">
        <v>4</v>
      </c>
      <c r="Z55">
        <v>0</v>
      </c>
      <c r="AA55">
        <v>8</v>
      </c>
      <c r="AB55">
        <v>3</v>
      </c>
      <c r="AC55">
        <v>0</v>
      </c>
      <c r="AD55">
        <v>10</v>
      </c>
      <c r="AE55">
        <v>0</v>
      </c>
      <c r="AF55">
        <v>0</v>
      </c>
      <c r="AG55">
        <v>1</v>
      </c>
      <c r="AH55">
        <v>1</v>
      </c>
      <c r="AI55" t="s">
        <v>155</v>
      </c>
      <c r="AJ55">
        <v>35.557293999999999</v>
      </c>
      <c r="AK55" t="s">
        <v>156</v>
      </c>
      <c r="AL55">
        <v>-76.006100000000004</v>
      </c>
      <c r="AM55">
        <v>25</v>
      </c>
      <c r="AN55">
        <v>1825</v>
      </c>
      <c r="AO55" t="s">
        <v>118</v>
      </c>
      <c r="AP55">
        <v>-84</v>
      </c>
      <c r="AQ55">
        <v>-129</v>
      </c>
      <c r="AR55">
        <v>1792</v>
      </c>
      <c r="AZ55">
        <v>1200</v>
      </c>
      <c r="BA55">
        <v>1</v>
      </c>
      <c r="BB55" t="str">
        <f t="shared" si="2"/>
        <v xml:space="preserve">N79NX   </v>
      </c>
      <c r="BC55">
        <v>1</v>
      </c>
      <c r="BE55">
        <v>0</v>
      </c>
      <c r="BF55">
        <v>0</v>
      </c>
      <c r="BG55">
        <v>0</v>
      </c>
      <c r="BH55">
        <v>1675</v>
      </c>
      <c r="BI55">
        <v>0</v>
      </c>
      <c r="BJ55">
        <v>0</v>
      </c>
      <c r="BK55">
        <v>0</v>
      </c>
      <c r="BL55">
        <v>0</v>
      </c>
      <c r="BO55">
        <v>0</v>
      </c>
      <c r="BP55">
        <v>0</v>
      </c>
      <c r="BW55" t="str">
        <f>"18:35:42.220"</f>
        <v>18:35:42.220</v>
      </c>
      <c r="BZ55">
        <v>0</v>
      </c>
      <c r="CA55">
        <v>3488</v>
      </c>
      <c r="CB55">
        <v>216</v>
      </c>
      <c r="CC55">
        <v>583.59379999999999</v>
      </c>
      <c r="CD55">
        <v>1</v>
      </c>
      <c r="CE55">
        <v>1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2</v>
      </c>
      <c r="CL55">
        <v>0</v>
      </c>
      <c r="CM55">
        <v>2</v>
      </c>
      <c r="CN55">
        <v>0</v>
      </c>
      <c r="CO55">
        <v>5</v>
      </c>
      <c r="CP55" t="s">
        <v>119</v>
      </c>
      <c r="CQ55">
        <v>145</v>
      </c>
      <c r="CR55">
        <v>1</v>
      </c>
      <c r="CW55">
        <v>8855351</v>
      </c>
      <c r="CY55">
        <v>0</v>
      </c>
      <c r="CZ55">
        <v>0</v>
      </c>
      <c r="DA55">
        <v>1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</row>
    <row r="56" spans="1:113" x14ac:dyDescent="0.3">
      <c r="A56" t="str">
        <f>"02/13/2022 18:35:43.592"</f>
        <v>02/13/2022 18:35:43.592</v>
      </c>
      <c r="C56" t="str">
        <f t="shared" si="1"/>
        <v>FFDFD7C0</v>
      </c>
      <c r="D56" t="s">
        <v>121</v>
      </c>
      <c r="E56">
        <v>2</v>
      </c>
      <c r="H56">
        <v>158</v>
      </c>
      <c r="I56" t="s">
        <v>120</v>
      </c>
      <c r="J56" t="s">
        <v>122</v>
      </c>
      <c r="K56">
        <v>0</v>
      </c>
      <c r="L56">
        <v>3</v>
      </c>
      <c r="M56">
        <v>0</v>
      </c>
      <c r="N56">
        <v>2</v>
      </c>
      <c r="O56">
        <v>1</v>
      </c>
      <c r="P56">
        <v>0</v>
      </c>
      <c r="Q56">
        <v>0</v>
      </c>
      <c r="S56" t="str">
        <f>"18:35:43.375"</f>
        <v>18:35:43.375</v>
      </c>
      <c r="T56" t="str">
        <f>"18:35:43.075"</f>
        <v>18:35:43.075</v>
      </c>
      <c r="U56" t="str">
        <f t="shared" si="0"/>
        <v>AAB6EE</v>
      </c>
      <c r="V56">
        <v>0</v>
      </c>
      <c r="W56">
        <v>0</v>
      </c>
      <c r="X56">
        <v>4</v>
      </c>
      <c r="Z56">
        <v>0</v>
      </c>
      <c r="AA56">
        <v>8</v>
      </c>
      <c r="AB56">
        <v>3</v>
      </c>
      <c r="AC56">
        <v>0</v>
      </c>
      <c r="AD56">
        <v>10</v>
      </c>
      <c r="AE56">
        <v>0</v>
      </c>
      <c r="AF56">
        <v>0</v>
      </c>
      <c r="AG56">
        <v>1</v>
      </c>
      <c r="AH56">
        <v>1</v>
      </c>
      <c r="AI56" t="s">
        <v>157</v>
      </c>
      <c r="AJ56">
        <v>35.556649999999998</v>
      </c>
      <c r="AK56" t="s">
        <v>158</v>
      </c>
      <c r="AL56">
        <v>-76.006614999999996</v>
      </c>
      <c r="AM56">
        <v>25</v>
      </c>
      <c r="AN56">
        <v>1850</v>
      </c>
      <c r="AO56" t="s">
        <v>118</v>
      </c>
      <c r="AP56">
        <v>-83</v>
      </c>
      <c r="AQ56">
        <v>-130</v>
      </c>
      <c r="AR56">
        <v>1792</v>
      </c>
      <c r="AZ56">
        <v>1200</v>
      </c>
      <c r="BA56">
        <v>1</v>
      </c>
      <c r="BB56" t="str">
        <f t="shared" si="2"/>
        <v xml:space="preserve">N79NX   </v>
      </c>
      <c r="BC56">
        <v>1</v>
      </c>
      <c r="BE56">
        <v>0</v>
      </c>
      <c r="BF56">
        <v>0</v>
      </c>
      <c r="BG56">
        <v>0</v>
      </c>
      <c r="BH56">
        <v>1700</v>
      </c>
      <c r="BI56">
        <v>0</v>
      </c>
      <c r="BJ56">
        <v>0</v>
      </c>
      <c r="BK56">
        <v>0</v>
      </c>
      <c r="BL56">
        <v>0</v>
      </c>
      <c r="BO56">
        <v>0</v>
      </c>
      <c r="BP56">
        <v>0</v>
      </c>
      <c r="BW56" t="str">
        <f>"18:35:43.380"</f>
        <v>18:35:43.380</v>
      </c>
      <c r="BZ56">
        <v>0</v>
      </c>
      <c r="CA56">
        <v>3488</v>
      </c>
      <c r="CB56">
        <v>216</v>
      </c>
      <c r="CC56">
        <v>583.59379999999999</v>
      </c>
      <c r="CD56">
        <v>1</v>
      </c>
      <c r="CE56">
        <v>1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2</v>
      </c>
      <c r="CL56">
        <v>0</v>
      </c>
      <c r="CM56">
        <v>2</v>
      </c>
      <c r="CN56">
        <v>0</v>
      </c>
      <c r="CO56">
        <v>5</v>
      </c>
      <c r="CP56" t="s">
        <v>119</v>
      </c>
      <c r="CQ56">
        <v>145</v>
      </c>
      <c r="CR56">
        <v>1</v>
      </c>
      <c r="CW56">
        <v>8855976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</row>
    <row r="57" spans="1:113" x14ac:dyDescent="0.3">
      <c r="A57" t="str">
        <f>"02/13/2022 18:35:43.592"</f>
        <v>02/13/2022 18:35:43.592</v>
      </c>
      <c r="C57" t="str">
        <f t="shared" si="1"/>
        <v>FFDFD7C0</v>
      </c>
      <c r="D57" t="s">
        <v>113</v>
      </c>
      <c r="E57">
        <v>3</v>
      </c>
      <c r="F57">
        <v>1003</v>
      </c>
      <c r="G57" t="s">
        <v>114</v>
      </c>
      <c r="J57" t="s">
        <v>115</v>
      </c>
      <c r="K57">
        <v>0</v>
      </c>
      <c r="L57">
        <v>3</v>
      </c>
      <c r="M57">
        <v>0</v>
      </c>
      <c r="N57">
        <v>2</v>
      </c>
      <c r="O57">
        <v>1</v>
      </c>
      <c r="P57">
        <v>0</v>
      </c>
      <c r="Q57">
        <v>0</v>
      </c>
      <c r="S57" t="str">
        <f>"18:35:43.375"</f>
        <v>18:35:43.375</v>
      </c>
      <c r="T57" t="str">
        <f>"18:35:43.075"</f>
        <v>18:35:43.075</v>
      </c>
      <c r="U57" t="str">
        <f t="shared" si="0"/>
        <v>AAB6EE</v>
      </c>
      <c r="V57">
        <v>0</v>
      </c>
      <c r="W57">
        <v>0</v>
      </c>
      <c r="X57">
        <v>4</v>
      </c>
      <c r="Z57">
        <v>0</v>
      </c>
      <c r="AA57">
        <v>8</v>
      </c>
      <c r="AB57">
        <v>3</v>
      </c>
      <c r="AC57">
        <v>0</v>
      </c>
      <c r="AD57">
        <v>10</v>
      </c>
      <c r="AE57">
        <v>0</v>
      </c>
      <c r="AF57">
        <v>0</v>
      </c>
      <c r="AG57">
        <v>1</v>
      </c>
      <c r="AH57">
        <v>1</v>
      </c>
      <c r="AI57" t="s">
        <v>157</v>
      </c>
      <c r="AJ57">
        <v>35.556649999999998</v>
      </c>
      <c r="AK57" t="s">
        <v>158</v>
      </c>
      <c r="AL57">
        <v>-76.006614999999996</v>
      </c>
      <c r="AM57">
        <v>25</v>
      </c>
      <c r="AN57">
        <v>1850</v>
      </c>
      <c r="AO57" t="s">
        <v>118</v>
      </c>
      <c r="AP57">
        <v>-83</v>
      </c>
      <c r="AQ57">
        <v>-130</v>
      </c>
      <c r="AR57">
        <v>1792</v>
      </c>
      <c r="AZ57">
        <v>1200</v>
      </c>
      <c r="BA57">
        <v>1</v>
      </c>
      <c r="BB57" t="str">
        <f t="shared" si="2"/>
        <v xml:space="preserve">N79NX   </v>
      </c>
      <c r="BC57">
        <v>1</v>
      </c>
      <c r="BE57">
        <v>0</v>
      </c>
      <c r="BF57">
        <v>0</v>
      </c>
      <c r="BG57">
        <v>0</v>
      </c>
      <c r="BH57">
        <v>1700</v>
      </c>
      <c r="BI57">
        <v>0</v>
      </c>
      <c r="BJ57">
        <v>0</v>
      </c>
      <c r="BK57">
        <v>0</v>
      </c>
      <c r="BL57">
        <v>0</v>
      </c>
      <c r="BO57">
        <v>0</v>
      </c>
      <c r="BP57">
        <v>0</v>
      </c>
      <c r="BW57" t="str">
        <f>"18:35:43.380"</f>
        <v>18:35:43.380</v>
      </c>
      <c r="BZ57">
        <v>0</v>
      </c>
      <c r="CA57">
        <v>3488</v>
      </c>
      <c r="CB57">
        <v>216</v>
      </c>
      <c r="CC57">
        <v>583.59379999999999</v>
      </c>
      <c r="CD57">
        <v>1</v>
      </c>
      <c r="CE57">
        <v>1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2</v>
      </c>
      <c r="CL57">
        <v>0</v>
      </c>
      <c r="CM57">
        <v>2</v>
      </c>
      <c r="CN57">
        <v>0</v>
      </c>
      <c r="CO57">
        <v>5</v>
      </c>
      <c r="CP57" t="s">
        <v>119</v>
      </c>
      <c r="CQ57">
        <v>145</v>
      </c>
      <c r="CR57">
        <v>1</v>
      </c>
      <c r="CW57">
        <v>8855976</v>
      </c>
      <c r="CY57">
        <v>0</v>
      </c>
      <c r="CZ57">
        <v>0</v>
      </c>
      <c r="DA57">
        <v>1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</row>
    <row r="58" spans="1:113" x14ac:dyDescent="0.3">
      <c r="A58" t="str">
        <f>"02/13/2022 18:35:43.592"</f>
        <v>02/13/2022 18:35:43.592</v>
      </c>
      <c r="C58" t="str">
        <f t="shared" si="1"/>
        <v>FFDFD7C0</v>
      </c>
      <c r="D58" t="s">
        <v>113</v>
      </c>
      <c r="E58">
        <v>4</v>
      </c>
      <c r="F58">
        <v>1004</v>
      </c>
      <c r="G58" t="s">
        <v>120</v>
      </c>
      <c r="J58" t="s">
        <v>115</v>
      </c>
      <c r="K58">
        <v>0</v>
      </c>
      <c r="L58">
        <v>3</v>
      </c>
      <c r="M58">
        <v>0</v>
      </c>
      <c r="N58">
        <v>2</v>
      </c>
      <c r="O58">
        <v>1</v>
      </c>
      <c r="P58">
        <v>0</v>
      </c>
      <c r="Q58">
        <v>0</v>
      </c>
      <c r="S58" t="str">
        <f>"18:35:43.375"</f>
        <v>18:35:43.375</v>
      </c>
      <c r="T58" t="str">
        <f>"18:35:43.075"</f>
        <v>18:35:43.075</v>
      </c>
      <c r="U58" t="str">
        <f t="shared" si="0"/>
        <v>AAB6EE</v>
      </c>
      <c r="V58">
        <v>0</v>
      </c>
      <c r="W58">
        <v>0</v>
      </c>
      <c r="X58">
        <v>4</v>
      </c>
      <c r="Z58">
        <v>0</v>
      </c>
      <c r="AA58">
        <v>8</v>
      </c>
      <c r="AB58">
        <v>3</v>
      </c>
      <c r="AC58">
        <v>0</v>
      </c>
      <c r="AD58">
        <v>10</v>
      </c>
      <c r="AE58">
        <v>0</v>
      </c>
      <c r="AF58">
        <v>0</v>
      </c>
      <c r="AG58">
        <v>1</v>
      </c>
      <c r="AH58">
        <v>1</v>
      </c>
      <c r="AI58" t="s">
        <v>157</v>
      </c>
      <c r="AJ58">
        <v>35.556649999999998</v>
      </c>
      <c r="AK58" t="s">
        <v>158</v>
      </c>
      <c r="AL58">
        <v>-76.006614999999996</v>
      </c>
      <c r="AM58">
        <v>25</v>
      </c>
      <c r="AN58">
        <v>1850</v>
      </c>
      <c r="AO58" t="s">
        <v>118</v>
      </c>
      <c r="AP58">
        <v>-83</v>
      </c>
      <c r="AQ58">
        <v>-130</v>
      </c>
      <c r="AR58">
        <v>1792</v>
      </c>
      <c r="AZ58">
        <v>1200</v>
      </c>
      <c r="BA58">
        <v>1</v>
      </c>
      <c r="BB58" t="str">
        <f t="shared" si="2"/>
        <v xml:space="preserve">N79NX   </v>
      </c>
      <c r="BC58">
        <v>1</v>
      </c>
      <c r="BE58">
        <v>0</v>
      </c>
      <c r="BF58">
        <v>0</v>
      </c>
      <c r="BG58">
        <v>0</v>
      </c>
      <c r="BH58">
        <v>1700</v>
      </c>
      <c r="BI58">
        <v>0</v>
      </c>
      <c r="BJ58">
        <v>0</v>
      </c>
      <c r="BK58">
        <v>0</v>
      </c>
      <c r="BL58">
        <v>0</v>
      </c>
      <c r="BO58">
        <v>0</v>
      </c>
      <c r="BP58">
        <v>0</v>
      </c>
      <c r="BW58" t="str">
        <f>"18:35:43.380"</f>
        <v>18:35:43.380</v>
      </c>
      <c r="BZ58">
        <v>0</v>
      </c>
      <c r="CA58">
        <v>3488</v>
      </c>
      <c r="CB58">
        <v>216</v>
      </c>
      <c r="CC58">
        <v>583.59379999999999</v>
      </c>
      <c r="CD58">
        <v>1</v>
      </c>
      <c r="CE58">
        <v>1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2</v>
      </c>
      <c r="CL58">
        <v>0</v>
      </c>
      <c r="CM58">
        <v>2</v>
      </c>
      <c r="CN58">
        <v>0</v>
      </c>
      <c r="CO58">
        <v>5</v>
      </c>
      <c r="CP58" t="s">
        <v>119</v>
      </c>
      <c r="CQ58">
        <v>145</v>
      </c>
      <c r="CR58">
        <v>1</v>
      </c>
      <c r="CW58">
        <v>8855976</v>
      </c>
      <c r="CY58">
        <v>0</v>
      </c>
      <c r="CZ58">
        <v>0</v>
      </c>
      <c r="DA58">
        <v>1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</row>
    <row r="59" spans="1:113" x14ac:dyDescent="0.3">
      <c r="A59" t="str">
        <f>"02/13/2022 18:35:44.672"</f>
        <v>02/13/2022 18:35:44.672</v>
      </c>
      <c r="C59" t="str">
        <f t="shared" si="1"/>
        <v>FFDFD7C0</v>
      </c>
      <c r="D59" t="s">
        <v>113</v>
      </c>
      <c r="E59">
        <v>3</v>
      </c>
      <c r="F59">
        <v>1003</v>
      </c>
      <c r="G59" t="s">
        <v>114</v>
      </c>
      <c r="J59" t="s">
        <v>115</v>
      </c>
      <c r="K59">
        <v>0</v>
      </c>
      <c r="L59">
        <v>3</v>
      </c>
      <c r="M59">
        <v>0</v>
      </c>
      <c r="N59">
        <v>2</v>
      </c>
      <c r="O59">
        <v>1</v>
      </c>
      <c r="P59">
        <v>0</v>
      </c>
      <c r="Q59">
        <v>0</v>
      </c>
      <c r="S59" t="str">
        <f>"18:35:44.453"</f>
        <v>18:35:44.453</v>
      </c>
      <c r="T59" t="str">
        <f>"18:35:44.053"</f>
        <v>18:35:44.053</v>
      </c>
      <c r="U59" t="str">
        <f t="shared" si="0"/>
        <v>AAB6EE</v>
      </c>
      <c r="V59">
        <v>0</v>
      </c>
      <c r="W59">
        <v>0</v>
      </c>
      <c r="X59">
        <v>4</v>
      </c>
      <c r="Z59">
        <v>0</v>
      </c>
      <c r="AA59">
        <v>8</v>
      </c>
      <c r="AB59">
        <v>3</v>
      </c>
      <c r="AC59">
        <v>0</v>
      </c>
      <c r="AD59">
        <v>10</v>
      </c>
      <c r="AE59">
        <v>0</v>
      </c>
      <c r="AF59">
        <v>0</v>
      </c>
      <c r="AG59">
        <v>1</v>
      </c>
      <c r="AH59">
        <v>1</v>
      </c>
      <c r="AI59" t="s">
        <v>159</v>
      </c>
      <c r="AJ59">
        <v>35.555985</v>
      </c>
      <c r="AK59" t="s">
        <v>160</v>
      </c>
      <c r="AL59">
        <v>-76.007109</v>
      </c>
      <c r="AM59">
        <v>25</v>
      </c>
      <c r="AN59">
        <v>1900</v>
      </c>
      <c r="AO59" t="s">
        <v>118</v>
      </c>
      <c r="AP59">
        <v>-82</v>
      </c>
      <c r="AQ59">
        <v>-130</v>
      </c>
      <c r="AR59">
        <v>1856</v>
      </c>
      <c r="AZ59">
        <v>1200</v>
      </c>
      <c r="BA59">
        <v>1</v>
      </c>
      <c r="BB59" t="str">
        <f t="shared" si="2"/>
        <v xml:space="preserve">N79NX   </v>
      </c>
      <c r="BC59">
        <v>1</v>
      </c>
      <c r="BE59">
        <v>0</v>
      </c>
      <c r="BF59">
        <v>0</v>
      </c>
      <c r="BG59">
        <v>0</v>
      </c>
      <c r="BH59">
        <v>1750</v>
      </c>
      <c r="BI59">
        <v>0</v>
      </c>
      <c r="BJ59">
        <v>0</v>
      </c>
      <c r="BK59">
        <v>0</v>
      </c>
      <c r="BL59">
        <v>0</v>
      </c>
      <c r="BO59">
        <v>0</v>
      </c>
      <c r="BP59">
        <v>0</v>
      </c>
      <c r="BW59" t="str">
        <f>"18:35:44.460"</f>
        <v>18:35:44.460</v>
      </c>
      <c r="BZ59">
        <v>0</v>
      </c>
      <c r="CA59">
        <v>3488</v>
      </c>
      <c r="CB59">
        <v>216</v>
      </c>
      <c r="CC59">
        <v>583.59379999999999</v>
      </c>
      <c r="CD59">
        <v>1</v>
      </c>
      <c r="CE59">
        <v>1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2</v>
      </c>
      <c r="CL59">
        <v>0</v>
      </c>
      <c r="CM59">
        <v>2</v>
      </c>
      <c r="CN59">
        <v>0</v>
      </c>
      <c r="CO59">
        <v>5</v>
      </c>
      <c r="CP59" t="s">
        <v>119</v>
      </c>
      <c r="CQ59">
        <v>145</v>
      </c>
      <c r="CR59">
        <v>1</v>
      </c>
      <c r="CW59">
        <v>8856589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</row>
    <row r="60" spans="1:113" x14ac:dyDescent="0.3">
      <c r="A60" t="str">
        <f>"02/13/2022 18:35:44.672"</f>
        <v>02/13/2022 18:35:44.672</v>
      </c>
      <c r="C60" t="str">
        <f t="shared" si="1"/>
        <v>FFDFD7C0</v>
      </c>
      <c r="D60" t="s">
        <v>121</v>
      </c>
      <c r="E60">
        <v>2</v>
      </c>
      <c r="H60">
        <v>158</v>
      </c>
      <c r="I60" t="s">
        <v>120</v>
      </c>
      <c r="J60" t="s">
        <v>122</v>
      </c>
      <c r="K60">
        <v>0</v>
      </c>
      <c r="L60">
        <v>3</v>
      </c>
      <c r="M60">
        <v>0</v>
      </c>
      <c r="N60">
        <v>2</v>
      </c>
      <c r="O60">
        <v>1</v>
      </c>
      <c r="P60">
        <v>0</v>
      </c>
      <c r="Q60">
        <v>0</v>
      </c>
      <c r="S60" t="str">
        <f>"18:35:44.453"</f>
        <v>18:35:44.453</v>
      </c>
      <c r="T60" t="str">
        <f>"18:35:44.053"</f>
        <v>18:35:44.053</v>
      </c>
      <c r="U60" t="str">
        <f t="shared" si="0"/>
        <v>AAB6EE</v>
      </c>
      <c r="V60">
        <v>0</v>
      </c>
      <c r="W60">
        <v>0</v>
      </c>
      <c r="X60">
        <v>4</v>
      </c>
      <c r="Z60">
        <v>0</v>
      </c>
      <c r="AA60">
        <v>8</v>
      </c>
      <c r="AB60">
        <v>3</v>
      </c>
      <c r="AC60">
        <v>0</v>
      </c>
      <c r="AD60">
        <v>10</v>
      </c>
      <c r="AE60">
        <v>0</v>
      </c>
      <c r="AF60">
        <v>0</v>
      </c>
      <c r="AG60">
        <v>1</v>
      </c>
      <c r="AH60">
        <v>1</v>
      </c>
      <c r="AI60" t="s">
        <v>159</v>
      </c>
      <c r="AJ60">
        <v>35.555985</v>
      </c>
      <c r="AK60" t="s">
        <v>160</v>
      </c>
      <c r="AL60">
        <v>-76.007109</v>
      </c>
      <c r="AM60">
        <v>25</v>
      </c>
      <c r="AN60">
        <v>1900</v>
      </c>
      <c r="AO60" t="s">
        <v>118</v>
      </c>
      <c r="AP60">
        <v>-82</v>
      </c>
      <c r="AQ60">
        <v>-130</v>
      </c>
      <c r="AR60">
        <v>1856</v>
      </c>
      <c r="AZ60">
        <v>1200</v>
      </c>
      <c r="BA60">
        <v>1</v>
      </c>
      <c r="BB60" t="str">
        <f t="shared" si="2"/>
        <v xml:space="preserve">N79NX   </v>
      </c>
      <c r="BC60">
        <v>1</v>
      </c>
      <c r="BE60">
        <v>0</v>
      </c>
      <c r="BF60">
        <v>0</v>
      </c>
      <c r="BG60">
        <v>0</v>
      </c>
      <c r="BH60">
        <v>1750</v>
      </c>
      <c r="BI60">
        <v>0</v>
      </c>
      <c r="BJ60">
        <v>0</v>
      </c>
      <c r="BK60">
        <v>0</v>
      </c>
      <c r="BL60">
        <v>0</v>
      </c>
      <c r="BO60">
        <v>0</v>
      </c>
      <c r="BP60">
        <v>0</v>
      </c>
      <c r="BW60" t="str">
        <f>"18:35:44.460"</f>
        <v>18:35:44.460</v>
      </c>
      <c r="BZ60">
        <v>0</v>
      </c>
      <c r="CA60">
        <v>3488</v>
      </c>
      <c r="CB60">
        <v>216</v>
      </c>
      <c r="CC60">
        <v>583.59379999999999</v>
      </c>
      <c r="CD60">
        <v>1</v>
      </c>
      <c r="CE60">
        <v>1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2</v>
      </c>
      <c r="CL60">
        <v>0</v>
      </c>
      <c r="CM60">
        <v>2</v>
      </c>
      <c r="CN60">
        <v>0</v>
      </c>
      <c r="CO60">
        <v>5</v>
      </c>
      <c r="CP60" t="s">
        <v>119</v>
      </c>
      <c r="CQ60">
        <v>145</v>
      </c>
      <c r="CR60">
        <v>1</v>
      </c>
      <c r="CW60">
        <v>8856589</v>
      </c>
      <c r="CY60">
        <v>0</v>
      </c>
      <c r="CZ60">
        <v>0</v>
      </c>
      <c r="DA60">
        <v>1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</row>
    <row r="61" spans="1:113" x14ac:dyDescent="0.3">
      <c r="A61" t="str">
        <f>"02/13/2022 18:35:44.672"</f>
        <v>02/13/2022 18:35:44.672</v>
      </c>
      <c r="C61" t="str">
        <f t="shared" si="1"/>
        <v>FFDFD7C0</v>
      </c>
      <c r="D61" t="s">
        <v>113</v>
      </c>
      <c r="E61">
        <v>4</v>
      </c>
      <c r="F61">
        <v>1004</v>
      </c>
      <c r="G61" t="s">
        <v>120</v>
      </c>
      <c r="J61" t="s">
        <v>115</v>
      </c>
      <c r="K61">
        <v>0</v>
      </c>
      <c r="L61">
        <v>3</v>
      </c>
      <c r="M61">
        <v>0</v>
      </c>
      <c r="N61">
        <v>2</v>
      </c>
      <c r="O61">
        <v>1</v>
      </c>
      <c r="P61">
        <v>0</v>
      </c>
      <c r="Q61">
        <v>0</v>
      </c>
      <c r="S61" t="str">
        <f>"18:35:44.453"</f>
        <v>18:35:44.453</v>
      </c>
      <c r="T61" t="str">
        <f>"18:35:44.053"</f>
        <v>18:35:44.053</v>
      </c>
      <c r="U61" t="str">
        <f t="shared" si="0"/>
        <v>AAB6EE</v>
      </c>
      <c r="V61">
        <v>0</v>
      </c>
      <c r="W61">
        <v>0</v>
      </c>
      <c r="X61">
        <v>4</v>
      </c>
      <c r="Z61">
        <v>0</v>
      </c>
      <c r="AA61">
        <v>8</v>
      </c>
      <c r="AB61">
        <v>3</v>
      </c>
      <c r="AC61">
        <v>0</v>
      </c>
      <c r="AD61">
        <v>10</v>
      </c>
      <c r="AE61">
        <v>0</v>
      </c>
      <c r="AF61">
        <v>0</v>
      </c>
      <c r="AG61">
        <v>1</v>
      </c>
      <c r="AH61">
        <v>1</v>
      </c>
      <c r="AI61" t="s">
        <v>159</v>
      </c>
      <c r="AJ61">
        <v>35.555985</v>
      </c>
      <c r="AK61" t="s">
        <v>160</v>
      </c>
      <c r="AL61">
        <v>-76.007109</v>
      </c>
      <c r="AM61">
        <v>25</v>
      </c>
      <c r="AN61">
        <v>1900</v>
      </c>
      <c r="AO61" t="s">
        <v>118</v>
      </c>
      <c r="AP61">
        <v>-82</v>
      </c>
      <c r="AQ61">
        <v>-130</v>
      </c>
      <c r="AR61">
        <v>1856</v>
      </c>
      <c r="AZ61">
        <v>1200</v>
      </c>
      <c r="BA61">
        <v>1</v>
      </c>
      <c r="BB61" t="str">
        <f t="shared" si="2"/>
        <v xml:space="preserve">N79NX   </v>
      </c>
      <c r="BC61">
        <v>1</v>
      </c>
      <c r="BE61">
        <v>0</v>
      </c>
      <c r="BF61">
        <v>0</v>
      </c>
      <c r="BG61">
        <v>0</v>
      </c>
      <c r="BH61">
        <v>1750</v>
      </c>
      <c r="BI61">
        <v>0</v>
      </c>
      <c r="BJ61">
        <v>0</v>
      </c>
      <c r="BK61">
        <v>0</v>
      </c>
      <c r="BL61">
        <v>0</v>
      </c>
      <c r="BO61">
        <v>0</v>
      </c>
      <c r="BP61">
        <v>0</v>
      </c>
      <c r="BW61" t="str">
        <f>"18:35:44.460"</f>
        <v>18:35:44.460</v>
      </c>
      <c r="BZ61">
        <v>0</v>
      </c>
      <c r="CA61">
        <v>3488</v>
      </c>
      <c r="CB61">
        <v>216</v>
      </c>
      <c r="CC61">
        <v>583.59379999999999</v>
      </c>
      <c r="CD61">
        <v>1</v>
      </c>
      <c r="CE61">
        <v>1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2</v>
      </c>
      <c r="CL61">
        <v>0</v>
      </c>
      <c r="CM61">
        <v>2</v>
      </c>
      <c r="CN61">
        <v>0</v>
      </c>
      <c r="CO61">
        <v>5</v>
      </c>
      <c r="CP61" t="s">
        <v>119</v>
      </c>
      <c r="CQ61">
        <v>145</v>
      </c>
      <c r="CR61">
        <v>1</v>
      </c>
      <c r="CW61">
        <v>8856589</v>
      </c>
      <c r="CY61">
        <v>0</v>
      </c>
      <c r="CZ61">
        <v>0</v>
      </c>
      <c r="DA61">
        <v>1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</row>
    <row r="62" spans="1:113" x14ac:dyDescent="0.3">
      <c r="A62" t="str">
        <f>"02/13/2022 18:35:45.626"</f>
        <v>02/13/2022 18:35:45.626</v>
      </c>
      <c r="C62" t="str">
        <f t="shared" si="1"/>
        <v>FFDFD7C0</v>
      </c>
      <c r="D62" t="s">
        <v>113</v>
      </c>
      <c r="E62">
        <v>3</v>
      </c>
      <c r="F62">
        <v>1003</v>
      </c>
      <c r="G62" t="s">
        <v>114</v>
      </c>
      <c r="J62" t="s">
        <v>115</v>
      </c>
      <c r="K62">
        <v>0</v>
      </c>
      <c r="L62">
        <v>3</v>
      </c>
      <c r="M62">
        <v>0</v>
      </c>
      <c r="N62">
        <v>2</v>
      </c>
      <c r="O62">
        <v>1</v>
      </c>
      <c r="P62">
        <v>0</v>
      </c>
      <c r="Q62">
        <v>0</v>
      </c>
      <c r="S62" t="str">
        <f>"18:35:45.398"</f>
        <v>18:35:45.398</v>
      </c>
      <c r="T62" t="str">
        <f>"18:35:44.998"</f>
        <v>18:35:44.998</v>
      </c>
      <c r="U62" t="str">
        <f t="shared" si="0"/>
        <v>AAB6EE</v>
      </c>
      <c r="V62">
        <v>0</v>
      </c>
      <c r="W62">
        <v>0</v>
      </c>
      <c r="X62">
        <v>4</v>
      </c>
      <c r="Z62">
        <v>0</v>
      </c>
      <c r="AA62">
        <v>8</v>
      </c>
      <c r="AB62">
        <v>3</v>
      </c>
      <c r="AC62">
        <v>0</v>
      </c>
      <c r="AD62">
        <v>10</v>
      </c>
      <c r="AE62">
        <v>0</v>
      </c>
      <c r="AF62">
        <v>0</v>
      </c>
      <c r="AG62">
        <v>1</v>
      </c>
      <c r="AH62">
        <v>1</v>
      </c>
      <c r="AI62" t="s">
        <v>161</v>
      </c>
      <c r="AJ62">
        <v>35.555427000000002</v>
      </c>
      <c r="AK62" t="s">
        <v>162</v>
      </c>
      <c r="AL62">
        <v>-76.007537999999997</v>
      </c>
      <c r="AM62">
        <v>25</v>
      </c>
      <c r="AN62">
        <v>1925</v>
      </c>
      <c r="AO62" t="s">
        <v>118</v>
      </c>
      <c r="AP62">
        <v>-81</v>
      </c>
      <c r="AQ62">
        <v>-130</v>
      </c>
      <c r="AR62">
        <v>1920</v>
      </c>
      <c r="AZ62">
        <v>1200</v>
      </c>
      <c r="BA62">
        <v>1</v>
      </c>
      <c r="BB62" t="str">
        <f t="shared" si="2"/>
        <v xml:space="preserve">N79NX   </v>
      </c>
      <c r="BC62">
        <v>1</v>
      </c>
      <c r="BE62">
        <v>0</v>
      </c>
      <c r="BF62">
        <v>0</v>
      </c>
      <c r="BG62">
        <v>0</v>
      </c>
      <c r="BH62">
        <v>1775</v>
      </c>
      <c r="BI62">
        <v>0</v>
      </c>
      <c r="BJ62">
        <v>0</v>
      </c>
      <c r="BK62">
        <v>0</v>
      </c>
      <c r="BL62">
        <v>0</v>
      </c>
      <c r="BO62">
        <v>0</v>
      </c>
      <c r="BP62">
        <v>0</v>
      </c>
      <c r="BW62" t="str">
        <f>"18:35:45.400"</f>
        <v>18:35:45.400</v>
      </c>
      <c r="BZ62">
        <v>0</v>
      </c>
      <c r="CA62">
        <v>3488</v>
      </c>
      <c r="CB62">
        <v>216</v>
      </c>
      <c r="CC62">
        <v>583.59379999999999</v>
      </c>
      <c r="CD62">
        <v>1</v>
      </c>
      <c r="CE62">
        <v>1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2</v>
      </c>
      <c r="CL62">
        <v>0</v>
      </c>
      <c r="CM62">
        <v>2</v>
      </c>
      <c r="CN62">
        <v>0</v>
      </c>
      <c r="CO62">
        <v>5</v>
      </c>
      <c r="CP62" t="s">
        <v>119</v>
      </c>
      <c r="CQ62">
        <v>145</v>
      </c>
      <c r="CR62">
        <v>1</v>
      </c>
      <c r="CW62">
        <v>8857043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</row>
    <row r="63" spans="1:113" x14ac:dyDescent="0.3">
      <c r="A63" t="str">
        <f>"02/13/2022 18:35:45.626"</f>
        <v>02/13/2022 18:35:45.626</v>
      </c>
      <c r="C63" t="str">
        <f t="shared" si="1"/>
        <v>FFDFD7C0</v>
      </c>
      <c r="D63" t="s">
        <v>113</v>
      </c>
      <c r="E63">
        <v>4</v>
      </c>
      <c r="F63">
        <v>1004</v>
      </c>
      <c r="G63" t="s">
        <v>120</v>
      </c>
      <c r="J63" t="s">
        <v>115</v>
      </c>
      <c r="K63">
        <v>0</v>
      </c>
      <c r="L63">
        <v>3</v>
      </c>
      <c r="M63">
        <v>0</v>
      </c>
      <c r="N63">
        <v>2</v>
      </c>
      <c r="O63">
        <v>1</v>
      </c>
      <c r="P63">
        <v>0</v>
      </c>
      <c r="Q63">
        <v>0</v>
      </c>
      <c r="S63" t="str">
        <f>"18:35:45.398"</f>
        <v>18:35:45.398</v>
      </c>
      <c r="T63" t="str">
        <f>"18:35:44.998"</f>
        <v>18:35:44.998</v>
      </c>
      <c r="U63" t="str">
        <f t="shared" si="0"/>
        <v>AAB6EE</v>
      </c>
      <c r="V63">
        <v>0</v>
      </c>
      <c r="W63">
        <v>0</v>
      </c>
      <c r="X63">
        <v>4</v>
      </c>
      <c r="Z63">
        <v>0</v>
      </c>
      <c r="AA63">
        <v>8</v>
      </c>
      <c r="AB63">
        <v>3</v>
      </c>
      <c r="AC63">
        <v>0</v>
      </c>
      <c r="AD63">
        <v>10</v>
      </c>
      <c r="AE63">
        <v>0</v>
      </c>
      <c r="AF63">
        <v>0</v>
      </c>
      <c r="AG63">
        <v>1</v>
      </c>
      <c r="AH63">
        <v>1</v>
      </c>
      <c r="AI63" t="s">
        <v>161</v>
      </c>
      <c r="AJ63">
        <v>35.555427000000002</v>
      </c>
      <c r="AK63" t="s">
        <v>162</v>
      </c>
      <c r="AL63">
        <v>-76.007537999999997</v>
      </c>
      <c r="AM63">
        <v>25</v>
      </c>
      <c r="AN63">
        <v>1925</v>
      </c>
      <c r="AO63" t="s">
        <v>118</v>
      </c>
      <c r="AP63">
        <v>-81</v>
      </c>
      <c r="AQ63">
        <v>-130</v>
      </c>
      <c r="AR63">
        <v>1920</v>
      </c>
      <c r="AZ63">
        <v>1200</v>
      </c>
      <c r="BA63">
        <v>1</v>
      </c>
      <c r="BB63" t="str">
        <f t="shared" si="2"/>
        <v xml:space="preserve">N79NX   </v>
      </c>
      <c r="BC63">
        <v>1</v>
      </c>
      <c r="BE63">
        <v>0</v>
      </c>
      <c r="BF63">
        <v>0</v>
      </c>
      <c r="BG63">
        <v>0</v>
      </c>
      <c r="BH63">
        <v>1775</v>
      </c>
      <c r="BI63">
        <v>0</v>
      </c>
      <c r="BJ63">
        <v>0</v>
      </c>
      <c r="BK63">
        <v>0</v>
      </c>
      <c r="BL63">
        <v>0</v>
      </c>
      <c r="BO63">
        <v>0</v>
      </c>
      <c r="BP63">
        <v>0</v>
      </c>
      <c r="BW63" t="str">
        <f>"18:35:45.400"</f>
        <v>18:35:45.400</v>
      </c>
      <c r="BZ63">
        <v>0</v>
      </c>
      <c r="CA63">
        <v>3488</v>
      </c>
      <c r="CB63">
        <v>216</v>
      </c>
      <c r="CC63">
        <v>583.59379999999999</v>
      </c>
      <c r="CD63">
        <v>1</v>
      </c>
      <c r="CE63">
        <v>1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2</v>
      </c>
      <c r="CL63">
        <v>0</v>
      </c>
      <c r="CM63">
        <v>2</v>
      </c>
      <c r="CN63">
        <v>0</v>
      </c>
      <c r="CO63">
        <v>5</v>
      </c>
      <c r="CP63" t="s">
        <v>119</v>
      </c>
      <c r="CQ63">
        <v>145</v>
      </c>
      <c r="CR63">
        <v>1</v>
      </c>
      <c r="CW63">
        <v>8857043</v>
      </c>
      <c r="CY63">
        <v>0</v>
      </c>
      <c r="CZ63">
        <v>0</v>
      </c>
      <c r="DA63">
        <v>1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</row>
    <row r="64" spans="1:113" x14ac:dyDescent="0.3">
      <c r="A64" t="str">
        <f>"02/13/2022 18:35:45.626"</f>
        <v>02/13/2022 18:35:45.626</v>
      </c>
      <c r="C64" t="str">
        <f t="shared" si="1"/>
        <v>FFDFD7C0</v>
      </c>
      <c r="D64" t="s">
        <v>121</v>
      </c>
      <c r="E64">
        <v>2</v>
      </c>
      <c r="H64">
        <v>158</v>
      </c>
      <c r="I64" t="s">
        <v>120</v>
      </c>
      <c r="J64" t="s">
        <v>122</v>
      </c>
      <c r="K64">
        <v>0</v>
      </c>
      <c r="L64">
        <v>3</v>
      </c>
      <c r="M64">
        <v>0</v>
      </c>
      <c r="N64">
        <v>2</v>
      </c>
      <c r="O64">
        <v>1</v>
      </c>
      <c r="P64">
        <v>0</v>
      </c>
      <c r="Q64">
        <v>0</v>
      </c>
      <c r="S64" t="str">
        <f>"18:35:45.398"</f>
        <v>18:35:45.398</v>
      </c>
      <c r="T64" t="str">
        <f>"18:35:44.998"</f>
        <v>18:35:44.998</v>
      </c>
      <c r="U64" t="str">
        <f t="shared" si="0"/>
        <v>AAB6EE</v>
      </c>
      <c r="V64">
        <v>0</v>
      </c>
      <c r="W64">
        <v>0</v>
      </c>
      <c r="X64">
        <v>4</v>
      </c>
      <c r="Z64">
        <v>0</v>
      </c>
      <c r="AA64">
        <v>8</v>
      </c>
      <c r="AB64">
        <v>3</v>
      </c>
      <c r="AC64">
        <v>0</v>
      </c>
      <c r="AD64">
        <v>10</v>
      </c>
      <c r="AE64">
        <v>0</v>
      </c>
      <c r="AF64">
        <v>0</v>
      </c>
      <c r="AG64">
        <v>1</v>
      </c>
      <c r="AH64">
        <v>1</v>
      </c>
      <c r="AI64" t="s">
        <v>161</v>
      </c>
      <c r="AJ64">
        <v>35.555427000000002</v>
      </c>
      <c r="AK64" t="s">
        <v>162</v>
      </c>
      <c r="AL64">
        <v>-76.007537999999997</v>
      </c>
      <c r="AM64">
        <v>25</v>
      </c>
      <c r="AN64">
        <v>1925</v>
      </c>
      <c r="AO64" t="s">
        <v>118</v>
      </c>
      <c r="AP64">
        <v>-81</v>
      </c>
      <c r="AQ64">
        <v>-130</v>
      </c>
      <c r="AR64">
        <v>1920</v>
      </c>
      <c r="AZ64">
        <v>1200</v>
      </c>
      <c r="BA64">
        <v>1</v>
      </c>
      <c r="BB64" t="str">
        <f t="shared" si="2"/>
        <v xml:space="preserve">N79NX   </v>
      </c>
      <c r="BC64">
        <v>1</v>
      </c>
      <c r="BE64">
        <v>0</v>
      </c>
      <c r="BF64">
        <v>0</v>
      </c>
      <c r="BG64">
        <v>0</v>
      </c>
      <c r="BH64">
        <v>1775</v>
      </c>
      <c r="BI64">
        <v>0</v>
      </c>
      <c r="BJ64">
        <v>0</v>
      </c>
      <c r="BK64">
        <v>0</v>
      </c>
      <c r="BL64">
        <v>0</v>
      </c>
      <c r="BO64">
        <v>0</v>
      </c>
      <c r="BP64">
        <v>0</v>
      </c>
      <c r="BW64" t="str">
        <f>"18:35:45.400"</f>
        <v>18:35:45.400</v>
      </c>
      <c r="BZ64">
        <v>0</v>
      </c>
      <c r="CA64">
        <v>3488</v>
      </c>
      <c r="CB64">
        <v>216</v>
      </c>
      <c r="CC64">
        <v>583.59379999999999</v>
      </c>
      <c r="CD64">
        <v>1</v>
      </c>
      <c r="CE64">
        <v>1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2</v>
      </c>
      <c r="CL64">
        <v>0</v>
      </c>
      <c r="CM64">
        <v>2</v>
      </c>
      <c r="CN64">
        <v>0</v>
      </c>
      <c r="CO64">
        <v>5</v>
      </c>
      <c r="CP64" t="s">
        <v>119</v>
      </c>
      <c r="CQ64">
        <v>145</v>
      </c>
      <c r="CR64">
        <v>1</v>
      </c>
      <c r="CW64">
        <v>8857043</v>
      </c>
      <c r="CY64">
        <v>0</v>
      </c>
      <c r="CZ64">
        <v>0</v>
      </c>
      <c r="DA64">
        <v>1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</row>
    <row r="65" spans="1:113" x14ac:dyDescent="0.3">
      <c r="A65" t="str">
        <f>"02/13/2022 18:35:46.534"</f>
        <v>02/13/2022 18:35:46.534</v>
      </c>
      <c r="C65" t="str">
        <f t="shared" si="1"/>
        <v>FFDFD7C0</v>
      </c>
      <c r="D65" t="s">
        <v>121</v>
      </c>
      <c r="E65">
        <v>2</v>
      </c>
      <c r="H65">
        <v>158</v>
      </c>
      <c r="I65" t="s">
        <v>120</v>
      </c>
      <c r="J65" t="s">
        <v>122</v>
      </c>
      <c r="K65">
        <v>0</v>
      </c>
      <c r="L65">
        <v>3</v>
      </c>
      <c r="M65">
        <v>0</v>
      </c>
      <c r="N65">
        <v>2</v>
      </c>
      <c r="O65">
        <v>1</v>
      </c>
      <c r="P65">
        <v>0</v>
      </c>
      <c r="Q65">
        <v>0</v>
      </c>
      <c r="S65" t="str">
        <f t="shared" ref="S65:T67" si="5">"18:35:46.305"</f>
        <v>18:35:46.305</v>
      </c>
      <c r="T65" t="str">
        <f t="shared" si="5"/>
        <v>18:35:46.305</v>
      </c>
      <c r="U65" t="str">
        <f t="shared" si="0"/>
        <v>AAB6EE</v>
      </c>
      <c r="V65">
        <v>0</v>
      </c>
      <c r="W65">
        <v>0</v>
      </c>
      <c r="X65">
        <v>4</v>
      </c>
      <c r="Z65">
        <v>0</v>
      </c>
      <c r="AA65">
        <v>8</v>
      </c>
      <c r="AB65">
        <v>3</v>
      </c>
      <c r="AC65">
        <v>0</v>
      </c>
      <c r="AD65">
        <v>10</v>
      </c>
      <c r="AE65">
        <v>0</v>
      </c>
      <c r="AF65">
        <v>0</v>
      </c>
      <c r="AG65">
        <v>1</v>
      </c>
      <c r="AH65">
        <v>1</v>
      </c>
      <c r="AI65" t="s">
        <v>163</v>
      </c>
      <c r="AJ65">
        <v>35.554825999999998</v>
      </c>
      <c r="AK65" t="s">
        <v>164</v>
      </c>
      <c r="AL65">
        <v>-76.007987999999997</v>
      </c>
      <c r="AM65">
        <v>25</v>
      </c>
      <c r="AN65">
        <v>1950</v>
      </c>
      <c r="AO65" t="s">
        <v>118</v>
      </c>
      <c r="AP65">
        <v>-80</v>
      </c>
      <c r="AQ65">
        <v>-131</v>
      </c>
      <c r="AR65">
        <v>1984</v>
      </c>
      <c r="AZ65">
        <v>1200</v>
      </c>
      <c r="BA65">
        <v>1</v>
      </c>
      <c r="BB65" t="str">
        <f t="shared" si="2"/>
        <v xml:space="preserve">N79NX   </v>
      </c>
      <c r="BC65">
        <v>1</v>
      </c>
      <c r="BE65">
        <v>0</v>
      </c>
      <c r="BF65">
        <v>0</v>
      </c>
      <c r="BG65">
        <v>0</v>
      </c>
      <c r="BH65">
        <v>1800</v>
      </c>
      <c r="BI65">
        <v>0</v>
      </c>
      <c r="BJ65">
        <v>0</v>
      </c>
      <c r="BK65">
        <v>0</v>
      </c>
      <c r="BL65">
        <v>0</v>
      </c>
      <c r="BO65">
        <v>0</v>
      </c>
      <c r="BP65">
        <v>0</v>
      </c>
      <c r="BW65" t="str">
        <f>"18:35:46.310"</f>
        <v>18:35:46.310</v>
      </c>
      <c r="BZ65">
        <v>0</v>
      </c>
      <c r="CA65">
        <v>3488</v>
      </c>
      <c r="CB65">
        <v>216</v>
      </c>
      <c r="CC65">
        <v>583.59379999999999</v>
      </c>
      <c r="CD65">
        <v>1</v>
      </c>
      <c r="CE65">
        <v>1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2</v>
      </c>
      <c r="CL65">
        <v>0</v>
      </c>
      <c r="CM65">
        <v>2</v>
      </c>
      <c r="CN65">
        <v>0</v>
      </c>
      <c r="CO65">
        <v>5</v>
      </c>
      <c r="CP65" t="s">
        <v>119</v>
      </c>
      <c r="CQ65">
        <v>145</v>
      </c>
      <c r="CR65">
        <v>1</v>
      </c>
      <c r="CW65">
        <v>8857475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</row>
    <row r="66" spans="1:113" x14ac:dyDescent="0.3">
      <c r="A66" t="str">
        <f>"02/13/2022 18:35:46.534"</f>
        <v>02/13/2022 18:35:46.534</v>
      </c>
      <c r="C66" t="str">
        <f t="shared" si="1"/>
        <v>FFDFD7C0</v>
      </c>
      <c r="D66" t="s">
        <v>113</v>
      </c>
      <c r="E66">
        <v>3</v>
      </c>
      <c r="F66">
        <v>1003</v>
      </c>
      <c r="G66" t="s">
        <v>114</v>
      </c>
      <c r="J66" t="s">
        <v>115</v>
      </c>
      <c r="K66">
        <v>0</v>
      </c>
      <c r="L66">
        <v>3</v>
      </c>
      <c r="M66">
        <v>0</v>
      </c>
      <c r="N66">
        <v>2</v>
      </c>
      <c r="O66">
        <v>1</v>
      </c>
      <c r="P66">
        <v>0</v>
      </c>
      <c r="Q66">
        <v>0</v>
      </c>
      <c r="S66" t="str">
        <f t="shared" si="5"/>
        <v>18:35:46.305</v>
      </c>
      <c r="T66" t="str">
        <f t="shared" si="5"/>
        <v>18:35:46.305</v>
      </c>
      <c r="U66" t="str">
        <f t="shared" ref="U66:U129" si="6">"AAB6EE"</f>
        <v>AAB6EE</v>
      </c>
      <c r="V66">
        <v>0</v>
      </c>
      <c r="W66">
        <v>0</v>
      </c>
      <c r="X66">
        <v>4</v>
      </c>
      <c r="Z66">
        <v>0</v>
      </c>
      <c r="AA66">
        <v>8</v>
      </c>
      <c r="AB66">
        <v>3</v>
      </c>
      <c r="AC66">
        <v>0</v>
      </c>
      <c r="AD66">
        <v>10</v>
      </c>
      <c r="AE66">
        <v>0</v>
      </c>
      <c r="AF66">
        <v>0</v>
      </c>
      <c r="AG66">
        <v>1</v>
      </c>
      <c r="AH66">
        <v>1</v>
      </c>
      <c r="AI66" t="s">
        <v>163</v>
      </c>
      <c r="AJ66">
        <v>35.554825999999998</v>
      </c>
      <c r="AK66" t="s">
        <v>164</v>
      </c>
      <c r="AL66">
        <v>-76.007987999999997</v>
      </c>
      <c r="AM66">
        <v>25</v>
      </c>
      <c r="AN66">
        <v>1950</v>
      </c>
      <c r="AO66" t="s">
        <v>118</v>
      </c>
      <c r="AP66">
        <v>-80</v>
      </c>
      <c r="AQ66">
        <v>-131</v>
      </c>
      <c r="AR66">
        <v>1984</v>
      </c>
      <c r="AZ66">
        <v>1200</v>
      </c>
      <c r="BA66">
        <v>1</v>
      </c>
      <c r="BB66" t="str">
        <f t="shared" si="2"/>
        <v xml:space="preserve">N79NX   </v>
      </c>
      <c r="BC66">
        <v>1</v>
      </c>
      <c r="BE66">
        <v>0</v>
      </c>
      <c r="BF66">
        <v>0</v>
      </c>
      <c r="BG66">
        <v>0</v>
      </c>
      <c r="BH66">
        <v>1800</v>
      </c>
      <c r="BI66">
        <v>0</v>
      </c>
      <c r="BJ66">
        <v>0</v>
      </c>
      <c r="BK66">
        <v>0</v>
      </c>
      <c r="BL66">
        <v>0</v>
      </c>
      <c r="BO66">
        <v>0</v>
      </c>
      <c r="BP66">
        <v>0</v>
      </c>
      <c r="BW66" t="str">
        <f>"18:35:46.310"</f>
        <v>18:35:46.310</v>
      </c>
      <c r="BZ66">
        <v>0</v>
      </c>
      <c r="CA66">
        <v>3488</v>
      </c>
      <c r="CB66">
        <v>216</v>
      </c>
      <c r="CC66">
        <v>583.59379999999999</v>
      </c>
      <c r="CD66">
        <v>1</v>
      </c>
      <c r="CE66">
        <v>1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2</v>
      </c>
      <c r="CL66">
        <v>0</v>
      </c>
      <c r="CM66">
        <v>2</v>
      </c>
      <c r="CN66">
        <v>0</v>
      </c>
      <c r="CO66">
        <v>5</v>
      </c>
      <c r="CP66" t="s">
        <v>119</v>
      </c>
      <c r="CQ66">
        <v>145</v>
      </c>
      <c r="CR66">
        <v>1</v>
      </c>
      <c r="CW66">
        <v>8857475</v>
      </c>
      <c r="CY66">
        <v>0</v>
      </c>
      <c r="CZ66">
        <v>0</v>
      </c>
      <c r="DA66">
        <v>1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</row>
    <row r="67" spans="1:113" x14ac:dyDescent="0.3">
      <c r="A67" t="str">
        <f>"02/13/2022 18:35:46.534"</f>
        <v>02/13/2022 18:35:46.534</v>
      </c>
      <c r="C67" t="str">
        <f t="shared" si="1"/>
        <v>FFDFD7C0</v>
      </c>
      <c r="D67" t="s">
        <v>113</v>
      </c>
      <c r="E67">
        <v>4</v>
      </c>
      <c r="F67">
        <v>1004</v>
      </c>
      <c r="G67" t="s">
        <v>120</v>
      </c>
      <c r="J67" t="s">
        <v>115</v>
      </c>
      <c r="K67">
        <v>0</v>
      </c>
      <c r="L67">
        <v>3</v>
      </c>
      <c r="M67">
        <v>0</v>
      </c>
      <c r="N67">
        <v>2</v>
      </c>
      <c r="O67">
        <v>1</v>
      </c>
      <c r="P67">
        <v>0</v>
      </c>
      <c r="Q67">
        <v>0</v>
      </c>
      <c r="S67" t="str">
        <f t="shared" si="5"/>
        <v>18:35:46.305</v>
      </c>
      <c r="T67" t="str">
        <f t="shared" si="5"/>
        <v>18:35:46.305</v>
      </c>
      <c r="U67" t="str">
        <f t="shared" si="6"/>
        <v>AAB6EE</v>
      </c>
      <c r="V67">
        <v>0</v>
      </c>
      <c r="W67">
        <v>0</v>
      </c>
      <c r="X67">
        <v>4</v>
      </c>
      <c r="Z67">
        <v>0</v>
      </c>
      <c r="AA67">
        <v>8</v>
      </c>
      <c r="AB67">
        <v>3</v>
      </c>
      <c r="AC67">
        <v>0</v>
      </c>
      <c r="AD67">
        <v>10</v>
      </c>
      <c r="AE67">
        <v>0</v>
      </c>
      <c r="AF67">
        <v>0</v>
      </c>
      <c r="AG67">
        <v>1</v>
      </c>
      <c r="AH67">
        <v>1</v>
      </c>
      <c r="AI67" t="s">
        <v>163</v>
      </c>
      <c r="AJ67">
        <v>35.554825999999998</v>
      </c>
      <c r="AK67" t="s">
        <v>164</v>
      </c>
      <c r="AL67">
        <v>-76.007987999999997</v>
      </c>
      <c r="AM67">
        <v>25</v>
      </c>
      <c r="AN67">
        <v>1950</v>
      </c>
      <c r="AO67" t="s">
        <v>118</v>
      </c>
      <c r="AP67">
        <v>-80</v>
      </c>
      <c r="AQ67">
        <v>-131</v>
      </c>
      <c r="AR67">
        <v>1984</v>
      </c>
      <c r="AZ67">
        <v>1200</v>
      </c>
      <c r="BA67">
        <v>1</v>
      </c>
      <c r="BB67" t="str">
        <f t="shared" si="2"/>
        <v xml:space="preserve">N79NX   </v>
      </c>
      <c r="BC67">
        <v>1</v>
      </c>
      <c r="BE67">
        <v>0</v>
      </c>
      <c r="BF67">
        <v>0</v>
      </c>
      <c r="BG67">
        <v>0</v>
      </c>
      <c r="BH67">
        <v>1800</v>
      </c>
      <c r="BI67">
        <v>0</v>
      </c>
      <c r="BJ67">
        <v>0</v>
      </c>
      <c r="BK67">
        <v>0</v>
      </c>
      <c r="BL67">
        <v>0</v>
      </c>
      <c r="BO67">
        <v>0</v>
      </c>
      <c r="BP67">
        <v>0</v>
      </c>
      <c r="BW67" t="str">
        <f>"18:35:46.310"</f>
        <v>18:35:46.310</v>
      </c>
      <c r="BZ67">
        <v>0</v>
      </c>
      <c r="CA67">
        <v>3488</v>
      </c>
      <c r="CB67">
        <v>216</v>
      </c>
      <c r="CC67">
        <v>583.59379999999999</v>
      </c>
      <c r="CD67">
        <v>1</v>
      </c>
      <c r="CE67">
        <v>1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2</v>
      </c>
      <c r="CL67">
        <v>0</v>
      </c>
      <c r="CM67">
        <v>2</v>
      </c>
      <c r="CN67">
        <v>0</v>
      </c>
      <c r="CO67">
        <v>5</v>
      </c>
      <c r="CP67" t="s">
        <v>119</v>
      </c>
      <c r="CQ67">
        <v>145</v>
      </c>
      <c r="CR67">
        <v>1</v>
      </c>
      <c r="CW67">
        <v>8857475</v>
      </c>
      <c r="CY67">
        <v>0</v>
      </c>
      <c r="CZ67">
        <v>0</v>
      </c>
      <c r="DA67">
        <v>1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</row>
    <row r="68" spans="1:113" x14ac:dyDescent="0.3">
      <c r="A68" t="str">
        <f>"02/13/2022 18:35:47.737"</f>
        <v>02/13/2022 18:35:47.737</v>
      </c>
      <c r="C68" t="str">
        <f t="shared" si="1"/>
        <v>FFDFD7C0</v>
      </c>
      <c r="D68" t="s">
        <v>113</v>
      </c>
      <c r="E68">
        <v>3</v>
      </c>
      <c r="F68">
        <v>1003</v>
      </c>
      <c r="G68" t="s">
        <v>114</v>
      </c>
      <c r="J68" t="s">
        <v>115</v>
      </c>
      <c r="K68">
        <v>0</v>
      </c>
      <c r="L68">
        <v>3</v>
      </c>
      <c r="M68">
        <v>0</v>
      </c>
      <c r="N68">
        <v>2</v>
      </c>
      <c r="O68">
        <v>1</v>
      </c>
      <c r="P68">
        <v>0</v>
      </c>
      <c r="Q68">
        <v>0</v>
      </c>
      <c r="S68" t="str">
        <f t="shared" ref="S68:T70" si="7">"18:35:47.359"</f>
        <v>18:35:47.359</v>
      </c>
      <c r="T68" t="str">
        <f t="shared" si="7"/>
        <v>18:35:47.359</v>
      </c>
      <c r="U68" t="str">
        <f t="shared" si="6"/>
        <v>AAB6EE</v>
      </c>
      <c r="V68">
        <v>0</v>
      </c>
      <c r="W68">
        <v>0</v>
      </c>
      <c r="X68">
        <v>4</v>
      </c>
      <c r="Z68">
        <v>0</v>
      </c>
      <c r="AA68">
        <v>8</v>
      </c>
      <c r="AB68">
        <v>3</v>
      </c>
      <c r="AC68">
        <v>0</v>
      </c>
      <c r="AD68">
        <v>10</v>
      </c>
      <c r="AE68">
        <v>0</v>
      </c>
      <c r="AF68">
        <v>0</v>
      </c>
      <c r="AG68">
        <v>1</v>
      </c>
      <c r="AH68">
        <v>1</v>
      </c>
      <c r="AI68" t="s">
        <v>165</v>
      </c>
      <c r="AJ68">
        <v>35.554225000000002</v>
      </c>
      <c r="AK68" t="s">
        <v>166</v>
      </c>
      <c r="AL68">
        <v>-76.008460999999997</v>
      </c>
      <c r="AM68">
        <v>25</v>
      </c>
      <c r="AN68">
        <v>2000</v>
      </c>
      <c r="AO68" t="s">
        <v>118</v>
      </c>
      <c r="AP68">
        <v>-79</v>
      </c>
      <c r="AQ68">
        <v>-131</v>
      </c>
      <c r="AR68">
        <v>2048</v>
      </c>
      <c r="AZ68">
        <v>1200</v>
      </c>
      <c r="BA68">
        <v>1</v>
      </c>
      <c r="BB68" t="str">
        <f t="shared" si="2"/>
        <v xml:space="preserve">N79NX   </v>
      </c>
      <c r="BC68">
        <v>1</v>
      </c>
      <c r="BE68">
        <v>0</v>
      </c>
      <c r="BF68">
        <v>0</v>
      </c>
      <c r="BG68">
        <v>0</v>
      </c>
      <c r="BH68">
        <v>1850</v>
      </c>
      <c r="BI68">
        <v>0</v>
      </c>
      <c r="BJ68">
        <v>0</v>
      </c>
      <c r="BK68">
        <v>0</v>
      </c>
      <c r="BL68">
        <v>0</v>
      </c>
      <c r="BO68">
        <v>0</v>
      </c>
      <c r="BP68">
        <v>0</v>
      </c>
      <c r="BW68" t="str">
        <f>"18:35:47.360"</f>
        <v>18:35:47.360</v>
      </c>
      <c r="BZ68">
        <v>0</v>
      </c>
      <c r="CA68">
        <v>3488</v>
      </c>
      <c r="CB68">
        <v>216</v>
      </c>
      <c r="CC68">
        <v>583.59379999999999</v>
      </c>
      <c r="CD68">
        <v>1</v>
      </c>
      <c r="CE68">
        <v>1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2</v>
      </c>
      <c r="CL68">
        <v>0</v>
      </c>
      <c r="CM68">
        <v>2</v>
      </c>
      <c r="CN68">
        <v>0</v>
      </c>
      <c r="CO68">
        <v>5</v>
      </c>
      <c r="CP68" t="s">
        <v>119</v>
      </c>
      <c r="CQ68">
        <v>145</v>
      </c>
      <c r="CR68">
        <v>1</v>
      </c>
      <c r="CW68">
        <v>8857994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</row>
    <row r="69" spans="1:113" x14ac:dyDescent="0.3">
      <c r="A69" t="str">
        <f>"02/13/2022 18:35:47.737"</f>
        <v>02/13/2022 18:35:47.737</v>
      </c>
      <c r="C69" t="str">
        <f t="shared" ref="C69:C132" si="8">"FFDFD7C0"</f>
        <v>FFDFD7C0</v>
      </c>
      <c r="D69" t="s">
        <v>121</v>
      </c>
      <c r="E69">
        <v>2</v>
      </c>
      <c r="H69">
        <v>158</v>
      </c>
      <c r="I69" t="s">
        <v>120</v>
      </c>
      <c r="J69" t="s">
        <v>122</v>
      </c>
      <c r="K69">
        <v>0</v>
      </c>
      <c r="L69">
        <v>3</v>
      </c>
      <c r="M69">
        <v>0</v>
      </c>
      <c r="N69">
        <v>2</v>
      </c>
      <c r="O69">
        <v>1</v>
      </c>
      <c r="P69">
        <v>0</v>
      </c>
      <c r="Q69">
        <v>0</v>
      </c>
      <c r="S69" t="str">
        <f t="shared" si="7"/>
        <v>18:35:47.359</v>
      </c>
      <c r="T69" t="str">
        <f t="shared" si="7"/>
        <v>18:35:47.359</v>
      </c>
      <c r="U69" t="str">
        <f t="shared" si="6"/>
        <v>AAB6EE</v>
      </c>
      <c r="V69">
        <v>0</v>
      </c>
      <c r="W69">
        <v>0</v>
      </c>
      <c r="X69">
        <v>4</v>
      </c>
      <c r="Z69">
        <v>0</v>
      </c>
      <c r="AA69">
        <v>8</v>
      </c>
      <c r="AB69">
        <v>3</v>
      </c>
      <c r="AC69">
        <v>0</v>
      </c>
      <c r="AD69">
        <v>10</v>
      </c>
      <c r="AE69">
        <v>0</v>
      </c>
      <c r="AF69">
        <v>0</v>
      </c>
      <c r="AG69">
        <v>1</v>
      </c>
      <c r="AH69">
        <v>1</v>
      </c>
      <c r="AI69" t="s">
        <v>165</v>
      </c>
      <c r="AJ69">
        <v>35.554225000000002</v>
      </c>
      <c r="AK69" t="s">
        <v>166</v>
      </c>
      <c r="AL69">
        <v>-76.008460999999997</v>
      </c>
      <c r="AM69">
        <v>25</v>
      </c>
      <c r="AN69">
        <v>2000</v>
      </c>
      <c r="AO69" t="s">
        <v>118</v>
      </c>
      <c r="AP69">
        <v>-79</v>
      </c>
      <c r="AQ69">
        <v>-131</v>
      </c>
      <c r="AR69">
        <v>2048</v>
      </c>
      <c r="AZ69">
        <v>1200</v>
      </c>
      <c r="BA69">
        <v>1</v>
      </c>
      <c r="BB69" t="str">
        <f t="shared" ref="BB69:BB132" si="9">"N79NX   "</f>
        <v xml:space="preserve">N79NX   </v>
      </c>
      <c r="BC69">
        <v>1</v>
      </c>
      <c r="BE69">
        <v>0</v>
      </c>
      <c r="BF69">
        <v>0</v>
      </c>
      <c r="BG69">
        <v>0</v>
      </c>
      <c r="BH69">
        <v>1850</v>
      </c>
      <c r="BI69">
        <v>0</v>
      </c>
      <c r="BJ69">
        <v>0</v>
      </c>
      <c r="BK69">
        <v>0</v>
      </c>
      <c r="BL69">
        <v>0</v>
      </c>
      <c r="BO69">
        <v>0</v>
      </c>
      <c r="BP69">
        <v>0</v>
      </c>
      <c r="BW69" t="str">
        <f>"18:35:47.360"</f>
        <v>18:35:47.360</v>
      </c>
      <c r="BZ69">
        <v>0</v>
      </c>
      <c r="CA69">
        <v>3488</v>
      </c>
      <c r="CB69">
        <v>216</v>
      </c>
      <c r="CC69">
        <v>583.59379999999999</v>
      </c>
      <c r="CD69">
        <v>1</v>
      </c>
      <c r="CE69">
        <v>1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2</v>
      </c>
      <c r="CL69">
        <v>0</v>
      </c>
      <c r="CM69">
        <v>2</v>
      </c>
      <c r="CN69">
        <v>0</v>
      </c>
      <c r="CO69">
        <v>5</v>
      </c>
      <c r="CP69" t="s">
        <v>119</v>
      </c>
      <c r="CQ69">
        <v>145</v>
      </c>
      <c r="CR69">
        <v>1</v>
      </c>
      <c r="CW69">
        <v>8857994</v>
      </c>
      <c r="CY69">
        <v>0</v>
      </c>
      <c r="CZ69">
        <v>0</v>
      </c>
      <c r="DA69">
        <v>1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</row>
    <row r="70" spans="1:113" x14ac:dyDescent="0.3">
      <c r="A70" t="str">
        <f>"02/13/2022 18:35:47.737"</f>
        <v>02/13/2022 18:35:47.737</v>
      </c>
      <c r="C70" t="str">
        <f t="shared" si="8"/>
        <v>FFDFD7C0</v>
      </c>
      <c r="D70" t="s">
        <v>113</v>
      </c>
      <c r="E70">
        <v>4</v>
      </c>
      <c r="F70">
        <v>1004</v>
      </c>
      <c r="G70" t="s">
        <v>120</v>
      </c>
      <c r="J70" t="s">
        <v>115</v>
      </c>
      <c r="K70">
        <v>0</v>
      </c>
      <c r="L70">
        <v>3</v>
      </c>
      <c r="M70">
        <v>0</v>
      </c>
      <c r="N70">
        <v>2</v>
      </c>
      <c r="O70">
        <v>1</v>
      </c>
      <c r="P70">
        <v>0</v>
      </c>
      <c r="Q70">
        <v>0</v>
      </c>
      <c r="S70" t="str">
        <f t="shared" si="7"/>
        <v>18:35:47.359</v>
      </c>
      <c r="T70" t="str">
        <f t="shared" si="7"/>
        <v>18:35:47.359</v>
      </c>
      <c r="U70" t="str">
        <f t="shared" si="6"/>
        <v>AAB6EE</v>
      </c>
      <c r="V70">
        <v>0</v>
      </c>
      <c r="W70">
        <v>0</v>
      </c>
      <c r="X70">
        <v>4</v>
      </c>
      <c r="Z70">
        <v>0</v>
      </c>
      <c r="AA70">
        <v>8</v>
      </c>
      <c r="AB70">
        <v>3</v>
      </c>
      <c r="AC70">
        <v>0</v>
      </c>
      <c r="AD70">
        <v>10</v>
      </c>
      <c r="AE70">
        <v>0</v>
      </c>
      <c r="AF70">
        <v>0</v>
      </c>
      <c r="AG70">
        <v>1</v>
      </c>
      <c r="AH70">
        <v>1</v>
      </c>
      <c r="AI70" t="s">
        <v>165</v>
      </c>
      <c r="AJ70">
        <v>35.554225000000002</v>
      </c>
      <c r="AK70" t="s">
        <v>166</v>
      </c>
      <c r="AL70">
        <v>-76.008460999999997</v>
      </c>
      <c r="AM70">
        <v>25</v>
      </c>
      <c r="AN70">
        <v>2000</v>
      </c>
      <c r="AO70" t="s">
        <v>118</v>
      </c>
      <c r="AP70">
        <v>-79</v>
      </c>
      <c r="AQ70">
        <v>-131</v>
      </c>
      <c r="AR70">
        <v>2048</v>
      </c>
      <c r="AZ70">
        <v>1200</v>
      </c>
      <c r="BA70">
        <v>1</v>
      </c>
      <c r="BB70" t="str">
        <f t="shared" si="9"/>
        <v xml:space="preserve">N79NX   </v>
      </c>
      <c r="BC70">
        <v>1</v>
      </c>
      <c r="BE70">
        <v>0</v>
      </c>
      <c r="BF70">
        <v>0</v>
      </c>
      <c r="BG70">
        <v>0</v>
      </c>
      <c r="BH70">
        <v>1850</v>
      </c>
      <c r="BI70">
        <v>0</v>
      </c>
      <c r="BJ70">
        <v>0</v>
      </c>
      <c r="BK70">
        <v>0</v>
      </c>
      <c r="BL70">
        <v>0</v>
      </c>
      <c r="BO70">
        <v>0</v>
      </c>
      <c r="BP70">
        <v>0</v>
      </c>
      <c r="BW70" t="str">
        <f>"18:35:47.360"</f>
        <v>18:35:47.360</v>
      </c>
      <c r="BZ70">
        <v>0</v>
      </c>
      <c r="CA70">
        <v>3488</v>
      </c>
      <c r="CB70">
        <v>216</v>
      </c>
      <c r="CC70">
        <v>583.59379999999999</v>
      </c>
      <c r="CD70">
        <v>1</v>
      </c>
      <c r="CE70">
        <v>1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2</v>
      </c>
      <c r="CL70">
        <v>0</v>
      </c>
      <c r="CM70">
        <v>2</v>
      </c>
      <c r="CN70">
        <v>0</v>
      </c>
      <c r="CO70">
        <v>5</v>
      </c>
      <c r="CP70" t="s">
        <v>119</v>
      </c>
      <c r="CQ70">
        <v>145</v>
      </c>
      <c r="CR70">
        <v>1</v>
      </c>
      <c r="CW70">
        <v>8857994</v>
      </c>
      <c r="CY70">
        <v>0</v>
      </c>
      <c r="CZ70">
        <v>0</v>
      </c>
      <c r="DA70">
        <v>1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</row>
    <row r="71" spans="1:113" x14ac:dyDescent="0.3">
      <c r="A71" t="str">
        <f>"02/13/2022 18:35:48.487"</f>
        <v>02/13/2022 18:35:48.487</v>
      </c>
      <c r="C71" t="str">
        <f t="shared" si="8"/>
        <v>FFDFD7C0</v>
      </c>
      <c r="D71" t="s">
        <v>113</v>
      </c>
      <c r="E71">
        <v>3</v>
      </c>
      <c r="F71">
        <v>1003</v>
      </c>
      <c r="G71" t="s">
        <v>114</v>
      </c>
      <c r="J71" t="s">
        <v>115</v>
      </c>
      <c r="K71">
        <v>0</v>
      </c>
      <c r="L71">
        <v>3</v>
      </c>
      <c r="M71">
        <v>0</v>
      </c>
      <c r="N71">
        <v>2</v>
      </c>
      <c r="O71">
        <v>1</v>
      </c>
      <c r="P71">
        <v>0</v>
      </c>
      <c r="Q71">
        <v>0</v>
      </c>
      <c r="S71" t="str">
        <f>"18:35:48.289"</f>
        <v>18:35:48.289</v>
      </c>
      <c r="T71" t="str">
        <f>"18:35:47.989"</f>
        <v>18:35:47.989</v>
      </c>
      <c r="U71" t="str">
        <f t="shared" si="6"/>
        <v>AAB6EE</v>
      </c>
      <c r="V71">
        <v>0</v>
      </c>
      <c r="W71">
        <v>0</v>
      </c>
      <c r="X71">
        <v>4</v>
      </c>
      <c r="Z71">
        <v>0</v>
      </c>
      <c r="AA71">
        <v>8</v>
      </c>
      <c r="AB71">
        <v>3</v>
      </c>
      <c r="AC71">
        <v>0</v>
      </c>
      <c r="AD71">
        <v>10</v>
      </c>
      <c r="AE71">
        <v>0</v>
      </c>
      <c r="AF71">
        <v>0</v>
      </c>
      <c r="AG71">
        <v>1</v>
      </c>
      <c r="AH71">
        <v>1</v>
      </c>
      <c r="AI71" t="s">
        <v>167</v>
      </c>
      <c r="AJ71">
        <v>35.553668000000002</v>
      </c>
      <c r="AK71" t="s">
        <v>168</v>
      </c>
      <c r="AL71">
        <v>-76.008847000000003</v>
      </c>
      <c r="AM71">
        <v>25</v>
      </c>
      <c r="AN71">
        <v>2025</v>
      </c>
      <c r="AO71" t="s">
        <v>118</v>
      </c>
      <c r="AP71">
        <v>-79</v>
      </c>
      <c r="AQ71">
        <v>-131</v>
      </c>
      <c r="AR71">
        <v>2048</v>
      </c>
      <c r="AZ71">
        <v>1200</v>
      </c>
      <c r="BA71">
        <v>1</v>
      </c>
      <c r="BB71" t="str">
        <f t="shared" si="9"/>
        <v xml:space="preserve">N79NX   </v>
      </c>
      <c r="BC71">
        <v>1</v>
      </c>
      <c r="BE71">
        <v>0</v>
      </c>
      <c r="BF71">
        <v>0</v>
      </c>
      <c r="BG71">
        <v>0</v>
      </c>
      <c r="BH71">
        <v>1875</v>
      </c>
      <c r="BI71">
        <v>0</v>
      </c>
      <c r="BJ71">
        <v>0</v>
      </c>
      <c r="BK71">
        <v>0</v>
      </c>
      <c r="BL71">
        <v>0</v>
      </c>
      <c r="BO71">
        <v>0</v>
      </c>
      <c r="BP71">
        <v>0</v>
      </c>
      <c r="BW71" t="str">
        <f>"18:35:48.290"</f>
        <v>18:35:48.290</v>
      </c>
      <c r="BZ71">
        <v>0</v>
      </c>
      <c r="CA71">
        <v>3488</v>
      </c>
      <c r="CB71">
        <v>216</v>
      </c>
      <c r="CC71">
        <v>583.59379999999999</v>
      </c>
      <c r="CD71">
        <v>1</v>
      </c>
      <c r="CE71">
        <v>1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2</v>
      </c>
      <c r="CL71">
        <v>0</v>
      </c>
      <c r="CM71">
        <v>2</v>
      </c>
      <c r="CN71">
        <v>0</v>
      </c>
      <c r="CO71">
        <v>5</v>
      </c>
      <c r="CP71" t="s">
        <v>119</v>
      </c>
      <c r="CQ71">
        <v>145</v>
      </c>
      <c r="CR71">
        <v>1</v>
      </c>
      <c r="CW71">
        <v>8858514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</row>
    <row r="72" spans="1:113" x14ac:dyDescent="0.3">
      <c r="A72" t="str">
        <f>"02/13/2022 18:35:48.487"</f>
        <v>02/13/2022 18:35:48.487</v>
      </c>
      <c r="C72" t="str">
        <f t="shared" si="8"/>
        <v>FFDFD7C0</v>
      </c>
      <c r="D72" t="s">
        <v>113</v>
      </c>
      <c r="E72">
        <v>4</v>
      </c>
      <c r="F72">
        <v>1004</v>
      </c>
      <c r="G72" t="s">
        <v>120</v>
      </c>
      <c r="J72" t="s">
        <v>115</v>
      </c>
      <c r="K72">
        <v>0</v>
      </c>
      <c r="L72">
        <v>3</v>
      </c>
      <c r="M72">
        <v>0</v>
      </c>
      <c r="N72">
        <v>2</v>
      </c>
      <c r="O72">
        <v>1</v>
      </c>
      <c r="P72">
        <v>0</v>
      </c>
      <c r="Q72">
        <v>0</v>
      </c>
      <c r="S72" t="str">
        <f>"18:35:48.289"</f>
        <v>18:35:48.289</v>
      </c>
      <c r="T72" t="str">
        <f>"18:35:47.989"</f>
        <v>18:35:47.989</v>
      </c>
      <c r="U72" t="str">
        <f t="shared" si="6"/>
        <v>AAB6EE</v>
      </c>
      <c r="V72">
        <v>0</v>
      </c>
      <c r="W72">
        <v>0</v>
      </c>
      <c r="X72">
        <v>4</v>
      </c>
      <c r="Z72">
        <v>0</v>
      </c>
      <c r="AA72">
        <v>8</v>
      </c>
      <c r="AB72">
        <v>3</v>
      </c>
      <c r="AC72">
        <v>0</v>
      </c>
      <c r="AD72">
        <v>10</v>
      </c>
      <c r="AE72">
        <v>0</v>
      </c>
      <c r="AF72">
        <v>0</v>
      </c>
      <c r="AG72">
        <v>1</v>
      </c>
      <c r="AH72">
        <v>1</v>
      </c>
      <c r="AI72" t="s">
        <v>167</v>
      </c>
      <c r="AJ72">
        <v>35.553668000000002</v>
      </c>
      <c r="AK72" t="s">
        <v>168</v>
      </c>
      <c r="AL72">
        <v>-76.008847000000003</v>
      </c>
      <c r="AM72">
        <v>25</v>
      </c>
      <c r="AN72">
        <v>2025</v>
      </c>
      <c r="AO72" t="s">
        <v>118</v>
      </c>
      <c r="AP72">
        <v>-79</v>
      </c>
      <c r="AQ72">
        <v>-131</v>
      </c>
      <c r="AR72">
        <v>2048</v>
      </c>
      <c r="AZ72">
        <v>1200</v>
      </c>
      <c r="BA72">
        <v>1</v>
      </c>
      <c r="BB72" t="str">
        <f t="shared" si="9"/>
        <v xml:space="preserve">N79NX   </v>
      </c>
      <c r="BC72">
        <v>1</v>
      </c>
      <c r="BE72">
        <v>0</v>
      </c>
      <c r="BF72">
        <v>0</v>
      </c>
      <c r="BG72">
        <v>0</v>
      </c>
      <c r="BH72">
        <v>1875</v>
      </c>
      <c r="BI72">
        <v>0</v>
      </c>
      <c r="BJ72">
        <v>0</v>
      </c>
      <c r="BK72">
        <v>0</v>
      </c>
      <c r="BL72">
        <v>0</v>
      </c>
      <c r="BO72">
        <v>0</v>
      </c>
      <c r="BP72">
        <v>0</v>
      </c>
      <c r="BW72" t="str">
        <f>"18:35:48.290"</f>
        <v>18:35:48.290</v>
      </c>
      <c r="BZ72">
        <v>0</v>
      </c>
      <c r="CA72">
        <v>3488</v>
      </c>
      <c r="CB72">
        <v>216</v>
      </c>
      <c r="CC72">
        <v>583.59379999999999</v>
      </c>
      <c r="CD72">
        <v>1</v>
      </c>
      <c r="CE72">
        <v>1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2</v>
      </c>
      <c r="CL72">
        <v>0</v>
      </c>
      <c r="CM72">
        <v>2</v>
      </c>
      <c r="CN72">
        <v>0</v>
      </c>
      <c r="CO72">
        <v>5</v>
      </c>
      <c r="CP72" t="s">
        <v>119</v>
      </c>
      <c r="CQ72">
        <v>145</v>
      </c>
      <c r="CR72">
        <v>1</v>
      </c>
      <c r="CW72">
        <v>8858514</v>
      </c>
      <c r="CY72">
        <v>0</v>
      </c>
      <c r="CZ72">
        <v>0</v>
      </c>
      <c r="DA72">
        <v>1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</row>
    <row r="73" spans="1:113" x14ac:dyDescent="0.3">
      <c r="A73" t="str">
        <f>"02/13/2022 18:35:48.518"</f>
        <v>02/13/2022 18:35:48.518</v>
      </c>
      <c r="C73" t="str">
        <f t="shared" si="8"/>
        <v>FFDFD7C0</v>
      </c>
      <c r="D73" t="s">
        <v>121</v>
      </c>
      <c r="E73">
        <v>2</v>
      </c>
      <c r="H73">
        <v>158</v>
      </c>
      <c r="I73" t="s">
        <v>120</v>
      </c>
      <c r="J73" t="s">
        <v>122</v>
      </c>
      <c r="K73">
        <v>0</v>
      </c>
      <c r="L73">
        <v>3</v>
      </c>
      <c r="M73">
        <v>0</v>
      </c>
      <c r="N73">
        <v>2</v>
      </c>
      <c r="O73">
        <v>1</v>
      </c>
      <c r="P73">
        <v>0</v>
      </c>
      <c r="Q73">
        <v>0</v>
      </c>
      <c r="S73" t="str">
        <f>"18:35:48.289"</f>
        <v>18:35:48.289</v>
      </c>
      <c r="T73" t="str">
        <f>"18:35:47.989"</f>
        <v>18:35:47.989</v>
      </c>
      <c r="U73" t="str">
        <f t="shared" si="6"/>
        <v>AAB6EE</v>
      </c>
      <c r="V73">
        <v>0</v>
      </c>
      <c r="W73">
        <v>0</v>
      </c>
      <c r="X73">
        <v>4</v>
      </c>
      <c r="Z73">
        <v>0</v>
      </c>
      <c r="AA73">
        <v>8</v>
      </c>
      <c r="AB73">
        <v>3</v>
      </c>
      <c r="AC73">
        <v>0</v>
      </c>
      <c r="AD73">
        <v>10</v>
      </c>
      <c r="AE73">
        <v>0</v>
      </c>
      <c r="AF73">
        <v>0</v>
      </c>
      <c r="AG73">
        <v>1</v>
      </c>
      <c r="AH73">
        <v>1</v>
      </c>
      <c r="AI73" t="s">
        <v>167</v>
      </c>
      <c r="AJ73">
        <v>35.553668000000002</v>
      </c>
      <c r="AK73" t="s">
        <v>168</v>
      </c>
      <c r="AL73">
        <v>-76.008847000000003</v>
      </c>
      <c r="AM73">
        <v>25</v>
      </c>
      <c r="AN73">
        <v>2025</v>
      </c>
      <c r="AO73" t="s">
        <v>118</v>
      </c>
      <c r="AP73">
        <v>-79</v>
      </c>
      <c r="AQ73">
        <v>-131</v>
      </c>
      <c r="AR73">
        <v>2048</v>
      </c>
      <c r="AZ73">
        <v>1200</v>
      </c>
      <c r="BA73">
        <v>1</v>
      </c>
      <c r="BB73" t="str">
        <f t="shared" si="9"/>
        <v xml:space="preserve">N79NX   </v>
      </c>
      <c r="BC73">
        <v>1</v>
      </c>
      <c r="BE73">
        <v>0</v>
      </c>
      <c r="BF73">
        <v>0</v>
      </c>
      <c r="BG73">
        <v>0</v>
      </c>
      <c r="BH73">
        <v>1875</v>
      </c>
      <c r="BI73">
        <v>0</v>
      </c>
      <c r="BJ73">
        <v>0</v>
      </c>
      <c r="BK73">
        <v>0</v>
      </c>
      <c r="BL73">
        <v>0</v>
      </c>
      <c r="BO73">
        <v>0</v>
      </c>
      <c r="BP73">
        <v>0</v>
      </c>
      <c r="BW73" t="str">
        <f>"18:35:48.290"</f>
        <v>18:35:48.290</v>
      </c>
      <c r="BZ73">
        <v>0</v>
      </c>
      <c r="CA73">
        <v>3488</v>
      </c>
      <c r="CB73">
        <v>216</v>
      </c>
      <c r="CC73">
        <v>583.59379999999999</v>
      </c>
      <c r="CD73">
        <v>1</v>
      </c>
      <c r="CE73">
        <v>1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2</v>
      </c>
      <c r="CL73">
        <v>0</v>
      </c>
      <c r="CM73">
        <v>2</v>
      </c>
      <c r="CN73">
        <v>0</v>
      </c>
      <c r="CO73">
        <v>5</v>
      </c>
      <c r="CP73" t="s">
        <v>119</v>
      </c>
      <c r="CQ73">
        <v>145</v>
      </c>
      <c r="CR73">
        <v>1</v>
      </c>
      <c r="CW73">
        <v>8858514</v>
      </c>
      <c r="CY73">
        <v>0</v>
      </c>
      <c r="CZ73">
        <v>0</v>
      </c>
      <c r="DA73">
        <v>1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</row>
    <row r="74" spans="1:113" x14ac:dyDescent="0.3">
      <c r="A74" t="str">
        <f>"02/13/2022 18:35:49.426"</f>
        <v>02/13/2022 18:35:49.426</v>
      </c>
      <c r="C74" t="str">
        <f t="shared" si="8"/>
        <v>FFDFD7C0</v>
      </c>
      <c r="D74" t="s">
        <v>113</v>
      </c>
      <c r="E74">
        <v>3</v>
      </c>
      <c r="F74">
        <v>1003</v>
      </c>
      <c r="G74" t="s">
        <v>114</v>
      </c>
      <c r="J74" t="s">
        <v>115</v>
      </c>
      <c r="K74">
        <v>0</v>
      </c>
      <c r="L74">
        <v>3</v>
      </c>
      <c r="M74">
        <v>0</v>
      </c>
      <c r="N74">
        <v>2</v>
      </c>
      <c r="O74">
        <v>1</v>
      </c>
      <c r="P74">
        <v>0</v>
      </c>
      <c r="Q74">
        <v>0</v>
      </c>
      <c r="S74" t="str">
        <f>"18:35:49.227"</f>
        <v>18:35:49.227</v>
      </c>
      <c r="T74" t="str">
        <f>"18:35:49.027"</f>
        <v>18:35:49.027</v>
      </c>
      <c r="U74" t="str">
        <f t="shared" si="6"/>
        <v>AAB6EE</v>
      </c>
      <c r="V74">
        <v>0</v>
      </c>
      <c r="W74">
        <v>0</v>
      </c>
      <c r="X74">
        <v>4</v>
      </c>
      <c r="Z74">
        <v>0</v>
      </c>
      <c r="AA74">
        <v>8</v>
      </c>
      <c r="AB74">
        <v>3</v>
      </c>
      <c r="AC74">
        <v>0</v>
      </c>
      <c r="AD74">
        <v>10</v>
      </c>
      <c r="AE74">
        <v>0</v>
      </c>
      <c r="AF74">
        <v>0</v>
      </c>
      <c r="AG74">
        <v>1</v>
      </c>
      <c r="AH74">
        <v>1</v>
      </c>
      <c r="AI74" t="s">
        <v>169</v>
      </c>
      <c r="AJ74">
        <v>35.553066999999999</v>
      </c>
      <c r="AK74" t="s">
        <v>170</v>
      </c>
      <c r="AL74">
        <v>-76.009253999999999</v>
      </c>
      <c r="AM74">
        <v>25</v>
      </c>
      <c r="AN74">
        <v>2050</v>
      </c>
      <c r="AO74" t="s">
        <v>118</v>
      </c>
      <c r="AP74">
        <v>-79</v>
      </c>
      <c r="AQ74">
        <v>-130</v>
      </c>
      <c r="AR74">
        <v>2048</v>
      </c>
      <c r="AZ74">
        <v>1200</v>
      </c>
      <c r="BA74">
        <v>1</v>
      </c>
      <c r="BB74" t="str">
        <f t="shared" si="9"/>
        <v xml:space="preserve">N79NX   </v>
      </c>
      <c r="BC74">
        <v>1</v>
      </c>
      <c r="BE74">
        <v>0</v>
      </c>
      <c r="BF74">
        <v>0</v>
      </c>
      <c r="BG74">
        <v>0</v>
      </c>
      <c r="BH74">
        <v>1900</v>
      </c>
      <c r="BI74">
        <v>0</v>
      </c>
      <c r="BJ74">
        <v>0</v>
      </c>
      <c r="BK74">
        <v>0</v>
      </c>
      <c r="BL74">
        <v>0</v>
      </c>
      <c r="BO74">
        <v>0</v>
      </c>
      <c r="BP74">
        <v>0</v>
      </c>
      <c r="BW74" t="str">
        <f>"18:35:49.230"</f>
        <v>18:35:49.230</v>
      </c>
      <c r="BZ74">
        <v>0</v>
      </c>
      <c r="CA74">
        <v>3488</v>
      </c>
      <c r="CB74">
        <v>216</v>
      </c>
      <c r="CC74">
        <v>583.59379999999999</v>
      </c>
      <c r="CD74">
        <v>1</v>
      </c>
      <c r="CE74">
        <v>1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2</v>
      </c>
      <c r="CL74">
        <v>0</v>
      </c>
      <c r="CM74">
        <v>2</v>
      </c>
      <c r="CN74">
        <v>0</v>
      </c>
      <c r="CO74">
        <v>5</v>
      </c>
      <c r="CP74" t="s">
        <v>119</v>
      </c>
      <c r="CQ74">
        <v>145</v>
      </c>
      <c r="CR74">
        <v>1</v>
      </c>
      <c r="CW74">
        <v>8859024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</row>
    <row r="75" spans="1:113" x14ac:dyDescent="0.3">
      <c r="A75" t="str">
        <f>"02/13/2022 18:35:49.426"</f>
        <v>02/13/2022 18:35:49.426</v>
      </c>
      <c r="C75" t="str">
        <f t="shared" si="8"/>
        <v>FFDFD7C0</v>
      </c>
      <c r="D75" t="s">
        <v>113</v>
      </c>
      <c r="E75">
        <v>4</v>
      </c>
      <c r="F75">
        <v>1004</v>
      </c>
      <c r="G75" t="s">
        <v>120</v>
      </c>
      <c r="J75" t="s">
        <v>115</v>
      </c>
      <c r="K75">
        <v>0</v>
      </c>
      <c r="L75">
        <v>3</v>
      </c>
      <c r="M75">
        <v>0</v>
      </c>
      <c r="N75">
        <v>2</v>
      </c>
      <c r="O75">
        <v>1</v>
      </c>
      <c r="P75">
        <v>0</v>
      </c>
      <c r="Q75">
        <v>0</v>
      </c>
      <c r="S75" t="str">
        <f>"18:35:49.227"</f>
        <v>18:35:49.227</v>
      </c>
      <c r="T75" t="str">
        <f>"18:35:49.027"</f>
        <v>18:35:49.027</v>
      </c>
      <c r="U75" t="str">
        <f t="shared" si="6"/>
        <v>AAB6EE</v>
      </c>
      <c r="V75">
        <v>0</v>
      </c>
      <c r="W75">
        <v>0</v>
      </c>
      <c r="X75">
        <v>4</v>
      </c>
      <c r="Z75">
        <v>0</v>
      </c>
      <c r="AA75">
        <v>8</v>
      </c>
      <c r="AB75">
        <v>3</v>
      </c>
      <c r="AC75">
        <v>0</v>
      </c>
      <c r="AD75">
        <v>10</v>
      </c>
      <c r="AE75">
        <v>0</v>
      </c>
      <c r="AF75">
        <v>0</v>
      </c>
      <c r="AG75">
        <v>1</v>
      </c>
      <c r="AH75">
        <v>1</v>
      </c>
      <c r="AI75" t="s">
        <v>169</v>
      </c>
      <c r="AJ75">
        <v>35.553066999999999</v>
      </c>
      <c r="AK75" t="s">
        <v>170</v>
      </c>
      <c r="AL75">
        <v>-76.009253999999999</v>
      </c>
      <c r="AM75">
        <v>25</v>
      </c>
      <c r="AN75">
        <v>2050</v>
      </c>
      <c r="AO75" t="s">
        <v>118</v>
      </c>
      <c r="AP75">
        <v>-79</v>
      </c>
      <c r="AQ75">
        <v>-130</v>
      </c>
      <c r="AR75">
        <v>2048</v>
      </c>
      <c r="AZ75">
        <v>1200</v>
      </c>
      <c r="BA75">
        <v>1</v>
      </c>
      <c r="BB75" t="str">
        <f t="shared" si="9"/>
        <v xml:space="preserve">N79NX   </v>
      </c>
      <c r="BC75">
        <v>1</v>
      </c>
      <c r="BE75">
        <v>0</v>
      </c>
      <c r="BF75">
        <v>0</v>
      </c>
      <c r="BG75">
        <v>0</v>
      </c>
      <c r="BH75">
        <v>1900</v>
      </c>
      <c r="BI75">
        <v>0</v>
      </c>
      <c r="BJ75">
        <v>0</v>
      </c>
      <c r="BK75">
        <v>0</v>
      </c>
      <c r="BL75">
        <v>0</v>
      </c>
      <c r="BO75">
        <v>0</v>
      </c>
      <c r="BP75">
        <v>0</v>
      </c>
      <c r="BW75" t="str">
        <f>"18:35:49.230"</f>
        <v>18:35:49.230</v>
      </c>
      <c r="BZ75">
        <v>0</v>
      </c>
      <c r="CA75">
        <v>3488</v>
      </c>
      <c r="CB75">
        <v>216</v>
      </c>
      <c r="CC75">
        <v>583.59379999999999</v>
      </c>
      <c r="CD75">
        <v>1</v>
      </c>
      <c r="CE75">
        <v>1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2</v>
      </c>
      <c r="CL75">
        <v>0</v>
      </c>
      <c r="CM75">
        <v>2</v>
      </c>
      <c r="CN75">
        <v>0</v>
      </c>
      <c r="CO75">
        <v>5</v>
      </c>
      <c r="CP75" t="s">
        <v>119</v>
      </c>
      <c r="CQ75">
        <v>145</v>
      </c>
      <c r="CR75">
        <v>1</v>
      </c>
      <c r="CW75">
        <v>8859024</v>
      </c>
      <c r="CY75">
        <v>0</v>
      </c>
      <c r="CZ75">
        <v>0</v>
      </c>
      <c r="DA75">
        <v>1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</row>
    <row r="76" spans="1:113" x14ac:dyDescent="0.3">
      <c r="A76" t="str">
        <f>"02/13/2022 18:35:49.426"</f>
        <v>02/13/2022 18:35:49.426</v>
      </c>
      <c r="C76" t="str">
        <f t="shared" si="8"/>
        <v>FFDFD7C0</v>
      </c>
      <c r="D76" t="s">
        <v>121</v>
      </c>
      <c r="E76">
        <v>2</v>
      </c>
      <c r="H76">
        <v>158</v>
      </c>
      <c r="I76" t="s">
        <v>120</v>
      </c>
      <c r="J76" t="s">
        <v>122</v>
      </c>
      <c r="K76">
        <v>0</v>
      </c>
      <c r="L76">
        <v>3</v>
      </c>
      <c r="M76">
        <v>0</v>
      </c>
      <c r="N76">
        <v>2</v>
      </c>
      <c r="O76">
        <v>1</v>
      </c>
      <c r="P76">
        <v>0</v>
      </c>
      <c r="Q76">
        <v>0</v>
      </c>
      <c r="S76" t="str">
        <f>"18:35:49.227"</f>
        <v>18:35:49.227</v>
      </c>
      <c r="T76" t="str">
        <f>"18:35:49.027"</f>
        <v>18:35:49.027</v>
      </c>
      <c r="U76" t="str">
        <f t="shared" si="6"/>
        <v>AAB6EE</v>
      </c>
      <c r="V76">
        <v>0</v>
      </c>
      <c r="W76">
        <v>0</v>
      </c>
      <c r="X76">
        <v>4</v>
      </c>
      <c r="Z76">
        <v>0</v>
      </c>
      <c r="AA76">
        <v>8</v>
      </c>
      <c r="AB76">
        <v>3</v>
      </c>
      <c r="AC76">
        <v>0</v>
      </c>
      <c r="AD76">
        <v>10</v>
      </c>
      <c r="AE76">
        <v>0</v>
      </c>
      <c r="AF76">
        <v>0</v>
      </c>
      <c r="AG76">
        <v>1</v>
      </c>
      <c r="AH76">
        <v>1</v>
      </c>
      <c r="AI76" t="s">
        <v>169</v>
      </c>
      <c r="AJ76">
        <v>35.553066999999999</v>
      </c>
      <c r="AK76" t="s">
        <v>170</v>
      </c>
      <c r="AL76">
        <v>-76.009253999999999</v>
      </c>
      <c r="AM76">
        <v>25</v>
      </c>
      <c r="AN76">
        <v>2050</v>
      </c>
      <c r="AO76" t="s">
        <v>118</v>
      </c>
      <c r="AP76">
        <v>-79</v>
      </c>
      <c r="AQ76">
        <v>-130</v>
      </c>
      <c r="AR76">
        <v>2048</v>
      </c>
      <c r="AZ76">
        <v>1200</v>
      </c>
      <c r="BA76">
        <v>1</v>
      </c>
      <c r="BB76" t="str">
        <f t="shared" si="9"/>
        <v xml:space="preserve">N79NX   </v>
      </c>
      <c r="BC76">
        <v>1</v>
      </c>
      <c r="BE76">
        <v>0</v>
      </c>
      <c r="BF76">
        <v>0</v>
      </c>
      <c r="BG76">
        <v>0</v>
      </c>
      <c r="BH76">
        <v>1900</v>
      </c>
      <c r="BI76">
        <v>0</v>
      </c>
      <c r="BJ76">
        <v>0</v>
      </c>
      <c r="BK76">
        <v>0</v>
      </c>
      <c r="BL76">
        <v>0</v>
      </c>
      <c r="BO76">
        <v>0</v>
      </c>
      <c r="BP76">
        <v>0</v>
      </c>
      <c r="BW76" t="str">
        <f>"18:35:49.230"</f>
        <v>18:35:49.230</v>
      </c>
      <c r="BZ76">
        <v>0</v>
      </c>
      <c r="CA76">
        <v>3488</v>
      </c>
      <c r="CB76">
        <v>216</v>
      </c>
      <c r="CC76">
        <v>583.59379999999999</v>
      </c>
      <c r="CD76">
        <v>1</v>
      </c>
      <c r="CE76">
        <v>1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2</v>
      </c>
      <c r="CL76">
        <v>0</v>
      </c>
      <c r="CM76">
        <v>2</v>
      </c>
      <c r="CN76">
        <v>0</v>
      </c>
      <c r="CO76">
        <v>5</v>
      </c>
      <c r="CP76" t="s">
        <v>119</v>
      </c>
      <c r="CQ76">
        <v>145</v>
      </c>
      <c r="CR76">
        <v>1</v>
      </c>
      <c r="CW76">
        <v>8859024</v>
      </c>
      <c r="CY76">
        <v>0</v>
      </c>
      <c r="CZ76">
        <v>0</v>
      </c>
      <c r="DA76">
        <v>1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</row>
    <row r="77" spans="1:113" x14ac:dyDescent="0.3">
      <c r="A77" t="str">
        <f>"02/13/2022 18:35:50.319"</f>
        <v>02/13/2022 18:35:50.319</v>
      </c>
      <c r="C77" t="str">
        <f t="shared" si="8"/>
        <v>FFDFD7C0</v>
      </c>
      <c r="D77" t="s">
        <v>113</v>
      </c>
      <c r="E77">
        <v>3</v>
      </c>
      <c r="F77">
        <v>1003</v>
      </c>
      <c r="G77" t="s">
        <v>114</v>
      </c>
      <c r="J77" t="s">
        <v>115</v>
      </c>
      <c r="K77">
        <v>0</v>
      </c>
      <c r="L77">
        <v>3</v>
      </c>
      <c r="M77">
        <v>0</v>
      </c>
      <c r="N77">
        <v>2</v>
      </c>
      <c r="O77">
        <v>1</v>
      </c>
      <c r="P77">
        <v>0</v>
      </c>
      <c r="Q77">
        <v>0</v>
      </c>
      <c r="S77" t="str">
        <f>"18:35:50.055"</f>
        <v>18:35:50.055</v>
      </c>
      <c r="T77" t="str">
        <f>"18:35:49.555"</f>
        <v>18:35:49.555</v>
      </c>
      <c r="U77" t="str">
        <f t="shared" si="6"/>
        <v>AAB6EE</v>
      </c>
      <c r="V77">
        <v>0</v>
      </c>
      <c r="W77">
        <v>0</v>
      </c>
      <c r="X77">
        <v>4</v>
      </c>
      <c r="Z77">
        <v>0</v>
      </c>
      <c r="AA77">
        <v>8</v>
      </c>
      <c r="AB77">
        <v>3</v>
      </c>
      <c r="AC77">
        <v>0</v>
      </c>
      <c r="AD77">
        <v>10</v>
      </c>
      <c r="AE77">
        <v>0</v>
      </c>
      <c r="AF77">
        <v>0</v>
      </c>
      <c r="AG77">
        <v>1</v>
      </c>
      <c r="AH77">
        <v>1</v>
      </c>
      <c r="AI77" t="s">
        <v>171</v>
      </c>
      <c r="AJ77">
        <v>35.552594999999997</v>
      </c>
      <c r="AK77" t="s">
        <v>172</v>
      </c>
      <c r="AL77">
        <v>-76.009619000000001</v>
      </c>
      <c r="AM77">
        <v>25</v>
      </c>
      <c r="AN77">
        <v>2100</v>
      </c>
      <c r="AO77" t="s">
        <v>118</v>
      </c>
      <c r="AP77">
        <v>-79</v>
      </c>
      <c r="AQ77">
        <v>-130</v>
      </c>
      <c r="AR77">
        <v>2048</v>
      </c>
      <c r="AZ77">
        <v>1200</v>
      </c>
      <c r="BA77">
        <v>1</v>
      </c>
      <c r="BB77" t="str">
        <f t="shared" si="9"/>
        <v xml:space="preserve">N79NX   </v>
      </c>
      <c r="BC77">
        <v>1</v>
      </c>
      <c r="BE77">
        <v>0</v>
      </c>
      <c r="BF77">
        <v>0</v>
      </c>
      <c r="BG77">
        <v>0</v>
      </c>
      <c r="BH77">
        <v>1925</v>
      </c>
      <c r="BI77">
        <v>0</v>
      </c>
      <c r="BJ77">
        <v>0</v>
      </c>
      <c r="BK77">
        <v>0</v>
      </c>
      <c r="BL77">
        <v>0</v>
      </c>
      <c r="BO77">
        <v>0</v>
      </c>
      <c r="BP77">
        <v>0</v>
      </c>
      <c r="BW77" t="str">
        <f>"18:35:50.060"</f>
        <v>18:35:50.060</v>
      </c>
      <c r="BZ77">
        <v>0</v>
      </c>
      <c r="CA77">
        <v>3488</v>
      </c>
      <c r="CB77">
        <v>216</v>
      </c>
      <c r="CC77">
        <v>583.59379999999999</v>
      </c>
      <c r="CD77">
        <v>1</v>
      </c>
      <c r="CE77">
        <v>1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2</v>
      </c>
      <c r="CL77">
        <v>0</v>
      </c>
      <c r="CM77">
        <v>2</v>
      </c>
      <c r="CN77">
        <v>0</v>
      </c>
      <c r="CO77">
        <v>6</v>
      </c>
      <c r="CP77" t="s">
        <v>119</v>
      </c>
      <c r="CQ77">
        <v>145</v>
      </c>
      <c r="CR77">
        <v>1</v>
      </c>
      <c r="CW77">
        <v>8859351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</row>
    <row r="78" spans="1:113" x14ac:dyDescent="0.3">
      <c r="A78" t="str">
        <f>"02/13/2022 18:35:50.319"</f>
        <v>02/13/2022 18:35:50.319</v>
      </c>
      <c r="C78" t="str">
        <f t="shared" si="8"/>
        <v>FFDFD7C0</v>
      </c>
      <c r="D78" t="s">
        <v>113</v>
      </c>
      <c r="E78">
        <v>4</v>
      </c>
      <c r="F78">
        <v>1004</v>
      </c>
      <c r="G78" t="s">
        <v>120</v>
      </c>
      <c r="J78" t="s">
        <v>115</v>
      </c>
      <c r="K78">
        <v>0</v>
      </c>
      <c r="L78">
        <v>3</v>
      </c>
      <c r="M78">
        <v>0</v>
      </c>
      <c r="N78">
        <v>2</v>
      </c>
      <c r="O78">
        <v>1</v>
      </c>
      <c r="P78">
        <v>0</v>
      </c>
      <c r="Q78">
        <v>0</v>
      </c>
      <c r="S78" t="str">
        <f>"18:35:50.055"</f>
        <v>18:35:50.055</v>
      </c>
      <c r="T78" t="str">
        <f>"18:35:49.555"</f>
        <v>18:35:49.555</v>
      </c>
      <c r="U78" t="str">
        <f t="shared" si="6"/>
        <v>AAB6EE</v>
      </c>
      <c r="V78">
        <v>0</v>
      </c>
      <c r="W78">
        <v>0</v>
      </c>
      <c r="X78">
        <v>4</v>
      </c>
      <c r="Z78">
        <v>0</v>
      </c>
      <c r="AA78">
        <v>8</v>
      </c>
      <c r="AB78">
        <v>3</v>
      </c>
      <c r="AC78">
        <v>0</v>
      </c>
      <c r="AD78">
        <v>10</v>
      </c>
      <c r="AE78">
        <v>0</v>
      </c>
      <c r="AF78">
        <v>0</v>
      </c>
      <c r="AG78">
        <v>1</v>
      </c>
      <c r="AH78">
        <v>1</v>
      </c>
      <c r="AI78" t="s">
        <v>171</v>
      </c>
      <c r="AJ78">
        <v>35.552594999999997</v>
      </c>
      <c r="AK78" t="s">
        <v>172</v>
      </c>
      <c r="AL78">
        <v>-76.009619000000001</v>
      </c>
      <c r="AM78">
        <v>25</v>
      </c>
      <c r="AN78">
        <v>2100</v>
      </c>
      <c r="AO78" t="s">
        <v>118</v>
      </c>
      <c r="AP78">
        <v>-79</v>
      </c>
      <c r="AQ78">
        <v>-130</v>
      </c>
      <c r="AR78">
        <v>2048</v>
      </c>
      <c r="AZ78">
        <v>1200</v>
      </c>
      <c r="BA78">
        <v>1</v>
      </c>
      <c r="BB78" t="str">
        <f t="shared" si="9"/>
        <v xml:space="preserve">N79NX   </v>
      </c>
      <c r="BC78">
        <v>1</v>
      </c>
      <c r="BE78">
        <v>0</v>
      </c>
      <c r="BF78">
        <v>0</v>
      </c>
      <c r="BG78">
        <v>0</v>
      </c>
      <c r="BH78">
        <v>1925</v>
      </c>
      <c r="BI78">
        <v>0</v>
      </c>
      <c r="BJ78">
        <v>0</v>
      </c>
      <c r="BK78">
        <v>0</v>
      </c>
      <c r="BL78">
        <v>0</v>
      </c>
      <c r="BO78">
        <v>0</v>
      </c>
      <c r="BP78">
        <v>0</v>
      </c>
      <c r="BW78" t="str">
        <f>"18:35:50.060"</f>
        <v>18:35:50.060</v>
      </c>
      <c r="BZ78">
        <v>0</v>
      </c>
      <c r="CA78">
        <v>3488</v>
      </c>
      <c r="CB78">
        <v>216</v>
      </c>
      <c r="CC78">
        <v>583.59379999999999</v>
      </c>
      <c r="CD78">
        <v>1</v>
      </c>
      <c r="CE78">
        <v>1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2</v>
      </c>
      <c r="CL78">
        <v>0</v>
      </c>
      <c r="CM78">
        <v>2</v>
      </c>
      <c r="CN78">
        <v>0</v>
      </c>
      <c r="CO78">
        <v>6</v>
      </c>
      <c r="CP78" t="s">
        <v>119</v>
      </c>
      <c r="CQ78">
        <v>145</v>
      </c>
      <c r="CR78">
        <v>1</v>
      </c>
      <c r="CW78">
        <v>8859351</v>
      </c>
      <c r="CY78">
        <v>0</v>
      </c>
      <c r="CZ78">
        <v>0</v>
      </c>
      <c r="DA78">
        <v>1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</row>
    <row r="79" spans="1:113" x14ac:dyDescent="0.3">
      <c r="A79" t="str">
        <f>"02/13/2022 18:35:50.319"</f>
        <v>02/13/2022 18:35:50.319</v>
      </c>
      <c r="C79" t="str">
        <f t="shared" si="8"/>
        <v>FFDFD7C0</v>
      </c>
      <c r="D79" t="s">
        <v>121</v>
      </c>
      <c r="E79">
        <v>2</v>
      </c>
      <c r="H79">
        <v>158</v>
      </c>
      <c r="I79" t="s">
        <v>120</v>
      </c>
      <c r="J79" t="s">
        <v>122</v>
      </c>
      <c r="K79">
        <v>0</v>
      </c>
      <c r="L79">
        <v>3</v>
      </c>
      <c r="M79">
        <v>0</v>
      </c>
      <c r="N79">
        <v>2</v>
      </c>
      <c r="O79">
        <v>1</v>
      </c>
      <c r="P79">
        <v>0</v>
      </c>
      <c r="Q79">
        <v>0</v>
      </c>
      <c r="S79" t="str">
        <f>"18:35:50.055"</f>
        <v>18:35:50.055</v>
      </c>
      <c r="T79" t="str">
        <f>"18:35:49.555"</f>
        <v>18:35:49.555</v>
      </c>
      <c r="U79" t="str">
        <f t="shared" si="6"/>
        <v>AAB6EE</v>
      </c>
      <c r="V79">
        <v>0</v>
      </c>
      <c r="W79">
        <v>0</v>
      </c>
      <c r="X79">
        <v>4</v>
      </c>
      <c r="Z79">
        <v>0</v>
      </c>
      <c r="AA79">
        <v>8</v>
      </c>
      <c r="AB79">
        <v>3</v>
      </c>
      <c r="AC79">
        <v>0</v>
      </c>
      <c r="AD79">
        <v>10</v>
      </c>
      <c r="AE79">
        <v>0</v>
      </c>
      <c r="AF79">
        <v>0</v>
      </c>
      <c r="AG79">
        <v>1</v>
      </c>
      <c r="AH79">
        <v>1</v>
      </c>
      <c r="AI79" t="s">
        <v>171</v>
      </c>
      <c r="AJ79">
        <v>35.552594999999997</v>
      </c>
      <c r="AK79" t="s">
        <v>172</v>
      </c>
      <c r="AL79">
        <v>-76.009619000000001</v>
      </c>
      <c r="AM79">
        <v>25</v>
      </c>
      <c r="AN79">
        <v>2100</v>
      </c>
      <c r="AO79" t="s">
        <v>118</v>
      </c>
      <c r="AP79">
        <v>-79</v>
      </c>
      <c r="AQ79">
        <v>-130</v>
      </c>
      <c r="AR79">
        <v>2048</v>
      </c>
      <c r="AZ79">
        <v>1200</v>
      </c>
      <c r="BA79">
        <v>1</v>
      </c>
      <c r="BB79" t="str">
        <f t="shared" si="9"/>
        <v xml:space="preserve">N79NX   </v>
      </c>
      <c r="BC79">
        <v>1</v>
      </c>
      <c r="BE79">
        <v>0</v>
      </c>
      <c r="BF79">
        <v>0</v>
      </c>
      <c r="BG79">
        <v>0</v>
      </c>
      <c r="BH79">
        <v>1925</v>
      </c>
      <c r="BI79">
        <v>0</v>
      </c>
      <c r="BJ79">
        <v>0</v>
      </c>
      <c r="BK79">
        <v>0</v>
      </c>
      <c r="BL79">
        <v>0</v>
      </c>
      <c r="BO79">
        <v>0</v>
      </c>
      <c r="BP79">
        <v>0</v>
      </c>
      <c r="BW79" t="str">
        <f>"18:35:50.060"</f>
        <v>18:35:50.060</v>
      </c>
      <c r="BZ79">
        <v>0</v>
      </c>
      <c r="CA79">
        <v>3488</v>
      </c>
      <c r="CB79">
        <v>216</v>
      </c>
      <c r="CC79">
        <v>583.59379999999999</v>
      </c>
      <c r="CD79">
        <v>1</v>
      </c>
      <c r="CE79">
        <v>1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2</v>
      </c>
      <c r="CL79">
        <v>0</v>
      </c>
      <c r="CM79">
        <v>2</v>
      </c>
      <c r="CN79">
        <v>0</v>
      </c>
      <c r="CO79">
        <v>6</v>
      </c>
      <c r="CP79" t="s">
        <v>119</v>
      </c>
      <c r="CQ79">
        <v>145</v>
      </c>
      <c r="CR79">
        <v>1</v>
      </c>
      <c r="CW79">
        <v>8859351</v>
      </c>
      <c r="CY79">
        <v>0</v>
      </c>
      <c r="CZ79">
        <v>0</v>
      </c>
      <c r="DA79">
        <v>1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</row>
    <row r="80" spans="1:113" x14ac:dyDescent="0.3">
      <c r="A80" t="str">
        <f>"02/13/2022 18:35:51.381"</f>
        <v>02/13/2022 18:35:51.381</v>
      </c>
      <c r="C80" t="str">
        <f t="shared" si="8"/>
        <v>FFDFD7C0</v>
      </c>
      <c r="D80" t="s">
        <v>113</v>
      </c>
      <c r="E80">
        <v>3</v>
      </c>
      <c r="F80">
        <v>1003</v>
      </c>
      <c r="G80" t="s">
        <v>114</v>
      </c>
      <c r="J80" t="s">
        <v>115</v>
      </c>
      <c r="K80">
        <v>0</v>
      </c>
      <c r="L80">
        <v>3</v>
      </c>
      <c r="M80">
        <v>0</v>
      </c>
      <c r="N80">
        <v>2</v>
      </c>
      <c r="O80">
        <v>1</v>
      </c>
      <c r="P80">
        <v>0</v>
      </c>
      <c r="Q80">
        <v>0</v>
      </c>
      <c r="S80" t="str">
        <f>"18:35:51.109"</f>
        <v>18:35:51.109</v>
      </c>
      <c r="T80" t="str">
        <f>"18:35:50.109"</f>
        <v>18:35:50.109</v>
      </c>
      <c r="U80" t="str">
        <f t="shared" si="6"/>
        <v>AAB6EE</v>
      </c>
      <c r="V80">
        <v>0</v>
      </c>
      <c r="W80">
        <v>0</v>
      </c>
      <c r="X80">
        <v>4</v>
      </c>
      <c r="Z80">
        <v>0</v>
      </c>
      <c r="AA80">
        <v>8</v>
      </c>
      <c r="AB80">
        <v>3</v>
      </c>
      <c r="AC80">
        <v>0</v>
      </c>
      <c r="AD80">
        <v>10</v>
      </c>
      <c r="AE80">
        <v>0</v>
      </c>
      <c r="AF80">
        <v>0</v>
      </c>
      <c r="AG80">
        <v>1</v>
      </c>
      <c r="AH80">
        <v>1</v>
      </c>
      <c r="AI80" t="s">
        <v>173</v>
      </c>
      <c r="AJ80">
        <v>35.551951000000003</v>
      </c>
      <c r="AK80" t="s">
        <v>174</v>
      </c>
      <c r="AL80">
        <v>-76.010113000000004</v>
      </c>
      <c r="AM80">
        <v>25</v>
      </c>
      <c r="AN80">
        <v>2125</v>
      </c>
      <c r="AO80" t="s">
        <v>118</v>
      </c>
      <c r="AP80">
        <v>-79</v>
      </c>
      <c r="AQ80">
        <v>-130</v>
      </c>
      <c r="AR80">
        <v>2112</v>
      </c>
      <c r="AZ80">
        <v>1200</v>
      </c>
      <c r="BA80">
        <v>1</v>
      </c>
      <c r="BB80" t="str">
        <f t="shared" si="9"/>
        <v xml:space="preserve">N79NX   </v>
      </c>
      <c r="BC80">
        <v>1</v>
      </c>
      <c r="BE80">
        <v>0</v>
      </c>
      <c r="BF80">
        <v>0</v>
      </c>
      <c r="BG80">
        <v>0</v>
      </c>
      <c r="BH80">
        <v>1975</v>
      </c>
      <c r="BI80">
        <v>0</v>
      </c>
      <c r="BJ80">
        <v>0</v>
      </c>
      <c r="BK80">
        <v>0</v>
      </c>
      <c r="BL80">
        <v>0</v>
      </c>
      <c r="BO80">
        <v>0</v>
      </c>
      <c r="BP80">
        <v>0</v>
      </c>
      <c r="BW80" t="str">
        <f>"18:35:51.110"</f>
        <v>18:35:51.110</v>
      </c>
      <c r="BZ80">
        <v>0</v>
      </c>
      <c r="CA80">
        <v>3488</v>
      </c>
      <c r="CB80">
        <v>216</v>
      </c>
      <c r="CC80">
        <v>583.59379999999999</v>
      </c>
      <c r="CD80">
        <v>1</v>
      </c>
      <c r="CE80">
        <v>1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2</v>
      </c>
      <c r="CL80">
        <v>0</v>
      </c>
      <c r="CM80">
        <v>2</v>
      </c>
      <c r="CN80">
        <v>0</v>
      </c>
      <c r="CO80">
        <v>6</v>
      </c>
      <c r="CP80" t="s">
        <v>119</v>
      </c>
      <c r="CQ80">
        <v>145</v>
      </c>
      <c r="CR80">
        <v>1</v>
      </c>
      <c r="CW80">
        <v>8859821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</row>
    <row r="81" spans="1:113" x14ac:dyDescent="0.3">
      <c r="A81" t="str">
        <f>"02/13/2022 18:35:51.381"</f>
        <v>02/13/2022 18:35:51.381</v>
      </c>
      <c r="C81" t="str">
        <f t="shared" si="8"/>
        <v>FFDFD7C0</v>
      </c>
      <c r="D81" t="s">
        <v>113</v>
      </c>
      <c r="E81">
        <v>4</v>
      </c>
      <c r="F81">
        <v>1004</v>
      </c>
      <c r="G81" t="s">
        <v>120</v>
      </c>
      <c r="J81" t="s">
        <v>115</v>
      </c>
      <c r="K81">
        <v>0</v>
      </c>
      <c r="L81">
        <v>3</v>
      </c>
      <c r="M81">
        <v>0</v>
      </c>
      <c r="N81">
        <v>2</v>
      </c>
      <c r="O81">
        <v>1</v>
      </c>
      <c r="P81">
        <v>0</v>
      </c>
      <c r="Q81">
        <v>0</v>
      </c>
      <c r="S81" t="str">
        <f>"18:35:51.109"</f>
        <v>18:35:51.109</v>
      </c>
      <c r="T81" t="str">
        <f>"18:35:50.109"</f>
        <v>18:35:50.109</v>
      </c>
      <c r="U81" t="str">
        <f t="shared" si="6"/>
        <v>AAB6EE</v>
      </c>
      <c r="V81">
        <v>0</v>
      </c>
      <c r="W81">
        <v>0</v>
      </c>
      <c r="X81">
        <v>4</v>
      </c>
      <c r="Z81">
        <v>0</v>
      </c>
      <c r="AA81">
        <v>8</v>
      </c>
      <c r="AB81">
        <v>3</v>
      </c>
      <c r="AC81">
        <v>0</v>
      </c>
      <c r="AD81">
        <v>10</v>
      </c>
      <c r="AE81">
        <v>0</v>
      </c>
      <c r="AF81">
        <v>0</v>
      </c>
      <c r="AG81">
        <v>1</v>
      </c>
      <c r="AH81">
        <v>1</v>
      </c>
      <c r="AI81" t="s">
        <v>173</v>
      </c>
      <c r="AJ81">
        <v>35.551951000000003</v>
      </c>
      <c r="AK81" t="s">
        <v>174</v>
      </c>
      <c r="AL81">
        <v>-76.010113000000004</v>
      </c>
      <c r="AM81">
        <v>25</v>
      </c>
      <c r="AN81">
        <v>2125</v>
      </c>
      <c r="AO81" t="s">
        <v>118</v>
      </c>
      <c r="AP81">
        <v>-79</v>
      </c>
      <c r="AQ81">
        <v>-130</v>
      </c>
      <c r="AR81">
        <v>2112</v>
      </c>
      <c r="AZ81">
        <v>1200</v>
      </c>
      <c r="BA81">
        <v>1</v>
      </c>
      <c r="BB81" t="str">
        <f t="shared" si="9"/>
        <v xml:space="preserve">N79NX   </v>
      </c>
      <c r="BC81">
        <v>1</v>
      </c>
      <c r="BE81">
        <v>0</v>
      </c>
      <c r="BF81">
        <v>0</v>
      </c>
      <c r="BG81">
        <v>0</v>
      </c>
      <c r="BH81">
        <v>1975</v>
      </c>
      <c r="BI81">
        <v>0</v>
      </c>
      <c r="BJ81">
        <v>0</v>
      </c>
      <c r="BK81">
        <v>0</v>
      </c>
      <c r="BL81">
        <v>0</v>
      </c>
      <c r="BO81">
        <v>0</v>
      </c>
      <c r="BP81">
        <v>0</v>
      </c>
      <c r="BW81" t="str">
        <f>"18:35:51.110"</f>
        <v>18:35:51.110</v>
      </c>
      <c r="BZ81">
        <v>0</v>
      </c>
      <c r="CA81">
        <v>3488</v>
      </c>
      <c r="CB81">
        <v>216</v>
      </c>
      <c r="CC81">
        <v>583.59379999999999</v>
      </c>
      <c r="CD81">
        <v>1</v>
      </c>
      <c r="CE81">
        <v>1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2</v>
      </c>
      <c r="CL81">
        <v>0</v>
      </c>
      <c r="CM81">
        <v>2</v>
      </c>
      <c r="CN81">
        <v>0</v>
      </c>
      <c r="CO81">
        <v>6</v>
      </c>
      <c r="CP81" t="s">
        <v>119</v>
      </c>
      <c r="CQ81">
        <v>145</v>
      </c>
      <c r="CR81">
        <v>1</v>
      </c>
      <c r="CW81">
        <v>8859821</v>
      </c>
      <c r="CY81">
        <v>0</v>
      </c>
      <c r="CZ81">
        <v>0</v>
      </c>
      <c r="DA81">
        <v>1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</row>
    <row r="82" spans="1:113" x14ac:dyDescent="0.3">
      <c r="A82" t="str">
        <f>"02/13/2022 18:35:51.397"</f>
        <v>02/13/2022 18:35:51.397</v>
      </c>
      <c r="C82" t="str">
        <f t="shared" si="8"/>
        <v>FFDFD7C0</v>
      </c>
      <c r="D82" t="s">
        <v>121</v>
      </c>
      <c r="E82">
        <v>2</v>
      </c>
      <c r="H82">
        <v>158</v>
      </c>
      <c r="I82" t="s">
        <v>120</v>
      </c>
      <c r="J82" t="s">
        <v>122</v>
      </c>
      <c r="K82">
        <v>0</v>
      </c>
      <c r="L82">
        <v>3</v>
      </c>
      <c r="M82">
        <v>0</v>
      </c>
      <c r="N82">
        <v>2</v>
      </c>
      <c r="O82">
        <v>1</v>
      </c>
      <c r="P82">
        <v>0</v>
      </c>
      <c r="Q82">
        <v>0</v>
      </c>
      <c r="S82" t="str">
        <f>"18:35:51.109"</f>
        <v>18:35:51.109</v>
      </c>
      <c r="T82" t="str">
        <f>"18:35:50.109"</f>
        <v>18:35:50.109</v>
      </c>
      <c r="U82" t="str">
        <f t="shared" si="6"/>
        <v>AAB6EE</v>
      </c>
      <c r="V82">
        <v>0</v>
      </c>
      <c r="W82">
        <v>0</v>
      </c>
      <c r="X82">
        <v>4</v>
      </c>
      <c r="Z82">
        <v>0</v>
      </c>
      <c r="AA82">
        <v>8</v>
      </c>
      <c r="AB82">
        <v>3</v>
      </c>
      <c r="AC82">
        <v>0</v>
      </c>
      <c r="AD82">
        <v>10</v>
      </c>
      <c r="AE82">
        <v>0</v>
      </c>
      <c r="AF82">
        <v>0</v>
      </c>
      <c r="AG82">
        <v>1</v>
      </c>
      <c r="AH82">
        <v>1</v>
      </c>
      <c r="AI82" t="s">
        <v>173</v>
      </c>
      <c r="AJ82">
        <v>35.551951000000003</v>
      </c>
      <c r="AK82" t="s">
        <v>174</v>
      </c>
      <c r="AL82">
        <v>-76.010113000000004</v>
      </c>
      <c r="AM82">
        <v>25</v>
      </c>
      <c r="AN82">
        <v>2125</v>
      </c>
      <c r="AO82" t="s">
        <v>118</v>
      </c>
      <c r="AP82">
        <v>-79</v>
      </c>
      <c r="AQ82">
        <v>-130</v>
      </c>
      <c r="AR82">
        <v>2112</v>
      </c>
      <c r="AZ82">
        <v>1200</v>
      </c>
      <c r="BA82">
        <v>1</v>
      </c>
      <c r="BB82" t="str">
        <f t="shared" si="9"/>
        <v xml:space="preserve">N79NX   </v>
      </c>
      <c r="BC82">
        <v>1</v>
      </c>
      <c r="BE82">
        <v>0</v>
      </c>
      <c r="BF82">
        <v>0</v>
      </c>
      <c r="BG82">
        <v>0</v>
      </c>
      <c r="BH82">
        <v>1975</v>
      </c>
      <c r="BI82">
        <v>0</v>
      </c>
      <c r="BJ82">
        <v>0</v>
      </c>
      <c r="BK82">
        <v>0</v>
      </c>
      <c r="BL82">
        <v>0</v>
      </c>
      <c r="BO82">
        <v>0</v>
      </c>
      <c r="BP82">
        <v>0</v>
      </c>
      <c r="BW82" t="str">
        <f>"18:35:51.110"</f>
        <v>18:35:51.110</v>
      </c>
      <c r="BZ82">
        <v>0</v>
      </c>
      <c r="CA82">
        <v>3488</v>
      </c>
      <c r="CB82">
        <v>216</v>
      </c>
      <c r="CC82">
        <v>583.59379999999999</v>
      </c>
      <c r="CD82">
        <v>1</v>
      </c>
      <c r="CE82">
        <v>1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2</v>
      </c>
      <c r="CL82">
        <v>0</v>
      </c>
      <c r="CM82">
        <v>2</v>
      </c>
      <c r="CN82">
        <v>0</v>
      </c>
      <c r="CO82">
        <v>6</v>
      </c>
      <c r="CP82" t="s">
        <v>119</v>
      </c>
      <c r="CQ82">
        <v>145</v>
      </c>
      <c r="CR82">
        <v>1</v>
      </c>
      <c r="CW82">
        <v>8859821</v>
      </c>
      <c r="CY82">
        <v>0</v>
      </c>
      <c r="CZ82">
        <v>0</v>
      </c>
      <c r="DA82">
        <v>1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</row>
    <row r="83" spans="1:113" x14ac:dyDescent="0.3">
      <c r="A83" t="str">
        <f>"02/13/2022 18:35:52.287"</f>
        <v>02/13/2022 18:35:52.287</v>
      </c>
      <c r="C83" t="str">
        <f t="shared" si="8"/>
        <v>FFDFD7C0</v>
      </c>
      <c r="D83" t="s">
        <v>113</v>
      </c>
      <c r="E83">
        <v>3</v>
      </c>
      <c r="F83">
        <v>1003</v>
      </c>
      <c r="G83" t="s">
        <v>114</v>
      </c>
      <c r="J83" t="s">
        <v>115</v>
      </c>
      <c r="K83">
        <v>0</v>
      </c>
      <c r="L83">
        <v>3</v>
      </c>
      <c r="M83">
        <v>0</v>
      </c>
      <c r="N83">
        <v>2</v>
      </c>
      <c r="O83">
        <v>1</v>
      </c>
      <c r="P83">
        <v>0</v>
      </c>
      <c r="Q83">
        <v>0</v>
      </c>
      <c r="S83" t="str">
        <f>"18:35:51.977"</f>
        <v>18:35:51.977</v>
      </c>
      <c r="T83" t="str">
        <f>"18:35:51.177"</f>
        <v>18:35:51.177</v>
      </c>
      <c r="U83" t="str">
        <f t="shared" si="6"/>
        <v>AAB6EE</v>
      </c>
      <c r="V83">
        <v>0</v>
      </c>
      <c r="W83">
        <v>0</v>
      </c>
      <c r="X83">
        <v>4</v>
      </c>
      <c r="Z83">
        <v>0</v>
      </c>
      <c r="AA83">
        <v>8</v>
      </c>
      <c r="AB83">
        <v>3</v>
      </c>
      <c r="AC83">
        <v>0</v>
      </c>
      <c r="AD83">
        <v>10</v>
      </c>
      <c r="AE83">
        <v>0</v>
      </c>
      <c r="AF83">
        <v>0</v>
      </c>
      <c r="AG83">
        <v>1</v>
      </c>
      <c r="AH83">
        <v>1</v>
      </c>
      <c r="AI83" t="s">
        <v>175</v>
      </c>
      <c r="AJ83">
        <v>35.551436000000002</v>
      </c>
      <c r="AK83" t="s">
        <v>176</v>
      </c>
      <c r="AL83">
        <v>-76.010456000000005</v>
      </c>
      <c r="AM83">
        <v>25</v>
      </c>
      <c r="AN83">
        <v>2150</v>
      </c>
      <c r="AO83" t="s">
        <v>118</v>
      </c>
      <c r="AP83">
        <v>-79</v>
      </c>
      <c r="AQ83">
        <v>-129</v>
      </c>
      <c r="AR83">
        <v>2176</v>
      </c>
      <c r="AZ83">
        <v>1200</v>
      </c>
      <c r="BA83">
        <v>1</v>
      </c>
      <c r="BB83" t="str">
        <f t="shared" si="9"/>
        <v xml:space="preserve">N79NX   </v>
      </c>
      <c r="BC83">
        <v>1</v>
      </c>
      <c r="BE83">
        <v>0</v>
      </c>
      <c r="BF83">
        <v>0</v>
      </c>
      <c r="BG83">
        <v>0</v>
      </c>
      <c r="BH83">
        <v>2000</v>
      </c>
      <c r="BI83">
        <v>0</v>
      </c>
      <c r="BJ83">
        <v>0</v>
      </c>
      <c r="BK83">
        <v>0</v>
      </c>
      <c r="BL83">
        <v>0</v>
      </c>
      <c r="BO83">
        <v>0</v>
      </c>
      <c r="BP83">
        <v>0</v>
      </c>
      <c r="BW83" t="str">
        <f>"18:35:51.980"</f>
        <v>18:35:51.980</v>
      </c>
      <c r="BZ83">
        <v>0</v>
      </c>
      <c r="CA83">
        <v>3488</v>
      </c>
      <c r="CB83">
        <v>216</v>
      </c>
      <c r="CC83">
        <v>583.59379999999999</v>
      </c>
      <c r="CD83">
        <v>1</v>
      </c>
      <c r="CE83">
        <v>1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2</v>
      </c>
      <c r="CL83">
        <v>0</v>
      </c>
      <c r="CM83">
        <v>2</v>
      </c>
      <c r="CN83">
        <v>0</v>
      </c>
      <c r="CO83">
        <v>6</v>
      </c>
      <c r="CP83" t="s">
        <v>119</v>
      </c>
      <c r="CQ83">
        <v>145</v>
      </c>
      <c r="CR83">
        <v>1</v>
      </c>
      <c r="CW83">
        <v>8860257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</row>
    <row r="84" spans="1:113" x14ac:dyDescent="0.3">
      <c r="A84" t="str">
        <f>"02/13/2022 18:35:52.287"</f>
        <v>02/13/2022 18:35:52.287</v>
      </c>
      <c r="C84" t="str">
        <f t="shared" si="8"/>
        <v>FFDFD7C0</v>
      </c>
      <c r="D84" t="s">
        <v>113</v>
      </c>
      <c r="E84">
        <v>4</v>
      </c>
      <c r="F84">
        <v>1004</v>
      </c>
      <c r="G84" t="s">
        <v>120</v>
      </c>
      <c r="J84" t="s">
        <v>115</v>
      </c>
      <c r="K84">
        <v>0</v>
      </c>
      <c r="L84">
        <v>3</v>
      </c>
      <c r="M84">
        <v>0</v>
      </c>
      <c r="N84">
        <v>2</v>
      </c>
      <c r="O84">
        <v>1</v>
      </c>
      <c r="P84">
        <v>0</v>
      </c>
      <c r="Q84">
        <v>0</v>
      </c>
      <c r="S84" t="str">
        <f>"18:35:51.977"</f>
        <v>18:35:51.977</v>
      </c>
      <c r="T84" t="str">
        <f>"18:35:51.177"</f>
        <v>18:35:51.177</v>
      </c>
      <c r="U84" t="str">
        <f t="shared" si="6"/>
        <v>AAB6EE</v>
      </c>
      <c r="V84">
        <v>0</v>
      </c>
      <c r="W84">
        <v>0</v>
      </c>
      <c r="X84">
        <v>4</v>
      </c>
      <c r="Z84">
        <v>0</v>
      </c>
      <c r="AA84">
        <v>8</v>
      </c>
      <c r="AB84">
        <v>3</v>
      </c>
      <c r="AC84">
        <v>0</v>
      </c>
      <c r="AD84">
        <v>10</v>
      </c>
      <c r="AE84">
        <v>0</v>
      </c>
      <c r="AF84">
        <v>0</v>
      </c>
      <c r="AG84">
        <v>1</v>
      </c>
      <c r="AH84">
        <v>1</v>
      </c>
      <c r="AI84" t="s">
        <v>175</v>
      </c>
      <c r="AJ84">
        <v>35.551436000000002</v>
      </c>
      <c r="AK84" t="s">
        <v>176</v>
      </c>
      <c r="AL84">
        <v>-76.010456000000005</v>
      </c>
      <c r="AM84">
        <v>25</v>
      </c>
      <c r="AN84">
        <v>2150</v>
      </c>
      <c r="AO84" t="s">
        <v>118</v>
      </c>
      <c r="AP84">
        <v>-79</v>
      </c>
      <c r="AQ84">
        <v>-129</v>
      </c>
      <c r="AR84">
        <v>2176</v>
      </c>
      <c r="AZ84">
        <v>1200</v>
      </c>
      <c r="BA84">
        <v>1</v>
      </c>
      <c r="BB84" t="str">
        <f t="shared" si="9"/>
        <v xml:space="preserve">N79NX   </v>
      </c>
      <c r="BC84">
        <v>1</v>
      </c>
      <c r="BE84">
        <v>0</v>
      </c>
      <c r="BF84">
        <v>0</v>
      </c>
      <c r="BG84">
        <v>0</v>
      </c>
      <c r="BH84">
        <v>2000</v>
      </c>
      <c r="BI84">
        <v>0</v>
      </c>
      <c r="BJ84">
        <v>0</v>
      </c>
      <c r="BK84">
        <v>0</v>
      </c>
      <c r="BL84">
        <v>0</v>
      </c>
      <c r="BO84">
        <v>0</v>
      </c>
      <c r="BP84">
        <v>0</v>
      </c>
      <c r="BW84" t="str">
        <f>"18:35:51.980"</f>
        <v>18:35:51.980</v>
      </c>
      <c r="BZ84">
        <v>0</v>
      </c>
      <c r="CA84">
        <v>3488</v>
      </c>
      <c r="CB84">
        <v>216</v>
      </c>
      <c r="CC84">
        <v>583.59379999999999</v>
      </c>
      <c r="CD84">
        <v>1</v>
      </c>
      <c r="CE84">
        <v>1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2</v>
      </c>
      <c r="CL84">
        <v>0</v>
      </c>
      <c r="CM84">
        <v>2</v>
      </c>
      <c r="CN84">
        <v>0</v>
      </c>
      <c r="CO84">
        <v>6</v>
      </c>
      <c r="CP84" t="s">
        <v>119</v>
      </c>
      <c r="CQ84">
        <v>145</v>
      </c>
      <c r="CR84">
        <v>1</v>
      </c>
      <c r="CW84">
        <v>8860257</v>
      </c>
      <c r="CY84">
        <v>0</v>
      </c>
      <c r="CZ84">
        <v>0</v>
      </c>
      <c r="DA84">
        <v>1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</row>
    <row r="85" spans="1:113" x14ac:dyDescent="0.3">
      <c r="A85" t="str">
        <f>"02/13/2022 18:35:52.366"</f>
        <v>02/13/2022 18:35:52.366</v>
      </c>
      <c r="C85" t="str">
        <f t="shared" si="8"/>
        <v>FFDFD7C0</v>
      </c>
      <c r="D85" t="s">
        <v>121</v>
      </c>
      <c r="E85">
        <v>2</v>
      </c>
      <c r="H85">
        <v>158</v>
      </c>
      <c r="I85" t="s">
        <v>120</v>
      </c>
      <c r="J85" t="s">
        <v>122</v>
      </c>
      <c r="K85">
        <v>0</v>
      </c>
      <c r="L85">
        <v>3</v>
      </c>
      <c r="M85">
        <v>0</v>
      </c>
      <c r="N85">
        <v>2</v>
      </c>
      <c r="O85">
        <v>1</v>
      </c>
      <c r="P85">
        <v>0</v>
      </c>
      <c r="Q85">
        <v>0</v>
      </c>
      <c r="S85" t="str">
        <f>"18:35:51.977"</f>
        <v>18:35:51.977</v>
      </c>
      <c r="T85" t="str">
        <f>"18:35:51.177"</f>
        <v>18:35:51.177</v>
      </c>
      <c r="U85" t="str">
        <f t="shared" si="6"/>
        <v>AAB6EE</v>
      </c>
      <c r="V85">
        <v>0</v>
      </c>
      <c r="W85">
        <v>0</v>
      </c>
      <c r="X85">
        <v>4</v>
      </c>
      <c r="Z85">
        <v>0</v>
      </c>
      <c r="AA85">
        <v>8</v>
      </c>
      <c r="AB85">
        <v>3</v>
      </c>
      <c r="AC85">
        <v>0</v>
      </c>
      <c r="AD85">
        <v>10</v>
      </c>
      <c r="AE85">
        <v>0</v>
      </c>
      <c r="AF85">
        <v>0</v>
      </c>
      <c r="AG85">
        <v>1</v>
      </c>
      <c r="AH85">
        <v>1</v>
      </c>
      <c r="AI85" t="s">
        <v>175</v>
      </c>
      <c r="AJ85">
        <v>35.551436000000002</v>
      </c>
      <c r="AK85" t="s">
        <v>176</v>
      </c>
      <c r="AL85">
        <v>-76.010456000000005</v>
      </c>
      <c r="AM85">
        <v>25</v>
      </c>
      <c r="AN85">
        <v>2150</v>
      </c>
      <c r="AO85" t="s">
        <v>118</v>
      </c>
      <c r="AP85">
        <v>-79</v>
      </c>
      <c r="AQ85">
        <v>-129</v>
      </c>
      <c r="AR85">
        <v>2176</v>
      </c>
      <c r="AZ85">
        <v>1200</v>
      </c>
      <c r="BA85">
        <v>1</v>
      </c>
      <c r="BB85" t="str">
        <f t="shared" si="9"/>
        <v xml:space="preserve">N79NX   </v>
      </c>
      <c r="BC85">
        <v>1</v>
      </c>
      <c r="BE85">
        <v>0</v>
      </c>
      <c r="BF85">
        <v>0</v>
      </c>
      <c r="BG85">
        <v>0</v>
      </c>
      <c r="BH85">
        <v>2000</v>
      </c>
      <c r="BI85">
        <v>0</v>
      </c>
      <c r="BJ85">
        <v>0</v>
      </c>
      <c r="BK85">
        <v>0</v>
      </c>
      <c r="BL85">
        <v>0</v>
      </c>
      <c r="BO85">
        <v>0</v>
      </c>
      <c r="BP85">
        <v>0</v>
      </c>
      <c r="BW85" t="str">
        <f>"18:35:51.980"</f>
        <v>18:35:51.980</v>
      </c>
      <c r="BZ85">
        <v>0</v>
      </c>
      <c r="CA85">
        <v>3488</v>
      </c>
      <c r="CB85">
        <v>216</v>
      </c>
      <c r="CC85">
        <v>583.59379999999999</v>
      </c>
      <c r="CD85">
        <v>1</v>
      </c>
      <c r="CE85">
        <v>1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2</v>
      </c>
      <c r="CL85">
        <v>0</v>
      </c>
      <c r="CM85">
        <v>2</v>
      </c>
      <c r="CN85">
        <v>0</v>
      </c>
      <c r="CO85">
        <v>6</v>
      </c>
      <c r="CP85" t="s">
        <v>119</v>
      </c>
      <c r="CQ85">
        <v>145</v>
      </c>
      <c r="CR85">
        <v>1</v>
      </c>
      <c r="CW85">
        <v>8860257</v>
      </c>
      <c r="CY85">
        <v>0</v>
      </c>
      <c r="CZ85">
        <v>0</v>
      </c>
      <c r="DA85">
        <v>1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</row>
    <row r="86" spans="1:113" x14ac:dyDescent="0.3">
      <c r="A86" t="str">
        <f>"02/13/2022 18:35:53.147"</f>
        <v>02/13/2022 18:35:53.147</v>
      </c>
      <c r="C86" t="str">
        <f t="shared" si="8"/>
        <v>FFDFD7C0</v>
      </c>
      <c r="D86" t="s">
        <v>121</v>
      </c>
      <c r="E86">
        <v>2</v>
      </c>
      <c r="H86">
        <v>158</v>
      </c>
      <c r="I86" t="s">
        <v>120</v>
      </c>
      <c r="J86" t="s">
        <v>122</v>
      </c>
      <c r="K86">
        <v>0</v>
      </c>
      <c r="L86">
        <v>3</v>
      </c>
      <c r="M86">
        <v>0</v>
      </c>
      <c r="N86">
        <v>2</v>
      </c>
      <c r="O86">
        <v>1</v>
      </c>
      <c r="P86">
        <v>0</v>
      </c>
      <c r="Q86">
        <v>0</v>
      </c>
      <c r="S86" t="str">
        <f t="shared" ref="S86:T88" si="10">"18:35:52.906"</f>
        <v>18:35:52.906</v>
      </c>
      <c r="T86" t="str">
        <f t="shared" si="10"/>
        <v>18:35:52.906</v>
      </c>
      <c r="U86" t="str">
        <f t="shared" si="6"/>
        <v>AAB6EE</v>
      </c>
      <c r="V86">
        <v>0</v>
      </c>
      <c r="W86">
        <v>0</v>
      </c>
      <c r="X86">
        <v>4</v>
      </c>
      <c r="Z86">
        <v>0</v>
      </c>
      <c r="AA86">
        <v>8</v>
      </c>
      <c r="AB86">
        <v>3</v>
      </c>
      <c r="AC86">
        <v>0</v>
      </c>
      <c r="AD86">
        <v>10</v>
      </c>
      <c r="AE86">
        <v>0</v>
      </c>
      <c r="AF86">
        <v>0</v>
      </c>
      <c r="AG86">
        <v>1</v>
      </c>
      <c r="AH86">
        <v>1</v>
      </c>
      <c r="AI86" t="s">
        <v>177</v>
      </c>
      <c r="AJ86">
        <v>35.550834999999999</v>
      </c>
      <c r="AK86" t="s">
        <v>178</v>
      </c>
      <c r="AL86">
        <v>-76.010907000000003</v>
      </c>
      <c r="AM86">
        <v>25</v>
      </c>
      <c r="AN86">
        <v>2200</v>
      </c>
      <c r="AO86" t="s">
        <v>118</v>
      </c>
      <c r="AP86">
        <v>-79</v>
      </c>
      <c r="AQ86">
        <v>-128</v>
      </c>
      <c r="AR86">
        <v>2240</v>
      </c>
      <c r="AZ86">
        <v>1200</v>
      </c>
      <c r="BA86">
        <v>1</v>
      </c>
      <c r="BB86" t="str">
        <f t="shared" si="9"/>
        <v xml:space="preserve">N79NX   </v>
      </c>
      <c r="BC86">
        <v>1</v>
      </c>
      <c r="BE86">
        <v>0</v>
      </c>
      <c r="BF86">
        <v>0</v>
      </c>
      <c r="BG86">
        <v>0</v>
      </c>
      <c r="BH86">
        <v>2050</v>
      </c>
      <c r="BI86">
        <v>0</v>
      </c>
      <c r="BJ86">
        <v>0</v>
      </c>
      <c r="BK86">
        <v>0</v>
      </c>
      <c r="BL86">
        <v>0</v>
      </c>
      <c r="BO86">
        <v>0</v>
      </c>
      <c r="BP86">
        <v>0</v>
      </c>
      <c r="BW86" t="str">
        <f>"18:35:52.910"</f>
        <v>18:35:52.910</v>
      </c>
      <c r="BZ86">
        <v>0</v>
      </c>
      <c r="CA86">
        <v>3488</v>
      </c>
      <c r="CB86">
        <v>216</v>
      </c>
      <c r="CC86">
        <v>583.59379999999999</v>
      </c>
      <c r="CD86">
        <v>1</v>
      </c>
      <c r="CE86">
        <v>1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2</v>
      </c>
      <c r="CL86">
        <v>0</v>
      </c>
      <c r="CM86">
        <v>2</v>
      </c>
      <c r="CN86">
        <v>0</v>
      </c>
      <c r="CO86">
        <v>6</v>
      </c>
      <c r="CP86" t="s">
        <v>119</v>
      </c>
      <c r="CQ86">
        <v>145</v>
      </c>
      <c r="CR86">
        <v>1</v>
      </c>
      <c r="CW86">
        <v>8860794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</row>
    <row r="87" spans="1:113" x14ac:dyDescent="0.3">
      <c r="A87" t="str">
        <f>"02/13/2022 18:35:53.147"</f>
        <v>02/13/2022 18:35:53.147</v>
      </c>
      <c r="C87" t="str">
        <f t="shared" si="8"/>
        <v>FFDFD7C0</v>
      </c>
      <c r="D87" t="s">
        <v>113</v>
      </c>
      <c r="E87">
        <v>3</v>
      </c>
      <c r="F87">
        <v>1003</v>
      </c>
      <c r="G87" t="s">
        <v>114</v>
      </c>
      <c r="J87" t="s">
        <v>115</v>
      </c>
      <c r="K87">
        <v>0</v>
      </c>
      <c r="L87">
        <v>3</v>
      </c>
      <c r="M87">
        <v>0</v>
      </c>
      <c r="N87">
        <v>2</v>
      </c>
      <c r="O87">
        <v>1</v>
      </c>
      <c r="P87">
        <v>0</v>
      </c>
      <c r="Q87">
        <v>0</v>
      </c>
      <c r="S87" t="str">
        <f t="shared" si="10"/>
        <v>18:35:52.906</v>
      </c>
      <c r="T87" t="str">
        <f t="shared" si="10"/>
        <v>18:35:52.906</v>
      </c>
      <c r="U87" t="str">
        <f t="shared" si="6"/>
        <v>AAB6EE</v>
      </c>
      <c r="V87">
        <v>0</v>
      </c>
      <c r="W87">
        <v>0</v>
      </c>
      <c r="X87">
        <v>4</v>
      </c>
      <c r="Z87">
        <v>0</v>
      </c>
      <c r="AA87">
        <v>8</v>
      </c>
      <c r="AB87">
        <v>3</v>
      </c>
      <c r="AC87">
        <v>0</v>
      </c>
      <c r="AD87">
        <v>10</v>
      </c>
      <c r="AE87">
        <v>0</v>
      </c>
      <c r="AF87">
        <v>0</v>
      </c>
      <c r="AG87">
        <v>1</v>
      </c>
      <c r="AH87">
        <v>1</v>
      </c>
      <c r="AI87" t="s">
        <v>177</v>
      </c>
      <c r="AJ87">
        <v>35.550834999999999</v>
      </c>
      <c r="AK87" t="s">
        <v>178</v>
      </c>
      <c r="AL87">
        <v>-76.010907000000003</v>
      </c>
      <c r="AM87">
        <v>25</v>
      </c>
      <c r="AN87">
        <v>2200</v>
      </c>
      <c r="AO87" t="s">
        <v>118</v>
      </c>
      <c r="AP87">
        <v>-79</v>
      </c>
      <c r="AQ87">
        <v>-128</v>
      </c>
      <c r="AR87">
        <v>2240</v>
      </c>
      <c r="AZ87">
        <v>1200</v>
      </c>
      <c r="BA87">
        <v>1</v>
      </c>
      <c r="BB87" t="str">
        <f t="shared" si="9"/>
        <v xml:space="preserve">N79NX   </v>
      </c>
      <c r="BC87">
        <v>1</v>
      </c>
      <c r="BE87">
        <v>0</v>
      </c>
      <c r="BF87">
        <v>0</v>
      </c>
      <c r="BG87">
        <v>0</v>
      </c>
      <c r="BH87">
        <v>2050</v>
      </c>
      <c r="BI87">
        <v>0</v>
      </c>
      <c r="BJ87">
        <v>0</v>
      </c>
      <c r="BK87">
        <v>0</v>
      </c>
      <c r="BL87">
        <v>0</v>
      </c>
      <c r="BO87">
        <v>0</v>
      </c>
      <c r="BP87">
        <v>0</v>
      </c>
      <c r="BW87" t="str">
        <f>"18:35:52.910"</f>
        <v>18:35:52.910</v>
      </c>
      <c r="BZ87">
        <v>0</v>
      </c>
      <c r="CA87">
        <v>3488</v>
      </c>
      <c r="CB87">
        <v>216</v>
      </c>
      <c r="CC87">
        <v>583.59379999999999</v>
      </c>
      <c r="CD87">
        <v>1</v>
      </c>
      <c r="CE87">
        <v>1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2</v>
      </c>
      <c r="CL87">
        <v>0</v>
      </c>
      <c r="CM87">
        <v>2</v>
      </c>
      <c r="CN87">
        <v>0</v>
      </c>
      <c r="CO87">
        <v>6</v>
      </c>
      <c r="CP87" t="s">
        <v>119</v>
      </c>
      <c r="CQ87">
        <v>145</v>
      </c>
      <c r="CR87">
        <v>1</v>
      </c>
      <c r="CW87">
        <v>8860794</v>
      </c>
      <c r="CY87">
        <v>0</v>
      </c>
      <c r="CZ87">
        <v>0</v>
      </c>
      <c r="DA87">
        <v>1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</row>
    <row r="88" spans="1:113" x14ac:dyDescent="0.3">
      <c r="A88" t="str">
        <f>"02/13/2022 18:35:53.147"</f>
        <v>02/13/2022 18:35:53.147</v>
      </c>
      <c r="C88" t="str">
        <f t="shared" si="8"/>
        <v>FFDFD7C0</v>
      </c>
      <c r="D88" t="s">
        <v>113</v>
      </c>
      <c r="E88">
        <v>4</v>
      </c>
      <c r="F88">
        <v>1004</v>
      </c>
      <c r="G88" t="s">
        <v>120</v>
      </c>
      <c r="J88" t="s">
        <v>115</v>
      </c>
      <c r="K88">
        <v>0</v>
      </c>
      <c r="L88">
        <v>3</v>
      </c>
      <c r="M88">
        <v>0</v>
      </c>
      <c r="N88">
        <v>2</v>
      </c>
      <c r="O88">
        <v>1</v>
      </c>
      <c r="P88">
        <v>0</v>
      </c>
      <c r="Q88">
        <v>0</v>
      </c>
      <c r="S88" t="str">
        <f t="shared" si="10"/>
        <v>18:35:52.906</v>
      </c>
      <c r="T88" t="str">
        <f t="shared" si="10"/>
        <v>18:35:52.906</v>
      </c>
      <c r="U88" t="str">
        <f t="shared" si="6"/>
        <v>AAB6EE</v>
      </c>
      <c r="V88">
        <v>0</v>
      </c>
      <c r="W88">
        <v>0</v>
      </c>
      <c r="X88">
        <v>4</v>
      </c>
      <c r="Z88">
        <v>0</v>
      </c>
      <c r="AA88">
        <v>8</v>
      </c>
      <c r="AB88">
        <v>3</v>
      </c>
      <c r="AC88">
        <v>0</v>
      </c>
      <c r="AD88">
        <v>10</v>
      </c>
      <c r="AE88">
        <v>0</v>
      </c>
      <c r="AF88">
        <v>0</v>
      </c>
      <c r="AG88">
        <v>1</v>
      </c>
      <c r="AH88">
        <v>1</v>
      </c>
      <c r="AI88" t="s">
        <v>177</v>
      </c>
      <c r="AJ88">
        <v>35.550834999999999</v>
      </c>
      <c r="AK88" t="s">
        <v>178</v>
      </c>
      <c r="AL88">
        <v>-76.010907000000003</v>
      </c>
      <c r="AM88">
        <v>25</v>
      </c>
      <c r="AN88">
        <v>2200</v>
      </c>
      <c r="AO88" t="s">
        <v>118</v>
      </c>
      <c r="AP88">
        <v>-79</v>
      </c>
      <c r="AQ88">
        <v>-128</v>
      </c>
      <c r="AR88">
        <v>2240</v>
      </c>
      <c r="AZ88">
        <v>1200</v>
      </c>
      <c r="BA88">
        <v>1</v>
      </c>
      <c r="BB88" t="str">
        <f t="shared" si="9"/>
        <v xml:space="preserve">N79NX   </v>
      </c>
      <c r="BC88">
        <v>1</v>
      </c>
      <c r="BE88">
        <v>0</v>
      </c>
      <c r="BF88">
        <v>0</v>
      </c>
      <c r="BG88">
        <v>0</v>
      </c>
      <c r="BH88">
        <v>2050</v>
      </c>
      <c r="BI88">
        <v>0</v>
      </c>
      <c r="BJ88">
        <v>0</v>
      </c>
      <c r="BK88">
        <v>0</v>
      </c>
      <c r="BL88">
        <v>0</v>
      </c>
      <c r="BO88">
        <v>0</v>
      </c>
      <c r="BP88">
        <v>0</v>
      </c>
      <c r="BW88" t="str">
        <f>"18:35:52.910"</f>
        <v>18:35:52.910</v>
      </c>
      <c r="BZ88">
        <v>0</v>
      </c>
      <c r="CA88">
        <v>3488</v>
      </c>
      <c r="CB88">
        <v>216</v>
      </c>
      <c r="CC88">
        <v>583.59379999999999</v>
      </c>
      <c r="CD88">
        <v>1</v>
      </c>
      <c r="CE88">
        <v>1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2</v>
      </c>
      <c r="CL88">
        <v>0</v>
      </c>
      <c r="CM88">
        <v>2</v>
      </c>
      <c r="CN88">
        <v>0</v>
      </c>
      <c r="CO88">
        <v>6</v>
      </c>
      <c r="CP88" t="s">
        <v>119</v>
      </c>
      <c r="CQ88">
        <v>145</v>
      </c>
      <c r="CR88">
        <v>1</v>
      </c>
      <c r="CW88">
        <v>8860794</v>
      </c>
      <c r="CY88">
        <v>0</v>
      </c>
      <c r="CZ88">
        <v>0</v>
      </c>
      <c r="DA88">
        <v>1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</row>
    <row r="89" spans="1:113" x14ac:dyDescent="0.3">
      <c r="A89" t="str">
        <f>"02/13/2022 18:35:54.069"</f>
        <v>02/13/2022 18:35:54.069</v>
      </c>
      <c r="C89" t="str">
        <f t="shared" si="8"/>
        <v>FFDFD7C0</v>
      </c>
      <c r="D89" t="s">
        <v>113</v>
      </c>
      <c r="E89">
        <v>3</v>
      </c>
      <c r="F89">
        <v>1003</v>
      </c>
      <c r="G89" t="s">
        <v>114</v>
      </c>
      <c r="J89" t="s">
        <v>115</v>
      </c>
      <c r="K89">
        <v>0</v>
      </c>
      <c r="L89">
        <v>3</v>
      </c>
      <c r="M89">
        <v>0</v>
      </c>
      <c r="N89">
        <v>2</v>
      </c>
      <c r="O89">
        <v>1</v>
      </c>
      <c r="P89">
        <v>0</v>
      </c>
      <c r="Q89">
        <v>0</v>
      </c>
      <c r="S89" t="str">
        <f>"18:35:53.812"</f>
        <v>18:35:53.812</v>
      </c>
      <c r="T89" t="str">
        <f>"18:35:53.512"</f>
        <v>18:35:53.512</v>
      </c>
      <c r="U89" t="str">
        <f t="shared" si="6"/>
        <v>AAB6EE</v>
      </c>
      <c r="V89">
        <v>0</v>
      </c>
      <c r="W89">
        <v>0</v>
      </c>
      <c r="X89">
        <v>4</v>
      </c>
      <c r="Z89">
        <v>0</v>
      </c>
      <c r="AA89">
        <v>8</v>
      </c>
      <c r="AB89">
        <v>3</v>
      </c>
      <c r="AC89">
        <v>0</v>
      </c>
      <c r="AD89">
        <v>10</v>
      </c>
      <c r="AE89">
        <v>0</v>
      </c>
      <c r="AF89">
        <v>0</v>
      </c>
      <c r="AG89">
        <v>1</v>
      </c>
      <c r="AH89">
        <v>1</v>
      </c>
      <c r="AI89" t="s">
        <v>179</v>
      </c>
      <c r="AJ89">
        <v>35.550319999999999</v>
      </c>
      <c r="AK89" t="s">
        <v>180</v>
      </c>
      <c r="AL89">
        <v>-76.011357000000004</v>
      </c>
      <c r="AM89">
        <v>25</v>
      </c>
      <c r="AN89">
        <v>2225</v>
      </c>
      <c r="AO89" t="s">
        <v>118</v>
      </c>
      <c r="AP89">
        <v>-79</v>
      </c>
      <c r="AQ89">
        <v>-127</v>
      </c>
      <c r="AR89">
        <v>2240</v>
      </c>
      <c r="AZ89">
        <v>1200</v>
      </c>
      <c r="BA89">
        <v>1</v>
      </c>
      <c r="BB89" t="str">
        <f t="shared" si="9"/>
        <v xml:space="preserve">N79NX   </v>
      </c>
      <c r="BC89">
        <v>1</v>
      </c>
      <c r="BE89">
        <v>0</v>
      </c>
      <c r="BF89">
        <v>0</v>
      </c>
      <c r="BG89">
        <v>0</v>
      </c>
      <c r="BH89">
        <v>2075</v>
      </c>
      <c r="BI89">
        <v>0</v>
      </c>
      <c r="BJ89">
        <v>0</v>
      </c>
      <c r="BK89">
        <v>0</v>
      </c>
      <c r="BL89">
        <v>0</v>
      </c>
      <c r="BO89">
        <v>0</v>
      </c>
      <c r="BP89">
        <v>0</v>
      </c>
      <c r="BW89" t="str">
        <f>"18:35:53.820"</f>
        <v>18:35:53.820</v>
      </c>
      <c r="BZ89">
        <v>0</v>
      </c>
      <c r="CA89">
        <v>3488</v>
      </c>
      <c r="CB89">
        <v>216</v>
      </c>
      <c r="CC89">
        <v>583.59379999999999</v>
      </c>
      <c r="CD89">
        <v>1</v>
      </c>
      <c r="CE89">
        <v>1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2</v>
      </c>
      <c r="CL89">
        <v>0</v>
      </c>
      <c r="CM89">
        <v>2</v>
      </c>
      <c r="CN89">
        <v>0</v>
      </c>
      <c r="CO89">
        <v>6</v>
      </c>
      <c r="CP89" t="s">
        <v>119</v>
      </c>
      <c r="CQ89">
        <v>145</v>
      </c>
      <c r="CR89">
        <v>1</v>
      </c>
      <c r="CW89">
        <v>8861290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</row>
    <row r="90" spans="1:113" x14ac:dyDescent="0.3">
      <c r="A90" t="str">
        <f>"02/13/2022 18:35:54.069"</f>
        <v>02/13/2022 18:35:54.069</v>
      </c>
      <c r="C90" t="str">
        <f t="shared" si="8"/>
        <v>FFDFD7C0</v>
      </c>
      <c r="D90" t="s">
        <v>113</v>
      </c>
      <c r="E90">
        <v>4</v>
      </c>
      <c r="F90">
        <v>1004</v>
      </c>
      <c r="G90" t="s">
        <v>120</v>
      </c>
      <c r="J90" t="s">
        <v>115</v>
      </c>
      <c r="K90">
        <v>0</v>
      </c>
      <c r="L90">
        <v>3</v>
      </c>
      <c r="M90">
        <v>0</v>
      </c>
      <c r="N90">
        <v>2</v>
      </c>
      <c r="O90">
        <v>1</v>
      </c>
      <c r="P90">
        <v>0</v>
      </c>
      <c r="Q90">
        <v>0</v>
      </c>
      <c r="S90" t="str">
        <f>"18:35:53.812"</f>
        <v>18:35:53.812</v>
      </c>
      <c r="T90" t="str">
        <f>"18:35:53.512"</f>
        <v>18:35:53.512</v>
      </c>
      <c r="U90" t="str">
        <f t="shared" si="6"/>
        <v>AAB6EE</v>
      </c>
      <c r="V90">
        <v>0</v>
      </c>
      <c r="W90">
        <v>0</v>
      </c>
      <c r="X90">
        <v>4</v>
      </c>
      <c r="Z90">
        <v>0</v>
      </c>
      <c r="AA90">
        <v>8</v>
      </c>
      <c r="AB90">
        <v>3</v>
      </c>
      <c r="AC90">
        <v>0</v>
      </c>
      <c r="AD90">
        <v>10</v>
      </c>
      <c r="AE90">
        <v>0</v>
      </c>
      <c r="AF90">
        <v>0</v>
      </c>
      <c r="AG90">
        <v>1</v>
      </c>
      <c r="AH90">
        <v>1</v>
      </c>
      <c r="AI90" t="s">
        <v>179</v>
      </c>
      <c r="AJ90">
        <v>35.550319999999999</v>
      </c>
      <c r="AK90" t="s">
        <v>180</v>
      </c>
      <c r="AL90">
        <v>-76.011357000000004</v>
      </c>
      <c r="AM90">
        <v>25</v>
      </c>
      <c r="AN90">
        <v>2225</v>
      </c>
      <c r="AO90" t="s">
        <v>118</v>
      </c>
      <c r="AP90">
        <v>-79</v>
      </c>
      <c r="AQ90">
        <v>-127</v>
      </c>
      <c r="AR90">
        <v>2240</v>
      </c>
      <c r="AZ90">
        <v>1200</v>
      </c>
      <c r="BA90">
        <v>1</v>
      </c>
      <c r="BB90" t="str">
        <f t="shared" si="9"/>
        <v xml:space="preserve">N79NX   </v>
      </c>
      <c r="BC90">
        <v>1</v>
      </c>
      <c r="BE90">
        <v>0</v>
      </c>
      <c r="BF90">
        <v>0</v>
      </c>
      <c r="BG90">
        <v>0</v>
      </c>
      <c r="BH90">
        <v>2075</v>
      </c>
      <c r="BI90">
        <v>0</v>
      </c>
      <c r="BJ90">
        <v>0</v>
      </c>
      <c r="BK90">
        <v>0</v>
      </c>
      <c r="BL90">
        <v>0</v>
      </c>
      <c r="BO90">
        <v>0</v>
      </c>
      <c r="BP90">
        <v>0</v>
      </c>
      <c r="BW90" t="str">
        <f>"18:35:53.820"</f>
        <v>18:35:53.820</v>
      </c>
      <c r="BZ90">
        <v>0</v>
      </c>
      <c r="CA90">
        <v>3488</v>
      </c>
      <c r="CB90">
        <v>216</v>
      </c>
      <c r="CC90">
        <v>583.59379999999999</v>
      </c>
      <c r="CD90">
        <v>1</v>
      </c>
      <c r="CE90">
        <v>1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2</v>
      </c>
      <c r="CL90">
        <v>0</v>
      </c>
      <c r="CM90">
        <v>2</v>
      </c>
      <c r="CN90">
        <v>0</v>
      </c>
      <c r="CO90">
        <v>6</v>
      </c>
      <c r="CP90" t="s">
        <v>119</v>
      </c>
      <c r="CQ90">
        <v>145</v>
      </c>
      <c r="CR90">
        <v>1</v>
      </c>
      <c r="CW90">
        <v>8861290</v>
      </c>
      <c r="CY90">
        <v>0</v>
      </c>
      <c r="CZ90">
        <v>0</v>
      </c>
      <c r="DA90">
        <v>1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</row>
    <row r="91" spans="1:113" x14ac:dyDescent="0.3">
      <c r="A91" t="str">
        <f>"02/13/2022 18:35:54.069"</f>
        <v>02/13/2022 18:35:54.069</v>
      </c>
      <c r="C91" t="str">
        <f t="shared" si="8"/>
        <v>FFDFD7C0</v>
      </c>
      <c r="D91" t="s">
        <v>121</v>
      </c>
      <c r="E91">
        <v>2</v>
      </c>
      <c r="H91">
        <v>158</v>
      </c>
      <c r="I91" t="s">
        <v>120</v>
      </c>
      <c r="J91" t="s">
        <v>122</v>
      </c>
      <c r="K91">
        <v>0</v>
      </c>
      <c r="L91">
        <v>3</v>
      </c>
      <c r="M91">
        <v>0</v>
      </c>
      <c r="N91">
        <v>2</v>
      </c>
      <c r="O91">
        <v>1</v>
      </c>
      <c r="P91">
        <v>0</v>
      </c>
      <c r="Q91">
        <v>0</v>
      </c>
      <c r="S91" t="str">
        <f>"18:35:53.812"</f>
        <v>18:35:53.812</v>
      </c>
      <c r="T91" t="str">
        <f>"18:35:53.512"</f>
        <v>18:35:53.512</v>
      </c>
      <c r="U91" t="str">
        <f t="shared" si="6"/>
        <v>AAB6EE</v>
      </c>
      <c r="V91">
        <v>0</v>
      </c>
      <c r="W91">
        <v>0</v>
      </c>
      <c r="X91">
        <v>4</v>
      </c>
      <c r="Z91">
        <v>0</v>
      </c>
      <c r="AA91">
        <v>8</v>
      </c>
      <c r="AB91">
        <v>3</v>
      </c>
      <c r="AC91">
        <v>0</v>
      </c>
      <c r="AD91">
        <v>10</v>
      </c>
      <c r="AE91">
        <v>0</v>
      </c>
      <c r="AF91">
        <v>0</v>
      </c>
      <c r="AG91">
        <v>1</v>
      </c>
      <c r="AH91">
        <v>1</v>
      </c>
      <c r="AI91" t="s">
        <v>179</v>
      </c>
      <c r="AJ91">
        <v>35.550319999999999</v>
      </c>
      <c r="AK91" t="s">
        <v>180</v>
      </c>
      <c r="AL91">
        <v>-76.011357000000004</v>
      </c>
      <c r="AM91">
        <v>25</v>
      </c>
      <c r="AN91">
        <v>2225</v>
      </c>
      <c r="AO91" t="s">
        <v>118</v>
      </c>
      <c r="AP91">
        <v>-79</v>
      </c>
      <c r="AQ91">
        <v>-127</v>
      </c>
      <c r="AR91">
        <v>2240</v>
      </c>
      <c r="AZ91">
        <v>1200</v>
      </c>
      <c r="BA91">
        <v>1</v>
      </c>
      <c r="BB91" t="str">
        <f t="shared" si="9"/>
        <v xml:space="preserve">N79NX   </v>
      </c>
      <c r="BC91">
        <v>1</v>
      </c>
      <c r="BE91">
        <v>0</v>
      </c>
      <c r="BF91">
        <v>0</v>
      </c>
      <c r="BG91">
        <v>0</v>
      </c>
      <c r="BH91">
        <v>2075</v>
      </c>
      <c r="BI91">
        <v>0</v>
      </c>
      <c r="BJ91">
        <v>0</v>
      </c>
      <c r="BK91">
        <v>0</v>
      </c>
      <c r="BL91">
        <v>0</v>
      </c>
      <c r="BO91">
        <v>0</v>
      </c>
      <c r="BP91">
        <v>0</v>
      </c>
      <c r="BW91" t="str">
        <f>"18:35:53.820"</f>
        <v>18:35:53.820</v>
      </c>
      <c r="BZ91">
        <v>0</v>
      </c>
      <c r="CA91">
        <v>3488</v>
      </c>
      <c r="CB91">
        <v>216</v>
      </c>
      <c r="CC91">
        <v>583.59379999999999</v>
      </c>
      <c r="CD91">
        <v>1</v>
      </c>
      <c r="CE91">
        <v>1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2</v>
      </c>
      <c r="CL91">
        <v>0</v>
      </c>
      <c r="CM91">
        <v>2</v>
      </c>
      <c r="CN91">
        <v>0</v>
      </c>
      <c r="CO91">
        <v>6</v>
      </c>
      <c r="CP91" t="s">
        <v>119</v>
      </c>
      <c r="CQ91">
        <v>145</v>
      </c>
      <c r="CR91">
        <v>1</v>
      </c>
      <c r="CW91">
        <v>8861290</v>
      </c>
      <c r="CY91">
        <v>0</v>
      </c>
      <c r="CZ91">
        <v>0</v>
      </c>
      <c r="DA91">
        <v>1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</row>
    <row r="92" spans="1:113" x14ac:dyDescent="0.3">
      <c r="A92" t="str">
        <f>"02/13/2022 18:35:55.212"</f>
        <v>02/13/2022 18:35:55.212</v>
      </c>
      <c r="C92" t="str">
        <f t="shared" si="8"/>
        <v>FFDFD7C0</v>
      </c>
      <c r="D92" t="s">
        <v>113</v>
      </c>
      <c r="E92">
        <v>4</v>
      </c>
      <c r="F92">
        <v>1004</v>
      </c>
      <c r="G92" t="s">
        <v>120</v>
      </c>
      <c r="J92" t="s">
        <v>115</v>
      </c>
      <c r="K92">
        <v>0</v>
      </c>
      <c r="L92">
        <v>3</v>
      </c>
      <c r="M92">
        <v>0</v>
      </c>
      <c r="N92">
        <v>2</v>
      </c>
      <c r="O92">
        <v>1</v>
      </c>
      <c r="P92">
        <v>0</v>
      </c>
      <c r="Q92">
        <v>0</v>
      </c>
      <c r="S92" t="str">
        <f t="shared" ref="S92:T94" si="11">"18:35:54.969"</f>
        <v>18:35:54.969</v>
      </c>
      <c r="T92" t="str">
        <f t="shared" si="11"/>
        <v>18:35:54.969</v>
      </c>
      <c r="U92" t="str">
        <f t="shared" si="6"/>
        <v>AAB6EE</v>
      </c>
      <c r="V92">
        <v>0</v>
      </c>
      <c r="W92">
        <v>0</v>
      </c>
      <c r="X92">
        <v>4</v>
      </c>
      <c r="Z92">
        <v>0</v>
      </c>
      <c r="AA92">
        <v>8</v>
      </c>
      <c r="AB92">
        <v>3</v>
      </c>
      <c r="AC92">
        <v>0</v>
      </c>
      <c r="AD92">
        <v>10</v>
      </c>
      <c r="AE92">
        <v>0</v>
      </c>
      <c r="AF92">
        <v>0</v>
      </c>
      <c r="AG92">
        <v>1</v>
      </c>
      <c r="AH92">
        <v>1</v>
      </c>
      <c r="AI92" t="s">
        <v>181</v>
      </c>
      <c r="AJ92">
        <v>35.549697999999999</v>
      </c>
      <c r="AK92" t="s">
        <v>182</v>
      </c>
      <c r="AL92">
        <v>-76.011829000000006</v>
      </c>
      <c r="AM92">
        <v>25</v>
      </c>
      <c r="AN92">
        <v>2275</v>
      </c>
      <c r="AO92" t="s">
        <v>118</v>
      </c>
      <c r="AP92">
        <v>-80</v>
      </c>
      <c r="AQ92">
        <v>-126</v>
      </c>
      <c r="AR92">
        <v>2368</v>
      </c>
      <c r="AZ92">
        <v>1200</v>
      </c>
      <c r="BA92">
        <v>1</v>
      </c>
      <c r="BB92" t="str">
        <f t="shared" si="9"/>
        <v xml:space="preserve">N79NX   </v>
      </c>
      <c r="BC92">
        <v>1</v>
      </c>
      <c r="BE92">
        <v>0</v>
      </c>
      <c r="BF92">
        <v>0</v>
      </c>
      <c r="BG92">
        <v>0</v>
      </c>
      <c r="BH92">
        <v>2125</v>
      </c>
      <c r="BI92">
        <v>0</v>
      </c>
      <c r="BJ92">
        <v>0</v>
      </c>
      <c r="BK92">
        <v>0</v>
      </c>
      <c r="BL92">
        <v>0</v>
      </c>
      <c r="BO92">
        <v>0</v>
      </c>
      <c r="BP92">
        <v>0</v>
      </c>
      <c r="BW92" t="str">
        <f>"18:35:54.970"</f>
        <v>18:35:54.970</v>
      </c>
      <c r="BZ92">
        <v>0</v>
      </c>
      <c r="CA92">
        <v>3488</v>
      </c>
      <c r="CB92">
        <v>216</v>
      </c>
      <c r="CC92">
        <v>583.59379999999999</v>
      </c>
      <c r="CD92">
        <v>1</v>
      </c>
      <c r="CE92">
        <v>1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2</v>
      </c>
      <c r="CL92">
        <v>0</v>
      </c>
      <c r="CM92">
        <v>2</v>
      </c>
      <c r="CN92">
        <v>0</v>
      </c>
      <c r="CO92">
        <v>6</v>
      </c>
      <c r="CP92" t="s">
        <v>119</v>
      </c>
      <c r="CQ92">
        <v>145</v>
      </c>
      <c r="CR92">
        <v>1</v>
      </c>
      <c r="CW92">
        <v>8861804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</row>
    <row r="93" spans="1:113" x14ac:dyDescent="0.3">
      <c r="A93" t="str">
        <f>"02/13/2022 18:35:55.212"</f>
        <v>02/13/2022 18:35:55.212</v>
      </c>
      <c r="C93" t="str">
        <f t="shared" si="8"/>
        <v>FFDFD7C0</v>
      </c>
      <c r="D93" t="s">
        <v>113</v>
      </c>
      <c r="E93">
        <v>3</v>
      </c>
      <c r="F93">
        <v>1003</v>
      </c>
      <c r="G93" t="s">
        <v>114</v>
      </c>
      <c r="J93" t="s">
        <v>115</v>
      </c>
      <c r="K93">
        <v>0</v>
      </c>
      <c r="L93">
        <v>3</v>
      </c>
      <c r="M93">
        <v>0</v>
      </c>
      <c r="N93">
        <v>2</v>
      </c>
      <c r="O93">
        <v>1</v>
      </c>
      <c r="P93">
        <v>0</v>
      </c>
      <c r="Q93">
        <v>0</v>
      </c>
      <c r="S93" t="str">
        <f t="shared" si="11"/>
        <v>18:35:54.969</v>
      </c>
      <c r="T93" t="str">
        <f t="shared" si="11"/>
        <v>18:35:54.969</v>
      </c>
      <c r="U93" t="str">
        <f t="shared" si="6"/>
        <v>AAB6EE</v>
      </c>
      <c r="V93">
        <v>0</v>
      </c>
      <c r="W93">
        <v>0</v>
      </c>
      <c r="X93">
        <v>4</v>
      </c>
      <c r="Z93">
        <v>0</v>
      </c>
      <c r="AA93">
        <v>8</v>
      </c>
      <c r="AB93">
        <v>3</v>
      </c>
      <c r="AC93">
        <v>0</v>
      </c>
      <c r="AD93">
        <v>10</v>
      </c>
      <c r="AE93">
        <v>0</v>
      </c>
      <c r="AF93">
        <v>0</v>
      </c>
      <c r="AG93">
        <v>1</v>
      </c>
      <c r="AH93">
        <v>1</v>
      </c>
      <c r="AI93" t="s">
        <v>181</v>
      </c>
      <c r="AJ93">
        <v>35.549697999999999</v>
      </c>
      <c r="AK93" t="s">
        <v>182</v>
      </c>
      <c r="AL93">
        <v>-76.011829000000006</v>
      </c>
      <c r="AM93">
        <v>25</v>
      </c>
      <c r="AN93">
        <v>2275</v>
      </c>
      <c r="AO93" t="s">
        <v>118</v>
      </c>
      <c r="AP93">
        <v>-80</v>
      </c>
      <c r="AQ93">
        <v>-126</v>
      </c>
      <c r="AR93">
        <v>2368</v>
      </c>
      <c r="AZ93">
        <v>1200</v>
      </c>
      <c r="BA93">
        <v>1</v>
      </c>
      <c r="BB93" t="str">
        <f t="shared" si="9"/>
        <v xml:space="preserve">N79NX   </v>
      </c>
      <c r="BC93">
        <v>1</v>
      </c>
      <c r="BE93">
        <v>0</v>
      </c>
      <c r="BF93">
        <v>0</v>
      </c>
      <c r="BG93">
        <v>0</v>
      </c>
      <c r="BH93">
        <v>2125</v>
      </c>
      <c r="BI93">
        <v>0</v>
      </c>
      <c r="BJ93">
        <v>0</v>
      </c>
      <c r="BK93">
        <v>0</v>
      </c>
      <c r="BL93">
        <v>0</v>
      </c>
      <c r="BO93">
        <v>0</v>
      </c>
      <c r="BP93">
        <v>0</v>
      </c>
      <c r="BW93" t="str">
        <f>"18:35:54.970"</f>
        <v>18:35:54.970</v>
      </c>
      <c r="BZ93">
        <v>0</v>
      </c>
      <c r="CA93">
        <v>3488</v>
      </c>
      <c r="CB93">
        <v>216</v>
      </c>
      <c r="CC93">
        <v>583.59379999999999</v>
      </c>
      <c r="CD93">
        <v>1</v>
      </c>
      <c r="CE93">
        <v>1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2</v>
      </c>
      <c r="CL93">
        <v>0</v>
      </c>
      <c r="CM93">
        <v>2</v>
      </c>
      <c r="CN93">
        <v>0</v>
      </c>
      <c r="CO93">
        <v>6</v>
      </c>
      <c r="CP93" t="s">
        <v>119</v>
      </c>
      <c r="CQ93">
        <v>145</v>
      </c>
      <c r="CR93">
        <v>1</v>
      </c>
      <c r="CW93">
        <v>8861804</v>
      </c>
      <c r="CY93">
        <v>0</v>
      </c>
      <c r="CZ93">
        <v>0</v>
      </c>
      <c r="DA93">
        <v>1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</row>
    <row r="94" spans="1:113" x14ac:dyDescent="0.3">
      <c r="A94" t="str">
        <f>"02/13/2022 18:35:55.212"</f>
        <v>02/13/2022 18:35:55.212</v>
      </c>
      <c r="C94" t="str">
        <f t="shared" si="8"/>
        <v>FFDFD7C0</v>
      </c>
      <c r="D94" t="s">
        <v>121</v>
      </c>
      <c r="E94">
        <v>2</v>
      </c>
      <c r="H94">
        <v>158</v>
      </c>
      <c r="I94" t="s">
        <v>120</v>
      </c>
      <c r="J94" t="s">
        <v>122</v>
      </c>
      <c r="K94">
        <v>0</v>
      </c>
      <c r="L94">
        <v>3</v>
      </c>
      <c r="M94">
        <v>0</v>
      </c>
      <c r="N94">
        <v>2</v>
      </c>
      <c r="O94">
        <v>1</v>
      </c>
      <c r="P94">
        <v>0</v>
      </c>
      <c r="Q94">
        <v>0</v>
      </c>
      <c r="S94" t="str">
        <f t="shared" si="11"/>
        <v>18:35:54.969</v>
      </c>
      <c r="T94" t="str">
        <f t="shared" si="11"/>
        <v>18:35:54.969</v>
      </c>
      <c r="U94" t="str">
        <f t="shared" si="6"/>
        <v>AAB6EE</v>
      </c>
      <c r="V94">
        <v>0</v>
      </c>
      <c r="W94">
        <v>0</v>
      </c>
      <c r="X94">
        <v>4</v>
      </c>
      <c r="Z94">
        <v>0</v>
      </c>
      <c r="AA94">
        <v>8</v>
      </c>
      <c r="AB94">
        <v>3</v>
      </c>
      <c r="AC94">
        <v>0</v>
      </c>
      <c r="AD94">
        <v>10</v>
      </c>
      <c r="AE94">
        <v>0</v>
      </c>
      <c r="AF94">
        <v>0</v>
      </c>
      <c r="AG94">
        <v>1</v>
      </c>
      <c r="AH94">
        <v>1</v>
      </c>
      <c r="AI94" t="s">
        <v>181</v>
      </c>
      <c r="AJ94">
        <v>35.549697999999999</v>
      </c>
      <c r="AK94" t="s">
        <v>182</v>
      </c>
      <c r="AL94">
        <v>-76.011829000000006</v>
      </c>
      <c r="AM94">
        <v>25</v>
      </c>
      <c r="AN94">
        <v>2275</v>
      </c>
      <c r="AO94" t="s">
        <v>118</v>
      </c>
      <c r="AP94">
        <v>-80</v>
      </c>
      <c r="AQ94">
        <v>-126</v>
      </c>
      <c r="AR94">
        <v>2368</v>
      </c>
      <c r="AZ94">
        <v>1200</v>
      </c>
      <c r="BA94">
        <v>1</v>
      </c>
      <c r="BB94" t="str">
        <f t="shared" si="9"/>
        <v xml:space="preserve">N79NX   </v>
      </c>
      <c r="BC94">
        <v>1</v>
      </c>
      <c r="BE94">
        <v>0</v>
      </c>
      <c r="BF94">
        <v>0</v>
      </c>
      <c r="BG94">
        <v>0</v>
      </c>
      <c r="BH94">
        <v>2125</v>
      </c>
      <c r="BI94">
        <v>0</v>
      </c>
      <c r="BJ94">
        <v>0</v>
      </c>
      <c r="BK94">
        <v>0</v>
      </c>
      <c r="BL94">
        <v>0</v>
      </c>
      <c r="BO94">
        <v>0</v>
      </c>
      <c r="BP94">
        <v>0</v>
      </c>
      <c r="BW94" t="str">
        <f>"18:35:54.970"</f>
        <v>18:35:54.970</v>
      </c>
      <c r="BZ94">
        <v>0</v>
      </c>
      <c r="CA94">
        <v>3488</v>
      </c>
      <c r="CB94">
        <v>216</v>
      </c>
      <c r="CC94">
        <v>583.59379999999999</v>
      </c>
      <c r="CD94">
        <v>1</v>
      </c>
      <c r="CE94">
        <v>1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2</v>
      </c>
      <c r="CL94">
        <v>0</v>
      </c>
      <c r="CM94">
        <v>2</v>
      </c>
      <c r="CN94">
        <v>0</v>
      </c>
      <c r="CO94">
        <v>6</v>
      </c>
      <c r="CP94" t="s">
        <v>119</v>
      </c>
      <c r="CQ94">
        <v>145</v>
      </c>
      <c r="CR94">
        <v>1</v>
      </c>
      <c r="CW94">
        <v>8861804</v>
      </c>
      <c r="CY94">
        <v>0</v>
      </c>
      <c r="CZ94">
        <v>0</v>
      </c>
      <c r="DA94">
        <v>1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</row>
    <row r="95" spans="1:113" x14ac:dyDescent="0.3">
      <c r="A95" t="str">
        <f>"02/13/2022 18:35:56.166"</f>
        <v>02/13/2022 18:35:56.166</v>
      </c>
      <c r="C95" t="str">
        <f t="shared" si="8"/>
        <v>FFDFD7C0</v>
      </c>
      <c r="D95" t="s">
        <v>113</v>
      </c>
      <c r="E95">
        <v>4</v>
      </c>
      <c r="F95">
        <v>1004</v>
      </c>
      <c r="G95" t="s">
        <v>120</v>
      </c>
      <c r="J95" t="s">
        <v>115</v>
      </c>
      <c r="K95">
        <v>0</v>
      </c>
      <c r="L95">
        <v>3</v>
      </c>
      <c r="M95">
        <v>0</v>
      </c>
      <c r="N95">
        <v>2</v>
      </c>
      <c r="O95">
        <v>1</v>
      </c>
      <c r="P95">
        <v>0</v>
      </c>
      <c r="Q95">
        <v>0</v>
      </c>
      <c r="S95" t="str">
        <f>"18:35:55.977"</f>
        <v>18:35:55.977</v>
      </c>
      <c r="T95" t="str">
        <f>"18:35:55.877"</f>
        <v>18:35:55.877</v>
      </c>
      <c r="U95" t="str">
        <f t="shared" si="6"/>
        <v>AAB6EE</v>
      </c>
      <c r="V95">
        <v>0</v>
      </c>
      <c r="W95">
        <v>0</v>
      </c>
      <c r="X95">
        <v>4</v>
      </c>
      <c r="Z95">
        <v>0</v>
      </c>
      <c r="AA95">
        <v>8</v>
      </c>
      <c r="AB95">
        <v>3</v>
      </c>
      <c r="AC95">
        <v>0</v>
      </c>
      <c r="AD95">
        <v>10</v>
      </c>
      <c r="AE95">
        <v>0</v>
      </c>
      <c r="AF95">
        <v>0</v>
      </c>
      <c r="AG95">
        <v>1</v>
      </c>
      <c r="AH95">
        <v>1</v>
      </c>
      <c r="AI95" t="s">
        <v>183</v>
      </c>
      <c r="AJ95">
        <v>35.549097000000003</v>
      </c>
      <c r="AK95" t="s">
        <v>184</v>
      </c>
      <c r="AL95">
        <v>-76.012280000000004</v>
      </c>
      <c r="AM95">
        <v>25</v>
      </c>
      <c r="AN95">
        <v>2300</v>
      </c>
      <c r="AO95" t="s">
        <v>118</v>
      </c>
      <c r="AP95">
        <v>-80</v>
      </c>
      <c r="AQ95">
        <v>-125</v>
      </c>
      <c r="AR95">
        <v>2368</v>
      </c>
      <c r="AZ95">
        <v>1200</v>
      </c>
      <c r="BA95">
        <v>1</v>
      </c>
      <c r="BB95" t="str">
        <f t="shared" si="9"/>
        <v xml:space="preserve">N79NX   </v>
      </c>
      <c r="BC95">
        <v>1</v>
      </c>
      <c r="BE95">
        <v>0</v>
      </c>
      <c r="BF95">
        <v>0</v>
      </c>
      <c r="BG95">
        <v>0</v>
      </c>
      <c r="BH95">
        <v>2175</v>
      </c>
      <c r="BI95">
        <v>0</v>
      </c>
      <c r="BJ95">
        <v>0</v>
      </c>
      <c r="BK95">
        <v>0</v>
      </c>
      <c r="BL95">
        <v>0</v>
      </c>
      <c r="BO95">
        <v>0</v>
      </c>
      <c r="BP95">
        <v>0</v>
      </c>
      <c r="BW95" t="str">
        <f>"18:35:55.980"</f>
        <v>18:35:55.980</v>
      </c>
      <c r="BZ95">
        <v>0</v>
      </c>
      <c r="CA95">
        <v>3488</v>
      </c>
      <c r="CB95">
        <v>216</v>
      </c>
      <c r="CC95">
        <v>583.59379999999999</v>
      </c>
      <c r="CD95">
        <v>1</v>
      </c>
      <c r="CE95">
        <v>1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2</v>
      </c>
      <c r="CL95">
        <v>0</v>
      </c>
      <c r="CM95">
        <v>2</v>
      </c>
      <c r="CN95">
        <v>0</v>
      </c>
      <c r="CO95">
        <v>6</v>
      </c>
      <c r="CP95" t="s">
        <v>119</v>
      </c>
      <c r="CQ95">
        <v>145</v>
      </c>
      <c r="CR95">
        <v>1</v>
      </c>
      <c r="CW95">
        <v>8862287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</row>
    <row r="96" spans="1:113" x14ac:dyDescent="0.3">
      <c r="A96" t="str">
        <f>"02/13/2022 18:35:56.213"</f>
        <v>02/13/2022 18:35:56.213</v>
      </c>
      <c r="C96" t="str">
        <f t="shared" si="8"/>
        <v>FFDFD7C0</v>
      </c>
      <c r="D96" t="s">
        <v>121</v>
      </c>
      <c r="E96">
        <v>2</v>
      </c>
      <c r="H96">
        <v>158</v>
      </c>
      <c r="I96" t="s">
        <v>120</v>
      </c>
      <c r="J96" t="s">
        <v>122</v>
      </c>
      <c r="K96">
        <v>0</v>
      </c>
      <c r="L96">
        <v>3</v>
      </c>
      <c r="M96">
        <v>0</v>
      </c>
      <c r="N96">
        <v>2</v>
      </c>
      <c r="O96">
        <v>1</v>
      </c>
      <c r="P96">
        <v>0</v>
      </c>
      <c r="Q96">
        <v>0</v>
      </c>
      <c r="S96" t="str">
        <f>"18:35:55.977"</f>
        <v>18:35:55.977</v>
      </c>
      <c r="T96" t="str">
        <f>"18:35:55.877"</f>
        <v>18:35:55.877</v>
      </c>
      <c r="U96" t="str">
        <f t="shared" si="6"/>
        <v>AAB6EE</v>
      </c>
      <c r="V96">
        <v>0</v>
      </c>
      <c r="W96">
        <v>0</v>
      </c>
      <c r="X96">
        <v>4</v>
      </c>
      <c r="Z96">
        <v>0</v>
      </c>
      <c r="AA96">
        <v>8</v>
      </c>
      <c r="AB96">
        <v>3</v>
      </c>
      <c r="AC96">
        <v>0</v>
      </c>
      <c r="AD96">
        <v>10</v>
      </c>
      <c r="AE96">
        <v>0</v>
      </c>
      <c r="AF96">
        <v>0</v>
      </c>
      <c r="AG96">
        <v>1</v>
      </c>
      <c r="AH96">
        <v>1</v>
      </c>
      <c r="AI96" t="s">
        <v>183</v>
      </c>
      <c r="AJ96">
        <v>35.549097000000003</v>
      </c>
      <c r="AK96" t="s">
        <v>184</v>
      </c>
      <c r="AL96">
        <v>-76.012280000000004</v>
      </c>
      <c r="AM96">
        <v>25</v>
      </c>
      <c r="AN96">
        <v>2300</v>
      </c>
      <c r="AO96" t="s">
        <v>118</v>
      </c>
      <c r="AP96">
        <v>-80</v>
      </c>
      <c r="AQ96">
        <v>-125</v>
      </c>
      <c r="AR96">
        <v>2368</v>
      </c>
      <c r="AZ96">
        <v>1200</v>
      </c>
      <c r="BA96">
        <v>1</v>
      </c>
      <c r="BB96" t="str">
        <f t="shared" si="9"/>
        <v xml:space="preserve">N79NX   </v>
      </c>
      <c r="BC96">
        <v>1</v>
      </c>
      <c r="BE96">
        <v>0</v>
      </c>
      <c r="BF96">
        <v>0</v>
      </c>
      <c r="BG96">
        <v>0</v>
      </c>
      <c r="BH96">
        <v>2175</v>
      </c>
      <c r="BI96">
        <v>0</v>
      </c>
      <c r="BJ96">
        <v>0</v>
      </c>
      <c r="BK96">
        <v>0</v>
      </c>
      <c r="BL96">
        <v>0</v>
      </c>
      <c r="BO96">
        <v>0</v>
      </c>
      <c r="BP96">
        <v>0</v>
      </c>
      <c r="BW96" t="str">
        <f>"18:35:55.980"</f>
        <v>18:35:55.980</v>
      </c>
      <c r="BZ96">
        <v>0</v>
      </c>
      <c r="CA96">
        <v>3488</v>
      </c>
      <c r="CB96">
        <v>216</v>
      </c>
      <c r="CC96">
        <v>583.59379999999999</v>
      </c>
      <c r="CD96">
        <v>1</v>
      </c>
      <c r="CE96">
        <v>1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2</v>
      </c>
      <c r="CL96">
        <v>0</v>
      </c>
      <c r="CM96">
        <v>2</v>
      </c>
      <c r="CN96">
        <v>0</v>
      </c>
      <c r="CO96">
        <v>6</v>
      </c>
      <c r="CP96" t="s">
        <v>119</v>
      </c>
      <c r="CQ96">
        <v>145</v>
      </c>
      <c r="CR96">
        <v>1</v>
      </c>
      <c r="CW96">
        <v>8862287</v>
      </c>
      <c r="CY96">
        <v>0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</row>
    <row r="97" spans="1:113" x14ac:dyDescent="0.3">
      <c r="A97" t="str">
        <f>"02/13/2022 18:35:56.244"</f>
        <v>02/13/2022 18:35:56.244</v>
      </c>
      <c r="C97" t="str">
        <f t="shared" si="8"/>
        <v>FFDFD7C0</v>
      </c>
      <c r="D97" t="s">
        <v>113</v>
      </c>
      <c r="E97">
        <v>3</v>
      </c>
      <c r="F97">
        <v>1003</v>
      </c>
      <c r="G97" t="s">
        <v>114</v>
      </c>
      <c r="J97" t="s">
        <v>115</v>
      </c>
      <c r="K97">
        <v>0</v>
      </c>
      <c r="L97">
        <v>3</v>
      </c>
      <c r="M97">
        <v>0</v>
      </c>
      <c r="N97">
        <v>2</v>
      </c>
      <c r="O97">
        <v>1</v>
      </c>
      <c r="P97">
        <v>0</v>
      </c>
      <c r="Q97">
        <v>0</v>
      </c>
      <c r="S97" t="str">
        <f>"18:35:55.977"</f>
        <v>18:35:55.977</v>
      </c>
      <c r="T97" t="str">
        <f>"18:35:55.877"</f>
        <v>18:35:55.877</v>
      </c>
      <c r="U97" t="str">
        <f t="shared" si="6"/>
        <v>AAB6EE</v>
      </c>
      <c r="V97">
        <v>0</v>
      </c>
      <c r="W97">
        <v>0</v>
      </c>
      <c r="X97">
        <v>4</v>
      </c>
      <c r="Z97">
        <v>0</v>
      </c>
      <c r="AA97">
        <v>8</v>
      </c>
      <c r="AB97">
        <v>3</v>
      </c>
      <c r="AC97">
        <v>0</v>
      </c>
      <c r="AD97">
        <v>10</v>
      </c>
      <c r="AE97">
        <v>0</v>
      </c>
      <c r="AF97">
        <v>0</v>
      </c>
      <c r="AG97">
        <v>1</v>
      </c>
      <c r="AH97">
        <v>1</v>
      </c>
      <c r="AI97" t="s">
        <v>183</v>
      </c>
      <c r="AJ97">
        <v>35.549097000000003</v>
      </c>
      <c r="AK97" t="s">
        <v>184</v>
      </c>
      <c r="AL97">
        <v>-76.012280000000004</v>
      </c>
      <c r="AM97">
        <v>25</v>
      </c>
      <c r="AN97">
        <v>2300</v>
      </c>
      <c r="AO97" t="s">
        <v>118</v>
      </c>
      <c r="AP97">
        <v>-80</v>
      </c>
      <c r="AQ97">
        <v>-125</v>
      </c>
      <c r="AR97">
        <v>2368</v>
      </c>
      <c r="AZ97">
        <v>1200</v>
      </c>
      <c r="BA97">
        <v>1</v>
      </c>
      <c r="BB97" t="str">
        <f t="shared" si="9"/>
        <v xml:space="preserve">N79NX   </v>
      </c>
      <c r="BC97">
        <v>1</v>
      </c>
      <c r="BE97">
        <v>0</v>
      </c>
      <c r="BF97">
        <v>0</v>
      </c>
      <c r="BG97">
        <v>0</v>
      </c>
      <c r="BH97">
        <v>2175</v>
      </c>
      <c r="BI97">
        <v>0</v>
      </c>
      <c r="BJ97">
        <v>0</v>
      </c>
      <c r="BK97">
        <v>0</v>
      </c>
      <c r="BL97">
        <v>0</v>
      </c>
      <c r="BO97">
        <v>0</v>
      </c>
      <c r="BP97">
        <v>0</v>
      </c>
      <c r="BW97" t="str">
        <f>"18:35:55.980"</f>
        <v>18:35:55.980</v>
      </c>
      <c r="BZ97">
        <v>0</v>
      </c>
      <c r="CA97">
        <v>3488</v>
      </c>
      <c r="CB97">
        <v>216</v>
      </c>
      <c r="CC97">
        <v>583.59379999999999</v>
      </c>
      <c r="CD97">
        <v>1</v>
      </c>
      <c r="CE97">
        <v>1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2</v>
      </c>
      <c r="CL97">
        <v>0</v>
      </c>
      <c r="CM97">
        <v>2</v>
      </c>
      <c r="CN97">
        <v>0</v>
      </c>
      <c r="CO97">
        <v>6</v>
      </c>
      <c r="CP97" t="s">
        <v>119</v>
      </c>
      <c r="CQ97">
        <v>145</v>
      </c>
      <c r="CR97">
        <v>1</v>
      </c>
      <c r="CW97">
        <v>8862287</v>
      </c>
      <c r="CY97">
        <v>0</v>
      </c>
      <c r="CZ97">
        <v>0</v>
      </c>
      <c r="DA97">
        <v>1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</row>
    <row r="98" spans="1:113" x14ac:dyDescent="0.3">
      <c r="A98" t="str">
        <f>"02/13/2022 18:35:57.338"</f>
        <v>02/13/2022 18:35:57.338</v>
      </c>
      <c r="C98" t="str">
        <f t="shared" si="8"/>
        <v>FFDFD7C0</v>
      </c>
      <c r="D98" t="s">
        <v>121</v>
      </c>
      <c r="E98">
        <v>2</v>
      </c>
      <c r="H98">
        <v>158</v>
      </c>
      <c r="I98" t="s">
        <v>120</v>
      </c>
      <c r="J98" t="s">
        <v>122</v>
      </c>
      <c r="K98">
        <v>0</v>
      </c>
      <c r="L98">
        <v>3</v>
      </c>
      <c r="M98">
        <v>0</v>
      </c>
      <c r="N98">
        <v>2</v>
      </c>
      <c r="O98">
        <v>1</v>
      </c>
      <c r="P98">
        <v>0</v>
      </c>
      <c r="Q98">
        <v>0</v>
      </c>
      <c r="S98" t="str">
        <f>"18:35:57.133"</f>
        <v>18:35:57.133</v>
      </c>
      <c r="T98" t="str">
        <f>"18:35:56.933"</f>
        <v>18:35:56.933</v>
      </c>
      <c r="U98" t="str">
        <f t="shared" si="6"/>
        <v>AAB6EE</v>
      </c>
      <c r="V98">
        <v>0</v>
      </c>
      <c r="W98">
        <v>0</v>
      </c>
      <c r="X98">
        <v>4</v>
      </c>
      <c r="Z98">
        <v>0</v>
      </c>
      <c r="AA98">
        <v>8</v>
      </c>
      <c r="AB98">
        <v>3</v>
      </c>
      <c r="AC98">
        <v>0</v>
      </c>
      <c r="AD98">
        <v>10</v>
      </c>
      <c r="AE98">
        <v>0</v>
      </c>
      <c r="AF98">
        <v>0</v>
      </c>
      <c r="AG98">
        <v>1</v>
      </c>
      <c r="AH98">
        <v>1</v>
      </c>
      <c r="AI98" t="s">
        <v>185</v>
      </c>
      <c r="AJ98">
        <v>35.548409999999997</v>
      </c>
      <c r="AK98" t="s">
        <v>186</v>
      </c>
      <c r="AL98">
        <v>-76.012859000000006</v>
      </c>
      <c r="AM98">
        <v>25</v>
      </c>
      <c r="AN98">
        <v>2350</v>
      </c>
      <c r="AO98" t="s">
        <v>118</v>
      </c>
      <c r="AP98">
        <v>-81</v>
      </c>
      <c r="AQ98">
        <v>-123</v>
      </c>
      <c r="AR98">
        <v>2432</v>
      </c>
      <c r="AZ98">
        <v>1200</v>
      </c>
      <c r="BA98">
        <v>1</v>
      </c>
      <c r="BB98" t="str">
        <f t="shared" si="9"/>
        <v xml:space="preserve">N79NX   </v>
      </c>
      <c r="BC98">
        <v>1</v>
      </c>
      <c r="BE98">
        <v>0</v>
      </c>
      <c r="BF98">
        <v>0</v>
      </c>
      <c r="BG98">
        <v>0</v>
      </c>
      <c r="BH98">
        <v>2200</v>
      </c>
      <c r="BI98">
        <v>0</v>
      </c>
      <c r="BJ98">
        <v>0</v>
      </c>
      <c r="BK98">
        <v>0</v>
      </c>
      <c r="BL98">
        <v>0</v>
      </c>
      <c r="BO98">
        <v>0</v>
      </c>
      <c r="BP98">
        <v>0</v>
      </c>
      <c r="BW98" t="str">
        <f>"18:35:57.140"</f>
        <v>18:35:57.140</v>
      </c>
      <c r="BZ98">
        <v>0</v>
      </c>
      <c r="CA98">
        <v>3488</v>
      </c>
      <c r="CB98">
        <v>216</v>
      </c>
      <c r="CC98">
        <v>583.59379999999999</v>
      </c>
      <c r="CD98">
        <v>1</v>
      </c>
      <c r="CE98">
        <v>1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2</v>
      </c>
      <c r="CL98">
        <v>0</v>
      </c>
      <c r="CM98">
        <v>2</v>
      </c>
      <c r="CN98">
        <v>0</v>
      </c>
      <c r="CO98">
        <v>6</v>
      </c>
      <c r="CP98" t="s">
        <v>119</v>
      </c>
      <c r="CQ98">
        <v>145</v>
      </c>
      <c r="CR98">
        <v>1</v>
      </c>
      <c r="CW98">
        <v>8862903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</row>
    <row r="99" spans="1:113" x14ac:dyDescent="0.3">
      <c r="A99" t="str">
        <f>"02/13/2022 18:35:57.432"</f>
        <v>02/13/2022 18:35:57.432</v>
      </c>
      <c r="C99" t="str">
        <f t="shared" si="8"/>
        <v>FFDFD7C0</v>
      </c>
      <c r="D99" t="s">
        <v>113</v>
      </c>
      <c r="E99">
        <v>3</v>
      </c>
      <c r="F99">
        <v>1003</v>
      </c>
      <c r="G99" t="s">
        <v>114</v>
      </c>
      <c r="J99" t="s">
        <v>115</v>
      </c>
      <c r="K99">
        <v>0</v>
      </c>
      <c r="L99">
        <v>3</v>
      </c>
      <c r="M99">
        <v>0</v>
      </c>
      <c r="N99">
        <v>2</v>
      </c>
      <c r="O99">
        <v>1</v>
      </c>
      <c r="P99">
        <v>0</v>
      </c>
      <c r="Q99">
        <v>0</v>
      </c>
      <c r="S99" t="str">
        <f>"18:35:57.133"</f>
        <v>18:35:57.133</v>
      </c>
      <c r="T99" t="str">
        <f>"18:35:56.933"</f>
        <v>18:35:56.933</v>
      </c>
      <c r="U99" t="str">
        <f t="shared" si="6"/>
        <v>AAB6EE</v>
      </c>
      <c r="V99">
        <v>0</v>
      </c>
      <c r="W99">
        <v>0</v>
      </c>
      <c r="X99">
        <v>4</v>
      </c>
      <c r="Z99">
        <v>0</v>
      </c>
      <c r="AA99">
        <v>8</v>
      </c>
      <c r="AB99">
        <v>3</v>
      </c>
      <c r="AC99">
        <v>0</v>
      </c>
      <c r="AD99">
        <v>10</v>
      </c>
      <c r="AE99">
        <v>0</v>
      </c>
      <c r="AF99">
        <v>0</v>
      </c>
      <c r="AG99">
        <v>1</v>
      </c>
      <c r="AH99">
        <v>1</v>
      </c>
      <c r="AI99" t="s">
        <v>185</v>
      </c>
      <c r="AJ99">
        <v>35.548409999999997</v>
      </c>
      <c r="AK99" t="s">
        <v>186</v>
      </c>
      <c r="AL99">
        <v>-76.012859000000006</v>
      </c>
      <c r="AM99">
        <v>25</v>
      </c>
      <c r="AN99">
        <v>2350</v>
      </c>
      <c r="AO99" t="s">
        <v>118</v>
      </c>
      <c r="AP99">
        <v>-81</v>
      </c>
      <c r="AQ99">
        <v>-123</v>
      </c>
      <c r="AR99">
        <v>2432</v>
      </c>
      <c r="AZ99">
        <v>1200</v>
      </c>
      <c r="BA99">
        <v>1</v>
      </c>
      <c r="BB99" t="str">
        <f t="shared" si="9"/>
        <v xml:space="preserve">N79NX   </v>
      </c>
      <c r="BC99">
        <v>1</v>
      </c>
      <c r="BE99">
        <v>0</v>
      </c>
      <c r="BF99">
        <v>0</v>
      </c>
      <c r="BG99">
        <v>0</v>
      </c>
      <c r="BH99">
        <v>2200</v>
      </c>
      <c r="BI99">
        <v>0</v>
      </c>
      <c r="BJ99">
        <v>0</v>
      </c>
      <c r="BK99">
        <v>0</v>
      </c>
      <c r="BL99">
        <v>0</v>
      </c>
      <c r="BO99">
        <v>0</v>
      </c>
      <c r="BP99">
        <v>0</v>
      </c>
      <c r="BW99" t="str">
        <f>"18:35:57.140"</f>
        <v>18:35:57.140</v>
      </c>
      <c r="BZ99">
        <v>0</v>
      </c>
      <c r="CA99">
        <v>3488</v>
      </c>
      <c r="CB99">
        <v>216</v>
      </c>
      <c r="CC99">
        <v>583.59379999999999</v>
      </c>
      <c r="CD99">
        <v>1</v>
      </c>
      <c r="CE99">
        <v>1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2</v>
      </c>
      <c r="CL99">
        <v>0</v>
      </c>
      <c r="CM99">
        <v>2</v>
      </c>
      <c r="CN99">
        <v>0</v>
      </c>
      <c r="CO99">
        <v>6</v>
      </c>
      <c r="CP99" t="s">
        <v>119</v>
      </c>
      <c r="CQ99">
        <v>145</v>
      </c>
      <c r="CR99">
        <v>1</v>
      </c>
      <c r="CW99">
        <v>8862903</v>
      </c>
      <c r="CY99">
        <v>0</v>
      </c>
      <c r="CZ99">
        <v>0</v>
      </c>
      <c r="DA99">
        <v>1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</row>
    <row r="100" spans="1:113" x14ac:dyDescent="0.3">
      <c r="A100" t="str">
        <f>"02/13/2022 18:35:57.432"</f>
        <v>02/13/2022 18:35:57.432</v>
      </c>
      <c r="C100" t="str">
        <f t="shared" si="8"/>
        <v>FFDFD7C0</v>
      </c>
      <c r="D100" t="s">
        <v>113</v>
      </c>
      <c r="E100">
        <v>4</v>
      </c>
      <c r="F100">
        <v>1004</v>
      </c>
      <c r="G100" t="s">
        <v>120</v>
      </c>
      <c r="J100" t="s">
        <v>115</v>
      </c>
      <c r="K100">
        <v>0</v>
      </c>
      <c r="L100">
        <v>3</v>
      </c>
      <c r="M100">
        <v>0</v>
      </c>
      <c r="N100">
        <v>2</v>
      </c>
      <c r="O100">
        <v>1</v>
      </c>
      <c r="P100">
        <v>0</v>
      </c>
      <c r="Q100">
        <v>0</v>
      </c>
      <c r="S100" t="str">
        <f>"18:35:57.133"</f>
        <v>18:35:57.133</v>
      </c>
      <c r="T100" t="str">
        <f>"18:35:56.933"</f>
        <v>18:35:56.933</v>
      </c>
      <c r="U100" t="str">
        <f t="shared" si="6"/>
        <v>AAB6EE</v>
      </c>
      <c r="V100">
        <v>0</v>
      </c>
      <c r="W100">
        <v>0</v>
      </c>
      <c r="X100">
        <v>4</v>
      </c>
      <c r="Z100">
        <v>0</v>
      </c>
      <c r="AA100">
        <v>8</v>
      </c>
      <c r="AB100">
        <v>3</v>
      </c>
      <c r="AC100">
        <v>0</v>
      </c>
      <c r="AD100">
        <v>10</v>
      </c>
      <c r="AE100">
        <v>0</v>
      </c>
      <c r="AF100">
        <v>0</v>
      </c>
      <c r="AG100">
        <v>1</v>
      </c>
      <c r="AH100">
        <v>1</v>
      </c>
      <c r="AI100" t="s">
        <v>185</v>
      </c>
      <c r="AJ100">
        <v>35.548409999999997</v>
      </c>
      <c r="AK100" t="s">
        <v>186</v>
      </c>
      <c r="AL100">
        <v>-76.012859000000006</v>
      </c>
      <c r="AM100">
        <v>25</v>
      </c>
      <c r="AN100">
        <v>2350</v>
      </c>
      <c r="AO100" t="s">
        <v>118</v>
      </c>
      <c r="AP100">
        <v>-81</v>
      </c>
      <c r="AQ100">
        <v>-123</v>
      </c>
      <c r="AR100">
        <v>2432</v>
      </c>
      <c r="AZ100">
        <v>1200</v>
      </c>
      <c r="BA100">
        <v>1</v>
      </c>
      <c r="BB100" t="str">
        <f t="shared" si="9"/>
        <v xml:space="preserve">N79NX   </v>
      </c>
      <c r="BC100">
        <v>1</v>
      </c>
      <c r="BE100">
        <v>0</v>
      </c>
      <c r="BF100">
        <v>0</v>
      </c>
      <c r="BG100">
        <v>0</v>
      </c>
      <c r="BH100">
        <v>2200</v>
      </c>
      <c r="BI100">
        <v>0</v>
      </c>
      <c r="BJ100">
        <v>0</v>
      </c>
      <c r="BK100">
        <v>0</v>
      </c>
      <c r="BL100">
        <v>0</v>
      </c>
      <c r="BO100">
        <v>0</v>
      </c>
      <c r="BP100">
        <v>0</v>
      </c>
      <c r="BW100" t="str">
        <f>"18:35:57.140"</f>
        <v>18:35:57.140</v>
      </c>
      <c r="BZ100">
        <v>0</v>
      </c>
      <c r="CA100">
        <v>3488</v>
      </c>
      <c r="CB100">
        <v>216</v>
      </c>
      <c r="CC100">
        <v>583.59379999999999</v>
      </c>
      <c r="CD100">
        <v>1</v>
      </c>
      <c r="CE100">
        <v>1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2</v>
      </c>
      <c r="CL100">
        <v>0</v>
      </c>
      <c r="CM100">
        <v>2</v>
      </c>
      <c r="CN100">
        <v>0</v>
      </c>
      <c r="CO100">
        <v>6</v>
      </c>
      <c r="CP100" t="s">
        <v>119</v>
      </c>
      <c r="CQ100">
        <v>145</v>
      </c>
      <c r="CR100">
        <v>1</v>
      </c>
      <c r="CW100">
        <v>8862903</v>
      </c>
      <c r="CY100">
        <v>0</v>
      </c>
      <c r="CZ100">
        <v>0</v>
      </c>
      <c r="DA100">
        <v>1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</row>
    <row r="101" spans="1:113" x14ac:dyDescent="0.3">
      <c r="A101" t="str">
        <f>"02/13/2022 18:35:58.432"</f>
        <v>02/13/2022 18:35:58.432</v>
      </c>
      <c r="C101" t="str">
        <f t="shared" si="8"/>
        <v>FFDFD7C0</v>
      </c>
      <c r="D101" t="s">
        <v>113</v>
      </c>
      <c r="E101">
        <v>3</v>
      </c>
      <c r="F101">
        <v>1003</v>
      </c>
      <c r="G101" t="s">
        <v>114</v>
      </c>
      <c r="J101" t="s">
        <v>115</v>
      </c>
      <c r="K101">
        <v>0</v>
      </c>
      <c r="L101">
        <v>3</v>
      </c>
      <c r="M101">
        <v>0</v>
      </c>
      <c r="N101">
        <v>2</v>
      </c>
      <c r="O101">
        <v>1</v>
      </c>
      <c r="P101">
        <v>0</v>
      </c>
      <c r="Q101">
        <v>0</v>
      </c>
      <c r="S101" t="str">
        <f t="shared" ref="S101:T103" si="12">"18:35:58.219"</f>
        <v>18:35:58.219</v>
      </c>
      <c r="T101" t="str">
        <f t="shared" si="12"/>
        <v>18:35:58.219</v>
      </c>
      <c r="U101" t="str">
        <f t="shared" si="6"/>
        <v>AAB6EE</v>
      </c>
      <c r="V101">
        <v>0</v>
      </c>
      <c r="W101">
        <v>0</v>
      </c>
      <c r="X101">
        <v>4</v>
      </c>
      <c r="Z101">
        <v>0</v>
      </c>
      <c r="AA101">
        <v>8</v>
      </c>
      <c r="AB101">
        <v>3</v>
      </c>
      <c r="AC101">
        <v>0</v>
      </c>
      <c r="AD101">
        <v>10</v>
      </c>
      <c r="AE101">
        <v>0</v>
      </c>
      <c r="AF101">
        <v>0</v>
      </c>
      <c r="AG101">
        <v>1</v>
      </c>
      <c r="AH101">
        <v>1</v>
      </c>
      <c r="AI101" t="s">
        <v>187</v>
      </c>
      <c r="AJ101">
        <v>35.547809999999998</v>
      </c>
      <c r="AK101" t="s">
        <v>188</v>
      </c>
      <c r="AL101">
        <v>-76.013352999999995</v>
      </c>
      <c r="AM101">
        <v>25</v>
      </c>
      <c r="AN101">
        <v>2400</v>
      </c>
      <c r="AO101" t="s">
        <v>118</v>
      </c>
      <c r="AP101">
        <v>-81</v>
      </c>
      <c r="AQ101">
        <v>-122</v>
      </c>
      <c r="AR101">
        <v>2496</v>
      </c>
      <c r="AZ101">
        <v>1200</v>
      </c>
      <c r="BA101">
        <v>1</v>
      </c>
      <c r="BB101" t="str">
        <f t="shared" si="9"/>
        <v xml:space="preserve">N79NX   </v>
      </c>
      <c r="BC101">
        <v>1</v>
      </c>
      <c r="BE101">
        <v>0</v>
      </c>
      <c r="BF101">
        <v>0</v>
      </c>
      <c r="BG101">
        <v>0</v>
      </c>
      <c r="BH101">
        <v>2250</v>
      </c>
      <c r="BI101">
        <v>0</v>
      </c>
      <c r="BJ101">
        <v>0</v>
      </c>
      <c r="BK101">
        <v>0</v>
      </c>
      <c r="BL101">
        <v>0</v>
      </c>
      <c r="BO101">
        <v>0</v>
      </c>
      <c r="BP101">
        <v>0</v>
      </c>
      <c r="BW101" t="str">
        <f>"18:35:58.220"</f>
        <v>18:35:58.220</v>
      </c>
      <c r="BZ101">
        <v>0</v>
      </c>
      <c r="CA101">
        <v>3488</v>
      </c>
      <c r="CB101">
        <v>216</v>
      </c>
      <c r="CC101">
        <v>583.59379999999999</v>
      </c>
      <c r="CD101">
        <v>1</v>
      </c>
      <c r="CE101">
        <v>1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2</v>
      </c>
      <c r="CL101">
        <v>0</v>
      </c>
      <c r="CM101">
        <v>2</v>
      </c>
      <c r="CN101">
        <v>0</v>
      </c>
      <c r="CO101">
        <v>6</v>
      </c>
      <c r="CP101" t="s">
        <v>119</v>
      </c>
      <c r="CQ101">
        <v>145</v>
      </c>
      <c r="CR101">
        <v>1</v>
      </c>
      <c r="CW101">
        <v>8863490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</row>
    <row r="102" spans="1:113" x14ac:dyDescent="0.3">
      <c r="A102" t="str">
        <f>"02/13/2022 18:35:58.432"</f>
        <v>02/13/2022 18:35:58.432</v>
      </c>
      <c r="C102" t="str">
        <f t="shared" si="8"/>
        <v>FFDFD7C0</v>
      </c>
      <c r="D102" t="s">
        <v>113</v>
      </c>
      <c r="E102">
        <v>4</v>
      </c>
      <c r="F102">
        <v>1004</v>
      </c>
      <c r="G102" t="s">
        <v>120</v>
      </c>
      <c r="J102" t="s">
        <v>115</v>
      </c>
      <c r="K102">
        <v>0</v>
      </c>
      <c r="L102">
        <v>3</v>
      </c>
      <c r="M102">
        <v>0</v>
      </c>
      <c r="N102">
        <v>2</v>
      </c>
      <c r="O102">
        <v>1</v>
      </c>
      <c r="P102">
        <v>0</v>
      </c>
      <c r="Q102">
        <v>0</v>
      </c>
      <c r="S102" t="str">
        <f t="shared" si="12"/>
        <v>18:35:58.219</v>
      </c>
      <c r="T102" t="str">
        <f t="shared" si="12"/>
        <v>18:35:58.219</v>
      </c>
      <c r="U102" t="str">
        <f t="shared" si="6"/>
        <v>AAB6EE</v>
      </c>
      <c r="V102">
        <v>0</v>
      </c>
      <c r="W102">
        <v>0</v>
      </c>
      <c r="X102">
        <v>4</v>
      </c>
      <c r="Z102">
        <v>0</v>
      </c>
      <c r="AA102">
        <v>8</v>
      </c>
      <c r="AB102">
        <v>3</v>
      </c>
      <c r="AC102">
        <v>0</v>
      </c>
      <c r="AD102">
        <v>10</v>
      </c>
      <c r="AE102">
        <v>0</v>
      </c>
      <c r="AF102">
        <v>0</v>
      </c>
      <c r="AG102">
        <v>1</v>
      </c>
      <c r="AH102">
        <v>1</v>
      </c>
      <c r="AI102" t="s">
        <v>187</v>
      </c>
      <c r="AJ102">
        <v>35.547809999999998</v>
      </c>
      <c r="AK102" t="s">
        <v>188</v>
      </c>
      <c r="AL102">
        <v>-76.013352999999995</v>
      </c>
      <c r="AM102">
        <v>25</v>
      </c>
      <c r="AN102">
        <v>2400</v>
      </c>
      <c r="AO102" t="s">
        <v>118</v>
      </c>
      <c r="AP102">
        <v>-81</v>
      </c>
      <c r="AQ102">
        <v>-122</v>
      </c>
      <c r="AR102">
        <v>2496</v>
      </c>
      <c r="AZ102">
        <v>1200</v>
      </c>
      <c r="BA102">
        <v>1</v>
      </c>
      <c r="BB102" t="str">
        <f t="shared" si="9"/>
        <v xml:space="preserve">N79NX   </v>
      </c>
      <c r="BC102">
        <v>1</v>
      </c>
      <c r="BE102">
        <v>0</v>
      </c>
      <c r="BF102">
        <v>0</v>
      </c>
      <c r="BG102">
        <v>0</v>
      </c>
      <c r="BH102">
        <v>2250</v>
      </c>
      <c r="BI102">
        <v>0</v>
      </c>
      <c r="BJ102">
        <v>0</v>
      </c>
      <c r="BK102">
        <v>0</v>
      </c>
      <c r="BL102">
        <v>0</v>
      </c>
      <c r="BO102">
        <v>0</v>
      </c>
      <c r="BP102">
        <v>0</v>
      </c>
      <c r="BW102" t="str">
        <f>"18:35:58.220"</f>
        <v>18:35:58.220</v>
      </c>
      <c r="BZ102">
        <v>0</v>
      </c>
      <c r="CA102">
        <v>3488</v>
      </c>
      <c r="CB102">
        <v>216</v>
      </c>
      <c r="CC102">
        <v>583.59379999999999</v>
      </c>
      <c r="CD102">
        <v>1</v>
      </c>
      <c r="CE102">
        <v>1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2</v>
      </c>
      <c r="CL102">
        <v>0</v>
      </c>
      <c r="CM102">
        <v>2</v>
      </c>
      <c r="CN102">
        <v>0</v>
      </c>
      <c r="CO102">
        <v>6</v>
      </c>
      <c r="CP102" t="s">
        <v>119</v>
      </c>
      <c r="CQ102">
        <v>145</v>
      </c>
      <c r="CR102">
        <v>1</v>
      </c>
      <c r="CW102">
        <v>8863490</v>
      </c>
      <c r="CY102">
        <v>0</v>
      </c>
      <c r="CZ102">
        <v>0</v>
      </c>
      <c r="DA102">
        <v>1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</row>
    <row r="103" spans="1:113" x14ac:dyDescent="0.3">
      <c r="A103" t="str">
        <f>"02/13/2022 18:35:58.447"</f>
        <v>02/13/2022 18:35:58.447</v>
      </c>
      <c r="C103" t="str">
        <f t="shared" si="8"/>
        <v>FFDFD7C0</v>
      </c>
      <c r="D103" t="s">
        <v>121</v>
      </c>
      <c r="E103">
        <v>2</v>
      </c>
      <c r="H103">
        <v>158</v>
      </c>
      <c r="I103" t="s">
        <v>120</v>
      </c>
      <c r="J103" t="s">
        <v>122</v>
      </c>
      <c r="K103">
        <v>0</v>
      </c>
      <c r="L103">
        <v>3</v>
      </c>
      <c r="M103">
        <v>0</v>
      </c>
      <c r="N103">
        <v>2</v>
      </c>
      <c r="O103">
        <v>1</v>
      </c>
      <c r="P103">
        <v>0</v>
      </c>
      <c r="Q103">
        <v>0</v>
      </c>
      <c r="S103" t="str">
        <f t="shared" si="12"/>
        <v>18:35:58.219</v>
      </c>
      <c r="T103" t="str">
        <f t="shared" si="12"/>
        <v>18:35:58.219</v>
      </c>
      <c r="U103" t="str">
        <f t="shared" si="6"/>
        <v>AAB6EE</v>
      </c>
      <c r="V103">
        <v>0</v>
      </c>
      <c r="W103">
        <v>0</v>
      </c>
      <c r="X103">
        <v>4</v>
      </c>
      <c r="Z103">
        <v>0</v>
      </c>
      <c r="AA103">
        <v>8</v>
      </c>
      <c r="AB103">
        <v>3</v>
      </c>
      <c r="AC103">
        <v>0</v>
      </c>
      <c r="AD103">
        <v>10</v>
      </c>
      <c r="AE103">
        <v>0</v>
      </c>
      <c r="AF103">
        <v>0</v>
      </c>
      <c r="AG103">
        <v>1</v>
      </c>
      <c r="AH103">
        <v>1</v>
      </c>
      <c r="AI103" t="s">
        <v>187</v>
      </c>
      <c r="AJ103">
        <v>35.547809999999998</v>
      </c>
      <c r="AK103" t="s">
        <v>188</v>
      </c>
      <c r="AL103">
        <v>-76.013352999999995</v>
      </c>
      <c r="AM103">
        <v>25</v>
      </c>
      <c r="AN103">
        <v>2400</v>
      </c>
      <c r="AO103" t="s">
        <v>118</v>
      </c>
      <c r="AP103">
        <v>-81</v>
      </c>
      <c r="AQ103">
        <v>-122</v>
      </c>
      <c r="AR103">
        <v>2496</v>
      </c>
      <c r="AZ103">
        <v>1200</v>
      </c>
      <c r="BA103">
        <v>1</v>
      </c>
      <c r="BB103" t="str">
        <f t="shared" si="9"/>
        <v xml:space="preserve">N79NX   </v>
      </c>
      <c r="BC103">
        <v>1</v>
      </c>
      <c r="BE103">
        <v>0</v>
      </c>
      <c r="BF103">
        <v>0</v>
      </c>
      <c r="BG103">
        <v>0</v>
      </c>
      <c r="BH103">
        <v>2250</v>
      </c>
      <c r="BI103">
        <v>0</v>
      </c>
      <c r="BJ103">
        <v>0</v>
      </c>
      <c r="BK103">
        <v>0</v>
      </c>
      <c r="BL103">
        <v>0</v>
      </c>
      <c r="BO103">
        <v>0</v>
      </c>
      <c r="BP103">
        <v>0</v>
      </c>
      <c r="BW103" t="str">
        <f>"18:35:58.220"</f>
        <v>18:35:58.220</v>
      </c>
      <c r="BZ103">
        <v>0</v>
      </c>
      <c r="CA103">
        <v>3488</v>
      </c>
      <c r="CB103">
        <v>216</v>
      </c>
      <c r="CC103">
        <v>583.59379999999999</v>
      </c>
      <c r="CD103">
        <v>1</v>
      </c>
      <c r="CE103">
        <v>1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2</v>
      </c>
      <c r="CL103">
        <v>0</v>
      </c>
      <c r="CM103">
        <v>2</v>
      </c>
      <c r="CN103">
        <v>0</v>
      </c>
      <c r="CO103">
        <v>6</v>
      </c>
      <c r="CP103" t="s">
        <v>119</v>
      </c>
      <c r="CQ103">
        <v>145</v>
      </c>
      <c r="CR103">
        <v>1</v>
      </c>
      <c r="CW103">
        <v>8863490</v>
      </c>
      <c r="CY103">
        <v>0</v>
      </c>
      <c r="CZ103">
        <v>0</v>
      </c>
      <c r="DA103">
        <v>1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</row>
    <row r="104" spans="1:113" x14ac:dyDescent="0.3">
      <c r="A104" t="str">
        <f>"02/13/2022 18:35:59.355"</f>
        <v>02/13/2022 18:35:59.355</v>
      </c>
      <c r="C104" t="str">
        <f t="shared" si="8"/>
        <v>FFDFD7C0</v>
      </c>
      <c r="D104" t="s">
        <v>113</v>
      </c>
      <c r="E104">
        <v>3</v>
      </c>
      <c r="F104">
        <v>1003</v>
      </c>
      <c r="G104" t="s">
        <v>114</v>
      </c>
      <c r="J104" t="s">
        <v>115</v>
      </c>
      <c r="K104">
        <v>0</v>
      </c>
      <c r="L104">
        <v>3</v>
      </c>
      <c r="M104">
        <v>0</v>
      </c>
      <c r="N104">
        <v>2</v>
      </c>
      <c r="O104">
        <v>1</v>
      </c>
      <c r="P104">
        <v>0</v>
      </c>
      <c r="Q104">
        <v>0</v>
      </c>
      <c r="S104" t="str">
        <f t="shared" ref="S104:T106" si="13">"18:35:59.156"</f>
        <v>18:35:59.156</v>
      </c>
      <c r="T104" t="str">
        <f t="shared" si="13"/>
        <v>18:35:59.156</v>
      </c>
      <c r="U104" t="str">
        <f t="shared" si="6"/>
        <v>AAB6EE</v>
      </c>
      <c r="V104">
        <v>0</v>
      </c>
      <c r="W104">
        <v>0</v>
      </c>
      <c r="X104">
        <v>4</v>
      </c>
      <c r="Z104">
        <v>0</v>
      </c>
      <c r="AA104">
        <v>8</v>
      </c>
      <c r="AB104">
        <v>3</v>
      </c>
      <c r="AC104">
        <v>0</v>
      </c>
      <c r="AD104">
        <v>10</v>
      </c>
      <c r="AE104">
        <v>0</v>
      </c>
      <c r="AF104">
        <v>0</v>
      </c>
      <c r="AG104">
        <v>1</v>
      </c>
      <c r="AH104">
        <v>1</v>
      </c>
      <c r="AI104" t="s">
        <v>189</v>
      </c>
      <c r="AJ104">
        <v>35.547316000000002</v>
      </c>
      <c r="AK104" t="s">
        <v>190</v>
      </c>
      <c r="AL104">
        <v>-76.013782000000006</v>
      </c>
      <c r="AM104">
        <v>25</v>
      </c>
      <c r="AN104">
        <v>2450</v>
      </c>
      <c r="AO104" t="s">
        <v>118</v>
      </c>
      <c r="AP104">
        <v>-81</v>
      </c>
      <c r="AQ104">
        <v>-120</v>
      </c>
      <c r="AR104">
        <v>2496</v>
      </c>
      <c r="AZ104">
        <v>1200</v>
      </c>
      <c r="BA104">
        <v>1</v>
      </c>
      <c r="BB104" t="str">
        <f t="shared" si="9"/>
        <v xml:space="preserve">N79NX   </v>
      </c>
      <c r="BC104">
        <v>1</v>
      </c>
      <c r="BE104">
        <v>0</v>
      </c>
      <c r="BF104">
        <v>0</v>
      </c>
      <c r="BG104">
        <v>0</v>
      </c>
      <c r="BH104">
        <v>2300</v>
      </c>
      <c r="BI104">
        <v>0</v>
      </c>
      <c r="BJ104">
        <v>0</v>
      </c>
      <c r="BK104">
        <v>0</v>
      </c>
      <c r="BL104">
        <v>0</v>
      </c>
      <c r="BO104">
        <v>0</v>
      </c>
      <c r="BP104">
        <v>0</v>
      </c>
      <c r="BW104" t="str">
        <f>"18:35:59.160"</f>
        <v>18:35:59.160</v>
      </c>
      <c r="BZ104">
        <v>0</v>
      </c>
      <c r="CA104">
        <v>3488</v>
      </c>
      <c r="CB104">
        <v>216</v>
      </c>
      <c r="CC104">
        <v>583.59379999999999</v>
      </c>
      <c r="CD104">
        <v>1</v>
      </c>
      <c r="CE104">
        <v>1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2</v>
      </c>
      <c r="CL104">
        <v>0</v>
      </c>
      <c r="CM104">
        <v>2</v>
      </c>
      <c r="CN104">
        <v>0</v>
      </c>
      <c r="CO104">
        <v>6</v>
      </c>
      <c r="CP104" t="s">
        <v>119</v>
      </c>
      <c r="CQ104">
        <v>145</v>
      </c>
      <c r="CR104">
        <v>1</v>
      </c>
      <c r="CW104">
        <v>8863906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</row>
    <row r="105" spans="1:113" x14ac:dyDescent="0.3">
      <c r="A105" t="str">
        <f>"02/13/2022 18:35:59.355"</f>
        <v>02/13/2022 18:35:59.355</v>
      </c>
      <c r="C105" t="str">
        <f t="shared" si="8"/>
        <v>FFDFD7C0</v>
      </c>
      <c r="D105" t="s">
        <v>113</v>
      </c>
      <c r="E105">
        <v>4</v>
      </c>
      <c r="F105">
        <v>1004</v>
      </c>
      <c r="G105" t="s">
        <v>120</v>
      </c>
      <c r="J105" t="s">
        <v>115</v>
      </c>
      <c r="K105">
        <v>0</v>
      </c>
      <c r="L105">
        <v>3</v>
      </c>
      <c r="M105">
        <v>0</v>
      </c>
      <c r="N105">
        <v>2</v>
      </c>
      <c r="O105">
        <v>1</v>
      </c>
      <c r="P105">
        <v>0</v>
      </c>
      <c r="Q105">
        <v>0</v>
      </c>
      <c r="S105" t="str">
        <f t="shared" si="13"/>
        <v>18:35:59.156</v>
      </c>
      <c r="T105" t="str">
        <f t="shared" si="13"/>
        <v>18:35:59.156</v>
      </c>
      <c r="U105" t="str">
        <f t="shared" si="6"/>
        <v>AAB6EE</v>
      </c>
      <c r="V105">
        <v>0</v>
      </c>
      <c r="W105">
        <v>0</v>
      </c>
      <c r="X105">
        <v>4</v>
      </c>
      <c r="Z105">
        <v>0</v>
      </c>
      <c r="AA105">
        <v>8</v>
      </c>
      <c r="AB105">
        <v>3</v>
      </c>
      <c r="AC105">
        <v>0</v>
      </c>
      <c r="AD105">
        <v>10</v>
      </c>
      <c r="AE105">
        <v>0</v>
      </c>
      <c r="AF105">
        <v>0</v>
      </c>
      <c r="AG105">
        <v>1</v>
      </c>
      <c r="AH105">
        <v>1</v>
      </c>
      <c r="AI105" t="s">
        <v>189</v>
      </c>
      <c r="AJ105">
        <v>35.547316000000002</v>
      </c>
      <c r="AK105" t="s">
        <v>190</v>
      </c>
      <c r="AL105">
        <v>-76.013782000000006</v>
      </c>
      <c r="AM105">
        <v>25</v>
      </c>
      <c r="AN105">
        <v>2450</v>
      </c>
      <c r="AO105" t="s">
        <v>118</v>
      </c>
      <c r="AP105">
        <v>-81</v>
      </c>
      <c r="AQ105">
        <v>-120</v>
      </c>
      <c r="AR105">
        <v>2496</v>
      </c>
      <c r="AZ105">
        <v>1200</v>
      </c>
      <c r="BA105">
        <v>1</v>
      </c>
      <c r="BB105" t="str">
        <f t="shared" si="9"/>
        <v xml:space="preserve">N79NX   </v>
      </c>
      <c r="BC105">
        <v>1</v>
      </c>
      <c r="BE105">
        <v>0</v>
      </c>
      <c r="BF105">
        <v>0</v>
      </c>
      <c r="BG105">
        <v>0</v>
      </c>
      <c r="BH105">
        <v>2300</v>
      </c>
      <c r="BI105">
        <v>0</v>
      </c>
      <c r="BJ105">
        <v>0</v>
      </c>
      <c r="BK105">
        <v>0</v>
      </c>
      <c r="BL105">
        <v>0</v>
      </c>
      <c r="BO105">
        <v>0</v>
      </c>
      <c r="BP105">
        <v>0</v>
      </c>
      <c r="BW105" t="str">
        <f>"18:35:59.160"</f>
        <v>18:35:59.160</v>
      </c>
      <c r="BZ105">
        <v>0</v>
      </c>
      <c r="CA105">
        <v>3488</v>
      </c>
      <c r="CB105">
        <v>216</v>
      </c>
      <c r="CC105">
        <v>583.59379999999999</v>
      </c>
      <c r="CD105">
        <v>1</v>
      </c>
      <c r="CE105">
        <v>1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2</v>
      </c>
      <c r="CL105">
        <v>0</v>
      </c>
      <c r="CM105">
        <v>2</v>
      </c>
      <c r="CN105">
        <v>0</v>
      </c>
      <c r="CO105">
        <v>6</v>
      </c>
      <c r="CP105" t="s">
        <v>119</v>
      </c>
      <c r="CQ105">
        <v>145</v>
      </c>
      <c r="CR105">
        <v>1</v>
      </c>
      <c r="CW105">
        <v>8863906</v>
      </c>
      <c r="CY105">
        <v>0</v>
      </c>
      <c r="CZ105">
        <v>0</v>
      </c>
      <c r="DA105">
        <v>1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</row>
    <row r="106" spans="1:113" x14ac:dyDescent="0.3">
      <c r="A106" t="str">
        <f>"02/13/2022 18:35:59.370"</f>
        <v>02/13/2022 18:35:59.370</v>
      </c>
      <c r="C106" t="str">
        <f t="shared" si="8"/>
        <v>FFDFD7C0</v>
      </c>
      <c r="D106" t="s">
        <v>121</v>
      </c>
      <c r="E106">
        <v>2</v>
      </c>
      <c r="H106">
        <v>158</v>
      </c>
      <c r="I106" t="s">
        <v>120</v>
      </c>
      <c r="J106" t="s">
        <v>122</v>
      </c>
      <c r="K106">
        <v>0</v>
      </c>
      <c r="L106">
        <v>3</v>
      </c>
      <c r="M106">
        <v>0</v>
      </c>
      <c r="N106">
        <v>2</v>
      </c>
      <c r="O106">
        <v>1</v>
      </c>
      <c r="P106">
        <v>0</v>
      </c>
      <c r="Q106">
        <v>0</v>
      </c>
      <c r="S106" t="str">
        <f t="shared" si="13"/>
        <v>18:35:59.156</v>
      </c>
      <c r="T106" t="str">
        <f t="shared" si="13"/>
        <v>18:35:59.156</v>
      </c>
      <c r="U106" t="str">
        <f t="shared" si="6"/>
        <v>AAB6EE</v>
      </c>
      <c r="V106">
        <v>0</v>
      </c>
      <c r="W106">
        <v>0</v>
      </c>
      <c r="X106">
        <v>4</v>
      </c>
      <c r="Z106">
        <v>0</v>
      </c>
      <c r="AA106">
        <v>8</v>
      </c>
      <c r="AB106">
        <v>3</v>
      </c>
      <c r="AC106">
        <v>0</v>
      </c>
      <c r="AD106">
        <v>10</v>
      </c>
      <c r="AE106">
        <v>0</v>
      </c>
      <c r="AF106">
        <v>0</v>
      </c>
      <c r="AG106">
        <v>1</v>
      </c>
      <c r="AH106">
        <v>1</v>
      </c>
      <c r="AI106" t="s">
        <v>189</v>
      </c>
      <c r="AJ106">
        <v>35.547316000000002</v>
      </c>
      <c r="AK106" t="s">
        <v>190</v>
      </c>
      <c r="AL106">
        <v>-76.013782000000006</v>
      </c>
      <c r="AM106">
        <v>25</v>
      </c>
      <c r="AN106">
        <v>2450</v>
      </c>
      <c r="AO106" t="s">
        <v>118</v>
      </c>
      <c r="AP106">
        <v>-81</v>
      </c>
      <c r="AQ106">
        <v>-120</v>
      </c>
      <c r="AR106">
        <v>2496</v>
      </c>
      <c r="AZ106">
        <v>1200</v>
      </c>
      <c r="BA106">
        <v>1</v>
      </c>
      <c r="BB106" t="str">
        <f t="shared" si="9"/>
        <v xml:space="preserve">N79NX   </v>
      </c>
      <c r="BC106">
        <v>1</v>
      </c>
      <c r="BE106">
        <v>0</v>
      </c>
      <c r="BF106">
        <v>0</v>
      </c>
      <c r="BG106">
        <v>0</v>
      </c>
      <c r="BH106">
        <v>2300</v>
      </c>
      <c r="BI106">
        <v>0</v>
      </c>
      <c r="BJ106">
        <v>0</v>
      </c>
      <c r="BK106">
        <v>0</v>
      </c>
      <c r="BL106">
        <v>0</v>
      </c>
      <c r="BO106">
        <v>0</v>
      </c>
      <c r="BP106">
        <v>0</v>
      </c>
      <c r="BW106" t="str">
        <f>"18:35:59.160"</f>
        <v>18:35:59.160</v>
      </c>
      <c r="BZ106">
        <v>0</v>
      </c>
      <c r="CA106">
        <v>3488</v>
      </c>
      <c r="CB106">
        <v>216</v>
      </c>
      <c r="CC106">
        <v>583.59379999999999</v>
      </c>
      <c r="CD106">
        <v>1</v>
      </c>
      <c r="CE106">
        <v>1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2</v>
      </c>
      <c r="CL106">
        <v>0</v>
      </c>
      <c r="CM106">
        <v>2</v>
      </c>
      <c r="CN106">
        <v>0</v>
      </c>
      <c r="CO106">
        <v>6</v>
      </c>
      <c r="CP106" t="s">
        <v>119</v>
      </c>
      <c r="CQ106">
        <v>145</v>
      </c>
      <c r="CR106">
        <v>1</v>
      </c>
      <c r="CW106">
        <v>8863906</v>
      </c>
      <c r="CY106">
        <v>0</v>
      </c>
      <c r="CZ106">
        <v>0</v>
      </c>
      <c r="DA106">
        <v>1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</row>
    <row r="107" spans="1:113" x14ac:dyDescent="0.3">
      <c r="A107" t="str">
        <f>"02/13/2022 18:36:00.310"</f>
        <v>02/13/2022 18:36:00.310</v>
      </c>
      <c r="C107" t="str">
        <f t="shared" si="8"/>
        <v>FFDFD7C0</v>
      </c>
      <c r="D107" t="s">
        <v>113</v>
      </c>
      <c r="E107">
        <v>3</v>
      </c>
      <c r="F107">
        <v>1003</v>
      </c>
      <c r="G107" t="s">
        <v>114</v>
      </c>
      <c r="J107" t="s">
        <v>115</v>
      </c>
      <c r="K107">
        <v>0</v>
      </c>
      <c r="L107">
        <v>3</v>
      </c>
      <c r="M107">
        <v>0</v>
      </c>
      <c r="N107">
        <v>2</v>
      </c>
      <c r="O107">
        <v>1</v>
      </c>
      <c r="P107">
        <v>0</v>
      </c>
      <c r="Q107">
        <v>0</v>
      </c>
      <c r="S107" t="str">
        <f t="shared" ref="S107:T109" si="14">"18:36:00.062"</f>
        <v>18:36:00.062</v>
      </c>
      <c r="T107" t="str">
        <f t="shared" si="14"/>
        <v>18:36:00.062</v>
      </c>
      <c r="U107" t="str">
        <f t="shared" si="6"/>
        <v>AAB6EE</v>
      </c>
      <c r="V107">
        <v>0</v>
      </c>
      <c r="W107">
        <v>0</v>
      </c>
      <c r="X107">
        <v>4</v>
      </c>
      <c r="Z107">
        <v>0</v>
      </c>
      <c r="AA107">
        <v>8</v>
      </c>
      <c r="AB107">
        <v>3</v>
      </c>
      <c r="AC107">
        <v>0</v>
      </c>
      <c r="AD107">
        <v>10</v>
      </c>
      <c r="AE107">
        <v>0</v>
      </c>
      <c r="AF107">
        <v>0</v>
      </c>
      <c r="AG107">
        <v>1</v>
      </c>
      <c r="AH107">
        <v>1</v>
      </c>
      <c r="AI107" t="s">
        <v>191</v>
      </c>
      <c r="AJ107">
        <v>35.546823000000003</v>
      </c>
      <c r="AK107" t="s">
        <v>192</v>
      </c>
      <c r="AL107">
        <v>-76.014167999999998</v>
      </c>
      <c r="AM107">
        <v>25</v>
      </c>
      <c r="AN107">
        <v>2475</v>
      </c>
      <c r="AO107" t="s">
        <v>118</v>
      </c>
      <c r="AP107">
        <v>-81</v>
      </c>
      <c r="AQ107">
        <v>-119</v>
      </c>
      <c r="AR107">
        <v>2560</v>
      </c>
      <c r="AZ107">
        <v>1200</v>
      </c>
      <c r="BA107">
        <v>1</v>
      </c>
      <c r="BB107" t="str">
        <f t="shared" si="9"/>
        <v xml:space="preserve">N79NX   </v>
      </c>
      <c r="BC107">
        <v>1</v>
      </c>
      <c r="BE107">
        <v>0</v>
      </c>
      <c r="BF107">
        <v>0</v>
      </c>
      <c r="BG107">
        <v>0</v>
      </c>
      <c r="BH107">
        <v>2325</v>
      </c>
      <c r="BI107">
        <v>0</v>
      </c>
      <c r="BJ107">
        <v>0</v>
      </c>
      <c r="BK107">
        <v>0</v>
      </c>
      <c r="BL107">
        <v>0</v>
      </c>
      <c r="BO107">
        <v>0</v>
      </c>
      <c r="BP107">
        <v>0</v>
      </c>
      <c r="BW107" t="str">
        <f>"18:36:00.070"</f>
        <v>18:36:00.070</v>
      </c>
      <c r="BZ107">
        <v>0</v>
      </c>
      <c r="CA107">
        <v>3488</v>
      </c>
      <c r="CB107">
        <v>216</v>
      </c>
      <c r="CC107">
        <v>583.59379999999999</v>
      </c>
      <c r="CD107">
        <v>1</v>
      </c>
      <c r="CE107">
        <v>1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2</v>
      </c>
      <c r="CL107">
        <v>0</v>
      </c>
      <c r="CM107">
        <v>2</v>
      </c>
      <c r="CN107">
        <v>0</v>
      </c>
      <c r="CO107">
        <v>6</v>
      </c>
      <c r="CP107" t="s">
        <v>119</v>
      </c>
      <c r="CQ107">
        <v>145</v>
      </c>
      <c r="CR107">
        <v>1</v>
      </c>
      <c r="CW107">
        <v>8864324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</row>
    <row r="108" spans="1:113" x14ac:dyDescent="0.3">
      <c r="A108" t="str">
        <f>"02/13/2022 18:36:00.310"</f>
        <v>02/13/2022 18:36:00.310</v>
      </c>
      <c r="C108" t="str">
        <f t="shared" si="8"/>
        <v>FFDFD7C0</v>
      </c>
      <c r="D108" t="s">
        <v>113</v>
      </c>
      <c r="E108">
        <v>4</v>
      </c>
      <c r="F108">
        <v>1004</v>
      </c>
      <c r="G108" t="s">
        <v>120</v>
      </c>
      <c r="J108" t="s">
        <v>115</v>
      </c>
      <c r="K108">
        <v>0</v>
      </c>
      <c r="L108">
        <v>3</v>
      </c>
      <c r="M108">
        <v>0</v>
      </c>
      <c r="N108">
        <v>2</v>
      </c>
      <c r="O108">
        <v>1</v>
      </c>
      <c r="P108">
        <v>0</v>
      </c>
      <c r="Q108">
        <v>0</v>
      </c>
      <c r="S108" t="str">
        <f t="shared" si="14"/>
        <v>18:36:00.062</v>
      </c>
      <c r="T108" t="str">
        <f t="shared" si="14"/>
        <v>18:36:00.062</v>
      </c>
      <c r="U108" t="str">
        <f t="shared" si="6"/>
        <v>AAB6EE</v>
      </c>
      <c r="V108">
        <v>0</v>
      </c>
      <c r="W108">
        <v>0</v>
      </c>
      <c r="X108">
        <v>4</v>
      </c>
      <c r="Z108">
        <v>0</v>
      </c>
      <c r="AA108">
        <v>8</v>
      </c>
      <c r="AB108">
        <v>3</v>
      </c>
      <c r="AC108">
        <v>0</v>
      </c>
      <c r="AD108">
        <v>10</v>
      </c>
      <c r="AE108">
        <v>0</v>
      </c>
      <c r="AF108">
        <v>0</v>
      </c>
      <c r="AG108">
        <v>1</v>
      </c>
      <c r="AH108">
        <v>1</v>
      </c>
      <c r="AI108" t="s">
        <v>191</v>
      </c>
      <c r="AJ108">
        <v>35.546823000000003</v>
      </c>
      <c r="AK108" t="s">
        <v>192</v>
      </c>
      <c r="AL108">
        <v>-76.014167999999998</v>
      </c>
      <c r="AM108">
        <v>25</v>
      </c>
      <c r="AN108">
        <v>2475</v>
      </c>
      <c r="AO108" t="s">
        <v>118</v>
      </c>
      <c r="AP108">
        <v>-81</v>
      </c>
      <c r="AQ108">
        <v>-119</v>
      </c>
      <c r="AR108">
        <v>2560</v>
      </c>
      <c r="AZ108">
        <v>1200</v>
      </c>
      <c r="BA108">
        <v>1</v>
      </c>
      <c r="BB108" t="str">
        <f t="shared" si="9"/>
        <v xml:space="preserve">N79NX   </v>
      </c>
      <c r="BC108">
        <v>1</v>
      </c>
      <c r="BE108">
        <v>0</v>
      </c>
      <c r="BF108">
        <v>0</v>
      </c>
      <c r="BG108">
        <v>0</v>
      </c>
      <c r="BH108">
        <v>2325</v>
      </c>
      <c r="BI108">
        <v>0</v>
      </c>
      <c r="BJ108">
        <v>0</v>
      </c>
      <c r="BK108">
        <v>0</v>
      </c>
      <c r="BL108">
        <v>0</v>
      </c>
      <c r="BO108">
        <v>0</v>
      </c>
      <c r="BP108">
        <v>0</v>
      </c>
      <c r="BW108" t="str">
        <f>"18:36:00.070"</f>
        <v>18:36:00.070</v>
      </c>
      <c r="BZ108">
        <v>0</v>
      </c>
      <c r="CA108">
        <v>3488</v>
      </c>
      <c r="CB108">
        <v>216</v>
      </c>
      <c r="CC108">
        <v>583.59379999999999</v>
      </c>
      <c r="CD108">
        <v>1</v>
      </c>
      <c r="CE108">
        <v>1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2</v>
      </c>
      <c r="CL108">
        <v>0</v>
      </c>
      <c r="CM108">
        <v>2</v>
      </c>
      <c r="CN108">
        <v>0</v>
      </c>
      <c r="CO108">
        <v>6</v>
      </c>
      <c r="CP108" t="s">
        <v>119</v>
      </c>
      <c r="CQ108">
        <v>145</v>
      </c>
      <c r="CR108">
        <v>1</v>
      </c>
      <c r="CW108">
        <v>8864324</v>
      </c>
      <c r="CY108">
        <v>0</v>
      </c>
      <c r="CZ108">
        <v>0</v>
      </c>
      <c r="DA108">
        <v>1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</row>
    <row r="109" spans="1:113" x14ac:dyDescent="0.3">
      <c r="A109" t="str">
        <f>"02/13/2022 18:36:00.373"</f>
        <v>02/13/2022 18:36:00.373</v>
      </c>
      <c r="C109" t="str">
        <f t="shared" si="8"/>
        <v>FFDFD7C0</v>
      </c>
      <c r="D109" t="s">
        <v>121</v>
      </c>
      <c r="E109">
        <v>2</v>
      </c>
      <c r="H109">
        <v>158</v>
      </c>
      <c r="I109" t="s">
        <v>120</v>
      </c>
      <c r="J109" t="s">
        <v>122</v>
      </c>
      <c r="K109">
        <v>0</v>
      </c>
      <c r="L109">
        <v>3</v>
      </c>
      <c r="M109">
        <v>0</v>
      </c>
      <c r="N109">
        <v>2</v>
      </c>
      <c r="O109">
        <v>1</v>
      </c>
      <c r="P109">
        <v>0</v>
      </c>
      <c r="Q109">
        <v>0</v>
      </c>
      <c r="S109" t="str">
        <f t="shared" si="14"/>
        <v>18:36:00.062</v>
      </c>
      <c r="T109" t="str">
        <f t="shared" si="14"/>
        <v>18:36:00.062</v>
      </c>
      <c r="U109" t="str">
        <f t="shared" si="6"/>
        <v>AAB6EE</v>
      </c>
      <c r="V109">
        <v>0</v>
      </c>
      <c r="W109">
        <v>0</v>
      </c>
      <c r="X109">
        <v>4</v>
      </c>
      <c r="Z109">
        <v>0</v>
      </c>
      <c r="AA109">
        <v>8</v>
      </c>
      <c r="AB109">
        <v>3</v>
      </c>
      <c r="AC109">
        <v>0</v>
      </c>
      <c r="AD109">
        <v>10</v>
      </c>
      <c r="AE109">
        <v>0</v>
      </c>
      <c r="AF109">
        <v>0</v>
      </c>
      <c r="AG109">
        <v>1</v>
      </c>
      <c r="AH109">
        <v>1</v>
      </c>
      <c r="AI109" t="s">
        <v>191</v>
      </c>
      <c r="AJ109">
        <v>35.546823000000003</v>
      </c>
      <c r="AK109" t="s">
        <v>192</v>
      </c>
      <c r="AL109">
        <v>-76.014167999999998</v>
      </c>
      <c r="AM109">
        <v>25</v>
      </c>
      <c r="AN109">
        <v>2475</v>
      </c>
      <c r="AO109" t="s">
        <v>118</v>
      </c>
      <c r="AP109">
        <v>-81</v>
      </c>
      <c r="AQ109">
        <v>-119</v>
      </c>
      <c r="AR109">
        <v>2560</v>
      </c>
      <c r="AZ109">
        <v>1200</v>
      </c>
      <c r="BA109">
        <v>1</v>
      </c>
      <c r="BB109" t="str">
        <f t="shared" si="9"/>
        <v xml:space="preserve">N79NX   </v>
      </c>
      <c r="BC109">
        <v>1</v>
      </c>
      <c r="BE109">
        <v>0</v>
      </c>
      <c r="BF109">
        <v>0</v>
      </c>
      <c r="BG109">
        <v>0</v>
      </c>
      <c r="BH109">
        <v>2325</v>
      </c>
      <c r="BI109">
        <v>0</v>
      </c>
      <c r="BJ109">
        <v>0</v>
      </c>
      <c r="BK109">
        <v>0</v>
      </c>
      <c r="BL109">
        <v>0</v>
      </c>
      <c r="BO109">
        <v>0</v>
      </c>
      <c r="BP109">
        <v>0</v>
      </c>
      <c r="BW109" t="str">
        <f>"18:36:00.070"</f>
        <v>18:36:00.070</v>
      </c>
      <c r="BZ109">
        <v>0</v>
      </c>
      <c r="CA109">
        <v>3488</v>
      </c>
      <c r="CB109">
        <v>216</v>
      </c>
      <c r="CC109">
        <v>583.59379999999999</v>
      </c>
      <c r="CD109">
        <v>1</v>
      </c>
      <c r="CE109">
        <v>1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2</v>
      </c>
      <c r="CL109">
        <v>0</v>
      </c>
      <c r="CM109">
        <v>2</v>
      </c>
      <c r="CN109">
        <v>0</v>
      </c>
      <c r="CO109">
        <v>6</v>
      </c>
      <c r="CP109" t="s">
        <v>119</v>
      </c>
      <c r="CQ109">
        <v>145</v>
      </c>
      <c r="CR109">
        <v>1</v>
      </c>
      <c r="CW109">
        <v>8864324</v>
      </c>
      <c r="CY109">
        <v>0</v>
      </c>
      <c r="CZ109">
        <v>0</v>
      </c>
      <c r="DA109">
        <v>1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</row>
    <row r="110" spans="1:113" x14ac:dyDescent="0.3">
      <c r="A110" t="str">
        <f>"02/13/2022 18:36:01.330"</f>
        <v>02/13/2022 18:36:01.330</v>
      </c>
      <c r="C110" t="str">
        <f t="shared" si="8"/>
        <v>FFDFD7C0</v>
      </c>
      <c r="D110" t="s">
        <v>121</v>
      </c>
      <c r="E110">
        <v>2</v>
      </c>
      <c r="H110">
        <v>158</v>
      </c>
      <c r="I110" t="s">
        <v>120</v>
      </c>
      <c r="J110" t="s">
        <v>122</v>
      </c>
      <c r="K110">
        <v>0</v>
      </c>
      <c r="L110">
        <v>3</v>
      </c>
      <c r="M110">
        <v>0</v>
      </c>
      <c r="N110">
        <v>2</v>
      </c>
      <c r="O110">
        <v>1</v>
      </c>
      <c r="P110">
        <v>0</v>
      </c>
      <c r="Q110">
        <v>0</v>
      </c>
      <c r="S110" t="str">
        <f>"18:36:01.117"</f>
        <v>18:36:01.117</v>
      </c>
      <c r="T110" t="str">
        <f>"18:36:00.617"</f>
        <v>18:36:00.617</v>
      </c>
      <c r="U110" t="str">
        <f t="shared" si="6"/>
        <v>AAB6EE</v>
      </c>
      <c r="V110">
        <v>0</v>
      </c>
      <c r="W110">
        <v>0</v>
      </c>
      <c r="X110">
        <v>4</v>
      </c>
      <c r="Z110">
        <v>0</v>
      </c>
      <c r="AA110">
        <v>8</v>
      </c>
      <c r="AB110">
        <v>3</v>
      </c>
      <c r="AC110">
        <v>0</v>
      </c>
      <c r="AD110">
        <v>10</v>
      </c>
      <c r="AE110">
        <v>0</v>
      </c>
      <c r="AF110">
        <v>0</v>
      </c>
      <c r="AG110">
        <v>1</v>
      </c>
      <c r="AH110">
        <v>1</v>
      </c>
      <c r="AI110" t="s">
        <v>193</v>
      </c>
      <c r="AJ110">
        <v>35.546222</v>
      </c>
      <c r="AK110" t="s">
        <v>194</v>
      </c>
      <c r="AL110">
        <v>-76.014683000000005</v>
      </c>
      <c r="AM110">
        <v>25</v>
      </c>
      <c r="AN110">
        <v>2525</v>
      </c>
      <c r="AO110" t="s">
        <v>118</v>
      </c>
      <c r="AP110">
        <v>-81</v>
      </c>
      <c r="AQ110">
        <v>-119</v>
      </c>
      <c r="AR110">
        <v>2560</v>
      </c>
      <c r="AZ110">
        <v>1200</v>
      </c>
      <c r="BA110">
        <v>1</v>
      </c>
      <c r="BB110" t="str">
        <f t="shared" si="9"/>
        <v xml:space="preserve">N79NX   </v>
      </c>
      <c r="BC110">
        <v>1</v>
      </c>
      <c r="BE110">
        <v>0</v>
      </c>
      <c r="BF110">
        <v>0</v>
      </c>
      <c r="BG110">
        <v>0</v>
      </c>
      <c r="BH110">
        <v>2375</v>
      </c>
      <c r="BI110">
        <v>0</v>
      </c>
      <c r="BJ110">
        <v>0</v>
      </c>
      <c r="BK110">
        <v>0</v>
      </c>
      <c r="BL110">
        <v>0</v>
      </c>
      <c r="BO110">
        <v>0</v>
      </c>
      <c r="BP110">
        <v>0</v>
      </c>
      <c r="BW110" t="str">
        <f>"18:36:01.120"</f>
        <v>18:36:01.120</v>
      </c>
      <c r="BZ110">
        <v>0</v>
      </c>
      <c r="CA110">
        <v>3488</v>
      </c>
      <c r="CB110">
        <v>216</v>
      </c>
      <c r="CC110">
        <v>583.59379999999999</v>
      </c>
      <c r="CD110">
        <v>1</v>
      </c>
      <c r="CE110">
        <v>1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2</v>
      </c>
      <c r="CL110">
        <v>0</v>
      </c>
      <c r="CM110">
        <v>2</v>
      </c>
      <c r="CN110">
        <v>0</v>
      </c>
      <c r="CO110">
        <v>6</v>
      </c>
      <c r="CP110" t="s">
        <v>119</v>
      </c>
      <c r="CQ110">
        <v>145</v>
      </c>
      <c r="CR110">
        <v>1</v>
      </c>
      <c r="CW110">
        <v>8864862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</row>
    <row r="111" spans="1:113" x14ac:dyDescent="0.3">
      <c r="A111" t="str">
        <f>"02/13/2022 18:36:01.345"</f>
        <v>02/13/2022 18:36:01.345</v>
      </c>
      <c r="C111" t="str">
        <f t="shared" si="8"/>
        <v>FFDFD7C0</v>
      </c>
      <c r="D111" t="s">
        <v>113</v>
      </c>
      <c r="E111">
        <v>3</v>
      </c>
      <c r="F111">
        <v>1003</v>
      </c>
      <c r="G111" t="s">
        <v>114</v>
      </c>
      <c r="J111" t="s">
        <v>115</v>
      </c>
      <c r="K111">
        <v>0</v>
      </c>
      <c r="L111">
        <v>3</v>
      </c>
      <c r="M111">
        <v>0</v>
      </c>
      <c r="N111">
        <v>2</v>
      </c>
      <c r="O111">
        <v>1</v>
      </c>
      <c r="P111">
        <v>0</v>
      </c>
      <c r="Q111">
        <v>0</v>
      </c>
      <c r="S111" t="str">
        <f>"18:36:01.117"</f>
        <v>18:36:01.117</v>
      </c>
      <c r="T111" t="str">
        <f>"18:36:00.617"</f>
        <v>18:36:00.617</v>
      </c>
      <c r="U111" t="str">
        <f t="shared" si="6"/>
        <v>AAB6EE</v>
      </c>
      <c r="V111">
        <v>0</v>
      </c>
      <c r="W111">
        <v>0</v>
      </c>
      <c r="X111">
        <v>4</v>
      </c>
      <c r="Z111">
        <v>0</v>
      </c>
      <c r="AA111">
        <v>8</v>
      </c>
      <c r="AB111">
        <v>3</v>
      </c>
      <c r="AC111">
        <v>0</v>
      </c>
      <c r="AD111">
        <v>10</v>
      </c>
      <c r="AE111">
        <v>0</v>
      </c>
      <c r="AF111">
        <v>0</v>
      </c>
      <c r="AG111">
        <v>1</v>
      </c>
      <c r="AH111">
        <v>1</v>
      </c>
      <c r="AI111" t="s">
        <v>193</v>
      </c>
      <c r="AJ111">
        <v>35.546222</v>
      </c>
      <c r="AK111" t="s">
        <v>194</v>
      </c>
      <c r="AL111">
        <v>-76.014683000000005</v>
      </c>
      <c r="AM111">
        <v>25</v>
      </c>
      <c r="AN111">
        <v>2525</v>
      </c>
      <c r="AO111" t="s">
        <v>118</v>
      </c>
      <c r="AP111">
        <v>-81</v>
      </c>
      <c r="AQ111">
        <v>-119</v>
      </c>
      <c r="AR111">
        <v>2560</v>
      </c>
      <c r="AZ111">
        <v>1200</v>
      </c>
      <c r="BA111">
        <v>1</v>
      </c>
      <c r="BB111" t="str">
        <f t="shared" si="9"/>
        <v xml:space="preserve">N79NX   </v>
      </c>
      <c r="BC111">
        <v>1</v>
      </c>
      <c r="BE111">
        <v>0</v>
      </c>
      <c r="BF111">
        <v>0</v>
      </c>
      <c r="BG111">
        <v>0</v>
      </c>
      <c r="BH111">
        <v>2375</v>
      </c>
      <c r="BI111">
        <v>0</v>
      </c>
      <c r="BJ111">
        <v>0</v>
      </c>
      <c r="BK111">
        <v>0</v>
      </c>
      <c r="BL111">
        <v>0</v>
      </c>
      <c r="BO111">
        <v>0</v>
      </c>
      <c r="BP111">
        <v>0</v>
      </c>
      <c r="BW111" t="str">
        <f>"18:36:01.120"</f>
        <v>18:36:01.120</v>
      </c>
      <c r="BZ111">
        <v>0</v>
      </c>
      <c r="CA111">
        <v>3488</v>
      </c>
      <c r="CB111">
        <v>216</v>
      </c>
      <c r="CC111">
        <v>583.59379999999999</v>
      </c>
      <c r="CD111">
        <v>1</v>
      </c>
      <c r="CE111">
        <v>1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2</v>
      </c>
      <c r="CL111">
        <v>0</v>
      </c>
      <c r="CM111">
        <v>2</v>
      </c>
      <c r="CN111">
        <v>0</v>
      </c>
      <c r="CO111">
        <v>6</v>
      </c>
      <c r="CP111" t="s">
        <v>119</v>
      </c>
      <c r="CQ111">
        <v>145</v>
      </c>
      <c r="CR111">
        <v>1</v>
      </c>
      <c r="CW111">
        <v>8864862</v>
      </c>
      <c r="CY111">
        <v>0</v>
      </c>
      <c r="CZ111">
        <v>0</v>
      </c>
      <c r="DA111">
        <v>1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</row>
    <row r="112" spans="1:113" x14ac:dyDescent="0.3">
      <c r="A112" t="str">
        <f>"02/13/2022 18:36:01.361"</f>
        <v>02/13/2022 18:36:01.361</v>
      </c>
      <c r="C112" t="str">
        <f t="shared" si="8"/>
        <v>FFDFD7C0</v>
      </c>
      <c r="D112" t="s">
        <v>113</v>
      </c>
      <c r="E112">
        <v>4</v>
      </c>
      <c r="F112">
        <v>1004</v>
      </c>
      <c r="G112" t="s">
        <v>120</v>
      </c>
      <c r="J112" t="s">
        <v>115</v>
      </c>
      <c r="K112">
        <v>0</v>
      </c>
      <c r="L112">
        <v>3</v>
      </c>
      <c r="M112">
        <v>0</v>
      </c>
      <c r="N112">
        <v>2</v>
      </c>
      <c r="O112">
        <v>1</v>
      </c>
      <c r="P112">
        <v>0</v>
      </c>
      <c r="Q112">
        <v>0</v>
      </c>
      <c r="S112" t="str">
        <f>"18:36:01.117"</f>
        <v>18:36:01.117</v>
      </c>
      <c r="T112" t="str">
        <f>"18:36:00.617"</f>
        <v>18:36:00.617</v>
      </c>
      <c r="U112" t="str">
        <f t="shared" si="6"/>
        <v>AAB6EE</v>
      </c>
      <c r="V112">
        <v>0</v>
      </c>
      <c r="W112">
        <v>0</v>
      </c>
      <c r="X112">
        <v>4</v>
      </c>
      <c r="Z112">
        <v>0</v>
      </c>
      <c r="AA112">
        <v>8</v>
      </c>
      <c r="AB112">
        <v>3</v>
      </c>
      <c r="AC112">
        <v>0</v>
      </c>
      <c r="AD112">
        <v>10</v>
      </c>
      <c r="AE112">
        <v>0</v>
      </c>
      <c r="AF112">
        <v>0</v>
      </c>
      <c r="AG112">
        <v>1</v>
      </c>
      <c r="AH112">
        <v>1</v>
      </c>
      <c r="AI112" t="s">
        <v>193</v>
      </c>
      <c r="AJ112">
        <v>35.546222</v>
      </c>
      <c r="AK112" t="s">
        <v>194</v>
      </c>
      <c r="AL112">
        <v>-76.014683000000005</v>
      </c>
      <c r="AM112">
        <v>25</v>
      </c>
      <c r="AN112">
        <v>2525</v>
      </c>
      <c r="AO112" t="s">
        <v>118</v>
      </c>
      <c r="AP112">
        <v>-81</v>
      </c>
      <c r="AQ112">
        <v>-119</v>
      </c>
      <c r="AR112">
        <v>2560</v>
      </c>
      <c r="AZ112">
        <v>1200</v>
      </c>
      <c r="BA112">
        <v>1</v>
      </c>
      <c r="BB112" t="str">
        <f t="shared" si="9"/>
        <v xml:space="preserve">N79NX   </v>
      </c>
      <c r="BC112">
        <v>1</v>
      </c>
      <c r="BE112">
        <v>0</v>
      </c>
      <c r="BF112">
        <v>0</v>
      </c>
      <c r="BG112">
        <v>0</v>
      </c>
      <c r="BH112">
        <v>2375</v>
      </c>
      <c r="BI112">
        <v>0</v>
      </c>
      <c r="BJ112">
        <v>0</v>
      </c>
      <c r="BK112">
        <v>0</v>
      </c>
      <c r="BL112">
        <v>0</v>
      </c>
      <c r="BO112">
        <v>0</v>
      </c>
      <c r="BP112">
        <v>0</v>
      </c>
      <c r="BW112" t="str">
        <f>"18:36:01.120"</f>
        <v>18:36:01.120</v>
      </c>
      <c r="BZ112">
        <v>0</v>
      </c>
      <c r="CA112">
        <v>3488</v>
      </c>
      <c r="CB112">
        <v>216</v>
      </c>
      <c r="CC112">
        <v>583.59379999999999</v>
      </c>
      <c r="CD112">
        <v>1</v>
      </c>
      <c r="CE112">
        <v>1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2</v>
      </c>
      <c r="CL112">
        <v>0</v>
      </c>
      <c r="CM112">
        <v>2</v>
      </c>
      <c r="CN112">
        <v>0</v>
      </c>
      <c r="CO112">
        <v>6</v>
      </c>
      <c r="CP112" t="s">
        <v>119</v>
      </c>
      <c r="CQ112">
        <v>145</v>
      </c>
      <c r="CR112">
        <v>1</v>
      </c>
      <c r="CW112">
        <v>8864862</v>
      </c>
      <c r="CY112">
        <v>0</v>
      </c>
      <c r="CZ112">
        <v>0</v>
      </c>
      <c r="DA112">
        <v>1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</row>
    <row r="113" spans="1:113" x14ac:dyDescent="0.3">
      <c r="A113" t="str">
        <f>"02/13/2022 18:36:02.314"</f>
        <v>02/13/2022 18:36:02.314</v>
      </c>
      <c r="C113" t="str">
        <f t="shared" si="8"/>
        <v>FFDFD7C0</v>
      </c>
      <c r="D113" t="s">
        <v>121</v>
      </c>
      <c r="E113">
        <v>2</v>
      </c>
      <c r="H113">
        <v>158</v>
      </c>
      <c r="I113" t="s">
        <v>120</v>
      </c>
      <c r="J113" t="s">
        <v>122</v>
      </c>
      <c r="K113">
        <v>0</v>
      </c>
      <c r="L113">
        <v>3</v>
      </c>
      <c r="M113">
        <v>0</v>
      </c>
      <c r="N113">
        <v>2</v>
      </c>
      <c r="O113">
        <v>1</v>
      </c>
      <c r="P113">
        <v>0</v>
      </c>
      <c r="Q113">
        <v>0</v>
      </c>
      <c r="S113" t="str">
        <f t="shared" ref="S113:T115" si="15">"18:36:02.109"</f>
        <v>18:36:02.109</v>
      </c>
      <c r="T113" t="str">
        <f t="shared" si="15"/>
        <v>18:36:02.109</v>
      </c>
      <c r="U113" t="str">
        <f t="shared" si="6"/>
        <v>AAB6EE</v>
      </c>
      <c r="V113">
        <v>0</v>
      </c>
      <c r="W113">
        <v>0</v>
      </c>
      <c r="X113">
        <v>4</v>
      </c>
      <c r="Z113">
        <v>0</v>
      </c>
      <c r="AA113">
        <v>8</v>
      </c>
      <c r="AB113">
        <v>3</v>
      </c>
      <c r="AC113">
        <v>0</v>
      </c>
      <c r="AD113">
        <v>10</v>
      </c>
      <c r="AE113">
        <v>0</v>
      </c>
      <c r="AF113">
        <v>0</v>
      </c>
      <c r="AG113">
        <v>1</v>
      </c>
      <c r="AH113">
        <v>1</v>
      </c>
      <c r="AI113" t="s">
        <v>195</v>
      </c>
      <c r="AJ113">
        <v>35.545664000000002</v>
      </c>
      <c r="AK113" t="s">
        <v>196</v>
      </c>
      <c r="AL113">
        <v>-76.015154999999993</v>
      </c>
      <c r="AM113">
        <v>25</v>
      </c>
      <c r="AN113">
        <v>2575</v>
      </c>
      <c r="AO113" t="s">
        <v>118</v>
      </c>
      <c r="AP113">
        <v>-81</v>
      </c>
      <c r="AQ113">
        <v>-117</v>
      </c>
      <c r="AR113">
        <v>2624</v>
      </c>
      <c r="AZ113">
        <v>1200</v>
      </c>
      <c r="BA113">
        <v>1</v>
      </c>
      <c r="BB113" t="str">
        <f t="shared" si="9"/>
        <v xml:space="preserve">N79NX   </v>
      </c>
      <c r="BC113">
        <v>1</v>
      </c>
      <c r="BE113">
        <v>0</v>
      </c>
      <c r="BF113">
        <v>0</v>
      </c>
      <c r="BG113">
        <v>0</v>
      </c>
      <c r="BH113">
        <v>2425</v>
      </c>
      <c r="BI113">
        <v>0</v>
      </c>
      <c r="BJ113">
        <v>0</v>
      </c>
      <c r="BK113">
        <v>0</v>
      </c>
      <c r="BL113">
        <v>0</v>
      </c>
      <c r="BO113">
        <v>0</v>
      </c>
      <c r="BP113">
        <v>0</v>
      </c>
      <c r="BW113" t="str">
        <f>"18:36:02.110"</f>
        <v>18:36:02.110</v>
      </c>
      <c r="BZ113">
        <v>0</v>
      </c>
      <c r="CA113">
        <v>3488</v>
      </c>
      <c r="CB113">
        <v>216</v>
      </c>
      <c r="CC113">
        <v>583.59379999999999</v>
      </c>
      <c r="CD113">
        <v>1</v>
      </c>
      <c r="CE113">
        <v>1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2</v>
      </c>
      <c r="CL113">
        <v>0</v>
      </c>
      <c r="CM113">
        <v>2</v>
      </c>
      <c r="CN113">
        <v>0</v>
      </c>
      <c r="CO113">
        <v>6</v>
      </c>
      <c r="CP113" t="s">
        <v>119</v>
      </c>
      <c r="CQ113">
        <v>145</v>
      </c>
      <c r="CR113">
        <v>1</v>
      </c>
      <c r="CW113">
        <v>8865398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</row>
    <row r="114" spans="1:113" x14ac:dyDescent="0.3">
      <c r="A114" t="str">
        <f>"02/13/2022 18:36:02.314"</f>
        <v>02/13/2022 18:36:02.314</v>
      </c>
      <c r="C114" t="str">
        <f t="shared" si="8"/>
        <v>FFDFD7C0</v>
      </c>
      <c r="D114" t="s">
        <v>113</v>
      </c>
      <c r="E114">
        <v>3</v>
      </c>
      <c r="F114">
        <v>1003</v>
      </c>
      <c r="G114" t="s">
        <v>114</v>
      </c>
      <c r="J114" t="s">
        <v>115</v>
      </c>
      <c r="K114">
        <v>0</v>
      </c>
      <c r="L114">
        <v>3</v>
      </c>
      <c r="M114">
        <v>0</v>
      </c>
      <c r="N114">
        <v>2</v>
      </c>
      <c r="O114">
        <v>1</v>
      </c>
      <c r="P114">
        <v>0</v>
      </c>
      <c r="Q114">
        <v>0</v>
      </c>
      <c r="S114" t="str">
        <f t="shared" si="15"/>
        <v>18:36:02.109</v>
      </c>
      <c r="T114" t="str">
        <f t="shared" si="15"/>
        <v>18:36:02.109</v>
      </c>
      <c r="U114" t="str">
        <f t="shared" si="6"/>
        <v>AAB6EE</v>
      </c>
      <c r="V114">
        <v>0</v>
      </c>
      <c r="W114">
        <v>0</v>
      </c>
      <c r="X114">
        <v>4</v>
      </c>
      <c r="Z114">
        <v>0</v>
      </c>
      <c r="AA114">
        <v>8</v>
      </c>
      <c r="AB114">
        <v>3</v>
      </c>
      <c r="AC114">
        <v>0</v>
      </c>
      <c r="AD114">
        <v>10</v>
      </c>
      <c r="AE114">
        <v>0</v>
      </c>
      <c r="AF114">
        <v>0</v>
      </c>
      <c r="AG114">
        <v>1</v>
      </c>
      <c r="AH114">
        <v>1</v>
      </c>
      <c r="AI114" t="s">
        <v>195</v>
      </c>
      <c r="AJ114">
        <v>35.545664000000002</v>
      </c>
      <c r="AK114" t="s">
        <v>196</v>
      </c>
      <c r="AL114">
        <v>-76.015154999999993</v>
      </c>
      <c r="AM114">
        <v>25</v>
      </c>
      <c r="AN114">
        <v>2575</v>
      </c>
      <c r="AO114" t="s">
        <v>118</v>
      </c>
      <c r="AP114">
        <v>-81</v>
      </c>
      <c r="AQ114">
        <v>-117</v>
      </c>
      <c r="AR114">
        <v>2624</v>
      </c>
      <c r="AZ114">
        <v>1200</v>
      </c>
      <c r="BA114">
        <v>1</v>
      </c>
      <c r="BB114" t="str">
        <f t="shared" si="9"/>
        <v xml:space="preserve">N79NX   </v>
      </c>
      <c r="BC114">
        <v>1</v>
      </c>
      <c r="BE114">
        <v>0</v>
      </c>
      <c r="BF114">
        <v>0</v>
      </c>
      <c r="BG114">
        <v>0</v>
      </c>
      <c r="BH114">
        <v>2425</v>
      </c>
      <c r="BI114">
        <v>0</v>
      </c>
      <c r="BJ114">
        <v>0</v>
      </c>
      <c r="BK114">
        <v>0</v>
      </c>
      <c r="BL114">
        <v>0</v>
      </c>
      <c r="BO114">
        <v>0</v>
      </c>
      <c r="BP114">
        <v>0</v>
      </c>
      <c r="BW114" t="str">
        <f>"18:36:02.110"</f>
        <v>18:36:02.110</v>
      </c>
      <c r="BZ114">
        <v>0</v>
      </c>
      <c r="CA114">
        <v>3488</v>
      </c>
      <c r="CB114">
        <v>216</v>
      </c>
      <c r="CC114">
        <v>583.59379999999999</v>
      </c>
      <c r="CD114">
        <v>1</v>
      </c>
      <c r="CE114">
        <v>1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2</v>
      </c>
      <c r="CL114">
        <v>0</v>
      </c>
      <c r="CM114">
        <v>2</v>
      </c>
      <c r="CN114">
        <v>0</v>
      </c>
      <c r="CO114">
        <v>6</v>
      </c>
      <c r="CP114" t="s">
        <v>119</v>
      </c>
      <c r="CQ114">
        <v>145</v>
      </c>
      <c r="CR114">
        <v>1</v>
      </c>
      <c r="CW114">
        <v>8865398</v>
      </c>
      <c r="CY114">
        <v>0</v>
      </c>
      <c r="CZ114">
        <v>0</v>
      </c>
      <c r="DA114">
        <v>1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</row>
    <row r="115" spans="1:113" x14ac:dyDescent="0.3">
      <c r="A115" t="str">
        <f>"02/13/2022 18:36:02.314"</f>
        <v>02/13/2022 18:36:02.314</v>
      </c>
      <c r="C115" t="str">
        <f t="shared" si="8"/>
        <v>FFDFD7C0</v>
      </c>
      <c r="D115" t="s">
        <v>113</v>
      </c>
      <c r="E115">
        <v>4</v>
      </c>
      <c r="F115">
        <v>1004</v>
      </c>
      <c r="G115" t="s">
        <v>120</v>
      </c>
      <c r="J115" t="s">
        <v>115</v>
      </c>
      <c r="K115">
        <v>0</v>
      </c>
      <c r="L115">
        <v>3</v>
      </c>
      <c r="M115">
        <v>0</v>
      </c>
      <c r="N115">
        <v>2</v>
      </c>
      <c r="O115">
        <v>1</v>
      </c>
      <c r="P115">
        <v>0</v>
      </c>
      <c r="Q115">
        <v>0</v>
      </c>
      <c r="S115" t="str">
        <f t="shared" si="15"/>
        <v>18:36:02.109</v>
      </c>
      <c r="T115" t="str">
        <f t="shared" si="15"/>
        <v>18:36:02.109</v>
      </c>
      <c r="U115" t="str">
        <f t="shared" si="6"/>
        <v>AAB6EE</v>
      </c>
      <c r="V115">
        <v>0</v>
      </c>
      <c r="W115">
        <v>0</v>
      </c>
      <c r="X115">
        <v>4</v>
      </c>
      <c r="Z115">
        <v>0</v>
      </c>
      <c r="AA115">
        <v>8</v>
      </c>
      <c r="AB115">
        <v>3</v>
      </c>
      <c r="AC115">
        <v>0</v>
      </c>
      <c r="AD115">
        <v>10</v>
      </c>
      <c r="AE115">
        <v>0</v>
      </c>
      <c r="AF115">
        <v>0</v>
      </c>
      <c r="AG115">
        <v>1</v>
      </c>
      <c r="AH115">
        <v>1</v>
      </c>
      <c r="AI115" t="s">
        <v>195</v>
      </c>
      <c r="AJ115">
        <v>35.545664000000002</v>
      </c>
      <c r="AK115" t="s">
        <v>196</v>
      </c>
      <c r="AL115">
        <v>-76.015154999999993</v>
      </c>
      <c r="AM115">
        <v>25</v>
      </c>
      <c r="AN115">
        <v>2575</v>
      </c>
      <c r="AO115" t="s">
        <v>118</v>
      </c>
      <c r="AP115">
        <v>-81</v>
      </c>
      <c r="AQ115">
        <v>-117</v>
      </c>
      <c r="AR115">
        <v>2624</v>
      </c>
      <c r="AZ115">
        <v>1200</v>
      </c>
      <c r="BA115">
        <v>1</v>
      </c>
      <c r="BB115" t="str">
        <f t="shared" si="9"/>
        <v xml:space="preserve">N79NX   </v>
      </c>
      <c r="BC115">
        <v>1</v>
      </c>
      <c r="BE115">
        <v>0</v>
      </c>
      <c r="BF115">
        <v>0</v>
      </c>
      <c r="BG115">
        <v>0</v>
      </c>
      <c r="BH115">
        <v>2425</v>
      </c>
      <c r="BI115">
        <v>0</v>
      </c>
      <c r="BJ115">
        <v>0</v>
      </c>
      <c r="BK115">
        <v>0</v>
      </c>
      <c r="BL115">
        <v>0</v>
      </c>
      <c r="BO115">
        <v>0</v>
      </c>
      <c r="BP115">
        <v>0</v>
      </c>
      <c r="BW115" t="str">
        <f>"18:36:02.110"</f>
        <v>18:36:02.110</v>
      </c>
      <c r="BZ115">
        <v>0</v>
      </c>
      <c r="CA115">
        <v>3488</v>
      </c>
      <c r="CB115">
        <v>216</v>
      </c>
      <c r="CC115">
        <v>583.59379999999999</v>
      </c>
      <c r="CD115">
        <v>1</v>
      </c>
      <c r="CE115">
        <v>1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2</v>
      </c>
      <c r="CL115">
        <v>0</v>
      </c>
      <c r="CM115">
        <v>2</v>
      </c>
      <c r="CN115">
        <v>0</v>
      </c>
      <c r="CO115">
        <v>6</v>
      </c>
      <c r="CP115" t="s">
        <v>119</v>
      </c>
      <c r="CQ115">
        <v>145</v>
      </c>
      <c r="CR115">
        <v>1</v>
      </c>
      <c r="CW115">
        <v>8865398</v>
      </c>
      <c r="CY115">
        <v>0</v>
      </c>
      <c r="CZ115">
        <v>0</v>
      </c>
      <c r="DA115">
        <v>1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</row>
    <row r="116" spans="1:113" x14ac:dyDescent="0.3">
      <c r="A116" t="str">
        <f>"02/13/2022 18:36:03.471"</f>
        <v>02/13/2022 18:36:03.471</v>
      </c>
      <c r="C116" t="str">
        <f t="shared" si="8"/>
        <v>FFDFD7C0</v>
      </c>
      <c r="D116" t="s">
        <v>113</v>
      </c>
      <c r="E116">
        <v>3</v>
      </c>
      <c r="F116">
        <v>1003</v>
      </c>
      <c r="G116" t="s">
        <v>114</v>
      </c>
      <c r="J116" t="s">
        <v>115</v>
      </c>
      <c r="K116">
        <v>0</v>
      </c>
      <c r="L116">
        <v>3</v>
      </c>
      <c r="M116">
        <v>0</v>
      </c>
      <c r="N116">
        <v>2</v>
      </c>
      <c r="O116">
        <v>1</v>
      </c>
      <c r="P116">
        <v>0</v>
      </c>
      <c r="Q116">
        <v>0</v>
      </c>
      <c r="S116" t="str">
        <f>"18:36:03.258"</f>
        <v>18:36:03.258</v>
      </c>
      <c r="T116" t="str">
        <f>"18:36:03.158"</f>
        <v>18:36:03.158</v>
      </c>
      <c r="U116" t="str">
        <f t="shared" si="6"/>
        <v>AAB6EE</v>
      </c>
      <c r="V116">
        <v>0</v>
      </c>
      <c r="W116">
        <v>0</v>
      </c>
      <c r="X116">
        <v>4</v>
      </c>
      <c r="Z116">
        <v>0</v>
      </c>
      <c r="AA116">
        <v>8</v>
      </c>
      <c r="AB116">
        <v>3</v>
      </c>
      <c r="AC116">
        <v>0</v>
      </c>
      <c r="AD116">
        <v>10</v>
      </c>
      <c r="AE116">
        <v>0</v>
      </c>
      <c r="AF116">
        <v>0</v>
      </c>
      <c r="AG116">
        <v>1</v>
      </c>
      <c r="AH116">
        <v>1</v>
      </c>
      <c r="AI116" t="s">
        <v>197</v>
      </c>
      <c r="AJ116">
        <v>35.545062999999999</v>
      </c>
      <c r="AK116" t="s">
        <v>198</v>
      </c>
      <c r="AL116">
        <v>-76.015626999999995</v>
      </c>
      <c r="AM116">
        <v>25</v>
      </c>
      <c r="AN116">
        <v>2625</v>
      </c>
      <c r="AO116" t="s">
        <v>118</v>
      </c>
      <c r="AP116">
        <v>-81</v>
      </c>
      <c r="AQ116">
        <v>-116</v>
      </c>
      <c r="AR116">
        <v>2624</v>
      </c>
      <c r="AZ116">
        <v>1200</v>
      </c>
      <c r="BA116">
        <v>1</v>
      </c>
      <c r="BB116" t="str">
        <f t="shared" si="9"/>
        <v xml:space="preserve">N79NX   </v>
      </c>
      <c r="BC116">
        <v>1</v>
      </c>
      <c r="BE116">
        <v>0</v>
      </c>
      <c r="BF116">
        <v>0</v>
      </c>
      <c r="BG116">
        <v>0</v>
      </c>
      <c r="BH116">
        <v>2475</v>
      </c>
      <c r="BI116">
        <v>0</v>
      </c>
      <c r="BJ116">
        <v>0</v>
      </c>
      <c r="BK116">
        <v>0</v>
      </c>
      <c r="BL116">
        <v>0</v>
      </c>
      <c r="BO116">
        <v>0</v>
      </c>
      <c r="BP116">
        <v>0</v>
      </c>
      <c r="BW116" t="str">
        <f>"18:36:03.260"</f>
        <v>18:36:03.260</v>
      </c>
      <c r="BZ116">
        <v>0</v>
      </c>
      <c r="CA116">
        <v>3488</v>
      </c>
      <c r="CB116">
        <v>216</v>
      </c>
      <c r="CC116">
        <v>583.59379999999999</v>
      </c>
      <c r="CD116">
        <v>1</v>
      </c>
      <c r="CE116">
        <v>1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2</v>
      </c>
      <c r="CL116">
        <v>0</v>
      </c>
      <c r="CM116">
        <v>2</v>
      </c>
      <c r="CN116">
        <v>0</v>
      </c>
      <c r="CO116">
        <v>6</v>
      </c>
      <c r="CP116" t="s">
        <v>119</v>
      </c>
      <c r="CQ116">
        <v>145</v>
      </c>
      <c r="CR116">
        <v>1</v>
      </c>
      <c r="CW116">
        <v>8865983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</row>
    <row r="117" spans="1:113" x14ac:dyDescent="0.3">
      <c r="A117" t="str">
        <f>"02/13/2022 18:36:03.471"</f>
        <v>02/13/2022 18:36:03.471</v>
      </c>
      <c r="C117" t="str">
        <f t="shared" si="8"/>
        <v>FFDFD7C0</v>
      </c>
      <c r="D117" t="s">
        <v>113</v>
      </c>
      <c r="E117">
        <v>4</v>
      </c>
      <c r="F117">
        <v>1004</v>
      </c>
      <c r="G117" t="s">
        <v>120</v>
      </c>
      <c r="J117" t="s">
        <v>115</v>
      </c>
      <c r="K117">
        <v>0</v>
      </c>
      <c r="L117">
        <v>3</v>
      </c>
      <c r="M117">
        <v>0</v>
      </c>
      <c r="N117">
        <v>2</v>
      </c>
      <c r="O117">
        <v>1</v>
      </c>
      <c r="P117">
        <v>0</v>
      </c>
      <c r="Q117">
        <v>0</v>
      </c>
      <c r="S117" t="str">
        <f>"18:36:03.258"</f>
        <v>18:36:03.258</v>
      </c>
      <c r="T117" t="str">
        <f>"18:36:03.158"</f>
        <v>18:36:03.158</v>
      </c>
      <c r="U117" t="str">
        <f t="shared" si="6"/>
        <v>AAB6EE</v>
      </c>
      <c r="V117">
        <v>0</v>
      </c>
      <c r="W117">
        <v>0</v>
      </c>
      <c r="X117">
        <v>4</v>
      </c>
      <c r="Z117">
        <v>0</v>
      </c>
      <c r="AA117">
        <v>8</v>
      </c>
      <c r="AB117">
        <v>3</v>
      </c>
      <c r="AC117">
        <v>0</v>
      </c>
      <c r="AD117">
        <v>10</v>
      </c>
      <c r="AE117">
        <v>0</v>
      </c>
      <c r="AF117">
        <v>0</v>
      </c>
      <c r="AG117">
        <v>1</v>
      </c>
      <c r="AH117">
        <v>1</v>
      </c>
      <c r="AI117" t="s">
        <v>197</v>
      </c>
      <c r="AJ117">
        <v>35.545062999999999</v>
      </c>
      <c r="AK117" t="s">
        <v>198</v>
      </c>
      <c r="AL117">
        <v>-76.015626999999995</v>
      </c>
      <c r="AM117">
        <v>25</v>
      </c>
      <c r="AN117">
        <v>2625</v>
      </c>
      <c r="AO117" t="s">
        <v>118</v>
      </c>
      <c r="AP117">
        <v>-81</v>
      </c>
      <c r="AQ117">
        <v>-116</v>
      </c>
      <c r="AR117">
        <v>2624</v>
      </c>
      <c r="AZ117">
        <v>1200</v>
      </c>
      <c r="BA117">
        <v>1</v>
      </c>
      <c r="BB117" t="str">
        <f t="shared" si="9"/>
        <v xml:space="preserve">N79NX   </v>
      </c>
      <c r="BC117">
        <v>1</v>
      </c>
      <c r="BE117">
        <v>0</v>
      </c>
      <c r="BF117">
        <v>0</v>
      </c>
      <c r="BG117">
        <v>0</v>
      </c>
      <c r="BH117">
        <v>2475</v>
      </c>
      <c r="BI117">
        <v>0</v>
      </c>
      <c r="BJ117">
        <v>0</v>
      </c>
      <c r="BK117">
        <v>0</v>
      </c>
      <c r="BL117">
        <v>0</v>
      </c>
      <c r="BO117">
        <v>0</v>
      </c>
      <c r="BP117">
        <v>0</v>
      </c>
      <c r="BW117" t="str">
        <f>"18:36:03.260"</f>
        <v>18:36:03.260</v>
      </c>
      <c r="BZ117">
        <v>0</v>
      </c>
      <c r="CA117">
        <v>3488</v>
      </c>
      <c r="CB117">
        <v>216</v>
      </c>
      <c r="CC117">
        <v>583.59379999999999</v>
      </c>
      <c r="CD117">
        <v>1</v>
      </c>
      <c r="CE117">
        <v>1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2</v>
      </c>
      <c r="CL117">
        <v>0</v>
      </c>
      <c r="CM117">
        <v>2</v>
      </c>
      <c r="CN117">
        <v>0</v>
      </c>
      <c r="CO117">
        <v>6</v>
      </c>
      <c r="CP117" t="s">
        <v>119</v>
      </c>
      <c r="CQ117">
        <v>145</v>
      </c>
      <c r="CR117">
        <v>1</v>
      </c>
      <c r="CW117">
        <v>8865983</v>
      </c>
      <c r="CY117">
        <v>0</v>
      </c>
      <c r="CZ117">
        <v>0</v>
      </c>
      <c r="DA117">
        <v>1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</row>
    <row r="118" spans="1:113" x14ac:dyDescent="0.3">
      <c r="A118" t="str">
        <f>"02/13/2022 18:36:03.502"</f>
        <v>02/13/2022 18:36:03.502</v>
      </c>
      <c r="C118" t="str">
        <f t="shared" si="8"/>
        <v>FFDFD7C0</v>
      </c>
      <c r="D118" t="s">
        <v>121</v>
      </c>
      <c r="E118">
        <v>2</v>
      </c>
      <c r="H118">
        <v>158</v>
      </c>
      <c r="I118" t="s">
        <v>120</v>
      </c>
      <c r="J118" t="s">
        <v>122</v>
      </c>
      <c r="K118">
        <v>0</v>
      </c>
      <c r="L118">
        <v>3</v>
      </c>
      <c r="M118">
        <v>0</v>
      </c>
      <c r="N118">
        <v>2</v>
      </c>
      <c r="O118">
        <v>1</v>
      </c>
      <c r="P118">
        <v>0</v>
      </c>
      <c r="Q118">
        <v>0</v>
      </c>
      <c r="S118" t="str">
        <f>"18:36:03.258"</f>
        <v>18:36:03.258</v>
      </c>
      <c r="T118" t="str">
        <f>"18:36:03.158"</f>
        <v>18:36:03.158</v>
      </c>
      <c r="U118" t="str">
        <f t="shared" si="6"/>
        <v>AAB6EE</v>
      </c>
      <c r="V118">
        <v>0</v>
      </c>
      <c r="W118">
        <v>0</v>
      </c>
      <c r="X118">
        <v>4</v>
      </c>
      <c r="Z118">
        <v>0</v>
      </c>
      <c r="AA118">
        <v>8</v>
      </c>
      <c r="AB118">
        <v>3</v>
      </c>
      <c r="AC118">
        <v>0</v>
      </c>
      <c r="AD118">
        <v>10</v>
      </c>
      <c r="AE118">
        <v>0</v>
      </c>
      <c r="AF118">
        <v>0</v>
      </c>
      <c r="AG118">
        <v>1</v>
      </c>
      <c r="AH118">
        <v>1</v>
      </c>
      <c r="AI118" t="s">
        <v>197</v>
      </c>
      <c r="AJ118">
        <v>35.545062999999999</v>
      </c>
      <c r="AK118" t="s">
        <v>198</v>
      </c>
      <c r="AL118">
        <v>-76.015626999999995</v>
      </c>
      <c r="AM118">
        <v>25</v>
      </c>
      <c r="AN118">
        <v>2625</v>
      </c>
      <c r="AO118" t="s">
        <v>118</v>
      </c>
      <c r="AP118">
        <v>-81</v>
      </c>
      <c r="AQ118">
        <v>-116</v>
      </c>
      <c r="AR118">
        <v>2624</v>
      </c>
      <c r="AZ118">
        <v>1200</v>
      </c>
      <c r="BA118">
        <v>1</v>
      </c>
      <c r="BB118" t="str">
        <f t="shared" si="9"/>
        <v xml:space="preserve">N79NX   </v>
      </c>
      <c r="BC118">
        <v>1</v>
      </c>
      <c r="BE118">
        <v>0</v>
      </c>
      <c r="BF118">
        <v>0</v>
      </c>
      <c r="BG118">
        <v>0</v>
      </c>
      <c r="BH118">
        <v>2475</v>
      </c>
      <c r="BI118">
        <v>0</v>
      </c>
      <c r="BJ118">
        <v>0</v>
      </c>
      <c r="BK118">
        <v>0</v>
      </c>
      <c r="BL118">
        <v>0</v>
      </c>
      <c r="BO118">
        <v>0</v>
      </c>
      <c r="BP118">
        <v>0</v>
      </c>
      <c r="BW118" t="str">
        <f>"18:36:03.260"</f>
        <v>18:36:03.260</v>
      </c>
      <c r="BZ118">
        <v>0</v>
      </c>
      <c r="CA118">
        <v>3488</v>
      </c>
      <c r="CB118">
        <v>216</v>
      </c>
      <c r="CC118">
        <v>583.59379999999999</v>
      </c>
      <c r="CD118">
        <v>1</v>
      </c>
      <c r="CE118">
        <v>1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2</v>
      </c>
      <c r="CL118">
        <v>0</v>
      </c>
      <c r="CM118">
        <v>2</v>
      </c>
      <c r="CN118">
        <v>0</v>
      </c>
      <c r="CO118">
        <v>6</v>
      </c>
      <c r="CP118" t="s">
        <v>119</v>
      </c>
      <c r="CQ118">
        <v>145</v>
      </c>
      <c r="CR118">
        <v>1</v>
      </c>
      <c r="CW118">
        <v>8865983</v>
      </c>
      <c r="CY118">
        <v>0</v>
      </c>
      <c r="CZ118">
        <v>0</v>
      </c>
      <c r="DA118">
        <v>1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</row>
    <row r="119" spans="1:113" x14ac:dyDescent="0.3">
      <c r="A119" t="str">
        <f>"02/13/2022 18:36:04.487"</f>
        <v>02/13/2022 18:36:04.487</v>
      </c>
      <c r="C119" t="str">
        <f t="shared" si="8"/>
        <v>FFDFD7C0</v>
      </c>
      <c r="D119" t="s">
        <v>121</v>
      </c>
      <c r="E119">
        <v>2</v>
      </c>
      <c r="H119">
        <v>158</v>
      </c>
      <c r="I119" t="s">
        <v>120</v>
      </c>
      <c r="J119" t="s">
        <v>122</v>
      </c>
      <c r="K119">
        <v>0</v>
      </c>
      <c r="L119">
        <v>3</v>
      </c>
      <c r="M119">
        <v>0</v>
      </c>
      <c r="N119">
        <v>2</v>
      </c>
      <c r="O119">
        <v>1</v>
      </c>
      <c r="P119">
        <v>0</v>
      </c>
      <c r="Q119">
        <v>0</v>
      </c>
      <c r="S119" t="str">
        <f>"18:36:04.266"</f>
        <v>18:36:04.266</v>
      </c>
      <c r="T119" t="str">
        <f>"18:36:04.066"</f>
        <v>18:36:04.066</v>
      </c>
      <c r="U119" t="str">
        <f t="shared" si="6"/>
        <v>AAB6EE</v>
      </c>
      <c r="V119">
        <v>0</v>
      </c>
      <c r="W119">
        <v>0</v>
      </c>
      <c r="X119">
        <v>4</v>
      </c>
      <c r="Z119">
        <v>0</v>
      </c>
      <c r="AA119">
        <v>8</v>
      </c>
      <c r="AB119">
        <v>3</v>
      </c>
      <c r="AC119">
        <v>0</v>
      </c>
      <c r="AD119">
        <v>10</v>
      </c>
      <c r="AE119">
        <v>0</v>
      </c>
      <c r="AF119">
        <v>0</v>
      </c>
      <c r="AG119">
        <v>1</v>
      </c>
      <c r="AH119">
        <v>1</v>
      </c>
      <c r="AI119" t="s">
        <v>199</v>
      </c>
      <c r="AJ119">
        <v>35.544547999999999</v>
      </c>
      <c r="AK119" t="s">
        <v>200</v>
      </c>
      <c r="AL119">
        <v>-76.016098999999997</v>
      </c>
      <c r="AM119">
        <v>25</v>
      </c>
      <c r="AN119">
        <v>2650</v>
      </c>
      <c r="AO119" t="s">
        <v>118</v>
      </c>
      <c r="AP119">
        <v>-80</v>
      </c>
      <c r="AQ119">
        <v>-115</v>
      </c>
      <c r="AR119">
        <v>2688</v>
      </c>
      <c r="AZ119">
        <v>1200</v>
      </c>
      <c r="BA119">
        <v>1</v>
      </c>
      <c r="BB119" t="str">
        <f t="shared" si="9"/>
        <v xml:space="preserve">N79NX   </v>
      </c>
      <c r="BC119">
        <v>1</v>
      </c>
      <c r="BE119">
        <v>0</v>
      </c>
      <c r="BF119">
        <v>0</v>
      </c>
      <c r="BG119">
        <v>0</v>
      </c>
      <c r="BH119">
        <v>2500</v>
      </c>
      <c r="BI119">
        <v>0</v>
      </c>
      <c r="BJ119">
        <v>0</v>
      </c>
      <c r="BK119">
        <v>0</v>
      </c>
      <c r="BL119">
        <v>0</v>
      </c>
      <c r="BO119">
        <v>0</v>
      </c>
      <c r="BP119">
        <v>0</v>
      </c>
      <c r="BW119" t="str">
        <f>"18:36:04.270"</f>
        <v>18:36:04.270</v>
      </c>
      <c r="BZ119">
        <v>0</v>
      </c>
      <c r="CA119">
        <v>3488</v>
      </c>
      <c r="CB119">
        <v>216</v>
      </c>
      <c r="CC119">
        <v>583.59379999999999</v>
      </c>
      <c r="CD119">
        <v>1</v>
      </c>
      <c r="CE119">
        <v>1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2</v>
      </c>
      <c r="CL119">
        <v>0</v>
      </c>
      <c r="CM119">
        <v>2</v>
      </c>
      <c r="CN119">
        <v>0</v>
      </c>
      <c r="CO119">
        <v>6</v>
      </c>
      <c r="CP119" t="s">
        <v>119</v>
      </c>
      <c r="CQ119">
        <v>145</v>
      </c>
      <c r="CR119">
        <v>1</v>
      </c>
      <c r="CW119">
        <v>8866484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</row>
    <row r="120" spans="1:113" x14ac:dyDescent="0.3">
      <c r="A120" t="str">
        <f>"02/13/2022 18:36:04.503"</f>
        <v>02/13/2022 18:36:04.503</v>
      </c>
      <c r="C120" t="str">
        <f t="shared" si="8"/>
        <v>FFDFD7C0</v>
      </c>
      <c r="D120" t="s">
        <v>113</v>
      </c>
      <c r="E120">
        <v>3</v>
      </c>
      <c r="F120">
        <v>1003</v>
      </c>
      <c r="G120" t="s">
        <v>114</v>
      </c>
      <c r="J120" t="s">
        <v>115</v>
      </c>
      <c r="K120">
        <v>0</v>
      </c>
      <c r="L120">
        <v>3</v>
      </c>
      <c r="M120">
        <v>0</v>
      </c>
      <c r="N120">
        <v>2</v>
      </c>
      <c r="O120">
        <v>1</v>
      </c>
      <c r="P120">
        <v>0</v>
      </c>
      <c r="Q120">
        <v>0</v>
      </c>
      <c r="S120" t="str">
        <f>"18:36:04.266"</f>
        <v>18:36:04.266</v>
      </c>
      <c r="T120" t="str">
        <f>"18:36:04.066"</f>
        <v>18:36:04.066</v>
      </c>
      <c r="U120" t="str">
        <f t="shared" si="6"/>
        <v>AAB6EE</v>
      </c>
      <c r="V120">
        <v>0</v>
      </c>
      <c r="W120">
        <v>0</v>
      </c>
      <c r="X120">
        <v>4</v>
      </c>
      <c r="Z120">
        <v>0</v>
      </c>
      <c r="AA120">
        <v>8</v>
      </c>
      <c r="AB120">
        <v>3</v>
      </c>
      <c r="AC120">
        <v>0</v>
      </c>
      <c r="AD120">
        <v>10</v>
      </c>
      <c r="AE120">
        <v>0</v>
      </c>
      <c r="AF120">
        <v>0</v>
      </c>
      <c r="AG120">
        <v>1</v>
      </c>
      <c r="AH120">
        <v>1</v>
      </c>
      <c r="AI120" t="s">
        <v>199</v>
      </c>
      <c r="AJ120">
        <v>35.544547999999999</v>
      </c>
      <c r="AK120" t="s">
        <v>200</v>
      </c>
      <c r="AL120">
        <v>-76.016098999999997</v>
      </c>
      <c r="AM120">
        <v>25</v>
      </c>
      <c r="AN120">
        <v>2650</v>
      </c>
      <c r="AO120" t="s">
        <v>118</v>
      </c>
      <c r="AP120">
        <v>-80</v>
      </c>
      <c r="AQ120">
        <v>-115</v>
      </c>
      <c r="AR120">
        <v>2688</v>
      </c>
      <c r="AZ120">
        <v>1200</v>
      </c>
      <c r="BA120">
        <v>1</v>
      </c>
      <c r="BB120" t="str">
        <f t="shared" si="9"/>
        <v xml:space="preserve">N79NX   </v>
      </c>
      <c r="BC120">
        <v>1</v>
      </c>
      <c r="BE120">
        <v>0</v>
      </c>
      <c r="BF120">
        <v>0</v>
      </c>
      <c r="BG120">
        <v>0</v>
      </c>
      <c r="BH120">
        <v>2500</v>
      </c>
      <c r="BI120">
        <v>0</v>
      </c>
      <c r="BJ120">
        <v>0</v>
      </c>
      <c r="BK120">
        <v>0</v>
      </c>
      <c r="BL120">
        <v>0</v>
      </c>
      <c r="BO120">
        <v>0</v>
      </c>
      <c r="BP120">
        <v>0</v>
      </c>
      <c r="BW120" t="str">
        <f>"18:36:04.270"</f>
        <v>18:36:04.270</v>
      </c>
      <c r="BZ120">
        <v>0</v>
      </c>
      <c r="CA120">
        <v>3488</v>
      </c>
      <c r="CB120">
        <v>216</v>
      </c>
      <c r="CC120">
        <v>583.59379999999999</v>
      </c>
      <c r="CD120">
        <v>1</v>
      </c>
      <c r="CE120">
        <v>1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2</v>
      </c>
      <c r="CL120">
        <v>0</v>
      </c>
      <c r="CM120">
        <v>2</v>
      </c>
      <c r="CN120">
        <v>0</v>
      </c>
      <c r="CO120">
        <v>6</v>
      </c>
      <c r="CP120" t="s">
        <v>119</v>
      </c>
      <c r="CQ120">
        <v>145</v>
      </c>
      <c r="CR120">
        <v>1</v>
      </c>
      <c r="CW120">
        <v>8866484</v>
      </c>
      <c r="CY120">
        <v>0</v>
      </c>
      <c r="CZ120">
        <v>0</v>
      </c>
      <c r="DA120">
        <v>1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</row>
    <row r="121" spans="1:113" x14ac:dyDescent="0.3">
      <c r="A121" t="str">
        <f>"02/13/2022 18:36:04.503"</f>
        <v>02/13/2022 18:36:04.503</v>
      </c>
      <c r="C121" t="str">
        <f t="shared" si="8"/>
        <v>FFDFD7C0</v>
      </c>
      <c r="D121" t="s">
        <v>113</v>
      </c>
      <c r="E121">
        <v>4</v>
      </c>
      <c r="F121">
        <v>1004</v>
      </c>
      <c r="G121" t="s">
        <v>120</v>
      </c>
      <c r="J121" t="s">
        <v>115</v>
      </c>
      <c r="K121">
        <v>0</v>
      </c>
      <c r="L121">
        <v>3</v>
      </c>
      <c r="M121">
        <v>0</v>
      </c>
      <c r="N121">
        <v>2</v>
      </c>
      <c r="O121">
        <v>1</v>
      </c>
      <c r="P121">
        <v>0</v>
      </c>
      <c r="Q121">
        <v>0</v>
      </c>
      <c r="S121" t="str">
        <f>"18:36:04.266"</f>
        <v>18:36:04.266</v>
      </c>
      <c r="T121" t="str">
        <f>"18:36:04.066"</f>
        <v>18:36:04.066</v>
      </c>
      <c r="U121" t="str">
        <f t="shared" si="6"/>
        <v>AAB6EE</v>
      </c>
      <c r="V121">
        <v>0</v>
      </c>
      <c r="W121">
        <v>0</v>
      </c>
      <c r="X121">
        <v>4</v>
      </c>
      <c r="Z121">
        <v>0</v>
      </c>
      <c r="AA121">
        <v>8</v>
      </c>
      <c r="AB121">
        <v>3</v>
      </c>
      <c r="AC121">
        <v>0</v>
      </c>
      <c r="AD121">
        <v>10</v>
      </c>
      <c r="AE121">
        <v>0</v>
      </c>
      <c r="AF121">
        <v>0</v>
      </c>
      <c r="AG121">
        <v>1</v>
      </c>
      <c r="AH121">
        <v>1</v>
      </c>
      <c r="AI121" t="s">
        <v>199</v>
      </c>
      <c r="AJ121">
        <v>35.544547999999999</v>
      </c>
      <c r="AK121" t="s">
        <v>200</v>
      </c>
      <c r="AL121">
        <v>-76.016098999999997</v>
      </c>
      <c r="AM121">
        <v>25</v>
      </c>
      <c r="AN121">
        <v>2650</v>
      </c>
      <c r="AO121" t="s">
        <v>118</v>
      </c>
      <c r="AP121">
        <v>-80</v>
      </c>
      <c r="AQ121">
        <v>-115</v>
      </c>
      <c r="AR121">
        <v>2688</v>
      </c>
      <c r="AZ121">
        <v>1200</v>
      </c>
      <c r="BA121">
        <v>1</v>
      </c>
      <c r="BB121" t="str">
        <f t="shared" si="9"/>
        <v xml:space="preserve">N79NX   </v>
      </c>
      <c r="BC121">
        <v>1</v>
      </c>
      <c r="BE121">
        <v>0</v>
      </c>
      <c r="BF121">
        <v>0</v>
      </c>
      <c r="BG121">
        <v>0</v>
      </c>
      <c r="BH121">
        <v>2500</v>
      </c>
      <c r="BI121">
        <v>0</v>
      </c>
      <c r="BJ121">
        <v>0</v>
      </c>
      <c r="BK121">
        <v>0</v>
      </c>
      <c r="BL121">
        <v>0</v>
      </c>
      <c r="BO121">
        <v>0</v>
      </c>
      <c r="BP121">
        <v>0</v>
      </c>
      <c r="BW121" t="str">
        <f>"18:36:04.270"</f>
        <v>18:36:04.270</v>
      </c>
      <c r="BZ121">
        <v>0</v>
      </c>
      <c r="CA121">
        <v>3488</v>
      </c>
      <c r="CB121">
        <v>216</v>
      </c>
      <c r="CC121">
        <v>583.59379999999999</v>
      </c>
      <c r="CD121">
        <v>1</v>
      </c>
      <c r="CE121">
        <v>1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2</v>
      </c>
      <c r="CL121">
        <v>0</v>
      </c>
      <c r="CM121">
        <v>2</v>
      </c>
      <c r="CN121">
        <v>0</v>
      </c>
      <c r="CO121">
        <v>6</v>
      </c>
      <c r="CP121" t="s">
        <v>119</v>
      </c>
      <c r="CQ121">
        <v>145</v>
      </c>
      <c r="CR121">
        <v>1</v>
      </c>
      <c r="CW121">
        <v>8866484</v>
      </c>
      <c r="CY121">
        <v>0</v>
      </c>
      <c r="CZ121">
        <v>0</v>
      </c>
      <c r="DA121">
        <v>1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</row>
    <row r="122" spans="1:113" x14ac:dyDescent="0.3">
      <c r="A122" t="str">
        <f>"02/13/2022 18:36:05.646"</f>
        <v>02/13/2022 18:36:05.646</v>
      </c>
      <c r="C122" t="str">
        <f t="shared" si="8"/>
        <v>FFDFD7C0</v>
      </c>
      <c r="D122" t="s">
        <v>121</v>
      </c>
      <c r="E122">
        <v>2</v>
      </c>
      <c r="H122">
        <v>158</v>
      </c>
      <c r="I122" t="s">
        <v>120</v>
      </c>
      <c r="J122" t="s">
        <v>122</v>
      </c>
      <c r="K122">
        <v>0</v>
      </c>
      <c r="L122">
        <v>3</v>
      </c>
      <c r="M122">
        <v>0</v>
      </c>
      <c r="N122">
        <v>2</v>
      </c>
      <c r="O122">
        <v>1</v>
      </c>
      <c r="P122">
        <v>0</v>
      </c>
      <c r="Q122">
        <v>0</v>
      </c>
      <c r="S122" t="str">
        <f>"18:36:05.430"</f>
        <v>18:36:05.430</v>
      </c>
      <c r="T122" t="str">
        <f>"18:36:05.130"</f>
        <v>18:36:05.130</v>
      </c>
      <c r="U122" t="str">
        <f t="shared" si="6"/>
        <v>AAB6EE</v>
      </c>
      <c r="V122">
        <v>0</v>
      </c>
      <c r="W122">
        <v>0</v>
      </c>
      <c r="X122">
        <v>4</v>
      </c>
      <c r="Z122">
        <v>0</v>
      </c>
      <c r="AA122">
        <v>8</v>
      </c>
      <c r="AB122">
        <v>3</v>
      </c>
      <c r="AC122">
        <v>0</v>
      </c>
      <c r="AD122">
        <v>10</v>
      </c>
      <c r="AE122">
        <v>0</v>
      </c>
      <c r="AF122">
        <v>0</v>
      </c>
      <c r="AG122">
        <v>1</v>
      </c>
      <c r="AH122">
        <v>1</v>
      </c>
      <c r="AI122" t="s">
        <v>201</v>
      </c>
      <c r="AJ122">
        <v>35.543883000000001</v>
      </c>
      <c r="AK122" t="s">
        <v>202</v>
      </c>
      <c r="AL122">
        <v>-76.016614000000004</v>
      </c>
      <c r="AM122">
        <v>25</v>
      </c>
      <c r="AN122">
        <v>2700</v>
      </c>
      <c r="AO122" t="s">
        <v>118</v>
      </c>
      <c r="AP122">
        <v>-79</v>
      </c>
      <c r="AQ122">
        <v>-114</v>
      </c>
      <c r="AR122">
        <v>2752</v>
      </c>
      <c r="AZ122">
        <v>1200</v>
      </c>
      <c r="BA122">
        <v>1</v>
      </c>
      <c r="BB122" t="str">
        <f t="shared" si="9"/>
        <v xml:space="preserve">N79NX   </v>
      </c>
      <c r="BC122">
        <v>1</v>
      </c>
      <c r="BE122">
        <v>0</v>
      </c>
      <c r="BF122">
        <v>0</v>
      </c>
      <c r="BG122">
        <v>0</v>
      </c>
      <c r="BH122">
        <v>2550</v>
      </c>
      <c r="BI122">
        <v>0</v>
      </c>
      <c r="BJ122">
        <v>0</v>
      </c>
      <c r="BK122">
        <v>0</v>
      </c>
      <c r="BL122">
        <v>0</v>
      </c>
      <c r="BO122">
        <v>0</v>
      </c>
      <c r="BP122">
        <v>0</v>
      </c>
      <c r="BW122" t="str">
        <f>"18:36:05.430"</f>
        <v>18:36:05.430</v>
      </c>
      <c r="BZ122">
        <v>0</v>
      </c>
      <c r="CA122">
        <v>3488</v>
      </c>
      <c r="CB122">
        <v>216</v>
      </c>
      <c r="CC122">
        <v>583.59379999999999</v>
      </c>
      <c r="CD122">
        <v>1</v>
      </c>
      <c r="CE122">
        <v>1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2</v>
      </c>
      <c r="CL122">
        <v>0</v>
      </c>
      <c r="CM122">
        <v>2</v>
      </c>
      <c r="CN122">
        <v>0</v>
      </c>
      <c r="CO122">
        <v>6</v>
      </c>
      <c r="CP122" t="s">
        <v>119</v>
      </c>
      <c r="CQ122">
        <v>145</v>
      </c>
      <c r="CR122">
        <v>1</v>
      </c>
      <c r="CW122">
        <v>8867041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</row>
    <row r="123" spans="1:113" x14ac:dyDescent="0.3">
      <c r="A123" t="str">
        <f>"02/13/2022 18:36:05.646"</f>
        <v>02/13/2022 18:36:05.646</v>
      </c>
      <c r="C123" t="str">
        <f t="shared" si="8"/>
        <v>FFDFD7C0</v>
      </c>
      <c r="D123" t="s">
        <v>113</v>
      </c>
      <c r="E123">
        <v>3</v>
      </c>
      <c r="F123">
        <v>1003</v>
      </c>
      <c r="G123" t="s">
        <v>114</v>
      </c>
      <c r="J123" t="s">
        <v>115</v>
      </c>
      <c r="K123">
        <v>0</v>
      </c>
      <c r="L123">
        <v>3</v>
      </c>
      <c r="M123">
        <v>0</v>
      </c>
      <c r="N123">
        <v>2</v>
      </c>
      <c r="O123">
        <v>1</v>
      </c>
      <c r="P123">
        <v>0</v>
      </c>
      <c r="Q123">
        <v>0</v>
      </c>
      <c r="S123" t="str">
        <f>"18:36:05.430"</f>
        <v>18:36:05.430</v>
      </c>
      <c r="T123" t="str">
        <f>"18:36:05.130"</f>
        <v>18:36:05.130</v>
      </c>
      <c r="U123" t="str">
        <f t="shared" si="6"/>
        <v>AAB6EE</v>
      </c>
      <c r="V123">
        <v>0</v>
      </c>
      <c r="W123">
        <v>0</v>
      </c>
      <c r="X123">
        <v>4</v>
      </c>
      <c r="Z123">
        <v>0</v>
      </c>
      <c r="AA123">
        <v>8</v>
      </c>
      <c r="AB123">
        <v>3</v>
      </c>
      <c r="AC123">
        <v>0</v>
      </c>
      <c r="AD123">
        <v>10</v>
      </c>
      <c r="AE123">
        <v>0</v>
      </c>
      <c r="AF123">
        <v>0</v>
      </c>
      <c r="AG123">
        <v>1</v>
      </c>
      <c r="AH123">
        <v>1</v>
      </c>
      <c r="AI123" t="s">
        <v>201</v>
      </c>
      <c r="AJ123">
        <v>35.543883000000001</v>
      </c>
      <c r="AK123" t="s">
        <v>202</v>
      </c>
      <c r="AL123">
        <v>-76.016614000000004</v>
      </c>
      <c r="AM123">
        <v>25</v>
      </c>
      <c r="AN123">
        <v>2700</v>
      </c>
      <c r="AO123" t="s">
        <v>118</v>
      </c>
      <c r="AP123">
        <v>-79</v>
      </c>
      <c r="AQ123">
        <v>-114</v>
      </c>
      <c r="AR123">
        <v>2752</v>
      </c>
      <c r="AZ123">
        <v>1200</v>
      </c>
      <c r="BA123">
        <v>1</v>
      </c>
      <c r="BB123" t="str">
        <f t="shared" si="9"/>
        <v xml:space="preserve">N79NX   </v>
      </c>
      <c r="BC123">
        <v>1</v>
      </c>
      <c r="BE123">
        <v>0</v>
      </c>
      <c r="BF123">
        <v>0</v>
      </c>
      <c r="BG123">
        <v>0</v>
      </c>
      <c r="BH123">
        <v>2550</v>
      </c>
      <c r="BI123">
        <v>0</v>
      </c>
      <c r="BJ123">
        <v>0</v>
      </c>
      <c r="BK123">
        <v>0</v>
      </c>
      <c r="BL123">
        <v>0</v>
      </c>
      <c r="BO123">
        <v>0</v>
      </c>
      <c r="BP123">
        <v>0</v>
      </c>
      <c r="BW123" t="str">
        <f>"18:36:05.430"</f>
        <v>18:36:05.430</v>
      </c>
      <c r="BZ123">
        <v>0</v>
      </c>
      <c r="CA123">
        <v>3488</v>
      </c>
      <c r="CB123">
        <v>216</v>
      </c>
      <c r="CC123">
        <v>583.59379999999999</v>
      </c>
      <c r="CD123">
        <v>1</v>
      </c>
      <c r="CE123">
        <v>1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2</v>
      </c>
      <c r="CL123">
        <v>0</v>
      </c>
      <c r="CM123">
        <v>2</v>
      </c>
      <c r="CN123">
        <v>0</v>
      </c>
      <c r="CO123">
        <v>6</v>
      </c>
      <c r="CP123" t="s">
        <v>119</v>
      </c>
      <c r="CQ123">
        <v>145</v>
      </c>
      <c r="CR123">
        <v>1</v>
      </c>
      <c r="CW123">
        <v>8867041</v>
      </c>
      <c r="CY123">
        <v>0</v>
      </c>
      <c r="CZ123">
        <v>0</v>
      </c>
      <c r="DA123">
        <v>1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</row>
    <row r="124" spans="1:113" x14ac:dyDescent="0.3">
      <c r="A124" t="str">
        <f>"02/13/2022 18:36:05.646"</f>
        <v>02/13/2022 18:36:05.646</v>
      </c>
      <c r="C124" t="str">
        <f t="shared" si="8"/>
        <v>FFDFD7C0</v>
      </c>
      <c r="D124" t="s">
        <v>113</v>
      </c>
      <c r="E124">
        <v>4</v>
      </c>
      <c r="F124">
        <v>1004</v>
      </c>
      <c r="G124" t="s">
        <v>120</v>
      </c>
      <c r="J124" t="s">
        <v>115</v>
      </c>
      <c r="K124">
        <v>0</v>
      </c>
      <c r="L124">
        <v>3</v>
      </c>
      <c r="M124">
        <v>0</v>
      </c>
      <c r="N124">
        <v>2</v>
      </c>
      <c r="O124">
        <v>1</v>
      </c>
      <c r="P124">
        <v>0</v>
      </c>
      <c r="Q124">
        <v>0</v>
      </c>
      <c r="S124" t="str">
        <f>"18:36:05.430"</f>
        <v>18:36:05.430</v>
      </c>
      <c r="T124" t="str">
        <f>"18:36:05.130"</f>
        <v>18:36:05.130</v>
      </c>
      <c r="U124" t="str">
        <f t="shared" si="6"/>
        <v>AAB6EE</v>
      </c>
      <c r="V124">
        <v>0</v>
      </c>
      <c r="W124">
        <v>0</v>
      </c>
      <c r="X124">
        <v>4</v>
      </c>
      <c r="Z124">
        <v>0</v>
      </c>
      <c r="AA124">
        <v>8</v>
      </c>
      <c r="AB124">
        <v>3</v>
      </c>
      <c r="AC124">
        <v>0</v>
      </c>
      <c r="AD124">
        <v>10</v>
      </c>
      <c r="AE124">
        <v>0</v>
      </c>
      <c r="AF124">
        <v>0</v>
      </c>
      <c r="AG124">
        <v>1</v>
      </c>
      <c r="AH124">
        <v>1</v>
      </c>
      <c r="AI124" t="s">
        <v>201</v>
      </c>
      <c r="AJ124">
        <v>35.543883000000001</v>
      </c>
      <c r="AK124" t="s">
        <v>202</v>
      </c>
      <c r="AL124">
        <v>-76.016614000000004</v>
      </c>
      <c r="AM124">
        <v>25</v>
      </c>
      <c r="AN124">
        <v>2700</v>
      </c>
      <c r="AO124" t="s">
        <v>118</v>
      </c>
      <c r="AP124">
        <v>-79</v>
      </c>
      <c r="AQ124">
        <v>-114</v>
      </c>
      <c r="AR124">
        <v>2752</v>
      </c>
      <c r="AZ124">
        <v>1200</v>
      </c>
      <c r="BA124">
        <v>1</v>
      </c>
      <c r="BB124" t="str">
        <f t="shared" si="9"/>
        <v xml:space="preserve">N79NX   </v>
      </c>
      <c r="BC124">
        <v>1</v>
      </c>
      <c r="BE124">
        <v>0</v>
      </c>
      <c r="BF124">
        <v>0</v>
      </c>
      <c r="BG124">
        <v>0</v>
      </c>
      <c r="BH124">
        <v>2550</v>
      </c>
      <c r="BI124">
        <v>0</v>
      </c>
      <c r="BJ124">
        <v>0</v>
      </c>
      <c r="BK124">
        <v>0</v>
      </c>
      <c r="BL124">
        <v>0</v>
      </c>
      <c r="BO124">
        <v>0</v>
      </c>
      <c r="BP124">
        <v>0</v>
      </c>
      <c r="BW124" t="str">
        <f>"18:36:05.430"</f>
        <v>18:36:05.430</v>
      </c>
      <c r="BZ124">
        <v>0</v>
      </c>
      <c r="CA124">
        <v>3488</v>
      </c>
      <c r="CB124">
        <v>216</v>
      </c>
      <c r="CC124">
        <v>583.59379999999999</v>
      </c>
      <c r="CD124">
        <v>1</v>
      </c>
      <c r="CE124">
        <v>1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2</v>
      </c>
      <c r="CL124">
        <v>0</v>
      </c>
      <c r="CM124">
        <v>2</v>
      </c>
      <c r="CN124">
        <v>0</v>
      </c>
      <c r="CO124">
        <v>6</v>
      </c>
      <c r="CP124" t="s">
        <v>119</v>
      </c>
      <c r="CQ124">
        <v>145</v>
      </c>
      <c r="CR124">
        <v>1</v>
      </c>
      <c r="CW124">
        <v>8867041</v>
      </c>
      <c r="CY124">
        <v>0</v>
      </c>
      <c r="CZ124">
        <v>0</v>
      </c>
      <c r="DA124">
        <v>1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</row>
    <row r="125" spans="1:113" x14ac:dyDescent="0.3">
      <c r="A125" t="str">
        <f>"02/13/2022 18:36:06.755"</f>
        <v>02/13/2022 18:36:06.755</v>
      </c>
      <c r="C125" t="str">
        <f t="shared" si="8"/>
        <v>FFDFD7C0</v>
      </c>
      <c r="D125" t="s">
        <v>113</v>
      </c>
      <c r="E125">
        <v>3</v>
      </c>
      <c r="F125">
        <v>1003</v>
      </c>
      <c r="G125" t="s">
        <v>114</v>
      </c>
      <c r="J125" t="s">
        <v>115</v>
      </c>
      <c r="K125">
        <v>0</v>
      </c>
      <c r="L125">
        <v>3</v>
      </c>
      <c r="M125">
        <v>0</v>
      </c>
      <c r="N125">
        <v>2</v>
      </c>
      <c r="O125">
        <v>1</v>
      </c>
      <c r="P125">
        <v>0</v>
      </c>
      <c r="Q125">
        <v>0</v>
      </c>
      <c r="S125" t="str">
        <f t="shared" ref="S125:T127" si="16">"18:36:06.508"</f>
        <v>18:36:06.508</v>
      </c>
      <c r="T125" t="str">
        <f t="shared" si="16"/>
        <v>18:36:06.508</v>
      </c>
      <c r="U125" t="str">
        <f t="shared" si="6"/>
        <v>AAB6EE</v>
      </c>
      <c r="V125">
        <v>0</v>
      </c>
      <c r="W125">
        <v>0</v>
      </c>
      <c r="X125">
        <v>4</v>
      </c>
      <c r="Z125">
        <v>0</v>
      </c>
      <c r="AA125">
        <v>8</v>
      </c>
      <c r="AB125">
        <v>3</v>
      </c>
      <c r="AC125">
        <v>0</v>
      </c>
      <c r="AD125">
        <v>10</v>
      </c>
      <c r="AE125">
        <v>0</v>
      </c>
      <c r="AF125">
        <v>0</v>
      </c>
      <c r="AG125">
        <v>1</v>
      </c>
      <c r="AH125">
        <v>1</v>
      </c>
      <c r="AI125" t="s">
        <v>203</v>
      </c>
      <c r="AJ125">
        <v>35.543325000000003</v>
      </c>
      <c r="AK125" t="s">
        <v>204</v>
      </c>
      <c r="AL125">
        <v>-76.017150999999998</v>
      </c>
      <c r="AM125">
        <v>25</v>
      </c>
      <c r="AN125">
        <v>2750</v>
      </c>
      <c r="AO125" t="s">
        <v>118</v>
      </c>
      <c r="AP125">
        <v>-78</v>
      </c>
      <c r="AQ125">
        <v>-112</v>
      </c>
      <c r="AR125">
        <v>2880</v>
      </c>
      <c r="AZ125">
        <v>1200</v>
      </c>
      <c r="BA125">
        <v>1</v>
      </c>
      <c r="BB125" t="str">
        <f t="shared" si="9"/>
        <v xml:space="preserve">N79NX   </v>
      </c>
      <c r="BC125">
        <v>1</v>
      </c>
      <c r="BE125">
        <v>0</v>
      </c>
      <c r="BF125">
        <v>0</v>
      </c>
      <c r="BG125">
        <v>0</v>
      </c>
      <c r="BH125">
        <v>2625</v>
      </c>
      <c r="BI125">
        <v>0</v>
      </c>
      <c r="BJ125">
        <v>0</v>
      </c>
      <c r="BK125">
        <v>0</v>
      </c>
      <c r="BL125">
        <v>0</v>
      </c>
      <c r="BO125">
        <v>0</v>
      </c>
      <c r="BP125">
        <v>0</v>
      </c>
      <c r="BW125" t="str">
        <f>"18:36:06.510"</f>
        <v>18:36:06.510</v>
      </c>
      <c r="BZ125">
        <v>0</v>
      </c>
      <c r="CA125">
        <v>3488</v>
      </c>
      <c r="CB125">
        <v>216</v>
      </c>
      <c r="CC125">
        <v>583.59379999999999</v>
      </c>
      <c r="CD125">
        <v>1</v>
      </c>
      <c r="CE125">
        <v>1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2</v>
      </c>
      <c r="CL125">
        <v>0</v>
      </c>
      <c r="CM125">
        <v>2</v>
      </c>
      <c r="CN125">
        <v>0</v>
      </c>
      <c r="CO125">
        <v>7</v>
      </c>
      <c r="CP125" t="s">
        <v>119</v>
      </c>
      <c r="CQ125">
        <v>145</v>
      </c>
      <c r="CR125">
        <v>1</v>
      </c>
      <c r="CW125">
        <v>8867588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</row>
    <row r="126" spans="1:113" x14ac:dyDescent="0.3">
      <c r="A126" t="str">
        <f>"02/13/2022 18:36:06.724"</f>
        <v>02/13/2022 18:36:06.724</v>
      </c>
      <c r="C126" t="str">
        <f t="shared" si="8"/>
        <v>FFDFD7C0</v>
      </c>
      <c r="D126" t="s">
        <v>121</v>
      </c>
      <c r="E126">
        <v>2</v>
      </c>
      <c r="H126">
        <v>158</v>
      </c>
      <c r="I126" t="s">
        <v>120</v>
      </c>
      <c r="J126" t="s">
        <v>122</v>
      </c>
      <c r="K126">
        <v>0</v>
      </c>
      <c r="L126">
        <v>3</v>
      </c>
      <c r="M126">
        <v>0</v>
      </c>
      <c r="N126">
        <v>2</v>
      </c>
      <c r="O126">
        <v>1</v>
      </c>
      <c r="P126">
        <v>0</v>
      </c>
      <c r="Q126">
        <v>0</v>
      </c>
      <c r="S126" t="str">
        <f t="shared" si="16"/>
        <v>18:36:06.508</v>
      </c>
      <c r="T126" t="str">
        <f t="shared" si="16"/>
        <v>18:36:06.508</v>
      </c>
      <c r="U126" t="str">
        <f t="shared" si="6"/>
        <v>AAB6EE</v>
      </c>
      <c r="V126">
        <v>0</v>
      </c>
      <c r="W126">
        <v>0</v>
      </c>
      <c r="X126">
        <v>4</v>
      </c>
      <c r="Z126">
        <v>0</v>
      </c>
      <c r="AA126">
        <v>8</v>
      </c>
      <c r="AB126">
        <v>3</v>
      </c>
      <c r="AC126">
        <v>0</v>
      </c>
      <c r="AD126">
        <v>10</v>
      </c>
      <c r="AE126">
        <v>0</v>
      </c>
      <c r="AF126">
        <v>0</v>
      </c>
      <c r="AG126">
        <v>1</v>
      </c>
      <c r="AH126">
        <v>1</v>
      </c>
      <c r="AI126" t="s">
        <v>203</v>
      </c>
      <c r="AJ126">
        <v>35.543325000000003</v>
      </c>
      <c r="AK126" t="s">
        <v>204</v>
      </c>
      <c r="AL126">
        <v>-76.017150999999998</v>
      </c>
      <c r="AM126">
        <v>25</v>
      </c>
      <c r="AN126">
        <v>2750</v>
      </c>
      <c r="AO126" t="s">
        <v>118</v>
      </c>
      <c r="AP126">
        <v>-78</v>
      </c>
      <c r="AQ126">
        <v>-112</v>
      </c>
      <c r="AR126">
        <v>2880</v>
      </c>
      <c r="AZ126">
        <v>1200</v>
      </c>
      <c r="BA126">
        <v>1</v>
      </c>
      <c r="BB126" t="str">
        <f t="shared" si="9"/>
        <v xml:space="preserve">N79NX   </v>
      </c>
      <c r="BC126">
        <v>1</v>
      </c>
      <c r="BE126">
        <v>0</v>
      </c>
      <c r="BF126">
        <v>0</v>
      </c>
      <c r="BG126">
        <v>0</v>
      </c>
      <c r="BH126">
        <v>2625</v>
      </c>
      <c r="BI126">
        <v>0</v>
      </c>
      <c r="BJ126">
        <v>0</v>
      </c>
      <c r="BK126">
        <v>0</v>
      </c>
      <c r="BL126">
        <v>0</v>
      </c>
      <c r="BO126">
        <v>0</v>
      </c>
      <c r="BP126">
        <v>0</v>
      </c>
      <c r="BW126" t="str">
        <f>"18:36:06.510"</f>
        <v>18:36:06.510</v>
      </c>
      <c r="BZ126">
        <v>0</v>
      </c>
      <c r="CA126">
        <v>3488</v>
      </c>
      <c r="CB126">
        <v>216</v>
      </c>
      <c r="CC126">
        <v>583.59379999999999</v>
      </c>
      <c r="CD126">
        <v>1</v>
      </c>
      <c r="CE126">
        <v>1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2</v>
      </c>
      <c r="CL126">
        <v>0</v>
      </c>
      <c r="CM126">
        <v>2</v>
      </c>
      <c r="CN126">
        <v>0</v>
      </c>
      <c r="CO126">
        <v>7</v>
      </c>
      <c r="CP126" t="s">
        <v>119</v>
      </c>
      <c r="CQ126">
        <v>145</v>
      </c>
      <c r="CR126">
        <v>1</v>
      </c>
      <c r="CW126">
        <v>8867588</v>
      </c>
      <c r="CY126">
        <v>0</v>
      </c>
      <c r="CZ126">
        <v>0</v>
      </c>
      <c r="DA126">
        <v>1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</row>
    <row r="127" spans="1:113" x14ac:dyDescent="0.3">
      <c r="A127" t="str">
        <f>"02/13/2022 18:36:06.802"</f>
        <v>02/13/2022 18:36:06.802</v>
      </c>
      <c r="C127" t="str">
        <f t="shared" si="8"/>
        <v>FFDFD7C0</v>
      </c>
      <c r="D127" t="s">
        <v>113</v>
      </c>
      <c r="E127">
        <v>4</v>
      </c>
      <c r="F127">
        <v>1004</v>
      </c>
      <c r="G127" t="s">
        <v>120</v>
      </c>
      <c r="J127" t="s">
        <v>115</v>
      </c>
      <c r="K127">
        <v>0</v>
      </c>
      <c r="L127">
        <v>3</v>
      </c>
      <c r="M127">
        <v>0</v>
      </c>
      <c r="N127">
        <v>2</v>
      </c>
      <c r="O127">
        <v>1</v>
      </c>
      <c r="P127">
        <v>0</v>
      </c>
      <c r="Q127">
        <v>0</v>
      </c>
      <c r="S127" t="str">
        <f t="shared" si="16"/>
        <v>18:36:06.508</v>
      </c>
      <c r="T127" t="str">
        <f t="shared" si="16"/>
        <v>18:36:06.508</v>
      </c>
      <c r="U127" t="str">
        <f t="shared" si="6"/>
        <v>AAB6EE</v>
      </c>
      <c r="V127">
        <v>0</v>
      </c>
      <c r="W127">
        <v>0</v>
      </c>
      <c r="X127">
        <v>4</v>
      </c>
      <c r="Z127">
        <v>0</v>
      </c>
      <c r="AA127">
        <v>8</v>
      </c>
      <c r="AB127">
        <v>3</v>
      </c>
      <c r="AC127">
        <v>0</v>
      </c>
      <c r="AD127">
        <v>10</v>
      </c>
      <c r="AE127">
        <v>0</v>
      </c>
      <c r="AF127">
        <v>0</v>
      </c>
      <c r="AG127">
        <v>1</v>
      </c>
      <c r="AH127">
        <v>1</v>
      </c>
      <c r="AI127" t="s">
        <v>203</v>
      </c>
      <c r="AJ127">
        <v>35.543325000000003</v>
      </c>
      <c r="AK127" t="s">
        <v>204</v>
      </c>
      <c r="AL127">
        <v>-76.017150999999998</v>
      </c>
      <c r="AM127">
        <v>25</v>
      </c>
      <c r="AN127">
        <v>2750</v>
      </c>
      <c r="AO127" t="s">
        <v>118</v>
      </c>
      <c r="AP127">
        <v>-78</v>
      </c>
      <c r="AQ127">
        <v>-112</v>
      </c>
      <c r="AR127">
        <v>2880</v>
      </c>
      <c r="AZ127">
        <v>1200</v>
      </c>
      <c r="BA127">
        <v>1</v>
      </c>
      <c r="BB127" t="str">
        <f t="shared" si="9"/>
        <v xml:space="preserve">N79NX   </v>
      </c>
      <c r="BC127">
        <v>1</v>
      </c>
      <c r="BE127">
        <v>0</v>
      </c>
      <c r="BF127">
        <v>0</v>
      </c>
      <c r="BG127">
        <v>0</v>
      </c>
      <c r="BH127">
        <v>2625</v>
      </c>
      <c r="BI127">
        <v>0</v>
      </c>
      <c r="BJ127">
        <v>0</v>
      </c>
      <c r="BK127">
        <v>0</v>
      </c>
      <c r="BL127">
        <v>0</v>
      </c>
      <c r="BO127">
        <v>0</v>
      </c>
      <c r="BP127">
        <v>0</v>
      </c>
      <c r="BW127" t="str">
        <f>"18:36:06.510"</f>
        <v>18:36:06.510</v>
      </c>
      <c r="BZ127">
        <v>0</v>
      </c>
      <c r="CA127">
        <v>3488</v>
      </c>
      <c r="CB127">
        <v>216</v>
      </c>
      <c r="CC127">
        <v>583.59379999999999</v>
      </c>
      <c r="CD127">
        <v>1</v>
      </c>
      <c r="CE127">
        <v>1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2</v>
      </c>
      <c r="CL127">
        <v>0</v>
      </c>
      <c r="CM127">
        <v>2</v>
      </c>
      <c r="CN127">
        <v>0</v>
      </c>
      <c r="CO127">
        <v>7</v>
      </c>
      <c r="CP127" t="s">
        <v>119</v>
      </c>
      <c r="CQ127">
        <v>145</v>
      </c>
      <c r="CR127">
        <v>1</v>
      </c>
      <c r="CW127">
        <v>8867588</v>
      </c>
      <c r="CY127">
        <v>0</v>
      </c>
      <c r="CZ127">
        <v>0</v>
      </c>
      <c r="DA127">
        <v>1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</row>
    <row r="128" spans="1:113" x14ac:dyDescent="0.3">
      <c r="A128" t="str">
        <f>"02/13/2022 18:36:07.694"</f>
        <v>02/13/2022 18:36:07.694</v>
      </c>
      <c r="C128" t="str">
        <f t="shared" si="8"/>
        <v>FFDFD7C0</v>
      </c>
      <c r="D128" t="s">
        <v>113</v>
      </c>
      <c r="E128">
        <v>3</v>
      </c>
      <c r="F128">
        <v>1003</v>
      </c>
      <c r="G128" t="s">
        <v>114</v>
      </c>
      <c r="J128" t="s">
        <v>115</v>
      </c>
      <c r="K128">
        <v>0</v>
      </c>
      <c r="L128">
        <v>3</v>
      </c>
      <c r="M128">
        <v>0</v>
      </c>
      <c r="N128">
        <v>2</v>
      </c>
      <c r="O128">
        <v>1</v>
      </c>
      <c r="P128">
        <v>0</v>
      </c>
      <c r="Q128">
        <v>0</v>
      </c>
      <c r="S128" t="str">
        <f>"18:36:07.445"</f>
        <v>18:36:07.445</v>
      </c>
      <c r="T128" t="str">
        <f>"18:36:07.345"</f>
        <v>18:36:07.345</v>
      </c>
      <c r="U128" t="str">
        <f t="shared" si="6"/>
        <v>AAB6EE</v>
      </c>
      <c r="V128">
        <v>0</v>
      </c>
      <c r="W128">
        <v>0</v>
      </c>
      <c r="X128">
        <v>4</v>
      </c>
      <c r="Z128">
        <v>0</v>
      </c>
      <c r="AA128">
        <v>8</v>
      </c>
      <c r="AB128">
        <v>3</v>
      </c>
      <c r="AC128">
        <v>0</v>
      </c>
      <c r="AD128">
        <v>10</v>
      </c>
      <c r="AE128">
        <v>0</v>
      </c>
      <c r="AF128">
        <v>0</v>
      </c>
      <c r="AG128">
        <v>1</v>
      </c>
      <c r="AH128">
        <v>1</v>
      </c>
      <c r="AI128" t="s">
        <v>205</v>
      </c>
      <c r="AJ128">
        <v>35.542873999999998</v>
      </c>
      <c r="AK128" t="s">
        <v>206</v>
      </c>
      <c r="AL128">
        <v>-76.017493999999999</v>
      </c>
      <c r="AM128">
        <v>25</v>
      </c>
      <c r="AN128">
        <v>2800</v>
      </c>
      <c r="AO128" t="s">
        <v>118</v>
      </c>
      <c r="AP128">
        <v>-77</v>
      </c>
      <c r="AQ128">
        <v>-111</v>
      </c>
      <c r="AR128">
        <v>2944</v>
      </c>
      <c r="AZ128">
        <v>1200</v>
      </c>
      <c r="BA128">
        <v>1</v>
      </c>
      <c r="BB128" t="str">
        <f t="shared" si="9"/>
        <v xml:space="preserve">N79NX   </v>
      </c>
      <c r="BC128">
        <v>1</v>
      </c>
      <c r="BE128">
        <v>0</v>
      </c>
      <c r="BF128">
        <v>0</v>
      </c>
      <c r="BG128">
        <v>0</v>
      </c>
      <c r="BH128">
        <v>2650</v>
      </c>
      <c r="BI128">
        <v>0</v>
      </c>
      <c r="BJ128">
        <v>0</v>
      </c>
      <c r="BK128">
        <v>0</v>
      </c>
      <c r="BL128">
        <v>0</v>
      </c>
      <c r="BO128">
        <v>0</v>
      </c>
      <c r="BP128">
        <v>0</v>
      </c>
      <c r="BW128" t="str">
        <f>"18:36:07.450"</f>
        <v>18:36:07.450</v>
      </c>
      <c r="BZ128">
        <v>0</v>
      </c>
      <c r="CA128">
        <v>3488</v>
      </c>
      <c r="CB128">
        <v>216</v>
      </c>
      <c r="CC128">
        <v>583.59379999999999</v>
      </c>
      <c r="CD128">
        <v>1</v>
      </c>
      <c r="CE128">
        <v>1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2</v>
      </c>
      <c r="CL128">
        <v>0</v>
      </c>
      <c r="CM128">
        <v>2</v>
      </c>
      <c r="CN128">
        <v>0</v>
      </c>
      <c r="CO128">
        <v>7</v>
      </c>
      <c r="CP128" t="s">
        <v>119</v>
      </c>
      <c r="CQ128">
        <v>145</v>
      </c>
      <c r="CR128">
        <v>1</v>
      </c>
      <c r="CW128">
        <v>8868129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</row>
    <row r="129" spans="1:113" x14ac:dyDescent="0.3">
      <c r="A129" t="str">
        <f>"02/13/2022 18:36:07.694"</f>
        <v>02/13/2022 18:36:07.694</v>
      </c>
      <c r="C129" t="str">
        <f t="shared" si="8"/>
        <v>FFDFD7C0</v>
      </c>
      <c r="D129" t="s">
        <v>121</v>
      </c>
      <c r="E129">
        <v>2</v>
      </c>
      <c r="H129">
        <v>158</v>
      </c>
      <c r="I129" t="s">
        <v>120</v>
      </c>
      <c r="J129" t="s">
        <v>122</v>
      </c>
      <c r="K129">
        <v>0</v>
      </c>
      <c r="L129">
        <v>3</v>
      </c>
      <c r="M129">
        <v>0</v>
      </c>
      <c r="N129">
        <v>2</v>
      </c>
      <c r="O129">
        <v>1</v>
      </c>
      <c r="P129">
        <v>0</v>
      </c>
      <c r="Q129">
        <v>0</v>
      </c>
      <c r="S129" t="str">
        <f>"18:36:07.445"</f>
        <v>18:36:07.445</v>
      </c>
      <c r="T129" t="str">
        <f>"18:36:07.345"</f>
        <v>18:36:07.345</v>
      </c>
      <c r="U129" t="str">
        <f t="shared" si="6"/>
        <v>AAB6EE</v>
      </c>
      <c r="V129">
        <v>0</v>
      </c>
      <c r="W129">
        <v>0</v>
      </c>
      <c r="X129">
        <v>4</v>
      </c>
      <c r="Z129">
        <v>0</v>
      </c>
      <c r="AA129">
        <v>8</v>
      </c>
      <c r="AB129">
        <v>3</v>
      </c>
      <c r="AC129">
        <v>0</v>
      </c>
      <c r="AD129">
        <v>10</v>
      </c>
      <c r="AE129">
        <v>0</v>
      </c>
      <c r="AF129">
        <v>0</v>
      </c>
      <c r="AG129">
        <v>1</v>
      </c>
      <c r="AH129">
        <v>1</v>
      </c>
      <c r="AI129" t="s">
        <v>205</v>
      </c>
      <c r="AJ129">
        <v>35.542873999999998</v>
      </c>
      <c r="AK129" t="s">
        <v>206</v>
      </c>
      <c r="AL129">
        <v>-76.017493999999999</v>
      </c>
      <c r="AM129">
        <v>25</v>
      </c>
      <c r="AN129">
        <v>2800</v>
      </c>
      <c r="AO129" t="s">
        <v>118</v>
      </c>
      <c r="AP129">
        <v>-77</v>
      </c>
      <c r="AQ129">
        <v>-111</v>
      </c>
      <c r="AR129">
        <v>2944</v>
      </c>
      <c r="AZ129">
        <v>1200</v>
      </c>
      <c r="BA129">
        <v>1</v>
      </c>
      <c r="BB129" t="str">
        <f t="shared" si="9"/>
        <v xml:space="preserve">N79NX   </v>
      </c>
      <c r="BC129">
        <v>1</v>
      </c>
      <c r="BE129">
        <v>0</v>
      </c>
      <c r="BF129">
        <v>0</v>
      </c>
      <c r="BG129">
        <v>0</v>
      </c>
      <c r="BH129">
        <v>2650</v>
      </c>
      <c r="BI129">
        <v>0</v>
      </c>
      <c r="BJ129">
        <v>0</v>
      </c>
      <c r="BK129">
        <v>0</v>
      </c>
      <c r="BL129">
        <v>0</v>
      </c>
      <c r="BO129">
        <v>0</v>
      </c>
      <c r="BP129">
        <v>0</v>
      </c>
      <c r="BW129" t="str">
        <f>"18:36:07.450"</f>
        <v>18:36:07.450</v>
      </c>
      <c r="BZ129">
        <v>0</v>
      </c>
      <c r="CA129">
        <v>3488</v>
      </c>
      <c r="CB129">
        <v>216</v>
      </c>
      <c r="CC129">
        <v>583.59379999999999</v>
      </c>
      <c r="CD129">
        <v>1</v>
      </c>
      <c r="CE129">
        <v>1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2</v>
      </c>
      <c r="CL129">
        <v>0</v>
      </c>
      <c r="CM129">
        <v>2</v>
      </c>
      <c r="CN129">
        <v>0</v>
      </c>
      <c r="CO129">
        <v>7</v>
      </c>
      <c r="CP129" t="s">
        <v>119</v>
      </c>
      <c r="CQ129">
        <v>145</v>
      </c>
      <c r="CR129">
        <v>1</v>
      </c>
      <c r="CW129">
        <v>8868129</v>
      </c>
      <c r="CY129">
        <v>0</v>
      </c>
      <c r="CZ129">
        <v>0</v>
      </c>
      <c r="DA129">
        <v>1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</row>
    <row r="130" spans="1:113" x14ac:dyDescent="0.3">
      <c r="A130" t="str">
        <f>"02/13/2022 18:36:07.694"</f>
        <v>02/13/2022 18:36:07.694</v>
      </c>
      <c r="C130" t="str">
        <f t="shared" si="8"/>
        <v>FFDFD7C0</v>
      </c>
      <c r="D130" t="s">
        <v>113</v>
      </c>
      <c r="E130">
        <v>4</v>
      </c>
      <c r="F130">
        <v>1004</v>
      </c>
      <c r="G130" t="s">
        <v>120</v>
      </c>
      <c r="J130" t="s">
        <v>115</v>
      </c>
      <c r="K130">
        <v>0</v>
      </c>
      <c r="L130">
        <v>3</v>
      </c>
      <c r="M130">
        <v>0</v>
      </c>
      <c r="N130">
        <v>2</v>
      </c>
      <c r="O130">
        <v>1</v>
      </c>
      <c r="P130">
        <v>0</v>
      </c>
      <c r="Q130">
        <v>0</v>
      </c>
      <c r="S130" t="str">
        <f>"18:36:07.445"</f>
        <v>18:36:07.445</v>
      </c>
      <c r="T130" t="str">
        <f>"18:36:07.345"</f>
        <v>18:36:07.345</v>
      </c>
      <c r="U130" t="str">
        <f t="shared" ref="U130:U193" si="17">"AAB6EE"</f>
        <v>AAB6EE</v>
      </c>
      <c r="V130">
        <v>0</v>
      </c>
      <c r="W130">
        <v>0</v>
      </c>
      <c r="X130">
        <v>4</v>
      </c>
      <c r="Z130">
        <v>0</v>
      </c>
      <c r="AA130">
        <v>8</v>
      </c>
      <c r="AB130">
        <v>3</v>
      </c>
      <c r="AC130">
        <v>0</v>
      </c>
      <c r="AD130">
        <v>10</v>
      </c>
      <c r="AE130">
        <v>0</v>
      </c>
      <c r="AF130">
        <v>0</v>
      </c>
      <c r="AG130">
        <v>1</v>
      </c>
      <c r="AH130">
        <v>1</v>
      </c>
      <c r="AI130" t="s">
        <v>205</v>
      </c>
      <c r="AJ130">
        <v>35.542873999999998</v>
      </c>
      <c r="AK130" t="s">
        <v>206</v>
      </c>
      <c r="AL130">
        <v>-76.017493999999999</v>
      </c>
      <c r="AM130">
        <v>25</v>
      </c>
      <c r="AN130">
        <v>2800</v>
      </c>
      <c r="AO130" t="s">
        <v>118</v>
      </c>
      <c r="AP130">
        <v>-77</v>
      </c>
      <c r="AQ130">
        <v>-111</v>
      </c>
      <c r="AR130">
        <v>2944</v>
      </c>
      <c r="AZ130">
        <v>1200</v>
      </c>
      <c r="BA130">
        <v>1</v>
      </c>
      <c r="BB130" t="str">
        <f t="shared" si="9"/>
        <v xml:space="preserve">N79NX   </v>
      </c>
      <c r="BC130">
        <v>1</v>
      </c>
      <c r="BE130">
        <v>0</v>
      </c>
      <c r="BF130">
        <v>0</v>
      </c>
      <c r="BG130">
        <v>0</v>
      </c>
      <c r="BH130">
        <v>2650</v>
      </c>
      <c r="BI130">
        <v>0</v>
      </c>
      <c r="BJ130">
        <v>0</v>
      </c>
      <c r="BK130">
        <v>0</v>
      </c>
      <c r="BL130">
        <v>0</v>
      </c>
      <c r="BO130">
        <v>0</v>
      </c>
      <c r="BP130">
        <v>0</v>
      </c>
      <c r="BW130" t="str">
        <f>"18:36:07.450"</f>
        <v>18:36:07.450</v>
      </c>
      <c r="BZ130">
        <v>0</v>
      </c>
      <c r="CA130">
        <v>3488</v>
      </c>
      <c r="CB130">
        <v>216</v>
      </c>
      <c r="CC130">
        <v>583.59379999999999</v>
      </c>
      <c r="CD130">
        <v>1</v>
      </c>
      <c r="CE130">
        <v>1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2</v>
      </c>
      <c r="CL130">
        <v>0</v>
      </c>
      <c r="CM130">
        <v>2</v>
      </c>
      <c r="CN130">
        <v>0</v>
      </c>
      <c r="CO130">
        <v>7</v>
      </c>
      <c r="CP130" t="s">
        <v>119</v>
      </c>
      <c r="CQ130">
        <v>145</v>
      </c>
      <c r="CR130">
        <v>1</v>
      </c>
      <c r="CW130">
        <v>8868129</v>
      </c>
      <c r="CY130">
        <v>0</v>
      </c>
      <c r="CZ130">
        <v>0</v>
      </c>
      <c r="DA130">
        <v>1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</row>
    <row r="131" spans="1:113" x14ac:dyDescent="0.3">
      <c r="A131" t="str">
        <f>"02/13/2022 18:36:08.569"</f>
        <v>02/13/2022 18:36:08.569</v>
      </c>
      <c r="C131" t="str">
        <f t="shared" si="8"/>
        <v>FFDFD7C0</v>
      </c>
      <c r="D131" t="s">
        <v>113</v>
      </c>
      <c r="E131">
        <v>3</v>
      </c>
      <c r="F131">
        <v>1003</v>
      </c>
      <c r="G131" t="s">
        <v>114</v>
      </c>
      <c r="J131" t="s">
        <v>115</v>
      </c>
      <c r="K131">
        <v>0</v>
      </c>
      <c r="L131">
        <v>3</v>
      </c>
      <c r="M131">
        <v>0</v>
      </c>
      <c r="N131">
        <v>2</v>
      </c>
      <c r="O131">
        <v>1</v>
      </c>
      <c r="P131">
        <v>0</v>
      </c>
      <c r="Q131">
        <v>0</v>
      </c>
      <c r="S131" t="str">
        <f t="shared" ref="S131:T133" si="18">"18:36:08.359"</f>
        <v>18:36:08.359</v>
      </c>
      <c r="T131" t="str">
        <f t="shared" si="18"/>
        <v>18:36:08.359</v>
      </c>
      <c r="U131" t="str">
        <f t="shared" si="17"/>
        <v>AAB6EE</v>
      </c>
      <c r="V131">
        <v>0</v>
      </c>
      <c r="W131">
        <v>0</v>
      </c>
      <c r="X131">
        <v>4</v>
      </c>
      <c r="Z131">
        <v>0</v>
      </c>
      <c r="AA131">
        <v>8</v>
      </c>
      <c r="AB131">
        <v>3</v>
      </c>
      <c r="AC131">
        <v>0</v>
      </c>
      <c r="AD131">
        <v>10</v>
      </c>
      <c r="AE131">
        <v>0</v>
      </c>
      <c r="AF131">
        <v>0</v>
      </c>
      <c r="AG131">
        <v>1</v>
      </c>
      <c r="AH131">
        <v>1</v>
      </c>
      <c r="AI131" t="s">
        <v>207</v>
      </c>
      <c r="AJ131">
        <v>35.542380999999999</v>
      </c>
      <c r="AK131" t="s">
        <v>208</v>
      </c>
      <c r="AL131">
        <v>-76.017902000000007</v>
      </c>
      <c r="AM131">
        <v>25</v>
      </c>
      <c r="AN131">
        <v>2850</v>
      </c>
      <c r="AO131" t="s">
        <v>118</v>
      </c>
      <c r="AP131">
        <v>-77</v>
      </c>
      <c r="AQ131">
        <v>-110</v>
      </c>
      <c r="AR131">
        <v>2880</v>
      </c>
      <c r="AZ131">
        <v>1200</v>
      </c>
      <c r="BA131">
        <v>1</v>
      </c>
      <c r="BB131" t="str">
        <f t="shared" si="9"/>
        <v xml:space="preserve">N79NX   </v>
      </c>
      <c r="BC131">
        <v>1</v>
      </c>
      <c r="BE131">
        <v>0</v>
      </c>
      <c r="BF131">
        <v>0</v>
      </c>
      <c r="BG131">
        <v>0</v>
      </c>
      <c r="BH131">
        <v>2675</v>
      </c>
      <c r="BI131">
        <v>0</v>
      </c>
      <c r="BJ131">
        <v>0</v>
      </c>
      <c r="BK131">
        <v>0</v>
      </c>
      <c r="BL131">
        <v>0</v>
      </c>
      <c r="BO131">
        <v>0</v>
      </c>
      <c r="BP131">
        <v>0</v>
      </c>
      <c r="BW131" t="str">
        <f>"18:36:08.360"</f>
        <v>18:36:08.360</v>
      </c>
      <c r="BZ131">
        <v>0</v>
      </c>
      <c r="CA131">
        <v>3488</v>
      </c>
      <c r="CB131">
        <v>216</v>
      </c>
      <c r="CC131">
        <v>583.59379999999999</v>
      </c>
      <c r="CD131">
        <v>1</v>
      </c>
      <c r="CE131">
        <v>1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2</v>
      </c>
      <c r="CL131">
        <v>0</v>
      </c>
      <c r="CM131">
        <v>2</v>
      </c>
      <c r="CN131">
        <v>0</v>
      </c>
      <c r="CO131">
        <v>7</v>
      </c>
      <c r="CP131" t="s">
        <v>119</v>
      </c>
      <c r="CQ131">
        <v>145</v>
      </c>
      <c r="CR131">
        <v>1</v>
      </c>
      <c r="CW131">
        <v>8868541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</row>
    <row r="132" spans="1:113" x14ac:dyDescent="0.3">
      <c r="A132" t="str">
        <f>"02/13/2022 18:36:08.569"</f>
        <v>02/13/2022 18:36:08.569</v>
      </c>
      <c r="C132" t="str">
        <f t="shared" si="8"/>
        <v>FFDFD7C0</v>
      </c>
      <c r="D132" t="s">
        <v>113</v>
      </c>
      <c r="E132">
        <v>4</v>
      </c>
      <c r="F132">
        <v>1004</v>
      </c>
      <c r="G132" t="s">
        <v>120</v>
      </c>
      <c r="J132" t="s">
        <v>115</v>
      </c>
      <c r="K132">
        <v>0</v>
      </c>
      <c r="L132">
        <v>3</v>
      </c>
      <c r="M132">
        <v>0</v>
      </c>
      <c r="N132">
        <v>2</v>
      </c>
      <c r="O132">
        <v>1</v>
      </c>
      <c r="P132">
        <v>0</v>
      </c>
      <c r="Q132">
        <v>0</v>
      </c>
      <c r="S132" t="str">
        <f t="shared" si="18"/>
        <v>18:36:08.359</v>
      </c>
      <c r="T132" t="str">
        <f t="shared" si="18"/>
        <v>18:36:08.359</v>
      </c>
      <c r="U132" t="str">
        <f t="shared" si="17"/>
        <v>AAB6EE</v>
      </c>
      <c r="V132">
        <v>0</v>
      </c>
      <c r="W132">
        <v>0</v>
      </c>
      <c r="X132">
        <v>4</v>
      </c>
      <c r="Z132">
        <v>0</v>
      </c>
      <c r="AA132">
        <v>8</v>
      </c>
      <c r="AB132">
        <v>3</v>
      </c>
      <c r="AC132">
        <v>0</v>
      </c>
      <c r="AD132">
        <v>10</v>
      </c>
      <c r="AE132">
        <v>0</v>
      </c>
      <c r="AF132">
        <v>0</v>
      </c>
      <c r="AG132">
        <v>1</v>
      </c>
      <c r="AH132">
        <v>1</v>
      </c>
      <c r="AI132" t="s">
        <v>207</v>
      </c>
      <c r="AJ132">
        <v>35.542380999999999</v>
      </c>
      <c r="AK132" t="s">
        <v>208</v>
      </c>
      <c r="AL132">
        <v>-76.017902000000007</v>
      </c>
      <c r="AM132">
        <v>25</v>
      </c>
      <c r="AN132">
        <v>2850</v>
      </c>
      <c r="AO132" t="s">
        <v>118</v>
      </c>
      <c r="AP132">
        <v>-77</v>
      </c>
      <c r="AQ132">
        <v>-110</v>
      </c>
      <c r="AR132">
        <v>2880</v>
      </c>
      <c r="AZ132">
        <v>1200</v>
      </c>
      <c r="BA132">
        <v>1</v>
      </c>
      <c r="BB132" t="str">
        <f t="shared" si="9"/>
        <v xml:space="preserve">N79NX   </v>
      </c>
      <c r="BC132">
        <v>1</v>
      </c>
      <c r="BE132">
        <v>0</v>
      </c>
      <c r="BF132">
        <v>0</v>
      </c>
      <c r="BG132">
        <v>0</v>
      </c>
      <c r="BH132">
        <v>2675</v>
      </c>
      <c r="BI132">
        <v>0</v>
      </c>
      <c r="BJ132">
        <v>0</v>
      </c>
      <c r="BK132">
        <v>0</v>
      </c>
      <c r="BL132">
        <v>0</v>
      </c>
      <c r="BO132">
        <v>0</v>
      </c>
      <c r="BP132">
        <v>0</v>
      </c>
      <c r="BW132" t="str">
        <f>"18:36:08.360"</f>
        <v>18:36:08.360</v>
      </c>
      <c r="BZ132">
        <v>0</v>
      </c>
      <c r="CA132">
        <v>3488</v>
      </c>
      <c r="CB132">
        <v>216</v>
      </c>
      <c r="CC132">
        <v>583.59379999999999</v>
      </c>
      <c r="CD132">
        <v>1</v>
      </c>
      <c r="CE132">
        <v>1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2</v>
      </c>
      <c r="CL132">
        <v>0</v>
      </c>
      <c r="CM132">
        <v>2</v>
      </c>
      <c r="CN132">
        <v>0</v>
      </c>
      <c r="CO132">
        <v>7</v>
      </c>
      <c r="CP132" t="s">
        <v>119</v>
      </c>
      <c r="CQ132">
        <v>145</v>
      </c>
      <c r="CR132">
        <v>1</v>
      </c>
      <c r="CW132">
        <v>8868541</v>
      </c>
      <c r="CY132">
        <v>0</v>
      </c>
      <c r="CZ132">
        <v>0</v>
      </c>
      <c r="DA132">
        <v>1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</row>
    <row r="133" spans="1:113" x14ac:dyDescent="0.3">
      <c r="A133" t="str">
        <f>"02/13/2022 18:36:08.569"</f>
        <v>02/13/2022 18:36:08.569</v>
      </c>
      <c r="C133" t="str">
        <f t="shared" ref="C133:C196" si="19">"FFDFD7C0"</f>
        <v>FFDFD7C0</v>
      </c>
      <c r="D133" t="s">
        <v>121</v>
      </c>
      <c r="E133">
        <v>2</v>
      </c>
      <c r="H133">
        <v>158</v>
      </c>
      <c r="I133" t="s">
        <v>120</v>
      </c>
      <c r="J133" t="s">
        <v>122</v>
      </c>
      <c r="K133">
        <v>0</v>
      </c>
      <c r="L133">
        <v>3</v>
      </c>
      <c r="M133">
        <v>0</v>
      </c>
      <c r="N133">
        <v>2</v>
      </c>
      <c r="O133">
        <v>1</v>
      </c>
      <c r="P133">
        <v>0</v>
      </c>
      <c r="Q133">
        <v>0</v>
      </c>
      <c r="S133" t="str">
        <f t="shared" si="18"/>
        <v>18:36:08.359</v>
      </c>
      <c r="T133" t="str">
        <f t="shared" si="18"/>
        <v>18:36:08.359</v>
      </c>
      <c r="U133" t="str">
        <f t="shared" si="17"/>
        <v>AAB6EE</v>
      </c>
      <c r="V133">
        <v>0</v>
      </c>
      <c r="W133">
        <v>0</v>
      </c>
      <c r="X133">
        <v>4</v>
      </c>
      <c r="Z133">
        <v>0</v>
      </c>
      <c r="AA133">
        <v>8</v>
      </c>
      <c r="AB133">
        <v>3</v>
      </c>
      <c r="AC133">
        <v>0</v>
      </c>
      <c r="AD133">
        <v>10</v>
      </c>
      <c r="AE133">
        <v>0</v>
      </c>
      <c r="AF133">
        <v>0</v>
      </c>
      <c r="AG133">
        <v>1</v>
      </c>
      <c r="AH133">
        <v>1</v>
      </c>
      <c r="AI133" t="s">
        <v>207</v>
      </c>
      <c r="AJ133">
        <v>35.542380999999999</v>
      </c>
      <c r="AK133" t="s">
        <v>208</v>
      </c>
      <c r="AL133">
        <v>-76.017902000000007</v>
      </c>
      <c r="AM133">
        <v>25</v>
      </c>
      <c r="AN133">
        <v>2850</v>
      </c>
      <c r="AO133" t="s">
        <v>118</v>
      </c>
      <c r="AP133">
        <v>-77</v>
      </c>
      <c r="AQ133">
        <v>-110</v>
      </c>
      <c r="AR133">
        <v>2880</v>
      </c>
      <c r="AZ133">
        <v>1200</v>
      </c>
      <c r="BA133">
        <v>1</v>
      </c>
      <c r="BB133" t="str">
        <f t="shared" ref="BB133:BB196" si="20">"N79NX   "</f>
        <v xml:space="preserve">N79NX   </v>
      </c>
      <c r="BC133">
        <v>1</v>
      </c>
      <c r="BE133">
        <v>0</v>
      </c>
      <c r="BF133">
        <v>0</v>
      </c>
      <c r="BG133">
        <v>0</v>
      </c>
      <c r="BH133">
        <v>2675</v>
      </c>
      <c r="BI133">
        <v>0</v>
      </c>
      <c r="BJ133">
        <v>0</v>
      </c>
      <c r="BK133">
        <v>0</v>
      </c>
      <c r="BL133">
        <v>0</v>
      </c>
      <c r="BO133">
        <v>0</v>
      </c>
      <c r="BP133">
        <v>0</v>
      </c>
      <c r="BW133" t="str">
        <f>"18:36:08.360"</f>
        <v>18:36:08.360</v>
      </c>
      <c r="BZ133">
        <v>0</v>
      </c>
      <c r="CA133">
        <v>3488</v>
      </c>
      <c r="CB133">
        <v>216</v>
      </c>
      <c r="CC133">
        <v>583.59379999999999</v>
      </c>
      <c r="CD133">
        <v>1</v>
      </c>
      <c r="CE133">
        <v>1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2</v>
      </c>
      <c r="CL133">
        <v>0</v>
      </c>
      <c r="CM133">
        <v>2</v>
      </c>
      <c r="CN133">
        <v>0</v>
      </c>
      <c r="CO133">
        <v>7</v>
      </c>
      <c r="CP133" t="s">
        <v>119</v>
      </c>
      <c r="CQ133">
        <v>145</v>
      </c>
      <c r="CR133">
        <v>1</v>
      </c>
      <c r="CW133">
        <v>8868541</v>
      </c>
      <c r="CY133">
        <v>0</v>
      </c>
      <c r="CZ133">
        <v>0</v>
      </c>
      <c r="DA133">
        <v>1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</row>
    <row r="134" spans="1:113" x14ac:dyDescent="0.3">
      <c r="A134" t="str">
        <f>"02/13/2022 18:36:09.728"</f>
        <v>02/13/2022 18:36:09.728</v>
      </c>
      <c r="C134" t="str">
        <f t="shared" si="19"/>
        <v>FFDFD7C0</v>
      </c>
      <c r="D134" t="s">
        <v>113</v>
      </c>
      <c r="E134">
        <v>3</v>
      </c>
      <c r="F134">
        <v>1003</v>
      </c>
      <c r="G134" t="s">
        <v>114</v>
      </c>
      <c r="J134" t="s">
        <v>115</v>
      </c>
      <c r="K134">
        <v>0</v>
      </c>
      <c r="L134">
        <v>3</v>
      </c>
      <c r="M134">
        <v>0</v>
      </c>
      <c r="N134">
        <v>2</v>
      </c>
      <c r="O134">
        <v>1</v>
      </c>
      <c r="P134">
        <v>0</v>
      </c>
      <c r="Q134">
        <v>0</v>
      </c>
      <c r="S134" t="str">
        <f>"18:36:09.406"</f>
        <v>18:36:09.406</v>
      </c>
      <c r="T134" t="str">
        <f>"18:36:09.006"</f>
        <v>18:36:09.006</v>
      </c>
      <c r="U134" t="str">
        <f t="shared" si="17"/>
        <v>AAB6EE</v>
      </c>
      <c r="V134">
        <v>0</v>
      </c>
      <c r="W134">
        <v>0</v>
      </c>
      <c r="X134">
        <v>4</v>
      </c>
      <c r="Z134">
        <v>0</v>
      </c>
      <c r="AA134">
        <v>8</v>
      </c>
      <c r="AB134">
        <v>3</v>
      </c>
      <c r="AC134">
        <v>0</v>
      </c>
      <c r="AD134">
        <v>10</v>
      </c>
      <c r="AE134">
        <v>0</v>
      </c>
      <c r="AF134">
        <v>0</v>
      </c>
      <c r="AG134">
        <v>1</v>
      </c>
      <c r="AH134">
        <v>1</v>
      </c>
      <c r="AI134" t="s">
        <v>209</v>
      </c>
      <c r="AJ134">
        <v>35.541843999999998</v>
      </c>
      <c r="AK134" t="s">
        <v>210</v>
      </c>
      <c r="AL134">
        <v>-76.018373999999994</v>
      </c>
      <c r="AM134">
        <v>25</v>
      </c>
      <c r="AN134">
        <v>2900</v>
      </c>
      <c r="AO134" t="s">
        <v>118</v>
      </c>
      <c r="AP134">
        <v>-76</v>
      </c>
      <c r="AQ134">
        <v>-110</v>
      </c>
      <c r="AR134">
        <v>2688</v>
      </c>
      <c r="AZ134">
        <v>1200</v>
      </c>
      <c r="BA134">
        <v>1</v>
      </c>
      <c r="BB134" t="str">
        <f t="shared" si="20"/>
        <v xml:space="preserve">N79NX   </v>
      </c>
      <c r="BC134">
        <v>1</v>
      </c>
      <c r="BE134">
        <v>0</v>
      </c>
      <c r="BF134">
        <v>0</v>
      </c>
      <c r="BG134">
        <v>0</v>
      </c>
      <c r="BH134">
        <v>2725</v>
      </c>
      <c r="BI134">
        <v>0</v>
      </c>
      <c r="BJ134">
        <v>0</v>
      </c>
      <c r="BK134">
        <v>0</v>
      </c>
      <c r="BL134">
        <v>0</v>
      </c>
      <c r="BO134">
        <v>0</v>
      </c>
      <c r="BP134">
        <v>0</v>
      </c>
      <c r="BW134" t="str">
        <f>"18:36:09.410"</f>
        <v>18:36:09.410</v>
      </c>
      <c r="BZ134">
        <v>0</v>
      </c>
      <c r="CA134">
        <v>3488</v>
      </c>
      <c r="CB134">
        <v>216</v>
      </c>
      <c r="CC134">
        <v>583.59379999999999</v>
      </c>
      <c r="CD134">
        <v>1</v>
      </c>
      <c r="CE134">
        <v>1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2</v>
      </c>
      <c r="CL134">
        <v>0</v>
      </c>
      <c r="CM134">
        <v>2</v>
      </c>
      <c r="CN134">
        <v>0</v>
      </c>
      <c r="CO134">
        <v>7</v>
      </c>
      <c r="CP134" t="s">
        <v>119</v>
      </c>
      <c r="CQ134">
        <v>145</v>
      </c>
      <c r="CR134">
        <v>1</v>
      </c>
      <c r="CW134">
        <v>8869031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</row>
    <row r="135" spans="1:113" x14ac:dyDescent="0.3">
      <c r="A135" t="str">
        <f>"02/13/2022 18:36:09.728"</f>
        <v>02/13/2022 18:36:09.728</v>
      </c>
      <c r="C135" t="str">
        <f t="shared" si="19"/>
        <v>FFDFD7C0</v>
      </c>
      <c r="D135" t="s">
        <v>113</v>
      </c>
      <c r="E135">
        <v>4</v>
      </c>
      <c r="F135">
        <v>1004</v>
      </c>
      <c r="G135" t="s">
        <v>120</v>
      </c>
      <c r="J135" t="s">
        <v>115</v>
      </c>
      <c r="K135">
        <v>0</v>
      </c>
      <c r="L135">
        <v>3</v>
      </c>
      <c r="M135">
        <v>0</v>
      </c>
      <c r="N135">
        <v>2</v>
      </c>
      <c r="O135">
        <v>1</v>
      </c>
      <c r="P135">
        <v>0</v>
      </c>
      <c r="Q135">
        <v>0</v>
      </c>
      <c r="S135" t="str">
        <f>"18:36:09.406"</f>
        <v>18:36:09.406</v>
      </c>
      <c r="T135" t="str">
        <f>"18:36:09.006"</f>
        <v>18:36:09.006</v>
      </c>
      <c r="U135" t="str">
        <f t="shared" si="17"/>
        <v>AAB6EE</v>
      </c>
      <c r="V135">
        <v>0</v>
      </c>
      <c r="W135">
        <v>0</v>
      </c>
      <c r="X135">
        <v>4</v>
      </c>
      <c r="Z135">
        <v>0</v>
      </c>
      <c r="AA135">
        <v>8</v>
      </c>
      <c r="AB135">
        <v>3</v>
      </c>
      <c r="AC135">
        <v>0</v>
      </c>
      <c r="AD135">
        <v>10</v>
      </c>
      <c r="AE135">
        <v>0</v>
      </c>
      <c r="AF135">
        <v>0</v>
      </c>
      <c r="AG135">
        <v>1</v>
      </c>
      <c r="AH135">
        <v>1</v>
      </c>
      <c r="AI135" t="s">
        <v>209</v>
      </c>
      <c r="AJ135">
        <v>35.541843999999998</v>
      </c>
      <c r="AK135" t="s">
        <v>210</v>
      </c>
      <c r="AL135">
        <v>-76.018373999999994</v>
      </c>
      <c r="AM135">
        <v>25</v>
      </c>
      <c r="AN135">
        <v>2900</v>
      </c>
      <c r="AO135" t="s">
        <v>118</v>
      </c>
      <c r="AP135">
        <v>-76</v>
      </c>
      <c r="AQ135">
        <v>-110</v>
      </c>
      <c r="AR135">
        <v>2688</v>
      </c>
      <c r="AZ135">
        <v>1200</v>
      </c>
      <c r="BA135">
        <v>1</v>
      </c>
      <c r="BB135" t="str">
        <f t="shared" si="20"/>
        <v xml:space="preserve">N79NX   </v>
      </c>
      <c r="BC135">
        <v>1</v>
      </c>
      <c r="BE135">
        <v>0</v>
      </c>
      <c r="BF135">
        <v>0</v>
      </c>
      <c r="BG135">
        <v>0</v>
      </c>
      <c r="BH135">
        <v>2725</v>
      </c>
      <c r="BI135">
        <v>0</v>
      </c>
      <c r="BJ135">
        <v>0</v>
      </c>
      <c r="BK135">
        <v>0</v>
      </c>
      <c r="BL135">
        <v>0</v>
      </c>
      <c r="BO135">
        <v>0</v>
      </c>
      <c r="BP135">
        <v>0</v>
      </c>
      <c r="BW135" t="str">
        <f>"18:36:09.410"</f>
        <v>18:36:09.410</v>
      </c>
      <c r="BZ135">
        <v>0</v>
      </c>
      <c r="CA135">
        <v>3488</v>
      </c>
      <c r="CB135">
        <v>216</v>
      </c>
      <c r="CC135">
        <v>583.59379999999999</v>
      </c>
      <c r="CD135">
        <v>1</v>
      </c>
      <c r="CE135">
        <v>1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2</v>
      </c>
      <c r="CL135">
        <v>0</v>
      </c>
      <c r="CM135">
        <v>2</v>
      </c>
      <c r="CN135">
        <v>0</v>
      </c>
      <c r="CO135">
        <v>7</v>
      </c>
      <c r="CP135" t="s">
        <v>119</v>
      </c>
      <c r="CQ135">
        <v>145</v>
      </c>
      <c r="CR135">
        <v>1</v>
      </c>
      <c r="CW135">
        <v>8869031</v>
      </c>
      <c r="CY135">
        <v>0</v>
      </c>
      <c r="CZ135">
        <v>0</v>
      </c>
      <c r="DA135">
        <v>1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</row>
    <row r="136" spans="1:113" x14ac:dyDescent="0.3">
      <c r="A136" t="str">
        <f>"02/13/2022 18:36:09.728"</f>
        <v>02/13/2022 18:36:09.728</v>
      </c>
      <c r="C136" t="str">
        <f t="shared" si="19"/>
        <v>FFDFD7C0</v>
      </c>
      <c r="D136" t="s">
        <v>121</v>
      </c>
      <c r="E136">
        <v>2</v>
      </c>
      <c r="H136">
        <v>158</v>
      </c>
      <c r="I136" t="s">
        <v>120</v>
      </c>
      <c r="J136" t="s">
        <v>122</v>
      </c>
      <c r="K136">
        <v>0</v>
      </c>
      <c r="L136">
        <v>3</v>
      </c>
      <c r="M136">
        <v>0</v>
      </c>
      <c r="N136">
        <v>2</v>
      </c>
      <c r="O136">
        <v>1</v>
      </c>
      <c r="P136">
        <v>0</v>
      </c>
      <c r="Q136">
        <v>0</v>
      </c>
      <c r="S136" t="str">
        <f>"18:36:09.406"</f>
        <v>18:36:09.406</v>
      </c>
      <c r="T136" t="str">
        <f>"18:36:09.006"</f>
        <v>18:36:09.006</v>
      </c>
      <c r="U136" t="str">
        <f t="shared" si="17"/>
        <v>AAB6EE</v>
      </c>
      <c r="V136">
        <v>0</v>
      </c>
      <c r="W136">
        <v>0</v>
      </c>
      <c r="X136">
        <v>4</v>
      </c>
      <c r="Z136">
        <v>0</v>
      </c>
      <c r="AA136">
        <v>8</v>
      </c>
      <c r="AB136">
        <v>3</v>
      </c>
      <c r="AC136">
        <v>0</v>
      </c>
      <c r="AD136">
        <v>10</v>
      </c>
      <c r="AE136">
        <v>0</v>
      </c>
      <c r="AF136">
        <v>0</v>
      </c>
      <c r="AG136">
        <v>1</v>
      </c>
      <c r="AH136">
        <v>1</v>
      </c>
      <c r="AI136" t="s">
        <v>209</v>
      </c>
      <c r="AJ136">
        <v>35.541843999999998</v>
      </c>
      <c r="AK136" t="s">
        <v>210</v>
      </c>
      <c r="AL136">
        <v>-76.018373999999994</v>
      </c>
      <c r="AM136">
        <v>25</v>
      </c>
      <c r="AN136">
        <v>2900</v>
      </c>
      <c r="AO136" t="s">
        <v>118</v>
      </c>
      <c r="AP136">
        <v>-76</v>
      </c>
      <c r="AQ136">
        <v>-110</v>
      </c>
      <c r="AR136">
        <v>2688</v>
      </c>
      <c r="AZ136">
        <v>1200</v>
      </c>
      <c r="BA136">
        <v>1</v>
      </c>
      <c r="BB136" t="str">
        <f t="shared" si="20"/>
        <v xml:space="preserve">N79NX   </v>
      </c>
      <c r="BC136">
        <v>1</v>
      </c>
      <c r="BE136">
        <v>0</v>
      </c>
      <c r="BF136">
        <v>0</v>
      </c>
      <c r="BG136">
        <v>0</v>
      </c>
      <c r="BH136">
        <v>2725</v>
      </c>
      <c r="BI136">
        <v>0</v>
      </c>
      <c r="BJ136">
        <v>0</v>
      </c>
      <c r="BK136">
        <v>0</v>
      </c>
      <c r="BL136">
        <v>0</v>
      </c>
      <c r="BO136">
        <v>0</v>
      </c>
      <c r="BP136">
        <v>0</v>
      </c>
      <c r="BW136" t="str">
        <f>"18:36:09.410"</f>
        <v>18:36:09.410</v>
      </c>
      <c r="BZ136">
        <v>0</v>
      </c>
      <c r="CA136">
        <v>3488</v>
      </c>
      <c r="CB136">
        <v>216</v>
      </c>
      <c r="CC136">
        <v>583.59379999999999</v>
      </c>
      <c r="CD136">
        <v>1</v>
      </c>
      <c r="CE136">
        <v>1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2</v>
      </c>
      <c r="CL136">
        <v>0</v>
      </c>
      <c r="CM136">
        <v>2</v>
      </c>
      <c r="CN136">
        <v>0</v>
      </c>
      <c r="CO136">
        <v>7</v>
      </c>
      <c r="CP136" t="s">
        <v>119</v>
      </c>
      <c r="CQ136">
        <v>145</v>
      </c>
      <c r="CR136">
        <v>1</v>
      </c>
      <c r="CW136">
        <v>8869031</v>
      </c>
      <c r="CY136">
        <v>0</v>
      </c>
      <c r="CZ136">
        <v>0</v>
      </c>
      <c r="DA136">
        <v>1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</row>
    <row r="137" spans="1:113" x14ac:dyDescent="0.3">
      <c r="A137" t="str">
        <f>"02/13/2022 18:36:10.604"</f>
        <v>02/13/2022 18:36:10.604</v>
      </c>
      <c r="C137" t="str">
        <f t="shared" si="19"/>
        <v>FFDFD7C0</v>
      </c>
      <c r="D137" t="s">
        <v>113</v>
      </c>
      <c r="E137">
        <v>3</v>
      </c>
      <c r="F137">
        <v>1003</v>
      </c>
      <c r="G137" t="s">
        <v>114</v>
      </c>
      <c r="J137" t="s">
        <v>115</v>
      </c>
      <c r="K137">
        <v>0</v>
      </c>
      <c r="L137">
        <v>3</v>
      </c>
      <c r="M137">
        <v>0</v>
      </c>
      <c r="N137">
        <v>2</v>
      </c>
      <c r="O137">
        <v>1</v>
      </c>
      <c r="P137">
        <v>0</v>
      </c>
      <c r="Q137">
        <v>0</v>
      </c>
      <c r="S137" t="str">
        <f>"18:36:10.336"</f>
        <v>18:36:10.336</v>
      </c>
      <c r="T137" t="str">
        <f>"18:36:10.036"</f>
        <v>18:36:10.036</v>
      </c>
      <c r="U137" t="str">
        <f t="shared" si="17"/>
        <v>AAB6EE</v>
      </c>
      <c r="V137">
        <v>0</v>
      </c>
      <c r="W137">
        <v>0</v>
      </c>
      <c r="X137">
        <v>4</v>
      </c>
      <c r="Z137">
        <v>0</v>
      </c>
      <c r="AA137">
        <v>8</v>
      </c>
      <c r="AB137">
        <v>3</v>
      </c>
      <c r="AC137">
        <v>0</v>
      </c>
      <c r="AD137">
        <v>10</v>
      </c>
      <c r="AE137">
        <v>0</v>
      </c>
      <c r="AF137">
        <v>0</v>
      </c>
      <c r="AG137">
        <v>1</v>
      </c>
      <c r="AH137">
        <v>1</v>
      </c>
      <c r="AI137" t="s">
        <v>211</v>
      </c>
      <c r="AJ137">
        <v>35.541372000000003</v>
      </c>
      <c r="AK137" t="s">
        <v>212</v>
      </c>
      <c r="AL137">
        <v>-76.01876</v>
      </c>
      <c r="AM137">
        <v>25</v>
      </c>
      <c r="AN137">
        <v>2925</v>
      </c>
      <c r="AO137" t="s">
        <v>118</v>
      </c>
      <c r="AP137">
        <v>-76</v>
      </c>
      <c r="AQ137">
        <v>-110</v>
      </c>
      <c r="AR137">
        <v>2496</v>
      </c>
      <c r="AZ137">
        <v>1200</v>
      </c>
      <c r="BA137">
        <v>1</v>
      </c>
      <c r="BB137" t="str">
        <f t="shared" si="20"/>
        <v xml:space="preserve">N79NX   </v>
      </c>
      <c r="BC137">
        <v>1</v>
      </c>
      <c r="BE137">
        <v>0</v>
      </c>
      <c r="BF137">
        <v>0</v>
      </c>
      <c r="BG137">
        <v>0</v>
      </c>
      <c r="BH137">
        <v>2775</v>
      </c>
      <c r="BI137">
        <v>0</v>
      </c>
      <c r="BJ137">
        <v>0</v>
      </c>
      <c r="BK137">
        <v>0</v>
      </c>
      <c r="BL137">
        <v>0</v>
      </c>
      <c r="BO137">
        <v>0</v>
      </c>
      <c r="BP137">
        <v>0</v>
      </c>
      <c r="BW137" t="str">
        <f>"18:36:10.340"</f>
        <v>18:36:10.340</v>
      </c>
      <c r="BZ137">
        <v>0</v>
      </c>
      <c r="CA137">
        <v>3488</v>
      </c>
      <c r="CB137">
        <v>216</v>
      </c>
      <c r="CC137">
        <v>583.59379999999999</v>
      </c>
      <c r="CD137">
        <v>1</v>
      </c>
      <c r="CE137">
        <v>1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2</v>
      </c>
      <c r="CL137">
        <v>0</v>
      </c>
      <c r="CM137">
        <v>2</v>
      </c>
      <c r="CN137">
        <v>0</v>
      </c>
      <c r="CO137">
        <v>6</v>
      </c>
      <c r="CP137" t="s">
        <v>119</v>
      </c>
      <c r="CQ137">
        <v>145</v>
      </c>
      <c r="CR137">
        <v>1</v>
      </c>
      <c r="CW137">
        <v>8869467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</row>
    <row r="138" spans="1:113" x14ac:dyDescent="0.3">
      <c r="A138" t="str">
        <f>"02/13/2022 18:36:10.604"</f>
        <v>02/13/2022 18:36:10.604</v>
      </c>
      <c r="C138" t="str">
        <f t="shared" si="19"/>
        <v>FFDFD7C0</v>
      </c>
      <c r="D138" t="s">
        <v>121</v>
      </c>
      <c r="E138">
        <v>2</v>
      </c>
      <c r="H138">
        <v>158</v>
      </c>
      <c r="I138" t="s">
        <v>120</v>
      </c>
      <c r="J138" t="s">
        <v>122</v>
      </c>
      <c r="K138">
        <v>0</v>
      </c>
      <c r="L138">
        <v>3</v>
      </c>
      <c r="M138">
        <v>0</v>
      </c>
      <c r="N138">
        <v>2</v>
      </c>
      <c r="O138">
        <v>1</v>
      </c>
      <c r="P138">
        <v>0</v>
      </c>
      <c r="Q138">
        <v>0</v>
      </c>
      <c r="S138" t="str">
        <f>"18:36:10.336"</f>
        <v>18:36:10.336</v>
      </c>
      <c r="T138" t="str">
        <f>"18:36:10.036"</f>
        <v>18:36:10.036</v>
      </c>
      <c r="U138" t="str">
        <f t="shared" si="17"/>
        <v>AAB6EE</v>
      </c>
      <c r="V138">
        <v>0</v>
      </c>
      <c r="W138">
        <v>0</v>
      </c>
      <c r="X138">
        <v>4</v>
      </c>
      <c r="Z138">
        <v>0</v>
      </c>
      <c r="AA138">
        <v>8</v>
      </c>
      <c r="AB138">
        <v>3</v>
      </c>
      <c r="AC138">
        <v>0</v>
      </c>
      <c r="AD138">
        <v>10</v>
      </c>
      <c r="AE138">
        <v>0</v>
      </c>
      <c r="AF138">
        <v>0</v>
      </c>
      <c r="AG138">
        <v>1</v>
      </c>
      <c r="AH138">
        <v>1</v>
      </c>
      <c r="AI138" t="s">
        <v>211</v>
      </c>
      <c r="AJ138">
        <v>35.541372000000003</v>
      </c>
      <c r="AK138" t="s">
        <v>212</v>
      </c>
      <c r="AL138">
        <v>-76.01876</v>
      </c>
      <c r="AM138">
        <v>25</v>
      </c>
      <c r="AN138">
        <v>2925</v>
      </c>
      <c r="AO138" t="s">
        <v>118</v>
      </c>
      <c r="AP138">
        <v>-76</v>
      </c>
      <c r="AQ138">
        <v>-110</v>
      </c>
      <c r="AR138">
        <v>2496</v>
      </c>
      <c r="AZ138">
        <v>1200</v>
      </c>
      <c r="BA138">
        <v>1</v>
      </c>
      <c r="BB138" t="str">
        <f t="shared" si="20"/>
        <v xml:space="preserve">N79NX   </v>
      </c>
      <c r="BC138">
        <v>1</v>
      </c>
      <c r="BE138">
        <v>0</v>
      </c>
      <c r="BF138">
        <v>0</v>
      </c>
      <c r="BG138">
        <v>0</v>
      </c>
      <c r="BH138">
        <v>2775</v>
      </c>
      <c r="BI138">
        <v>0</v>
      </c>
      <c r="BJ138">
        <v>0</v>
      </c>
      <c r="BK138">
        <v>0</v>
      </c>
      <c r="BL138">
        <v>0</v>
      </c>
      <c r="BO138">
        <v>0</v>
      </c>
      <c r="BP138">
        <v>0</v>
      </c>
      <c r="BW138" t="str">
        <f>"18:36:10.340"</f>
        <v>18:36:10.340</v>
      </c>
      <c r="BZ138">
        <v>0</v>
      </c>
      <c r="CA138">
        <v>3488</v>
      </c>
      <c r="CB138">
        <v>216</v>
      </c>
      <c r="CC138">
        <v>583.59379999999999</v>
      </c>
      <c r="CD138">
        <v>1</v>
      </c>
      <c r="CE138">
        <v>1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2</v>
      </c>
      <c r="CL138">
        <v>0</v>
      </c>
      <c r="CM138">
        <v>2</v>
      </c>
      <c r="CN138">
        <v>0</v>
      </c>
      <c r="CO138">
        <v>6</v>
      </c>
      <c r="CP138" t="s">
        <v>119</v>
      </c>
      <c r="CQ138">
        <v>145</v>
      </c>
      <c r="CR138">
        <v>1</v>
      </c>
      <c r="CW138">
        <v>8869467</v>
      </c>
      <c r="CY138">
        <v>0</v>
      </c>
      <c r="CZ138">
        <v>0</v>
      </c>
      <c r="DA138">
        <v>1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</row>
    <row r="139" spans="1:113" x14ac:dyDescent="0.3">
      <c r="A139" t="str">
        <f>"02/13/2022 18:36:10.604"</f>
        <v>02/13/2022 18:36:10.604</v>
      </c>
      <c r="C139" t="str">
        <f t="shared" si="19"/>
        <v>FFDFD7C0</v>
      </c>
      <c r="D139" t="s">
        <v>113</v>
      </c>
      <c r="E139">
        <v>4</v>
      </c>
      <c r="F139">
        <v>1004</v>
      </c>
      <c r="G139" t="s">
        <v>120</v>
      </c>
      <c r="J139" t="s">
        <v>115</v>
      </c>
      <c r="K139">
        <v>0</v>
      </c>
      <c r="L139">
        <v>3</v>
      </c>
      <c r="M139">
        <v>0</v>
      </c>
      <c r="N139">
        <v>2</v>
      </c>
      <c r="O139">
        <v>1</v>
      </c>
      <c r="P139">
        <v>0</v>
      </c>
      <c r="Q139">
        <v>0</v>
      </c>
      <c r="S139" t="str">
        <f>"18:36:10.336"</f>
        <v>18:36:10.336</v>
      </c>
      <c r="T139" t="str">
        <f>"18:36:10.036"</f>
        <v>18:36:10.036</v>
      </c>
      <c r="U139" t="str">
        <f t="shared" si="17"/>
        <v>AAB6EE</v>
      </c>
      <c r="V139">
        <v>0</v>
      </c>
      <c r="W139">
        <v>0</v>
      </c>
      <c r="X139">
        <v>4</v>
      </c>
      <c r="Z139">
        <v>0</v>
      </c>
      <c r="AA139">
        <v>8</v>
      </c>
      <c r="AB139">
        <v>3</v>
      </c>
      <c r="AC139">
        <v>0</v>
      </c>
      <c r="AD139">
        <v>10</v>
      </c>
      <c r="AE139">
        <v>0</v>
      </c>
      <c r="AF139">
        <v>0</v>
      </c>
      <c r="AG139">
        <v>1</v>
      </c>
      <c r="AH139">
        <v>1</v>
      </c>
      <c r="AI139" t="s">
        <v>211</v>
      </c>
      <c r="AJ139">
        <v>35.541372000000003</v>
      </c>
      <c r="AK139" t="s">
        <v>212</v>
      </c>
      <c r="AL139">
        <v>-76.01876</v>
      </c>
      <c r="AM139">
        <v>25</v>
      </c>
      <c r="AN139">
        <v>2925</v>
      </c>
      <c r="AO139" t="s">
        <v>118</v>
      </c>
      <c r="AP139">
        <v>-76</v>
      </c>
      <c r="AQ139">
        <v>-110</v>
      </c>
      <c r="AR139">
        <v>2496</v>
      </c>
      <c r="AZ139">
        <v>1200</v>
      </c>
      <c r="BA139">
        <v>1</v>
      </c>
      <c r="BB139" t="str">
        <f t="shared" si="20"/>
        <v xml:space="preserve">N79NX   </v>
      </c>
      <c r="BC139">
        <v>1</v>
      </c>
      <c r="BE139">
        <v>0</v>
      </c>
      <c r="BF139">
        <v>0</v>
      </c>
      <c r="BG139">
        <v>0</v>
      </c>
      <c r="BH139">
        <v>2775</v>
      </c>
      <c r="BI139">
        <v>0</v>
      </c>
      <c r="BJ139">
        <v>0</v>
      </c>
      <c r="BK139">
        <v>0</v>
      </c>
      <c r="BL139">
        <v>0</v>
      </c>
      <c r="BO139">
        <v>0</v>
      </c>
      <c r="BP139">
        <v>0</v>
      </c>
      <c r="BW139" t="str">
        <f>"18:36:10.340"</f>
        <v>18:36:10.340</v>
      </c>
      <c r="BZ139">
        <v>0</v>
      </c>
      <c r="CA139">
        <v>3488</v>
      </c>
      <c r="CB139">
        <v>216</v>
      </c>
      <c r="CC139">
        <v>583.59379999999999</v>
      </c>
      <c r="CD139">
        <v>1</v>
      </c>
      <c r="CE139">
        <v>1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2</v>
      </c>
      <c r="CL139">
        <v>0</v>
      </c>
      <c r="CM139">
        <v>2</v>
      </c>
      <c r="CN139">
        <v>0</v>
      </c>
      <c r="CO139">
        <v>6</v>
      </c>
      <c r="CP139" t="s">
        <v>119</v>
      </c>
      <c r="CQ139">
        <v>145</v>
      </c>
      <c r="CR139">
        <v>1</v>
      </c>
      <c r="CW139">
        <v>8869467</v>
      </c>
      <c r="CY139">
        <v>0</v>
      </c>
      <c r="CZ139">
        <v>0</v>
      </c>
      <c r="DA139">
        <v>1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</row>
    <row r="140" spans="1:113" x14ac:dyDescent="0.3">
      <c r="A140" t="str">
        <f>"02/13/2022 18:36:11.494"</f>
        <v>02/13/2022 18:36:11.494</v>
      </c>
      <c r="C140" t="str">
        <f t="shared" si="19"/>
        <v>FFDFD7C0</v>
      </c>
      <c r="D140" t="s">
        <v>113</v>
      </c>
      <c r="E140">
        <v>3</v>
      </c>
      <c r="F140">
        <v>1003</v>
      </c>
      <c r="G140" t="s">
        <v>114</v>
      </c>
      <c r="J140" t="s">
        <v>115</v>
      </c>
      <c r="K140">
        <v>0</v>
      </c>
      <c r="L140">
        <v>3</v>
      </c>
      <c r="M140">
        <v>0</v>
      </c>
      <c r="N140">
        <v>2</v>
      </c>
      <c r="O140">
        <v>1</v>
      </c>
      <c r="P140">
        <v>0</v>
      </c>
      <c r="Q140">
        <v>0</v>
      </c>
      <c r="S140" t="str">
        <f>"18:36:11.273"</f>
        <v>18:36:11.273</v>
      </c>
      <c r="T140" t="str">
        <f>"18:36:11.173"</f>
        <v>18:36:11.173</v>
      </c>
      <c r="U140" t="str">
        <f t="shared" si="17"/>
        <v>AAB6EE</v>
      </c>
      <c r="V140">
        <v>0</v>
      </c>
      <c r="W140">
        <v>0</v>
      </c>
      <c r="X140">
        <v>4</v>
      </c>
      <c r="Z140">
        <v>0</v>
      </c>
      <c r="AA140">
        <v>8</v>
      </c>
      <c r="AB140">
        <v>3</v>
      </c>
      <c r="AC140">
        <v>0</v>
      </c>
      <c r="AD140">
        <v>10</v>
      </c>
      <c r="AE140">
        <v>0</v>
      </c>
      <c r="AF140">
        <v>0</v>
      </c>
      <c r="AG140">
        <v>1</v>
      </c>
      <c r="AH140">
        <v>1</v>
      </c>
      <c r="AI140" t="s">
        <v>213</v>
      </c>
      <c r="AJ140">
        <v>35.540922000000002</v>
      </c>
      <c r="AK140" t="s">
        <v>214</v>
      </c>
      <c r="AL140">
        <v>-76.019146000000006</v>
      </c>
      <c r="AM140">
        <v>25</v>
      </c>
      <c r="AN140">
        <v>2975</v>
      </c>
      <c r="AO140" t="s">
        <v>118</v>
      </c>
      <c r="AP140">
        <v>-75</v>
      </c>
      <c r="AQ140">
        <v>-110</v>
      </c>
      <c r="AR140">
        <v>2368</v>
      </c>
      <c r="AZ140">
        <v>1200</v>
      </c>
      <c r="BA140">
        <v>1</v>
      </c>
      <c r="BB140" t="str">
        <f t="shared" si="20"/>
        <v xml:space="preserve">N79NX   </v>
      </c>
      <c r="BC140">
        <v>1</v>
      </c>
      <c r="BE140">
        <v>0</v>
      </c>
      <c r="BF140">
        <v>0</v>
      </c>
      <c r="BG140">
        <v>0</v>
      </c>
      <c r="BH140">
        <v>2800</v>
      </c>
      <c r="BI140">
        <v>0</v>
      </c>
      <c r="BJ140">
        <v>0</v>
      </c>
      <c r="BK140">
        <v>0</v>
      </c>
      <c r="BL140">
        <v>0</v>
      </c>
      <c r="BO140">
        <v>0</v>
      </c>
      <c r="BP140">
        <v>0</v>
      </c>
      <c r="BW140" t="str">
        <f>"18:36:11.280"</f>
        <v>18:36:11.280</v>
      </c>
      <c r="BZ140">
        <v>0</v>
      </c>
      <c r="CA140">
        <v>3488</v>
      </c>
      <c r="CB140">
        <v>216</v>
      </c>
      <c r="CC140">
        <v>583.59379999999999</v>
      </c>
      <c r="CD140">
        <v>1</v>
      </c>
      <c r="CE140">
        <v>1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2</v>
      </c>
      <c r="CL140">
        <v>0</v>
      </c>
      <c r="CM140">
        <v>2</v>
      </c>
      <c r="CN140">
        <v>0</v>
      </c>
      <c r="CO140">
        <v>6</v>
      </c>
      <c r="CP140" t="s">
        <v>119</v>
      </c>
      <c r="CQ140">
        <v>145</v>
      </c>
      <c r="CR140">
        <v>1</v>
      </c>
      <c r="CW140">
        <v>8869921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</row>
    <row r="141" spans="1:113" x14ac:dyDescent="0.3">
      <c r="A141" t="str">
        <f>"02/13/2022 18:36:11.494"</f>
        <v>02/13/2022 18:36:11.494</v>
      </c>
      <c r="C141" t="str">
        <f t="shared" si="19"/>
        <v>FFDFD7C0</v>
      </c>
      <c r="D141" t="s">
        <v>113</v>
      </c>
      <c r="E141">
        <v>4</v>
      </c>
      <c r="F141">
        <v>1004</v>
      </c>
      <c r="G141" t="s">
        <v>120</v>
      </c>
      <c r="J141" t="s">
        <v>115</v>
      </c>
      <c r="K141">
        <v>0</v>
      </c>
      <c r="L141">
        <v>3</v>
      </c>
      <c r="M141">
        <v>0</v>
      </c>
      <c r="N141">
        <v>2</v>
      </c>
      <c r="O141">
        <v>1</v>
      </c>
      <c r="P141">
        <v>0</v>
      </c>
      <c r="Q141">
        <v>0</v>
      </c>
      <c r="S141" t="str">
        <f>"18:36:11.273"</f>
        <v>18:36:11.273</v>
      </c>
      <c r="T141" t="str">
        <f>"18:36:11.173"</f>
        <v>18:36:11.173</v>
      </c>
      <c r="U141" t="str">
        <f t="shared" si="17"/>
        <v>AAB6EE</v>
      </c>
      <c r="V141">
        <v>0</v>
      </c>
      <c r="W141">
        <v>0</v>
      </c>
      <c r="X141">
        <v>4</v>
      </c>
      <c r="Z141">
        <v>0</v>
      </c>
      <c r="AA141">
        <v>8</v>
      </c>
      <c r="AB141">
        <v>3</v>
      </c>
      <c r="AC141">
        <v>0</v>
      </c>
      <c r="AD141">
        <v>10</v>
      </c>
      <c r="AE141">
        <v>0</v>
      </c>
      <c r="AF141">
        <v>0</v>
      </c>
      <c r="AG141">
        <v>1</v>
      </c>
      <c r="AH141">
        <v>1</v>
      </c>
      <c r="AI141" t="s">
        <v>213</v>
      </c>
      <c r="AJ141">
        <v>35.540922000000002</v>
      </c>
      <c r="AK141" t="s">
        <v>214</v>
      </c>
      <c r="AL141">
        <v>-76.019146000000006</v>
      </c>
      <c r="AM141">
        <v>25</v>
      </c>
      <c r="AN141">
        <v>2975</v>
      </c>
      <c r="AO141" t="s">
        <v>118</v>
      </c>
      <c r="AP141">
        <v>-75</v>
      </c>
      <c r="AQ141">
        <v>-110</v>
      </c>
      <c r="AR141">
        <v>2368</v>
      </c>
      <c r="AZ141">
        <v>1200</v>
      </c>
      <c r="BA141">
        <v>1</v>
      </c>
      <c r="BB141" t="str">
        <f t="shared" si="20"/>
        <v xml:space="preserve">N79NX   </v>
      </c>
      <c r="BC141">
        <v>1</v>
      </c>
      <c r="BE141">
        <v>0</v>
      </c>
      <c r="BF141">
        <v>0</v>
      </c>
      <c r="BG141">
        <v>0</v>
      </c>
      <c r="BH141">
        <v>2800</v>
      </c>
      <c r="BI141">
        <v>0</v>
      </c>
      <c r="BJ141">
        <v>0</v>
      </c>
      <c r="BK141">
        <v>0</v>
      </c>
      <c r="BL141">
        <v>0</v>
      </c>
      <c r="BO141">
        <v>0</v>
      </c>
      <c r="BP141">
        <v>0</v>
      </c>
      <c r="BW141" t="str">
        <f>"18:36:11.280"</f>
        <v>18:36:11.280</v>
      </c>
      <c r="BZ141">
        <v>0</v>
      </c>
      <c r="CA141">
        <v>3488</v>
      </c>
      <c r="CB141">
        <v>216</v>
      </c>
      <c r="CC141">
        <v>583.59379999999999</v>
      </c>
      <c r="CD141">
        <v>1</v>
      </c>
      <c r="CE141">
        <v>1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2</v>
      </c>
      <c r="CL141">
        <v>0</v>
      </c>
      <c r="CM141">
        <v>2</v>
      </c>
      <c r="CN141">
        <v>0</v>
      </c>
      <c r="CO141">
        <v>6</v>
      </c>
      <c r="CP141" t="s">
        <v>119</v>
      </c>
      <c r="CQ141">
        <v>145</v>
      </c>
      <c r="CR141">
        <v>1</v>
      </c>
      <c r="CW141">
        <v>8869921</v>
      </c>
      <c r="CY141">
        <v>0</v>
      </c>
      <c r="CZ141">
        <v>0</v>
      </c>
      <c r="DA141">
        <v>1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</row>
    <row r="142" spans="1:113" x14ac:dyDescent="0.3">
      <c r="A142" t="str">
        <f>"02/13/2022 18:36:11.494"</f>
        <v>02/13/2022 18:36:11.494</v>
      </c>
      <c r="C142" t="str">
        <f t="shared" si="19"/>
        <v>FFDFD7C0</v>
      </c>
      <c r="D142" t="s">
        <v>121</v>
      </c>
      <c r="E142">
        <v>2</v>
      </c>
      <c r="H142">
        <v>158</v>
      </c>
      <c r="I142" t="s">
        <v>120</v>
      </c>
      <c r="J142" t="s">
        <v>122</v>
      </c>
      <c r="K142">
        <v>0</v>
      </c>
      <c r="L142">
        <v>3</v>
      </c>
      <c r="M142">
        <v>0</v>
      </c>
      <c r="N142">
        <v>2</v>
      </c>
      <c r="O142">
        <v>1</v>
      </c>
      <c r="P142">
        <v>0</v>
      </c>
      <c r="Q142">
        <v>0</v>
      </c>
      <c r="S142" t="str">
        <f>"18:36:11.273"</f>
        <v>18:36:11.273</v>
      </c>
      <c r="T142" t="str">
        <f>"18:36:11.173"</f>
        <v>18:36:11.173</v>
      </c>
      <c r="U142" t="str">
        <f t="shared" si="17"/>
        <v>AAB6EE</v>
      </c>
      <c r="V142">
        <v>0</v>
      </c>
      <c r="W142">
        <v>0</v>
      </c>
      <c r="X142">
        <v>4</v>
      </c>
      <c r="Z142">
        <v>0</v>
      </c>
      <c r="AA142">
        <v>8</v>
      </c>
      <c r="AB142">
        <v>3</v>
      </c>
      <c r="AC142">
        <v>0</v>
      </c>
      <c r="AD142">
        <v>10</v>
      </c>
      <c r="AE142">
        <v>0</v>
      </c>
      <c r="AF142">
        <v>0</v>
      </c>
      <c r="AG142">
        <v>1</v>
      </c>
      <c r="AH142">
        <v>1</v>
      </c>
      <c r="AI142" t="s">
        <v>213</v>
      </c>
      <c r="AJ142">
        <v>35.540922000000002</v>
      </c>
      <c r="AK142" t="s">
        <v>214</v>
      </c>
      <c r="AL142">
        <v>-76.019146000000006</v>
      </c>
      <c r="AM142">
        <v>25</v>
      </c>
      <c r="AN142">
        <v>2975</v>
      </c>
      <c r="AO142" t="s">
        <v>118</v>
      </c>
      <c r="AP142">
        <v>-75</v>
      </c>
      <c r="AQ142">
        <v>-110</v>
      </c>
      <c r="AR142">
        <v>2368</v>
      </c>
      <c r="AZ142">
        <v>1200</v>
      </c>
      <c r="BA142">
        <v>1</v>
      </c>
      <c r="BB142" t="str">
        <f t="shared" si="20"/>
        <v xml:space="preserve">N79NX   </v>
      </c>
      <c r="BC142">
        <v>1</v>
      </c>
      <c r="BE142">
        <v>0</v>
      </c>
      <c r="BF142">
        <v>0</v>
      </c>
      <c r="BG142">
        <v>0</v>
      </c>
      <c r="BH142">
        <v>2800</v>
      </c>
      <c r="BI142">
        <v>0</v>
      </c>
      <c r="BJ142">
        <v>0</v>
      </c>
      <c r="BK142">
        <v>0</v>
      </c>
      <c r="BL142">
        <v>0</v>
      </c>
      <c r="BO142">
        <v>0</v>
      </c>
      <c r="BP142">
        <v>0</v>
      </c>
      <c r="BW142" t="str">
        <f>"18:36:11.280"</f>
        <v>18:36:11.280</v>
      </c>
      <c r="BZ142">
        <v>0</v>
      </c>
      <c r="CA142">
        <v>3488</v>
      </c>
      <c r="CB142">
        <v>216</v>
      </c>
      <c r="CC142">
        <v>583.59379999999999</v>
      </c>
      <c r="CD142">
        <v>1</v>
      </c>
      <c r="CE142">
        <v>1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2</v>
      </c>
      <c r="CL142">
        <v>0</v>
      </c>
      <c r="CM142">
        <v>2</v>
      </c>
      <c r="CN142">
        <v>0</v>
      </c>
      <c r="CO142">
        <v>6</v>
      </c>
      <c r="CP142" t="s">
        <v>119</v>
      </c>
      <c r="CQ142">
        <v>145</v>
      </c>
      <c r="CR142">
        <v>1</v>
      </c>
      <c r="CW142">
        <v>8869921</v>
      </c>
      <c r="CY142">
        <v>0</v>
      </c>
      <c r="CZ142">
        <v>0</v>
      </c>
      <c r="DA142">
        <v>1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</row>
    <row r="143" spans="1:113" x14ac:dyDescent="0.3">
      <c r="A143" t="str">
        <f>"02/13/2022 18:36:12.369"</f>
        <v>02/13/2022 18:36:12.369</v>
      </c>
      <c r="C143" t="str">
        <f t="shared" si="19"/>
        <v>FFDFD7C0</v>
      </c>
      <c r="D143" t="s">
        <v>113</v>
      </c>
      <c r="E143">
        <v>3</v>
      </c>
      <c r="F143">
        <v>1003</v>
      </c>
      <c r="G143" t="s">
        <v>114</v>
      </c>
      <c r="J143" t="s">
        <v>115</v>
      </c>
      <c r="K143">
        <v>0</v>
      </c>
      <c r="L143">
        <v>3</v>
      </c>
      <c r="M143">
        <v>0</v>
      </c>
      <c r="N143">
        <v>2</v>
      </c>
      <c r="O143">
        <v>1</v>
      </c>
      <c r="P143">
        <v>0</v>
      </c>
      <c r="Q143">
        <v>0</v>
      </c>
      <c r="S143" t="str">
        <f>"18:36:12.109"</f>
        <v>18:36:12.109</v>
      </c>
      <c r="T143" t="str">
        <f>"18:36:11.709"</f>
        <v>18:36:11.709</v>
      </c>
      <c r="U143" t="str">
        <f t="shared" si="17"/>
        <v>AAB6EE</v>
      </c>
      <c r="V143">
        <v>0</v>
      </c>
      <c r="W143">
        <v>0</v>
      </c>
      <c r="X143">
        <v>4</v>
      </c>
      <c r="Z143">
        <v>0</v>
      </c>
      <c r="AA143">
        <v>8</v>
      </c>
      <c r="AB143">
        <v>3</v>
      </c>
      <c r="AC143">
        <v>0</v>
      </c>
      <c r="AD143">
        <v>10</v>
      </c>
      <c r="AE143">
        <v>0</v>
      </c>
      <c r="AF143">
        <v>0</v>
      </c>
      <c r="AG143">
        <v>1</v>
      </c>
      <c r="AH143">
        <v>1</v>
      </c>
      <c r="AI143" t="s">
        <v>215</v>
      </c>
      <c r="AJ143">
        <v>35.54045</v>
      </c>
      <c r="AK143" t="s">
        <v>216</v>
      </c>
      <c r="AL143">
        <v>-76.019553999999999</v>
      </c>
      <c r="AM143">
        <v>25</v>
      </c>
      <c r="AN143">
        <v>3000</v>
      </c>
      <c r="AO143" t="s">
        <v>118</v>
      </c>
      <c r="AP143">
        <v>-74</v>
      </c>
      <c r="AQ143">
        <v>-110</v>
      </c>
      <c r="AR143">
        <v>2304</v>
      </c>
      <c r="AZ143">
        <v>1200</v>
      </c>
      <c r="BA143">
        <v>1</v>
      </c>
      <c r="BB143" t="str">
        <f t="shared" si="20"/>
        <v xml:space="preserve">N79NX   </v>
      </c>
      <c r="BC143">
        <v>1</v>
      </c>
      <c r="BE143">
        <v>0</v>
      </c>
      <c r="BF143">
        <v>0</v>
      </c>
      <c r="BG143">
        <v>0</v>
      </c>
      <c r="BH143">
        <v>2850</v>
      </c>
      <c r="BI143">
        <v>0</v>
      </c>
      <c r="BJ143">
        <v>0</v>
      </c>
      <c r="BK143">
        <v>0</v>
      </c>
      <c r="BL143">
        <v>0</v>
      </c>
      <c r="BO143">
        <v>0</v>
      </c>
      <c r="BP143">
        <v>0</v>
      </c>
      <c r="BW143" t="str">
        <f>"18:36:12.110"</f>
        <v>18:36:12.110</v>
      </c>
      <c r="BZ143">
        <v>0</v>
      </c>
      <c r="CA143">
        <v>3488</v>
      </c>
      <c r="CB143">
        <v>216</v>
      </c>
      <c r="CC143">
        <v>583.59379999999999</v>
      </c>
      <c r="CD143">
        <v>1</v>
      </c>
      <c r="CE143">
        <v>1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2</v>
      </c>
      <c r="CL143">
        <v>0</v>
      </c>
      <c r="CM143">
        <v>2</v>
      </c>
      <c r="CN143">
        <v>0</v>
      </c>
      <c r="CO143">
        <v>6</v>
      </c>
      <c r="CP143" t="s">
        <v>119</v>
      </c>
      <c r="CQ143">
        <v>145</v>
      </c>
      <c r="CR143">
        <v>1</v>
      </c>
      <c r="CW143">
        <v>8870309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</row>
    <row r="144" spans="1:113" x14ac:dyDescent="0.3">
      <c r="A144" t="str">
        <f>"02/13/2022 18:36:12.369"</f>
        <v>02/13/2022 18:36:12.369</v>
      </c>
      <c r="C144" t="str">
        <f t="shared" si="19"/>
        <v>FFDFD7C0</v>
      </c>
      <c r="D144" t="s">
        <v>113</v>
      </c>
      <c r="E144">
        <v>4</v>
      </c>
      <c r="F144">
        <v>1004</v>
      </c>
      <c r="G144" t="s">
        <v>120</v>
      </c>
      <c r="J144" t="s">
        <v>115</v>
      </c>
      <c r="K144">
        <v>0</v>
      </c>
      <c r="L144">
        <v>3</v>
      </c>
      <c r="M144">
        <v>0</v>
      </c>
      <c r="N144">
        <v>2</v>
      </c>
      <c r="O144">
        <v>1</v>
      </c>
      <c r="P144">
        <v>0</v>
      </c>
      <c r="Q144">
        <v>0</v>
      </c>
      <c r="S144" t="str">
        <f>"18:36:12.109"</f>
        <v>18:36:12.109</v>
      </c>
      <c r="T144" t="str">
        <f>"18:36:11.709"</f>
        <v>18:36:11.709</v>
      </c>
      <c r="U144" t="str">
        <f t="shared" si="17"/>
        <v>AAB6EE</v>
      </c>
      <c r="V144">
        <v>0</v>
      </c>
      <c r="W144">
        <v>0</v>
      </c>
      <c r="X144">
        <v>4</v>
      </c>
      <c r="Z144">
        <v>0</v>
      </c>
      <c r="AA144">
        <v>8</v>
      </c>
      <c r="AB144">
        <v>3</v>
      </c>
      <c r="AC144">
        <v>0</v>
      </c>
      <c r="AD144">
        <v>10</v>
      </c>
      <c r="AE144">
        <v>0</v>
      </c>
      <c r="AF144">
        <v>0</v>
      </c>
      <c r="AG144">
        <v>1</v>
      </c>
      <c r="AH144">
        <v>1</v>
      </c>
      <c r="AI144" t="s">
        <v>215</v>
      </c>
      <c r="AJ144">
        <v>35.54045</v>
      </c>
      <c r="AK144" t="s">
        <v>216</v>
      </c>
      <c r="AL144">
        <v>-76.019553999999999</v>
      </c>
      <c r="AM144">
        <v>25</v>
      </c>
      <c r="AN144">
        <v>3000</v>
      </c>
      <c r="AO144" t="s">
        <v>118</v>
      </c>
      <c r="AP144">
        <v>-74</v>
      </c>
      <c r="AQ144">
        <v>-110</v>
      </c>
      <c r="AR144">
        <v>2304</v>
      </c>
      <c r="AZ144">
        <v>1200</v>
      </c>
      <c r="BA144">
        <v>1</v>
      </c>
      <c r="BB144" t="str">
        <f t="shared" si="20"/>
        <v xml:space="preserve">N79NX   </v>
      </c>
      <c r="BC144">
        <v>1</v>
      </c>
      <c r="BE144">
        <v>0</v>
      </c>
      <c r="BF144">
        <v>0</v>
      </c>
      <c r="BG144">
        <v>0</v>
      </c>
      <c r="BH144">
        <v>2850</v>
      </c>
      <c r="BI144">
        <v>0</v>
      </c>
      <c r="BJ144">
        <v>0</v>
      </c>
      <c r="BK144">
        <v>0</v>
      </c>
      <c r="BL144">
        <v>0</v>
      </c>
      <c r="BO144">
        <v>0</v>
      </c>
      <c r="BP144">
        <v>0</v>
      </c>
      <c r="BW144" t="str">
        <f>"18:36:12.110"</f>
        <v>18:36:12.110</v>
      </c>
      <c r="BZ144">
        <v>0</v>
      </c>
      <c r="CA144">
        <v>3488</v>
      </c>
      <c r="CB144">
        <v>216</v>
      </c>
      <c r="CC144">
        <v>583.59379999999999</v>
      </c>
      <c r="CD144">
        <v>1</v>
      </c>
      <c r="CE144">
        <v>1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2</v>
      </c>
      <c r="CL144">
        <v>0</v>
      </c>
      <c r="CM144">
        <v>2</v>
      </c>
      <c r="CN144">
        <v>0</v>
      </c>
      <c r="CO144">
        <v>6</v>
      </c>
      <c r="CP144" t="s">
        <v>119</v>
      </c>
      <c r="CQ144">
        <v>145</v>
      </c>
      <c r="CR144">
        <v>1</v>
      </c>
      <c r="CW144">
        <v>8870309</v>
      </c>
      <c r="CY144">
        <v>0</v>
      </c>
      <c r="CZ144">
        <v>0</v>
      </c>
      <c r="DA144">
        <v>1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</row>
    <row r="145" spans="1:113" x14ac:dyDescent="0.3">
      <c r="A145" t="str">
        <f>"02/13/2022 18:36:12.369"</f>
        <v>02/13/2022 18:36:12.369</v>
      </c>
      <c r="C145" t="str">
        <f t="shared" si="19"/>
        <v>FFDFD7C0</v>
      </c>
      <c r="D145" t="s">
        <v>121</v>
      </c>
      <c r="E145">
        <v>2</v>
      </c>
      <c r="H145">
        <v>158</v>
      </c>
      <c r="I145" t="s">
        <v>120</v>
      </c>
      <c r="J145" t="s">
        <v>122</v>
      </c>
      <c r="K145">
        <v>0</v>
      </c>
      <c r="L145">
        <v>3</v>
      </c>
      <c r="M145">
        <v>0</v>
      </c>
      <c r="N145">
        <v>2</v>
      </c>
      <c r="O145">
        <v>1</v>
      </c>
      <c r="P145">
        <v>0</v>
      </c>
      <c r="Q145">
        <v>0</v>
      </c>
      <c r="S145" t="str">
        <f>"18:36:12.109"</f>
        <v>18:36:12.109</v>
      </c>
      <c r="T145" t="str">
        <f>"18:36:11.709"</f>
        <v>18:36:11.709</v>
      </c>
      <c r="U145" t="str">
        <f t="shared" si="17"/>
        <v>AAB6EE</v>
      </c>
      <c r="V145">
        <v>0</v>
      </c>
      <c r="W145">
        <v>0</v>
      </c>
      <c r="X145">
        <v>4</v>
      </c>
      <c r="Z145">
        <v>0</v>
      </c>
      <c r="AA145">
        <v>8</v>
      </c>
      <c r="AB145">
        <v>3</v>
      </c>
      <c r="AC145">
        <v>0</v>
      </c>
      <c r="AD145">
        <v>10</v>
      </c>
      <c r="AE145">
        <v>0</v>
      </c>
      <c r="AF145">
        <v>0</v>
      </c>
      <c r="AG145">
        <v>1</v>
      </c>
      <c r="AH145">
        <v>1</v>
      </c>
      <c r="AI145" t="s">
        <v>215</v>
      </c>
      <c r="AJ145">
        <v>35.54045</v>
      </c>
      <c r="AK145" t="s">
        <v>216</v>
      </c>
      <c r="AL145">
        <v>-76.019553999999999</v>
      </c>
      <c r="AM145">
        <v>25</v>
      </c>
      <c r="AN145">
        <v>3000</v>
      </c>
      <c r="AO145" t="s">
        <v>118</v>
      </c>
      <c r="AP145">
        <v>-74</v>
      </c>
      <c r="AQ145">
        <v>-110</v>
      </c>
      <c r="AR145">
        <v>2304</v>
      </c>
      <c r="AZ145">
        <v>1200</v>
      </c>
      <c r="BA145">
        <v>1</v>
      </c>
      <c r="BB145" t="str">
        <f t="shared" si="20"/>
        <v xml:space="preserve">N79NX   </v>
      </c>
      <c r="BC145">
        <v>1</v>
      </c>
      <c r="BE145">
        <v>0</v>
      </c>
      <c r="BF145">
        <v>0</v>
      </c>
      <c r="BG145">
        <v>0</v>
      </c>
      <c r="BH145">
        <v>2850</v>
      </c>
      <c r="BI145">
        <v>0</v>
      </c>
      <c r="BJ145">
        <v>0</v>
      </c>
      <c r="BK145">
        <v>0</v>
      </c>
      <c r="BL145">
        <v>0</v>
      </c>
      <c r="BO145">
        <v>0</v>
      </c>
      <c r="BP145">
        <v>0</v>
      </c>
      <c r="BW145" t="str">
        <f>"18:36:12.110"</f>
        <v>18:36:12.110</v>
      </c>
      <c r="BZ145">
        <v>0</v>
      </c>
      <c r="CA145">
        <v>3488</v>
      </c>
      <c r="CB145">
        <v>216</v>
      </c>
      <c r="CC145">
        <v>583.59379999999999</v>
      </c>
      <c r="CD145">
        <v>1</v>
      </c>
      <c r="CE145">
        <v>1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2</v>
      </c>
      <c r="CL145">
        <v>0</v>
      </c>
      <c r="CM145">
        <v>2</v>
      </c>
      <c r="CN145">
        <v>0</v>
      </c>
      <c r="CO145">
        <v>6</v>
      </c>
      <c r="CP145" t="s">
        <v>119</v>
      </c>
      <c r="CQ145">
        <v>145</v>
      </c>
      <c r="CR145">
        <v>1</v>
      </c>
      <c r="CW145">
        <v>8870309</v>
      </c>
      <c r="CY145">
        <v>0</v>
      </c>
      <c r="CZ145">
        <v>0</v>
      </c>
      <c r="DA145">
        <v>1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</row>
    <row r="146" spans="1:113" x14ac:dyDescent="0.3">
      <c r="A146" t="str">
        <f>"02/13/2022 18:36:13.416"</f>
        <v>02/13/2022 18:36:13.416</v>
      </c>
      <c r="C146" t="str">
        <f t="shared" si="19"/>
        <v>FFDFD7C0</v>
      </c>
      <c r="D146" t="s">
        <v>113</v>
      </c>
      <c r="E146">
        <v>3</v>
      </c>
      <c r="F146">
        <v>1003</v>
      </c>
      <c r="G146" t="s">
        <v>114</v>
      </c>
      <c r="J146" t="s">
        <v>115</v>
      </c>
      <c r="K146">
        <v>0</v>
      </c>
      <c r="L146">
        <v>3</v>
      </c>
      <c r="M146">
        <v>0</v>
      </c>
      <c r="N146">
        <v>2</v>
      </c>
      <c r="O146">
        <v>1</v>
      </c>
      <c r="P146">
        <v>0</v>
      </c>
      <c r="Q146">
        <v>0</v>
      </c>
      <c r="S146" t="str">
        <f>"18:36:13.227"</f>
        <v>18:36:13.227</v>
      </c>
      <c r="T146" t="str">
        <f>"18:36:13.027"</f>
        <v>18:36:13.027</v>
      </c>
      <c r="U146" t="str">
        <f t="shared" si="17"/>
        <v>AAB6EE</v>
      </c>
      <c r="V146">
        <v>0</v>
      </c>
      <c r="W146">
        <v>0</v>
      </c>
      <c r="X146">
        <v>4</v>
      </c>
      <c r="Z146">
        <v>0</v>
      </c>
      <c r="AA146">
        <v>8</v>
      </c>
      <c r="AB146">
        <v>3</v>
      </c>
      <c r="AC146">
        <v>0</v>
      </c>
      <c r="AD146">
        <v>10</v>
      </c>
      <c r="AE146">
        <v>0</v>
      </c>
      <c r="AF146">
        <v>0</v>
      </c>
      <c r="AG146">
        <v>1</v>
      </c>
      <c r="AH146">
        <v>1</v>
      </c>
      <c r="AI146" t="s">
        <v>217</v>
      </c>
      <c r="AJ146">
        <v>35.539892000000002</v>
      </c>
      <c r="AK146" t="s">
        <v>218</v>
      </c>
      <c r="AL146">
        <v>-76.020004999999998</v>
      </c>
      <c r="AM146">
        <v>25</v>
      </c>
      <c r="AN146">
        <v>3050</v>
      </c>
      <c r="AO146" t="s">
        <v>118</v>
      </c>
      <c r="AP146">
        <v>-73</v>
      </c>
      <c r="AQ146">
        <v>-110</v>
      </c>
      <c r="AR146">
        <v>2176</v>
      </c>
      <c r="AZ146">
        <v>1200</v>
      </c>
      <c r="BA146">
        <v>1</v>
      </c>
      <c r="BB146" t="str">
        <f t="shared" si="20"/>
        <v xml:space="preserve">N79NX   </v>
      </c>
      <c r="BC146">
        <v>1</v>
      </c>
      <c r="BE146">
        <v>0</v>
      </c>
      <c r="BF146">
        <v>0</v>
      </c>
      <c r="BG146">
        <v>0</v>
      </c>
      <c r="BH146">
        <v>2900</v>
      </c>
      <c r="BI146">
        <v>0</v>
      </c>
      <c r="BJ146">
        <v>0</v>
      </c>
      <c r="BK146">
        <v>0</v>
      </c>
      <c r="BL146">
        <v>0</v>
      </c>
      <c r="BO146">
        <v>0</v>
      </c>
      <c r="BP146">
        <v>0</v>
      </c>
      <c r="BW146" t="str">
        <f>"18:36:13.230"</f>
        <v>18:36:13.230</v>
      </c>
      <c r="BZ146">
        <v>0</v>
      </c>
      <c r="CA146">
        <v>3488</v>
      </c>
      <c r="CB146">
        <v>216</v>
      </c>
      <c r="CC146">
        <v>583.59379999999999</v>
      </c>
      <c r="CD146">
        <v>1</v>
      </c>
      <c r="CE146">
        <v>1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2</v>
      </c>
      <c r="CL146">
        <v>0</v>
      </c>
      <c r="CM146">
        <v>2</v>
      </c>
      <c r="CN146">
        <v>0</v>
      </c>
      <c r="CO146">
        <v>6</v>
      </c>
      <c r="CP146" t="s">
        <v>119</v>
      </c>
      <c r="CQ146">
        <v>145</v>
      </c>
      <c r="CR146">
        <v>1</v>
      </c>
      <c r="CW146">
        <v>8870865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</row>
    <row r="147" spans="1:113" x14ac:dyDescent="0.3">
      <c r="A147" t="str">
        <f>"02/13/2022 18:36:13.416"</f>
        <v>02/13/2022 18:36:13.416</v>
      </c>
      <c r="C147" t="str">
        <f t="shared" si="19"/>
        <v>FFDFD7C0</v>
      </c>
      <c r="D147" t="s">
        <v>113</v>
      </c>
      <c r="E147">
        <v>4</v>
      </c>
      <c r="F147">
        <v>1004</v>
      </c>
      <c r="G147" t="s">
        <v>120</v>
      </c>
      <c r="J147" t="s">
        <v>115</v>
      </c>
      <c r="K147">
        <v>0</v>
      </c>
      <c r="L147">
        <v>3</v>
      </c>
      <c r="M147">
        <v>0</v>
      </c>
      <c r="N147">
        <v>2</v>
      </c>
      <c r="O147">
        <v>1</v>
      </c>
      <c r="P147">
        <v>0</v>
      </c>
      <c r="Q147">
        <v>0</v>
      </c>
      <c r="S147" t="str">
        <f>"18:36:13.227"</f>
        <v>18:36:13.227</v>
      </c>
      <c r="T147" t="str">
        <f>"18:36:13.027"</f>
        <v>18:36:13.027</v>
      </c>
      <c r="U147" t="str">
        <f t="shared" si="17"/>
        <v>AAB6EE</v>
      </c>
      <c r="V147">
        <v>0</v>
      </c>
      <c r="W147">
        <v>0</v>
      </c>
      <c r="X147">
        <v>4</v>
      </c>
      <c r="Z147">
        <v>0</v>
      </c>
      <c r="AA147">
        <v>8</v>
      </c>
      <c r="AB147">
        <v>3</v>
      </c>
      <c r="AC147">
        <v>0</v>
      </c>
      <c r="AD147">
        <v>10</v>
      </c>
      <c r="AE147">
        <v>0</v>
      </c>
      <c r="AF147">
        <v>0</v>
      </c>
      <c r="AG147">
        <v>1</v>
      </c>
      <c r="AH147">
        <v>1</v>
      </c>
      <c r="AI147" t="s">
        <v>217</v>
      </c>
      <c r="AJ147">
        <v>35.539892000000002</v>
      </c>
      <c r="AK147" t="s">
        <v>218</v>
      </c>
      <c r="AL147">
        <v>-76.020004999999998</v>
      </c>
      <c r="AM147">
        <v>25</v>
      </c>
      <c r="AN147">
        <v>3050</v>
      </c>
      <c r="AO147" t="s">
        <v>118</v>
      </c>
      <c r="AP147">
        <v>-73</v>
      </c>
      <c r="AQ147">
        <v>-110</v>
      </c>
      <c r="AR147">
        <v>2176</v>
      </c>
      <c r="AZ147">
        <v>1200</v>
      </c>
      <c r="BA147">
        <v>1</v>
      </c>
      <c r="BB147" t="str">
        <f t="shared" si="20"/>
        <v xml:space="preserve">N79NX   </v>
      </c>
      <c r="BC147">
        <v>1</v>
      </c>
      <c r="BE147">
        <v>0</v>
      </c>
      <c r="BF147">
        <v>0</v>
      </c>
      <c r="BG147">
        <v>0</v>
      </c>
      <c r="BH147">
        <v>2900</v>
      </c>
      <c r="BI147">
        <v>0</v>
      </c>
      <c r="BJ147">
        <v>0</v>
      </c>
      <c r="BK147">
        <v>0</v>
      </c>
      <c r="BL147">
        <v>0</v>
      </c>
      <c r="BO147">
        <v>0</v>
      </c>
      <c r="BP147">
        <v>0</v>
      </c>
      <c r="BW147" t="str">
        <f>"18:36:13.230"</f>
        <v>18:36:13.230</v>
      </c>
      <c r="BZ147">
        <v>0</v>
      </c>
      <c r="CA147">
        <v>3488</v>
      </c>
      <c r="CB147">
        <v>216</v>
      </c>
      <c r="CC147">
        <v>583.59379999999999</v>
      </c>
      <c r="CD147">
        <v>1</v>
      </c>
      <c r="CE147">
        <v>1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2</v>
      </c>
      <c r="CL147">
        <v>0</v>
      </c>
      <c r="CM147">
        <v>2</v>
      </c>
      <c r="CN147">
        <v>0</v>
      </c>
      <c r="CO147">
        <v>6</v>
      </c>
      <c r="CP147" t="s">
        <v>119</v>
      </c>
      <c r="CQ147">
        <v>145</v>
      </c>
      <c r="CR147">
        <v>1</v>
      </c>
      <c r="CW147">
        <v>8870865</v>
      </c>
      <c r="CY147">
        <v>0</v>
      </c>
      <c r="CZ147">
        <v>0</v>
      </c>
      <c r="DA147">
        <v>1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</row>
    <row r="148" spans="1:113" x14ac:dyDescent="0.3">
      <c r="A148" t="str">
        <f>"02/13/2022 18:36:13.416"</f>
        <v>02/13/2022 18:36:13.416</v>
      </c>
      <c r="C148" t="str">
        <f t="shared" si="19"/>
        <v>FFDFD7C0</v>
      </c>
      <c r="D148" t="s">
        <v>121</v>
      </c>
      <c r="E148">
        <v>2</v>
      </c>
      <c r="H148">
        <v>158</v>
      </c>
      <c r="I148" t="s">
        <v>120</v>
      </c>
      <c r="J148" t="s">
        <v>122</v>
      </c>
      <c r="K148">
        <v>0</v>
      </c>
      <c r="L148">
        <v>3</v>
      </c>
      <c r="M148">
        <v>0</v>
      </c>
      <c r="N148">
        <v>2</v>
      </c>
      <c r="O148">
        <v>1</v>
      </c>
      <c r="P148">
        <v>0</v>
      </c>
      <c r="Q148">
        <v>0</v>
      </c>
      <c r="S148" t="str">
        <f>"18:36:13.227"</f>
        <v>18:36:13.227</v>
      </c>
      <c r="T148" t="str">
        <f>"18:36:13.027"</f>
        <v>18:36:13.027</v>
      </c>
      <c r="U148" t="str">
        <f t="shared" si="17"/>
        <v>AAB6EE</v>
      </c>
      <c r="V148">
        <v>0</v>
      </c>
      <c r="W148">
        <v>0</v>
      </c>
      <c r="X148">
        <v>4</v>
      </c>
      <c r="Z148">
        <v>0</v>
      </c>
      <c r="AA148">
        <v>8</v>
      </c>
      <c r="AB148">
        <v>3</v>
      </c>
      <c r="AC148">
        <v>0</v>
      </c>
      <c r="AD148">
        <v>10</v>
      </c>
      <c r="AE148">
        <v>0</v>
      </c>
      <c r="AF148">
        <v>0</v>
      </c>
      <c r="AG148">
        <v>1</v>
      </c>
      <c r="AH148">
        <v>1</v>
      </c>
      <c r="AI148" t="s">
        <v>217</v>
      </c>
      <c r="AJ148">
        <v>35.539892000000002</v>
      </c>
      <c r="AK148" t="s">
        <v>218</v>
      </c>
      <c r="AL148">
        <v>-76.020004999999998</v>
      </c>
      <c r="AM148">
        <v>25</v>
      </c>
      <c r="AN148">
        <v>3050</v>
      </c>
      <c r="AO148" t="s">
        <v>118</v>
      </c>
      <c r="AP148">
        <v>-73</v>
      </c>
      <c r="AQ148">
        <v>-110</v>
      </c>
      <c r="AR148">
        <v>2176</v>
      </c>
      <c r="AZ148">
        <v>1200</v>
      </c>
      <c r="BA148">
        <v>1</v>
      </c>
      <c r="BB148" t="str">
        <f t="shared" si="20"/>
        <v xml:space="preserve">N79NX   </v>
      </c>
      <c r="BC148">
        <v>1</v>
      </c>
      <c r="BE148">
        <v>0</v>
      </c>
      <c r="BF148">
        <v>0</v>
      </c>
      <c r="BG148">
        <v>0</v>
      </c>
      <c r="BH148">
        <v>2900</v>
      </c>
      <c r="BI148">
        <v>0</v>
      </c>
      <c r="BJ148">
        <v>0</v>
      </c>
      <c r="BK148">
        <v>0</v>
      </c>
      <c r="BL148">
        <v>0</v>
      </c>
      <c r="BO148">
        <v>0</v>
      </c>
      <c r="BP148">
        <v>0</v>
      </c>
      <c r="BW148" t="str">
        <f>"18:36:13.230"</f>
        <v>18:36:13.230</v>
      </c>
      <c r="BZ148">
        <v>0</v>
      </c>
      <c r="CA148">
        <v>3488</v>
      </c>
      <c r="CB148">
        <v>216</v>
      </c>
      <c r="CC148">
        <v>583.59379999999999</v>
      </c>
      <c r="CD148">
        <v>1</v>
      </c>
      <c r="CE148">
        <v>1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2</v>
      </c>
      <c r="CL148">
        <v>0</v>
      </c>
      <c r="CM148">
        <v>2</v>
      </c>
      <c r="CN148">
        <v>0</v>
      </c>
      <c r="CO148">
        <v>6</v>
      </c>
      <c r="CP148" t="s">
        <v>119</v>
      </c>
      <c r="CQ148">
        <v>145</v>
      </c>
      <c r="CR148">
        <v>1</v>
      </c>
      <c r="CW148">
        <v>8870865</v>
      </c>
      <c r="CY148">
        <v>0</v>
      </c>
      <c r="CZ148">
        <v>0</v>
      </c>
      <c r="DA148">
        <v>1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</row>
    <row r="149" spans="1:113" x14ac:dyDescent="0.3">
      <c r="A149" t="str">
        <f>"02/13/2022 18:36:14.669"</f>
        <v>02/13/2022 18:36:14.669</v>
      </c>
      <c r="C149" t="str">
        <f t="shared" si="19"/>
        <v>FFDFD7C0</v>
      </c>
      <c r="D149" t="s">
        <v>113</v>
      </c>
      <c r="E149">
        <v>4</v>
      </c>
      <c r="F149">
        <v>1004</v>
      </c>
      <c r="G149" t="s">
        <v>120</v>
      </c>
      <c r="J149" t="s">
        <v>115</v>
      </c>
      <c r="K149">
        <v>0</v>
      </c>
      <c r="L149">
        <v>3</v>
      </c>
      <c r="M149">
        <v>0</v>
      </c>
      <c r="N149">
        <v>2</v>
      </c>
      <c r="O149">
        <v>1</v>
      </c>
      <c r="P149">
        <v>0</v>
      </c>
      <c r="Q149">
        <v>0</v>
      </c>
      <c r="S149" t="str">
        <f>"18:36:14.359"</f>
        <v>18:36:14.359</v>
      </c>
      <c r="T149" t="str">
        <f>"18:36:14.159"</f>
        <v>18:36:14.159</v>
      </c>
      <c r="U149" t="str">
        <f t="shared" si="17"/>
        <v>AAB6EE</v>
      </c>
      <c r="V149">
        <v>0</v>
      </c>
      <c r="W149">
        <v>0</v>
      </c>
      <c r="X149">
        <v>4</v>
      </c>
      <c r="Z149">
        <v>0</v>
      </c>
      <c r="AA149">
        <v>8</v>
      </c>
      <c r="AB149">
        <v>3</v>
      </c>
      <c r="AC149">
        <v>0</v>
      </c>
      <c r="AD149">
        <v>10</v>
      </c>
      <c r="AE149">
        <v>0</v>
      </c>
      <c r="AF149">
        <v>0</v>
      </c>
      <c r="AG149">
        <v>1</v>
      </c>
      <c r="AH149">
        <v>1</v>
      </c>
      <c r="AI149" t="s">
        <v>219</v>
      </c>
      <c r="AJ149">
        <v>35.539355</v>
      </c>
      <c r="AK149" t="s">
        <v>220</v>
      </c>
      <c r="AL149">
        <v>-76.020411999999993</v>
      </c>
      <c r="AM149">
        <v>25</v>
      </c>
      <c r="AN149">
        <v>3075</v>
      </c>
      <c r="AO149" t="s">
        <v>118</v>
      </c>
      <c r="AP149">
        <v>-72</v>
      </c>
      <c r="AQ149">
        <v>-110</v>
      </c>
      <c r="AR149">
        <v>2112</v>
      </c>
      <c r="AZ149">
        <v>1200</v>
      </c>
      <c r="BA149">
        <v>1</v>
      </c>
      <c r="BB149" t="str">
        <f t="shared" si="20"/>
        <v xml:space="preserve">N79NX   </v>
      </c>
      <c r="BC149">
        <v>1</v>
      </c>
      <c r="BE149">
        <v>0</v>
      </c>
      <c r="BF149">
        <v>0</v>
      </c>
      <c r="BG149">
        <v>0</v>
      </c>
      <c r="BH149">
        <v>2900</v>
      </c>
      <c r="BI149">
        <v>0</v>
      </c>
      <c r="BJ149">
        <v>0</v>
      </c>
      <c r="BK149">
        <v>0</v>
      </c>
      <c r="BL149">
        <v>0</v>
      </c>
      <c r="BO149">
        <v>0</v>
      </c>
      <c r="BP149">
        <v>0</v>
      </c>
      <c r="BW149" t="str">
        <f>"18:36:14.360"</f>
        <v>18:36:14.360</v>
      </c>
      <c r="BZ149">
        <v>0</v>
      </c>
      <c r="CA149">
        <v>3488</v>
      </c>
      <c r="CB149">
        <v>216</v>
      </c>
      <c r="CC149">
        <v>583.59379999999999</v>
      </c>
      <c r="CD149">
        <v>1</v>
      </c>
      <c r="CE149">
        <v>1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2</v>
      </c>
      <c r="CL149">
        <v>0</v>
      </c>
      <c r="CM149">
        <v>2</v>
      </c>
      <c r="CN149">
        <v>0</v>
      </c>
      <c r="CO149">
        <v>6</v>
      </c>
      <c r="CP149" t="s">
        <v>119</v>
      </c>
      <c r="CQ149">
        <v>145</v>
      </c>
      <c r="CR149">
        <v>1</v>
      </c>
      <c r="CW149">
        <v>8871404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</row>
    <row r="150" spans="1:113" x14ac:dyDescent="0.3">
      <c r="A150" t="str">
        <f>"02/13/2022 18:36:14.669"</f>
        <v>02/13/2022 18:36:14.669</v>
      </c>
      <c r="C150" t="str">
        <f t="shared" si="19"/>
        <v>FFDFD7C0</v>
      </c>
      <c r="D150" t="s">
        <v>113</v>
      </c>
      <c r="E150">
        <v>3</v>
      </c>
      <c r="F150">
        <v>1003</v>
      </c>
      <c r="G150" t="s">
        <v>114</v>
      </c>
      <c r="J150" t="s">
        <v>115</v>
      </c>
      <c r="K150">
        <v>0</v>
      </c>
      <c r="L150">
        <v>3</v>
      </c>
      <c r="M150">
        <v>0</v>
      </c>
      <c r="N150">
        <v>2</v>
      </c>
      <c r="O150">
        <v>1</v>
      </c>
      <c r="P150">
        <v>0</v>
      </c>
      <c r="Q150">
        <v>0</v>
      </c>
      <c r="S150" t="str">
        <f>"18:36:14.359"</f>
        <v>18:36:14.359</v>
      </c>
      <c r="T150" t="str">
        <f>"18:36:14.159"</f>
        <v>18:36:14.159</v>
      </c>
      <c r="U150" t="str">
        <f t="shared" si="17"/>
        <v>AAB6EE</v>
      </c>
      <c r="V150">
        <v>0</v>
      </c>
      <c r="W150">
        <v>0</v>
      </c>
      <c r="X150">
        <v>4</v>
      </c>
      <c r="Z150">
        <v>0</v>
      </c>
      <c r="AA150">
        <v>8</v>
      </c>
      <c r="AB150">
        <v>3</v>
      </c>
      <c r="AC150">
        <v>0</v>
      </c>
      <c r="AD150">
        <v>10</v>
      </c>
      <c r="AE150">
        <v>0</v>
      </c>
      <c r="AF150">
        <v>0</v>
      </c>
      <c r="AG150">
        <v>1</v>
      </c>
      <c r="AH150">
        <v>1</v>
      </c>
      <c r="AI150" t="s">
        <v>219</v>
      </c>
      <c r="AJ150">
        <v>35.539355</v>
      </c>
      <c r="AK150" t="s">
        <v>220</v>
      </c>
      <c r="AL150">
        <v>-76.020411999999993</v>
      </c>
      <c r="AM150">
        <v>25</v>
      </c>
      <c r="AN150">
        <v>3075</v>
      </c>
      <c r="AO150" t="s">
        <v>118</v>
      </c>
      <c r="AP150">
        <v>-72</v>
      </c>
      <c r="AQ150">
        <v>-110</v>
      </c>
      <c r="AR150">
        <v>2112</v>
      </c>
      <c r="AZ150">
        <v>1200</v>
      </c>
      <c r="BA150">
        <v>1</v>
      </c>
      <c r="BB150" t="str">
        <f t="shared" si="20"/>
        <v xml:space="preserve">N79NX   </v>
      </c>
      <c r="BC150">
        <v>1</v>
      </c>
      <c r="BE150">
        <v>0</v>
      </c>
      <c r="BF150">
        <v>0</v>
      </c>
      <c r="BG150">
        <v>0</v>
      </c>
      <c r="BH150">
        <v>2900</v>
      </c>
      <c r="BI150">
        <v>0</v>
      </c>
      <c r="BJ150">
        <v>0</v>
      </c>
      <c r="BK150">
        <v>0</v>
      </c>
      <c r="BL150">
        <v>0</v>
      </c>
      <c r="BO150">
        <v>0</v>
      </c>
      <c r="BP150">
        <v>0</v>
      </c>
      <c r="BW150" t="str">
        <f>"18:36:14.360"</f>
        <v>18:36:14.360</v>
      </c>
      <c r="BZ150">
        <v>0</v>
      </c>
      <c r="CA150">
        <v>3488</v>
      </c>
      <c r="CB150">
        <v>216</v>
      </c>
      <c r="CC150">
        <v>583.59379999999999</v>
      </c>
      <c r="CD150">
        <v>1</v>
      </c>
      <c r="CE150">
        <v>1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2</v>
      </c>
      <c r="CL150">
        <v>0</v>
      </c>
      <c r="CM150">
        <v>2</v>
      </c>
      <c r="CN150">
        <v>0</v>
      </c>
      <c r="CO150">
        <v>6</v>
      </c>
      <c r="CP150" t="s">
        <v>119</v>
      </c>
      <c r="CQ150">
        <v>145</v>
      </c>
      <c r="CR150">
        <v>1</v>
      </c>
      <c r="CW150">
        <v>8871404</v>
      </c>
      <c r="CY150">
        <v>0</v>
      </c>
      <c r="CZ150">
        <v>0</v>
      </c>
      <c r="DA150">
        <v>1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</row>
    <row r="151" spans="1:113" x14ac:dyDescent="0.3">
      <c r="A151" t="str">
        <f>"02/13/2022 18:36:14.700"</f>
        <v>02/13/2022 18:36:14.700</v>
      </c>
      <c r="C151" t="str">
        <f t="shared" si="19"/>
        <v>FFDFD7C0</v>
      </c>
      <c r="D151" t="s">
        <v>121</v>
      </c>
      <c r="E151">
        <v>2</v>
      </c>
      <c r="H151">
        <v>158</v>
      </c>
      <c r="I151" t="s">
        <v>120</v>
      </c>
      <c r="J151" t="s">
        <v>122</v>
      </c>
      <c r="K151">
        <v>0</v>
      </c>
      <c r="L151">
        <v>3</v>
      </c>
      <c r="M151">
        <v>0</v>
      </c>
      <c r="N151">
        <v>2</v>
      </c>
      <c r="O151">
        <v>1</v>
      </c>
      <c r="P151">
        <v>0</v>
      </c>
      <c r="Q151">
        <v>0</v>
      </c>
      <c r="S151" t="str">
        <f>"18:36:14.359"</f>
        <v>18:36:14.359</v>
      </c>
      <c r="T151" t="str">
        <f>"18:36:14.159"</f>
        <v>18:36:14.159</v>
      </c>
      <c r="U151" t="str">
        <f t="shared" si="17"/>
        <v>AAB6EE</v>
      </c>
      <c r="V151">
        <v>0</v>
      </c>
      <c r="W151">
        <v>0</v>
      </c>
      <c r="X151">
        <v>4</v>
      </c>
      <c r="Z151">
        <v>0</v>
      </c>
      <c r="AA151">
        <v>8</v>
      </c>
      <c r="AB151">
        <v>3</v>
      </c>
      <c r="AC151">
        <v>0</v>
      </c>
      <c r="AD151">
        <v>10</v>
      </c>
      <c r="AE151">
        <v>0</v>
      </c>
      <c r="AF151">
        <v>0</v>
      </c>
      <c r="AG151">
        <v>1</v>
      </c>
      <c r="AH151">
        <v>1</v>
      </c>
      <c r="AI151" t="s">
        <v>219</v>
      </c>
      <c r="AJ151">
        <v>35.539355</v>
      </c>
      <c r="AK151" t="s">
        <v>220</v>
      </c>
      <c r="AL151">
        <v>-76.020411999999993</v>
      </c>
      <c r="AM151">
        <v>25</v>
      </c>
      <c r="AN151">
        <v>3075</v>
      </c>
      <c r="AO151" t="s">
        <v>118</v>
      </c>
      <c r="AP151">
        <v>-72</v>
      </c>
      <c r="AQ151">
        <v>-110</v>
      </c>
      <c r="AR151">
        <v>2112</v>
      </c>
      <c r="AZ151">
        <v>1200</v>
      </c>
      <c r="BA151">
        <v>1</v>
      </c>
      <c r="BB151" t="str">
        <f t="shared" si="20"/>
        <v xml:space="preserve">N79NX   </v>
      </c>
      <c r="BC151">
        <v>1</v>
      </c>
      <c r="BE151">
        <v>0</v>
      </c>
      <c r="BF151">
        <v>0</v>
      </c>
      <c r="BG151">
        <v>0</v>
      </c>
      <c r="BH151">
        <v>2900</v>
      </c>
      <c r="BI151">
        <v>0</v>
      </c>
      <c r="BJ151">
        <v>0</v>
      </c>
      <c r="BK151">
        <v>0</v>
      </c>
      <c r="BL151">
        <v>0</v>
      </c>
      <c r="BO151">
        <v>0</v>
      </c>
      <c r="BP151">
        <v>0</v>
      </c>
      <c r="BW151" t="str">
        <f>"18:36:14.360"</f>
        <v>18:36:14.360</v>
      </c>
      <c r="BZ151">
        <v>0</v>
      </c>
      <c r="CA151">
        <v>3488</v>
      </c>
      <c r="CB151">
        <v>216</v>
      </c>
      <c r="CC151">
        <v>583.59379999999999</v>
      </c>
      <c r="CD151">
        <v>1</v>
      </c>
      <c r="CE151">
        <v>1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2</v>
      </c>
      <c r="CL151">
        <v>0</v>
      </c>
      <c r="CM151">
        <v>2</v>
      </c>
      <c r="CN151">
        <v>0</v>
      </c>
      <c r="CO151">
        <v>6</v>
      </c>
      <c r="CP151" t="s">
        <v>119</v>
      </c>
      <c r="CQ151">
        <v>145</v>
      </c>
      <c r="CR151">
        <v>1</v>
      </c>
      <c r="CW151">
        <v>8871404</v>
      </c>
      <c r="CY151">
        <v>0</v>
      </c>
      <c r="CZ151">
        <v>0</v>
      </c>
      <c r="DA151">
        <v>1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</row>
    <row r="152" spans="1:113" x14ac:dyDescent="0.3">
      <c r="A152" t="str">
        <f>"02/13/2022 18:36:15.498"</f>
        <v>02/13/2022 18:36:15.498</v>
      </c>
      <c r="C152" t="str">
        <f t="shared" si="19"/>
        <v>FFDFD7C0</v>
      </c>
      <c r="D152" t="s">
        <v>113</v>
      </c>
      <c r="E152">
        <v>3</v>
      </c>
      <c r="F152">
        <v>1003</v>
      </c>
      <c r="G152" t="s">
        <v>114</v>
      </c>
      <c r="J152" t="s">
        <v>115</v>
      </c>
      <c r="K152">
        <v>0</v>
      </c>
      <c r="L152">
        <v>3</v>
      </c>
      <c r="M152">
        <v>0</v>
      </c>
      <c r="N152">
        <v>2</v>
      </c>
      <c r="O152">
        <v>1</v>
      </c>
      <c r="P152">
        <v>0</v>
      </c>
      <c r="Q152">
        <v>0</v>
      </c>
      <c r="S152" t="str">
        <f>"18:36:15.273"</f>
        <v>18:36:15.273</v>
      </c>
      <c r="T152" t="str">
        <f>"18:36:15.173"</f>
        <v>18:36:15.173</v>
      </c>
      <c r="U152" t="str">
        <f t="shared" si="17"/>
        <v>AAB6EE</v>
      </c>
      <c r="V152">
        <v>0</v>
      </c>
      <c r="W152">
        <v>0</v>
      </c>
      <c r="X152">
        <v>4</v>
      </c>
      <c r="Z152">
        <v>0</v>
      </c>
      <c r="AA152">
        <v>8</v>
      </c>
      <c r="AB152">
        <v>3</v>
      </c>
      <c r="AC152">
        <v>0</v>
      </c>
      <c r="AD152">
        <v>10</v>
      </c>
      <c r="AE152">
        <v>0</v>
      </c>
      <c r="AF152">
        <v>0</v>
      </c>
      <c r="AG152">
        <v>1</v>
      </c>
      <c r="AH152">
        <v>1</v>
      </c>
      <c r="AI152" t="s">
        <v>221</v>
      </c>
      <c r="AJ152">
        <v>35.538862000000002</v>
      </c>
      <c r="AK152" t="s">
        <v>222</v>
      </c>
      <c r="AL152">
        <v>-76.020776999999995</v>
      </c>
      <c r="AM152">
        <v>25</v>
      </c>
      <c r="AN152">
        <v>3100</v>
      </c>
      <c r="AO152" t="s">
        <v>118</v>
      </c>
      <c r="AP152">
        <v>-71</v>
      </c>
      <c r="AQ152">
        <v>-111</v>
      </c>
      <c r="AR152">
        <v>1984</v>
      </c>
      <c r="AZ152">
        <v>1200</v>
      </c>
      <c r="BA152">
        <v>1</v>
      </c>
      <c r="BB152" t="str">
        <f t="shared" si="20"/>
        <v xml:space="preserve">N79NX   </v>
      </c>
      <c r="BC152">
        <v>1</v>
      </c>
      <c r="BE152">
        <v>0</v>
      </c>
      <c r="BF152">
        <v>0</v>
      </c>
      <c r="BG152">
        <v>0</v>
      </c>
      <c r="BH152">
        <v>2950</v>
      </c>
      <c r="BI152">
        <v>0</v>
      </c>
      <c r="BJ152">
        <v>0</v>
      </c>
      <c r="BK152">
        <v>0</v>
      </c>
      <c r="BL152">
        <v>0</v>
      </c>
      <c r="BO152">
        <v>0</v>
      </c>
      <c r="BP152">
        <v>0</v>
      </c>
      <c r="BW152" t="str">
        <f>"18:36:15.280"</f>
        <v>18:36:15.280</v>
      </c>
      <c r="BZ152">
        <v>0</v>
      </c>
      <c r="CA152">
        <v>3488</v>
      </c>
      <c r="CB152">
        <v>216</v>
      </c>
      <c r="CC152">
        <v>583.59379999999999</v>
      </c>
      <c r="CD152">
        <v>1</v>
      </c>
      <c r="CE152">
        <v>1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2</v>
      </c>
      <c r="CL152">
        <v>0</v>
      </c>
      <c r="CM152">
        <v>2</v>
      </c>
      <c r="CN152">
        <v>0</v>
      </c>
      <c r="CO152">
        <v>6</v>
      </c>
      <c r="CP152" t="s">
        <v>119</v>
      </c>
      <c r="CQ152">
        <v>145</v>
      </c>
      <c r="CR152">
        <v>1</v>
      </c>
      <c r="CW152">
        <v>8871859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</row>
    <row r="153" spans="1:113" x14ac:dyDescent="0.3">
      <c r="A153" t="str">
        <f>"02/13/2022 18:36:15.498"</f>
        <v>02/13/2022 18:36:15.498</v>
      </c>
      <c r="C153" t="str">
        <f t="shared" si="19"/>
        <v>FFDFD7C0</v>
      </c>
      <c r="D153" t="s">
        <v>113</v>
      </c>
      <c r="E153">
        <v>4</v>
      </c>
      <c r="F153">
        <v>1004</v>
      </c>
      <c r="G153" t="s">
        <v>120</v>
      </c>
      <c r="J153" t="s">
        <v>115</v>
      </c>
      <c r="K153">
        <v>0</v>
      </c>
      <c r="L153">
        <v>3</v>
      </c>
      <c r="M153">
        <v>0</v>
      </c>
      <c r="N153">
        <v>2</v>
      </c>
      <c r="O153">
        <v>1</v>
      </c>
      <c r="P153">
        <v>0</v>
      </c>
      <c r="Q153">
        <v>0</v>
      </c>
      <c r="S153" t="str">
        <f>"18:36:15.273"</f>
        <v>18:36:15.273</v>
      </c>
      <c r="T153" t="str">
        <f>"18:36:15.173"</f>
        <v>18:36:15.173</v>
      </c>
      <c r="U153" t="str">
        <f t="shared" si="17"/>
        <v>AAB6EE</v>
      </c>
      <c r="V153">
        <v>0</v>
      </c>
      <c r="W153">
        <v>0</v>
      </c>
      <c r="X153">
        <v>4</v>
      </c>
      <c r="Z153">
        <v>0</v>
      </c>
      <c r="AA153">
        <v>8</v>
      </c>
      <c r="AB153">
        <v>3</v>
      </c>
      <c r="AC153">
        <v>0</v>
      </c>
      <c r="AD153">
        <v>10</v>
      </c>
      <c r="AE153">
        <v>0</v>
      </c>
      <c r="AF153">
        <v>0</v>
      </c>
      <c r="AG153">
        <v>1</v>
      </c>
      <c r="AH153">
        <v>1</v>
      </c>
      <c r="AI153" t="s">
        <v>221</v>
      </c>
      <c r="AJ153">
        <v>35.538862000000002</v>
      </c>
      <c r="AK153" t="s">
        <v>222</v>
      </c>
      <c r="AL153">
        <v>-76.020776999999995</v>
      </c>
      <c r="AM153">
        <v>25</v>
      </c>
      <c r="AN153">
        <v>3100</v>
      </c>
      <c r="AO153" t="s">
        <v>118</v>
      </c>
      <c r="AP153">
        <v>-71</v>
      </c>
      <c r="AQ153">
        <v>-111</v>
      </c>
      <c r="AR153">
        <v>1984</v>
      </c>
      <c r="AZ153">
        <v>1200</v>
      </c>
      <c r="BA153">
        <v>1</v>
      </c>
      <c r="BB153" t="str">
        <f t="shared" si="20"/>
        <v xml:space="preserve">N79NX   </v>
      </c>
      <c r="BC153">
        <v>1</v>
      </c>
      <c r="BE153">
        <v>0</v>
      </c>
      <c r="BF153">
        <v>0</v>
      </c>
      <c r="BG153">
        <v>0</v>
      </c>
      <c r="BH153">
        <v>2950</v>
      </c>
      <c r="BI153">
        <v>0</v>
      </c>
      <c r="BJ153">
        <v>0</v>
      </c>
      <c r="BK153">
        <v>0</v>
      </c>
      <c r="BL153">
        <v>0</v>
      </c>
      <c r="BO153">
        <v>0</v>
      </c>
      <c r="BP153">
        <v>0</v>
      </c>
      <c r="BW153" t="str">
        <f>"18:36:15.280"</f>
        <v>18:36:15.280</v>
      </c>
      <c r="BZ153">
        <v>0</v>
      </c>
      <c r="CA153">
        <v>3488</v>
      </c>
      <c r="CB153">
        <v>216</v>
      </c>
      <c r="CC153">
        <v>583.59379999999999</v>
      </c>
      <c r="CD153">
        <v>1</v>
      </c>
      <c r="CE153">
        <v>1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2</v>
      </c>
      <c r="CL153">
        <v>0</v>
      </c>
      <c r="CM153">
        <v>2</v>
      </c>
      <c r="CN153">
        <v>0</v>
      </c>
      <c r="CO153">
        <v>6</v>
      </c>
      <c r="CP153" t="s">
        <v>119</v>
      </c>
      <c r="CQ153">
        <v>145</v>
      </c>
      <c r="CR153">
        <v>1</v>
      </c>
      <c r="CW153">
        <v>8871859</v>
      </c>
      <c r="CY153">
        <v>0</v>
      </c>
      <c r="CZ153">
        <v>0</v>
      </c>
      <c r="DA153">
        <v>1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</row>
    <row r="154" spans="1:113" x14ac:dyDescent="0.3">
      <c r="A154" t="str">
        <f>"02/13/2022 18:36:15.498"</f>
        <v>02/13/2022 18:36:15.498</v>
      </c>
      <c r="C154" t="str">
        <f t="shared" si="19"/>
        <v>FFDFD7C0</v>
      </c>
      <c r="D154" t="s">
        <v>121</v>
      </c>
      <c r="E154">
        <v>2</v>
      </c>
      <c r="H154">
        <v>158</v>
      </c>
      <c r="I154" t="s">
        <v>120</v>
      </c>
      <c r="J154" t="s">
        <v>122</v>
      </c>
      <c r="K154">
        <v>0</v>
      </c>
      <c r="L154">
        <v>3</v>
      </c>
      <c r="M154">
        <v>0</v>
      </c>
      <c r="N154">
        <v>2</v>
      </c>
      <c r="O154">
        <v>1</v>
      </c>
      <c r="P154">
        <v>0</v>
      </c>
      <c r="Q154">
        <v>0</v>
      </c>
      <c r="S154" t="str">
        <f>"18:36:15.273"</f>
        <v>18:36:15.273</v>
      </c>
      <c r="T154" t="str">
        <f>"18:36:15.173"</f>
        <v>18:36:15.173</v>
      </c>
      <c r="U154" t="str">
        <f t="shared" si="17"/>
        <v>AAB6EE</v>
      </c>
      <c r="V154">
        <v>0</v>
      </c>
      <c r="W154">
        <v>0</v>
      </c>
      <c r="X154">
        <v>4</v>
      </c>
      <c r="Z154">
        <v>0</v>
      </c>
      <c r="AA154">
        <v>8</v>
      </c>
      <c r="AB154">
        <v>3</v>
      </c>
      <c r="AC154">
        <v>0</v>
      </c>
      <c r="AD154">
        <v>10</v>
      </c>
      <c r="AE154">
        <v>0</v>
      </c>
      <c r="AF154">
        <v>0</v>
      </c>
      <c r="AG154">
        <v>1</v>
      </c>
      <c r="AH154">
        <v>1</v>
      </c>
      <c r="AI154" t="s">
        <v>221</v>
      </c>
      <c r="AJ154">
        <v>35.538862000000002</v>
      </c>
      <c r="AK154" t="s">
        <v>222</v>
      </c>
      <c r="AL154">
        <v>-76.020776999999995</v>
      </c>
      <c r="AM154">
        <v>25</v>
      </c>
      <c r="AN154">
        <v>3100</v>
      </c>
      <c r="AO154" t="s">
        <v>118</v>
      </c>
      <c r="AP154">
        <v>-71</v>
      </c>
      <c r="AQ154">
        <v>-111</v>
      </c>
      <c r="AR154">
        <v>1984</v>
      </c>
      <c r="AZ154">
        <v>1200</v>
      </c>
      <c r="BA154">
        <v>1</v>
      </c>
      <c r="BB154" t="str">
        <f t="shared" si="20"/>
        <v xml:space="preserve">N79NX   </v>
      </c>
      <c r="BC154">
        <v>1</v>
      </c>
      <c r="BE154">
        <v>0</v>
      </c>
      <c r="BF154">
        <v>0</v>
      </c>
      <c r="BG154">
        <v>0</v>
      </c>
      <c r="BH154">
        <v>2950</v>
      </c>
      <c r="BI154">
        <v>0</v>
      </c>
      <c r="BJ154">
        <v>0</v>
      </c>
      <c r="BK154">
        <v>0</v>
      </c>
      <c r="BL154">
        <v>0</v>
      </c>
      <c r="BO154">
        <v>0</v>
      </c>
      <c r="BP154">
        <v>0</v>
      </c>
      <c r="BW154" t="str">
        <f>"18:36:15.280"</f>
        <v>18:36:15.280</v>
      </c>
      <c r="BZ154">
        <v>0</v>
      </c>
      <c r="CA154">
        <v>3488</v>
      </c>
      <c r="CB154">
        <v>216</v>
      </c>
      <c r="CC154">
        <v>583.59379999999999</v>
      </c>
      <c r="CD154">
        <v>1</v>
      </c>
      <c r="CE154">
        <v>1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2</v>
      </c>
      <c r="CL154">
        <v>0</v>
      </c>
      <c r="CM154">
        <v>2</v>
      </c>
      <c r="CN154">
        <v>0</v>
      </c>
      <c r="CO154">
        <v>6</v>
      </c>
      <c r="CP154" t="s">
        <v>119</v>
      </c>
      <c r="CQ154">
        <v>145</v>
      </c>
      <c r="CR154">
        <v>1</v>
      </c>
      <c r="CW154">
        <v>8871859</v>
      </c>
      <c r="CY154">
        <v>0</v>
      </c>
      <c r="CZ154">
        <v>0</v>
      </c>
      <c r="DA154">
        <v>1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</row>
    <row r="155" spans="1:113" x14ac:dyDescent="0.3">
      <c r="A155" t="str">
        <f>"02/13/2022 18:36:16.514"</f>
        <v>02/13/2022 18:36:16.514</v>
      </c>
      <c r="C155" t="str">
        <f t="shared" si="19"/>
        <v>FFDFD7C0</v>
      </c>
      <c r="D155" t="s">
        <v>113</v>
      </c>
      <c r="E155">
        <v>3</v>
      </c>
      <c r="F155">
        <v>1003</v>
      </c>
      <c r="G155" t="s">
        <v>114</v>
      </c>
      <c r="J155" t="s">
        <v>115</v>
      </c>
      <c r="K155">
        <v>0</v>
      </c>
      <c r="L155">
        <v>3</v>
      </c>
      <c r="M155">
        <v>0</v>
      </c>
      <c r="N155">
        <v>2</v>
      </c>
      <c r="O155">
        <v>1</v>
      </c>
      <c r="P155">
        <v>0</v>
      </c>
      <c r="Q155">
        <v>0</v>
      </c>
      <c r="S155" t="str">
        <f>"18:36:16.266"</f>
        <v>18:36:16.266</v>
      </c>
      <c r="T155" t="str">
        <f>"18:36:15.766"</f>
        <v>18:36:15.766</v>
      </c>
      <c r="U155" t="str">
        <f t="shared" si="17"/>
        <v>AAB6EE</v>
      </c>
      <c r="V155">
        <v>0</v>
      </c>
      <c r="W155">
        <v>0</v>
      </c>
      <c r="X155">
        <v>4</v>
      </c>
      <c r="Z155">
        <v>0</v>
      </c>
      <c r="AA155">
        <v>8</v>
      </c>
      <c r="AB155">
        <v>3</v>
      </c>
      <c r="AC155">
        <v>0</v>
      </c>
      <c r="AD155">
        <v>10</v>
      </c>
      <c r="AE155">
        <v>0</v>
      </c>
      <c r="AF155">
        <v>0</v>
      </c>
      <c r="AG155">
        <v>1</v>
      </c>
      <c r="AH155">
        <v>1</v>
      </c>
      <c r="AI155" t="s">
        <v>223</v>
      </c>
      <c r="AJ155">
        <v>35.538347000000002</v>
      </c>
      <c r="AK155" t="s">
        <v>224</v>
      </c>
      <c r="AL155">
        <v>-76.021185000000003</v>
      </c>
      <c r="AM155">
        <v>25</v>
      </c>
      <c r="AN155">
        <v>3150</v>
      </c>
      <c r="AO155" t="s">
        <v>118</v>
      </c>
      <c r="AP155">
        <v>-70</v>
      </c>
      <c r="AQ155">
        <v>-111</v>
      </c>
      <c r="AR155">
        <v>1920</v>
      </c>
      <c r="AZ155">
        <v>1200</v>
      </c>
      <c r="BA155">
        <v>1</v>
      </c>
      <c r="BB155" t="str">
        <f t="shared" si="20"/>
        <v xml:space="preserve">N79NX   </v>
      </c>
      <c r="BC155">
        <v>1</v>
      </c>
      <c r="BE155">
        <v>0</v>
      </c>
      <c r="BF155">
        <v>0</v>
      </c>
      <c r="BG155">
        <v>0</v>
      </c>
      <c r="BH155">
        <v>2950</v>
      </c>
      <c r="BI155">
        <v>0</v>
      </c>
      <c r="BJ155">
        <v>0</v>
      </c>
      <c r="BK155">
        <v>0</v>
      </c>
      <c r="BL155">
        <v>0</v>
      </c>
      <c r="BO155">
        <v>0</v>
      </c>
      <c r="BP155">
        <v>0</v>
      </c>
      <c r="BW155" t="str">
        <f>"18:36:16.270"</f>
        <v>18:36:16.270</v>
      </c>
      <c r="BZ155">
        <v>0</v>
      </c>
      <c r="CA155">
        <v>3488</v>
      </c>
      <c r="CB155">
        <v>216</v>
      </c>
      <c r="CC155">
        <v>583.59379999999999</v>
      </c>
      <c r="CD155">
        <v>1</v>
      </c>
      <c r="CE155">
        <v>1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2</v>
      </c>
      <c r="CL155">
        <v>0</v>
      </c>
      <c r="CM155">
        <v>2</v>
      </c>
      <c r="CN155">
        <v>0</v>
      </c>
      <c r="CO155">
        <v>6</v>
      </c>
      <c r="CP155" t="s">
        <v>119</v>
      </c>
      <c r="CQ155">
        <v>145</v>
      </c>
      <c r="CR155">
        <v>1</v>
      </c>
      <c r="CW155">
        <v>8872360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</row>
    <row r="156" spans="1:113" x14ac:dyDescent="0.3">
      <c r="A156" t="str">
        <f>"02/13/2022 18:36:16.514"</f>
        <v>02/13/2022 18:36:16.514</v>
      </c>
      <c r="C156" t="str">
        <f t="shared" si="19"/>
        <v>FFDFD7C0</v>
      </c>
      <c r="D156" t="s">
        <v>113</v>
      </c>
      <c r="E156">
        <v>4</v>
      </c>
      <c r="F156">
        <v>1004</v>
      </c>
      <c r="G156" t="s">
        <v>120</v>
      </c>
      <c r="J156" t="s">
        <v>115</v>
      </c>
      <c r="K156">
        <v>0</v>
      </c>
      <c r="L156">
        <v>3</v>
      </c>
      <c r="M156">
        <v>0</v>
      </c>
      <c r="N156">
        <v>2</v>
      </c>
      <c r="O156">
        <v>1</v>
      </c>
      <c r="P156">
        <v>0</v>
      </c>
      <c r="Q156">
        <v>0</v>
      </c>
      <c r="S156" t="str">
        <f>"18:36:16.266"</f>
        <v>18:36:16.266</v>
      </c>
      <c r="T156" t="str">
        <f>"18:36:15.766"</f>
        <v>18:36:15.766</v>
      </c>
      <c r="U156" t="str">
        <f t="shared" si="17"/>
        <v>AAB6EE</v>
      </c>
      <c r="V156">
        <v>0</v>
      </c>
      <c r="W156">
        <v>0</v>
      </c>
      <c r="X156">
        <v>4</v>
      </c>
      <c r="Z156">
        <v>0</v>
      </c>
      <c r="AA156">
        <v>8</v>
      </c>
      <c r="AB156">
        <v>3</v>
      </c>
      <c r="AC156">
        <v>0</v>
      </c>
      <c r="AD156">
        <v>10</v>
      </c>
      <c r="AE156">
        <v>0</v>
      </c>
      <c r="AF156">
        <v>0</v>
      </c>
      <c r="AG156">
        <v>1</v>
      </c>
      <c r="AH156">
        <v>1</v>
      </c>
      <c r="AI156" t="s">
        <v>223</v>
      </c>
      <c r="AJ156">
        <v>35.538347000000002</v>
      </c>
      <c r="AK156" t="s">
        <v>224</v>
      </c>
      <c r="AL156">
        <v>-76.021185000000003</v>
      </c>
      <c r="AM156">
        <v>25</v>
      </c>
      <c r="AN156">
        <v>3150</v>
      </c>
      <c r="AO156" t="s">
        <v>118</v>
      </c>
      <c r="AP156">
        <v>-70</v>
      </c>
      <c r="AQ156">
        <v>-111</v>
      </c>
      <c r="AR156">
        <v>1920</v>
      </c>
      <c r="AZ156">
        <v>1200</v>
      </c>
      <c r="BA156">
        <v>1</v>
      </c>
      <c r="BB156" t="str">
        <f t="shared" si="20"/>
        <v xml:space="preserve">N79NX   </v>
      </c>
      <c r="BC156">
        <v>1</v>
      </c>
      <c r="BE156">
        <v>0</v>
      </c>
      <c r="BF156">
        <v>0</v>
      </c>
      <c r="BG156">
        <v>0</v>
      </c>
      <c r="BH156">
        <v>2950</v>
      </c>
      <c r="BI156">
        <v>0</v>
      </c>
      <c r="BJ156">
        <v>0</v>
      </c>
      <c r="BK156">
        <v>0</v>
      </c>
      <c r="BL156">
        <v>0</v>
      </c>
      <c r="BO156">
        <v>0</v>
      </c>
      <c r="BP156">
        <v>0</v>
      </c>
      <c r="BW156" t="str">
        <f>"18:36:16.270"</f>
        <v>18:36:16.270</v>
      </c>
      <c r="BZ156">
        <v>0</v>
      </c>
      <c r="CA156">
        <v>3488</v>
      </c>
      <c r="CB156">
        <v>216</v>
      </c>
      <c r="CC156">
        <v>583.59379999999999</v>
      </c>
      <c r="CD156">
        <v>1</v>
      </c>
      <c r="CE156">
        <v>1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2</v>
      </c>
      <c r="CL156">
        <v>0</v>
      </c>
      <c r="CM156">
        <v>2</v>
      </c>
      <c r="CN156">
        <v>0</v>
      </c>
      <c r="CO156">
        <v>6</v>
      </c>
      <c r="CP156" t="s">
        <v>119</v>
      </c>
      <c r="CQ156">
        <v>145</v>
      </c>
      <c r="CR156">
        <v>1</v>
      </c>
      <c r="CW156">
        <v>8872360</v>
      </c>
      <c r="CY156">
        <v>0</v>
      </c>
      <c r="CZ156">
        <v>0</v>
      </c>
      <c r="DA156">
        <v>1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</row>
    <row r="157" spans="1:113" x14ac:dyDescent="0.3">
      <c r="A157" t="str">
        <f>"02/13/2022 18:36:16.514"</f>
        <v>02/13/2022 18:36:16.514</v>
      </c>
      <c r="C157" t="str">
        <f t="shared" si="19"/>
        <v>FFDFD7C0</v>
      </c>
      <c r="D157" t="s">
        <v>121</v>
      </c>
      <c r="E157">
        <v>2</v>
      </c>
      <c r="H157">
        <v>158</v>
      </c>
      <c r="I157" t="s">
        <v>120</v>
      </c>
      <c r="J157" t="s">
        <v>122</v>
      </c>
      <c r="K157">
        <v>0</v>
      </c>
      <c r="L157">
        <v>3</v>
      </c>
      <c r="M157">
        <v>0</v>
      </c>
      <c r="N157">
        <v>2</v>
      </c>
      <c r="O157">
        <v>1</v>
      </c>
      <c r="P157">
        <v>0</v>
      </c>
      <c r="Q157">
        <v>0</v>
      </c>
      <c r="S157" t="str">
        <f>"18:36:16.266"</f>
        <v>18:36:16.266</v>
      </c>
      <c r="T157" t="str">
        <f>"18:36:15.766"</f>
        <v>18:36:15.766</v>
      </c>
      <c r="U157" t="str">
        <f t="shared" si="17"/>
        <v>AAB6EE</v>
      </c>
      <c r="V157">
        <v>0</v>
      </c>
      <c r="W157">
        <v>0</v>
      </c>
      <c r="X157">
        <v>4</v>
      </c>
      <c r="Z157">
        <v>0</v>
      </c>
      <c r="AA157">
        <v>8</v>
      </c>
      <c r="AB157">
        <v>3</v>
      </c>
      <c r="AC157">
        <v>0</v>
      </c>
      <c r="AD157">
        <v>10</v>
      </c>
      <c r="AE157">
        <v>0</v>
      </c>
      <c r="AF157">
        <v>0</v>
      </c>
      <c r="AG157">
        <v>1</v>
      </c>
      <c r="AH157">
        <v>1</v>
      </c>
      <c r="AI157" t="s">
        <v>223</v>
      </c>
      <c r="AJ157">
        <v>35.538347000000002</v>
      </c>
      <c r="AK157" t="s">
        <v>224</v>
      </c>
      <c r="AL157">
        <v>-76.021185000000003</v>
      </c>
      <c r="AM157">
        <v>25</v>
      </c>
      <c r="AN157">
        <v>3150</v>
      </c>
      <c r="AO157" t="s">
        <v>118</v>
      </c>
      <c r="AP157">
        <v>-70</v>
      </c>
      <c r="AQ157">
        <v>-111</v>
      </c>
      <c r="AR157">
        <v>1920</v>
      </c>
      <c r="AZ157">
        <v>1200</v>
      </c>
      <c r="BA157">
        <v>1</v>
      </c>
      <c r="BB157" t="str">
        <f t="shared" si="20"/>
        <v xml:space="preserve">N79NX   </v>
      </c>
      <c r="BC157">
        <v>1</v>
      </c>
      <c r="BE157">
        <v>0</v>
      </c>
      <c r="BF157">
        <v>0</v>
      </c>
      <c r="BG157">
        <v>0</v>
      </c>
      <c r="BH157">
        <v>2950</v>
      </c>
      <c r="BI157">
        <v>0</v>
      </c>
      <c r="BJ157">
        <v>0</v>
      </c>
      <c r="BK157">
        <v>0</v>
      </c>
      <c r="BL157">
        <v>0</v>
      </c>
      <c r="BO157">
        <v>0</v>
      </c>
      <c r="BP157">
        <v>0</v>
      </c>
      <c r="BW157" t="str">
        <f>"18:36:16.270"</f>
        <v>18:36:16.270</v>
      </c>
      <c r="BZ157">
        <v>0</v>
      </c>
      <c r="CA157">
        <v>3488</v>
      </c>
      <c r="CB157">
        <v>216</v>
      </c>
      <c r="CC157">
        <v>583.59379999999999</v>
      </c>
      <c r="CD157">
        <v>1</v>
      </c>
      <c r="CE157">
        <v>1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2</v>
      </c>
      <c r="CL157">
        <v>0</v>
      </c>
      <c r="CM157">
        <v>2</v>
      </c>
      <c r="CN157">
        <v>0</v>
      </c>
      <c r="CO157">
        <v>6</v>
      </c>
      <c r="CP157" t="s">
        <v>119</v>
      </c>
      <c r="CQ157">
        <v>145</v>
      </c>
      <c r="CR157">
        <v>1</v>
      </c>
      <c r="CW157">
        <v>8872360</v>
      </c>
      <c r="CY157">
        <v>0</v>
      </c>
      <c r="CZ157">
        <v>0</v>
      </c>
      <c r="DA157">
        <v>1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</row>
    <row r="158" spans="1:113" x14ac:dyDescent="0.3">
      <c r="A158" t="str">
        <f>"02/13/2022 18:36:17.389"</f>
        <v>02/13/2022 18:36:17.389</v>
      </c>
      <c r="C158" t="str">
        <f t="shared" si="19"/>
        <v>FFDFD7C0</v>
      </c>
      <c r="D158" t="s">
        <v>121</v>
      </c>
      <c r="E158">
        <v>2</v>
      </c>
      <c r="H158">
        <v>158</v>
      </c>
      <c r="I158" t="s">
        <v>120</v>
      </c>
      <c r="J158" t="s">
        <v>122</v>
      </c>
      <c r="K158">
        <v>0</v>
      </c>
      <c r="L158">
        <v>3</v>
      </c>
      <c r="M158">
        <v>0</v>
      </c>
      <c r="N158">
        <v>2</v>
      </c>
      <c r="O158">
        <v>1</v>
      </c>
      <c r="P158">
        <v>0</v>
      </c>
      <c r="Q158">
        <v>0</v>
      </c>
      <c r="S158" t="str">
        <f>"18:36:17.195"</f>
        <v>18:36:17.195</v>
      </c>
      <c r="T158" t="str">
        <f>"18:36:16.895"</f>
        <v>18:36:16.895</v>
      </c>
      <c r="U158" t="str">
        <f t="shared" si="17"/>
        <v>AAB6EE</v>
      </c>
      <c r="V158">
        <v>0</v>
      </c>
      <c r="W158">
        <v>0</v>
      </c>
      <c r="X158">
        <v>4</v>
      </c>
      <c r="Z158">
        <v>0</v>
      </c>
      <c r="AA158">
        <v>8</v>
      </c>
      <c r="AB158">
        <v>3</v>
      </c>
      <c r="AC158">
        <v>0</v>
      </c>
      <c r="AD158">
        <v>10</v>
      </c>
      <c r="AE158">
        <v>0</v>
      </c>
      <c r="AF158">
        <v>0</v>
      </c>
      <c r="AG158">
        <v>1</v>
      </c>
      <c r="AH158">
        <v>1</v>
      </c>
      <c r="AI158" t="s">
        <v>225</v>
      </c>
      <c r="AJ158">
        <v>35.537896000000003</v>
      </c>
      <c r="AK158" t="s">
        <v>226</v>
      </c>
      <c r="AL158">
        <v>-76.021550000000005</v>
      </c>
      <c r="AM158">
        <v>25</v>
      </c>
      <c r="AN158">
        <v>3175</v>
      </c>
      <c r="AO158" t="s">
        <v>118</v>
      </c>
      <c r="AP158">
        <v>-70</v>
      </c>
      <c r="AQ158">
        <v>-111</v>
      </c>
      <c r="AR158">
        <v>1920</v>
      </c>
      <c r="AZ158">
        <v>1200</v>
      </c>
      <c r="BA158">
        <v>1</v>
      </c>
      <c r="BB158" t="str">
        <f t="shared" si="20"/>
        <v xml:space="preserve">N79NX   </v>
      </c>
      <c r="BC158">
        <v>1</v>
      </c>
      <c r="BE158">
        <v>0</v>
      </c>
      <c r="BF158">
        <v>0</v>
      </c>
      <c r="BG158">
        <v>0</v>
      </c>
      <c r="BH158">
        <v>3000</v>
      </c>
      <c r="BI158">
        <v>0</v>
      </c>
      <c r="BJ158">
        <v>0</v>
      </c>
      <c r="BK158">
        <v>0</v>
      </c>
      <c r="BL158">
        <v>0</v>
      </c>
      <c r="BO158">
        <v>0</v>
      </c>
      <c r="BP158">
        <v>0</v>
      </c>
      <c r="BW158" t="str">
        <f>"18:36:17.200"</f>
        <v>18:36:17.200</v>
      </c>
      <c r="BZ158">
        <v>0</v>
      </c>
      <c r="CA158">
        <v>3488</v>
      </c>
      <c r="CB158">
        <v>216</v>
      </c>
      <c r="CC158">
        <v>583.59379999999999</v>
      </c>
      <c r="CD158">
        <v>1</v>
      </c>
      <c r="CE158">
        <v>1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2</v>
      </c>
      <c r="CL158">
        <v>0</v>
      </c>
      <c r="CM158">
        <v>2</v>
      </c>
      <c r="CN158">
        <v>0</v>
      </c>
      <c r="CO158">
        <v>7</v>
      </c>
      <c r="CP158" t="s">
        <v>119</v>
      </c>
      <c r="CQ158">
        <v>145</v>
      </c>
      <c r="CR158">
        <v>1</v>
      </c>
      <c r="CW158">
        <v>8872813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</row>
    <row r="159" spans="1:113" x14ac:dyDescent="0.3">
      <c r="A159" t="str">
        <f>"02/13/2022 18:36:17.389"</f>
        <v>02/13/2022 18:36:17.389</v>
      </c>
      <c r="C159" t="str">
        <f t="shared" si="19"/>
        <v>FFDFD7C0</v>
      </c>
      <c r="D159" t="s">
        <v>113</v>
      </c>
      <c r="E159">
        <v>3</v>
      </c>
      <c r="F159">
        <v>1003</v>
      </c>
      <c r="G159" t="s">
        <v>114</v>
      </c>
      <c r="J159" t="s">
        <v>115</v>
      </c>
      <c r="K159">
        <v>0</v>
      </c>
      <c r="L159">
        <v>3</v>
      </c>
      <c r="M159">
        <v>0</v>
      </c>
      <c r="N159">
        <v>2</v>
      </c>
      <c r="O159">
        <v>1</v>
      </c>
      <c r="P159">
        <v>0</v>
      </c>
      <c r="Q159">
        <v>0</v>
      </c>
      <c r="S159" t="str">
        <f>"18:36:17.195"</f>
        <v>18:36:17.195</v>
      </c>
      <c r="T159" t="str">
        <f>"18:36:16.895"</f>
        <v>18:36:16.895</v>
      </c>
      <c r="U159" t="str">
        <f t="shared" si="17"/>
        <v>AAB6EE</v>
      </c>
      <c r="V159">
        <v>0</v>
      </c>
      <c r="W159">
        <v>0</v>
      </c>
      <c r="X159">
        <v>4</v>
      </c>
      <c r="Z159">
        <v>0</v>
      </c>
      <c r="AA159">
        <v>8</v>
      </c>
      <c r="AB159">
        <v>3</v>
      </c>
      <c r="AC159">
        <v>0</v>
      </c>
      <c r="AD159">
        <v>10</v>
      </c>
      <c r="AE159">
        <v>0</v>
      </c>
      <c r="AF159">
        <v>0</v>
      </c>
      <c r="AG159">
        <v>1</v>
      </c>
      <c r="AH159">
        <v>1</v>
      </c>
      <c r="AI159" t="s">
        <v>225</v>
      </c>
      <c r="AJ159">
        <v>35.537896000000003</v>
      </c>
      <c r="AK159" t="s">
        <v>226</v>
      </c>
      <c r="AL159">
        <v>-76.021550000000005</v>
      </c>
      <c r="AM159">
        <v>25</v>
      </c>
      <c r="AN159">
        <v>3175</v>
      </c>
      <c r="AO159" t="s">
        <v>118</v>
      </c>
      <c r="AP159">
        <v>-70</v>
      </c>
      <c r="AQ159">
        <v>-111</v>
      </c>
      <c r="AR159">
        <v>1920</v>
      </c>
      <c r="AZ159">
        <v>1200</v>
      </c>
      <c r="BA159">
        <v>1</v>
      </c>
      <c r="BB159" t="str">
        <f t="shared" si="20"/>
        <v xml:space="preserve">N79NX   </v>
      </c>
      <c r="BC159">
        <v>1</v>
      </c>
      <c r="BE159">
        <v>0</v>
      </c>
      <c r="BF159">
        <v>0</v>
      </c>
      <c r="BG159">
        <v>0</v>
      </c>
      <c r="BH159">
        <v>3000</v>
      </c>
      <c r="BI159">
        <v>0</v>
      </c>
      <c r="BJ159">
        <v>0</v>
      </c>
      <c r="BK159">
        <v>0</v>
      </c>
      <c r="BL159">
        <v>0</v>
      </c>
      <c r="BO159">
        <v>0</v>
      </c>
      <c r="BP159">
        <v>0</v>
      </c>
      <c r="BW159" t="str">
        <f>"18:36:17.200"</f>
        <v>18:36:17.200</v>
      </c>
      <c r="BZ159">
        <v>0</v>
      </c>
      <c r="CA159">
        <v>3488</v>
      </c>
      <c r="CB159">
        <v>216</v>
      </c>
      <c r="CC159">
        <v>583.59379999999999</v>
      </c>
      <c r="CD159">
        <v>1</v>
      </c>
      <c r="CE159">
        <v>1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2</v>
      </c>
      <c r="CL159">
        <v>0</v>
      </c>
      <c r="CM159">
        <v>2</v>
      </c>
      <c r="CN159">
        <v>0</v>
      </c>
      <c r="CO159">
        <v>7</v>
      </c>
      <c r="CP159" t="s">
        <v>119</v>
      </c>
      <c r="CQ159">
        <v>145</v>
      </c>
      <c r="CR159">
        <v>1</v>
      </c>
      <c r="CW159">
        <v>8872813</v>
      </c>
      <c r="CY159">
        <v>0</v>
      </c>
      <c r="CZ159">
        <v>0</v>
      </c>
      <c r="DA159">
        <v>1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</row>
    <row r="160" spans="1:113" x14ac:dyDescent="0.3">
      <c r="A160" t="str">
        <f>"02/13/2022 18:36:17.389"</f>
        <v>02/13/2022 18:36:17.389</v>
      </c>
      <c r="C160" t="str">
        <f t="shared" si="19"/>
        <v>FFDFD7C0</v>
      </c>
      <c r="D160" t="s">
        <v>113</v>
      </c>
      <c r="E160">
        <v>4</v>
      </c>
      <c r="F160">
        <v>1004</v>
      </c>
      <c r="G160" t="s">
        <v>120</v>
      </c>
      <c r="J160" t="s">
        <v>115</v>
      </c>
      <c r="K160">
        <v>0</v>
      </c>
      <c r="L160">
        <v>3</v>
      </c>
      <c r="M160">
        <v>0</v>
      </c>
      <c r="N160">
        <v>2</v>
      </c>
      <c r="O160">
        <v>1</v>
      </c>
      <c r="P160">
        <v>0</v>
      </c>
      <c r="Q160">
        <v>0</v>
      </c>
      <c r="S160" t="str">
        <f>"18:36:17.195"</f>
        <v>18:36:17.195</v>
      </c>
      <c r="T160" t="str">
        <f>"18:36:16.895"</f>
        <v>18:36:16.895</v>
      </c>
      <c r="U160" t="str">
        <f t="shared" si="17"/>
        <v>AAB6EE</v>
      </c>
      <c r="V160">
        <v>0</v>
      </c>
      <c r="W160">
        <v>0</v>
      </c>
      <c r="X160">
        <v>4</v>
      </c>
      <c r="Z160">
        <v>0</v>
      </c>
      <c r="AA160">
        <v>8</v>
      </c>
      <c r="AB160">
        <v>3</v>
      </c>
      <c r="AC160">
        <v>0</v>
      </c>
      <c r="AD160">
        <v>10</v>
      </c>
      <c r="AE160">
        <v>0</v>
      </c>
      <c r="AF160">
        <v>0</v>
      </c>
      <c r="AG160">
        <v>1</v>
      </c>
      <c r="AH160">
        <v>1</v>
      </c>
      <c r="AI160" t="s">
        <v>225</v>
      </c>
      <c r="AJ160">
        <v>35.537896000000003</v>
      </c>
      <c r="AK160" t="s">
        <v>226</v>
      </c>
      <c r="AL160">
        <v>-76.021550000000005</v>
      </c>
      <c r="AM160">
        <v>25</v>
      </c>
      <c r="AN160">
        <v>3175</v>
      </c>
      <c r="AO160" t="s">
        <v>118</v>
      </c>
      <c r="AP160">
        <v>-70</v>
      </c>
      <c r="AQ160">
        <v>-111</v>
      </c>
      <c r="AR160">
        <v>1920</v>
      </c>
      <c r="AZ160">
        <v>1200</v>
      </c>
      <c r="BA160">
        <v>1</v>
      </c>
      <c r="BB160" t="str">
        <f t="shared" si="20"/>
        <v xml:space="preserve">N79NX   </v>
      </c>
      <c r="BC160">
        <v>1</v>
      </c>
      <c r="BE160">
        <v>0</v>
      </c>
      <c r="BF160">
        <v>0</v>
      </c>
      <c r="BG160">
        <v>0</v>
      </c>
      <c r="BH160">
        <v>3000</v>
      </c>
      <c r="BI160">
        <v>0</v>
      </c>
      <c r="BJ160">
        <v>0</v>
      </c>
      <c r="BK160">
        <v>0</v>
      </c>
      <c r="BL160">
        <v>0</v>
      </c>
      <c r="BO160">
        <v>0</v>
      </c>
      <c r="BP160">
        <v>0</v>
      </c>
      <c r="BW160" t="str">
        <f>"18:36:17.200"</f>
        <v>18:36:17.200</v>
      </c>
      <c r="BZ160">
        <v>0</v>
      </c>
      <c r="CA160">
        <v>3488</v>
      </c>
      <c r="CB160">
        <v>216</v>
      </c>
      <c r="CC160">
        <v>583.59379999999999</v>
      </c>
      <c r="CD160">
        <v>1</v>
      </c>
      <c r="CE160">
        <v>1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2</v>
      </c>
      <c r="CL160">
        <v>0</v>
      </c>
      <c r="CM160">
        <v>2</v>
      </c>
      <c r="CN160">
        <v>0</v>
      </c>
      <c r="CO160">
        <v>7</v>
      </c>
      <c r="CP160" t="s">
        <v>119</v>
      </c>
      <c r="CQ160">
        <v>145</v>
      </c>
      <c r="CR160">
        <v>1</v>
      </c>
      <c r="CW160">
        <v>8872813</v>
      </c>
      <c r="CY160">
        <v>0</v>
      </c>
      <c r="CZ160">
        <v>0</v>
      </c>
      <c r="DA160">
        <v>1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</row>
    <row r="161" spans="1:113" x14ac:dyDescent="0.3">
      <c r="A161" t="str">
        <f>"02/13/2022 18:36:18.545"</f>
        <v>02/13/2022 18:36:18.545</v>
      </c>
      <c r="C161" t="str">
        <f t="shared" si="19"/>
        <v>FFDFD7C0</v>
      </c>
      <c r="D161" t="s">
        <v>121</v>
      </c>
      <c r="E161">
        <v>2</v>
      </c>
      <c r="H161">
        <v>158</v>
      </c>
      <c r="I161" t="s">
        <v>120</v>
      </c>
      <c r="J161" t="s">
        <v>122</v>
      </c>
      <c r="K161">
        <v>0</v>
      </c>
      <c r="L161">
        <v>3</v>
      </c>
      <c r="M161">
        <v>0</v>
      </c>
      <c r="N161">
        <v>2</v>
      </c>
      <c r="O161">
        <v>1</v>
      </c>
      <c r="P161">
        <v>0</v>
      </c>
      <c r="Q161">
        <v>0</v>
      </c>
      <c r="S161" t="str">
        <f>"18:36:18.266"</f>
        <v>18:36:18.266</v>
      </c>
      <c r="T161" t="str">
        <f>"18:36:17.966"</f>
        <v>18:36:17.966</v>
      </c>
      <c r="U161" t="str">
        <f t="shared" si="17"/>
        <v>AAB6EE</v>
      </c>
      <c r="V161">
        <v>0</v>
      </c>
      <c r="W161">
        <v>0</v>
      </c>
      <c r="X161">
        <v>4</v>
      </c>
      <c r="Z161">
        <v>0</v>
      </c>
      <c r="AA161">
        <v>8</v>
      </c>
      <c r="AB161">
        <v>3</v>
      </c>
      <c r="AC161">
        <v>0</v>
      </c>
      <c r="AD161">
        <v>10</v>
      </c>
      <c r="AE161">
        <v>0</v>
      </c>
      <c r="AF161">
        <v>0</v>
      </c>
      <c r="AG161">
        <v>1</v>
      </c>
      <c r="AH161">
        <v>1</v>
      </c>
      <c r="AI161" t="s">
        <v>227</v>
      </c>
      <c r="AJ161">
        <v>35.537317000000002</v>
      </c>
      <c r="AK161" t="s">
        <v>228</v>
      </c>
      <c r="AL161">
        <v>-76.022000000000006</v>
      </c>
      <c r="AM161">
        <v>25</v>
      </c>
      <c r="AN161">
        <v>3200</v>
      </c>
      <c r="AO161" t="s">
        <v>118</v>
      </c>
      <c r="AP161">
        <v>-69</v>
      </c>
      <c r="AQ161">
        <v>-112</v>
      </c>
      <c r="AR161">
        <v>1856</v>
      </c>
      <c r="AZ161">
        <v>1200</v>
      </c>
      <c r="BA161">
        <v>1</v>
      </c>
      <c r="BB161" t="str">
        <f t="shared" si="20"/>
        <v xml:space="preserve">N79NX   </v>
      </c>
      <c r="BC161">
        <v>1</v>
      </c>
      <c r="BE161">
        <v>0</v>
      </c>
      <c r="BF161">
        <v>0</v>
      </c>
      <c r="BG161">
        <v>0</v>
      </c>
      <c r="BH161">
        <v>3025</v>
      </c>
      <c r="BI161">
        <v>0</v>
      </c>
      <c r="BJ161">
        <v>0</v>
      </c>
      <c r="BK161">
        <v>0</v>
      </c>
      <c r="BL161">
        <v>0</v>
      </c>
      <c r="BO161">
        <v>0</v>
      </c>
      <c r="BP161">
        <v>0</v>
      </c>
      <c r="BW161" t="str">
        <f>"18:36:18.270"</f>
        <v>18:36:18.270</v>
      </c>
      <c r="BZ161">
        <v>0</v>
      </c>
      <c r="CA161">
        <v>3488</v>
      </c>
      <c r="CB161">
        <v>216</v>
      </c>
      <c r="CC161">
        <v>583.59379999999999</v>
      </c>
      <c r="CD161">
        <v>1</v>
      </c>
      <c r="CE161">
        <v>1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2</v>
      </c>
      <c r="CL161">
        <v>0</v>
      </c>
      <c r="CM161">
        <v>2</v>
      </c>
      <c r="CN161">
        <v>0</v>
      </c>
      <c r="CO161">
        <v>6</v>
      </c>
      <c r="CP161" t="s">
        <v>119</v>
      </c>
      <c r="CQ161">
        <v>145</v>
      </c>
      <c r="CR161">
        <v>1</v>
      </c>
      <c r="CW161">
        <v>8873330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</row>
    <row r="162" spans="1:113" x14ac:dyDescent="0.3">
      <c r="A162" t="str">
        <f>"02/13/2022 18:36:18.545"</f>
        <v>02/13/2022 18:36:18.545</v>
      </c>
      <c r="C162" t="str">
        <f t="shared" si="19"/>
        <v>FFDFD7C0</v>
      </c>
      <c r="D162" t="s">
        <v>113</v>
      </c>
      <c r="E162">
        <v>3</v>
      </c>
      <c r="F162">
        <v>1003</v>
      </c>
      <c r="G162" t="s">
        <v>114</v>
      </c>
      <c r="J162" t="s">
        <v>115</v>
      </c>
      <c r="K162">
        <v>0</v>
      </c>
      <c r="L162">
        <v>3</v>
      </c>
      <c r="M162">
        <v>0</v>
      </c>
      <c r="N162">
        <v>2</v>
      </c>
      <c r="O162">
        <v>1</v>
      </c>
      <c r="P162">
        <v>0</v>
      </c>
      <c r="Q162">
        <v>0</v>
      </c>
      <c r="S162" t="str">
        <f>"18:36:18.266"</f>
        <v>18:36:18.266</v>
      </c>
      <c r="T162" t="str">
        <f>"18:36:17.966"</f>
        <v>18:36:17.966</v>
      </c>
      <c r="U162" t="str">
        <f t="shared" si="17"/>
        <v>AAB6EE</v>
      </c>
      <c r="V162">
        <v>0</v>
      </c>
      <c r="W162">
        <v>0</v>
      </c>
      <c r="X162">
        <v>4</v>
      </c>
      <c r="Z162">
        <v>0</v>
      </c>
      <c r="AA162">
        <v>8</v>
      </c>
      <c r="AB162">
        <v>3</v>
      </c>
      <c r="AC162">
        <v>0</v>
      </c>
      <c r="AD162">
        <v>10</v>
      </c>
      <c r="AE162">
        <v>0</v>
      </c>
      <c r="AF162">
        <v>0</v>
      </c>
      <c r="AG162">
        <v>1</v>
      </c>
      <c r="AH162">
        <v>1</v>
      </c>
      <c r="AI162" t="s">
        <v>227</v>
      </c>
      <c r="AJ162">
        <v>35.537317000000002</v>
      </c>
      <c r="AK162" t="s">
        <v>228</v>
      </c>
      <c r="AL162">
        <v>-76.022000000000006</v>
      </c>
      <c r="AM162">
        <v>25</v>
      </c>
      <c r="AN162">
        <v>3200</v>
      </c>
      <c r="AO162" t="s">
        <v>118</v>
      </c>
      <c r="AP162">
        <v>-69</v>
      </c>
      <c r="AQ162">
        <v>-112</v>
      </c>
      <c r="AR162">
        <v>1856</v>
      </c>
      <c r="AZ162">
        <v>1200</v>
      </c>
      <c r="BA162">
        <v>1</v>
      </c>
      <c r="BB162" t="str">
        <f t="shared" si="20"/>
        <v xml:space="preserve">N79NX   </v>
      </c>
      <c r="BC162">
        <v>1</v>
      </c>
      <c r="BE162">
        <v>0</v>
      </c>
      <c r="BF162">
        <v>0</v>
      </c>
      <c r="BG162">
        <v>0</v>
      </c>
      <c r="BH162">
        <v>3025</v>
      </c>
      <c r="BI162">
        <v>0</v>
      </c>
      <c r="BJ162">
        <v>0</v>
      </c>
      <c r="BK162">
        <v>0</v>
      </c>
      <c r="BL162">
        <v>0</v>
      </c>
      <c r="BO162">
        <v>0</v>
      </c>
      <c r="BP162">
        <v>0</v>
      </c>
      <c r="BW162" t="str">
        <f>"18:36:18.270"</f>
        <v>18:36:18.270</v>
      </c>
      <c r="BZ162">
        <v>0</v>
      </c>
      <c r="CA162">
        <v>3488</v>
      </c>
      <c r="CB162">
        <v>216</v>
      </c>
      <c r="CC162">
        <v>583.59379999999999</v>
      </c>
      <c r="CD162">
        <v>1</v>
      </c>
      <c r="CE162">
        <v>1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2</v>
      </c>
      <c r="CL162">
        <v>0</v>
      </c>
      <c r="CM162">
        <v>2</v>
      </c>
      <c r="CN162">
        <v>0</v>
      </c>
      <c r="CO162">
        <v>6</v>
      </c>
      <c r="CP162" t="s">
        <v>119</v>
      </c>
      <c r="CQ162">
        <v>145</v>
      </c>
      <c r="CR162">
        <v>1</v>
      </c>
      <c r="CW162">
        <v>8873330</v>
      </c>
      <c r="CY162">
        <v>0</v>
      </c>
      <c r="CZ162">
        <v>0</v>
      </c>
      <c r="DA162">
        <v>1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</row>
    <row r="163" spans="1:113" x14ac:dyDescent="0.3">
      <c r="A163" t="str">
        <f>"02/13/2022 18:36:18.545"</f>
        <v>02/13/2022 18:36:18.545</v>
      </c>
      <c r="C163" t="str">
        <f t="shared" si="19"/>
        <v>FFDFD7C0</v>
      </c>
      <c r="D163" t="s">
        <v>113</v>
      </c>
      <c r="E163">
        <v>4</v>
      </c>
      <c r="F163">
        <v>1004</v>
      </c>
      <c r="G163" t="s">
        <v>120</v>
      </c>
      <c r="J163" t="s">
        <v>115</v>
      </c>
      <c r="K163">
        <v>0</v>
      </c>
      <c r="L163">
        <v>3</v>
      </c>
      <c r="M163">
        <v>0</v>
      </c>
      <c r="N163">
        <v>2</v>
      </c>
      <c r="O163">
        <v>1</v>
      </c>
      <c r="P163">
        <v>0</v>
      </c>
      <c r="Q163">
        <v>0</v>
      </c>
      <c r="S163" t="str">
        <f>"18:36:18.266"</f>
        <v>18:36:18.266</v>
      </c>
      <c r="T163" t="str">
        <f>"18:36:17.966"</f>
        <v>18:36:17.966</v>
      </c>
      <c r="U163" t="str">
        <f t="shared" si="17"/>
        <v>AAB6EE</v>
      </c>
      <c r="V163">
        <v>0</v>
      </c>
      <c r="W163">
        <v>0</v>
      </c>
      <c r="X163">
        <v>4</v>
      </c>
      <c r="Z163">
        <v>0</v>
      </c>
      <c r="AA163">
        <v>8</v>
      </c>
      <c r="AB163">
        <v>3</v>
      </c>
      <c r="AC163">
        <v>0</v>
      </c>
      <c r="AD163">
        <v>10</v>
      </c>
      <c r="AE163">
        <v>0</v>
      </c>
      <c r="AF163">
        <v>0</v>
      </c>
      <c r="AG163">
        <v>1</v>
      </c>
      <c r="AH163">
        <v>1</v>
      </c>
      <c r="AI163" t="s">
        <v>227</v>
      </c>
      <c r="AJ163">
        <v>35.537317000000002</v>
      </c>
      <c r="AK163" t="s">
        <v>228</v>
      </c>
      <c r="AL163">
        <v>-76.022000000000006</v>
      </c>
      <c r="AM163">
        <v>25</v>
      </c>
      <c r="AN163">
        <v>3200</v>
      </c>
      <c r="AO163" t="s">
        <v>118</v>
      </c>
      <c r="AP163">
        <v>-69</v>
      </c>
      <c r="AQ163">
        <v>-112</v>
      </c>
      <c r="AR163">
        <v>1856</v>
      </c>
      <c r="AZ163">
        <v>1200</v>
      </c>
      <c r="BA163">
        <v>1</v>
      </c>
      <c r="BB163" t="str">
        <f t="shared" si="20"/>
        <v xml:space="preserve">N79NX   </v>
      </c>
      <c r="BC163">
        <v>1</v>
      </c>
      <c r="BE163">
        <v>0</v>
      </c>
      <c r="BF163">
        <v>0</v>
      </c>
      <c r="BG163">
        <v>0</v>
      </c>
      <c r="BH163">
        <v>3025</v>
      </c>
      <c r="BI163">
        <v>0</v>
      </c>
      <c r="BJ163">
        <v>0</v>
      </c>
      <c r="BK163">
        <v>0</v>
      </c>
      <c r="BL163">
        <v>0</v>
      </c>
      <c r="BO163">
        <v>0</v>
      </c>
      <c r="BP163">
        <v>0</v>
      </c>
      <c r="BW163" t="str">
        <f>"18:36:18.270"</f>
        <v>18:36:18.270</v>
      </c>
      <c r="BZ163">
        <v>0</v>
      </c>
      <c r="CA163">
        <v>3488</v>
      </c>
      <c r="CB163">
        <v>216</v>
      </c>
      <c r="CC163">
        <v>583.59379999999999</v>
      </c>
      <c r="CD163">
        <v>1</v>
      </c>
      <c r="CE163">
        <v>1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2</v>
      </c>
      <c r="CL163">
        <v>0</v>
      </c>
      <c r="CM163">
        <v>2</v>
      </c>
      <c r="CN163">
        <v>0</v>
      </c>
      <c r="CO163">
        <v>6</v>
      </c>
      <c r="CP163" t="s">
        <v>119</v>
      </c>
      <c r="CQ163">
        <v>145</v>
      </c>
      <c r="CR163">
        <v>1</v>
      </c>
      <c r="CW163">
        <v>8873330</v>
      </c>
      <c r="CY163">
        <v>0</v>
      </c>
      <c r="CZ163">
        <v>0</v>
      </c>
      <c r="DA163">
        <v>1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</row>
    <row r="164" spans="1:113" x14ac:dyDescent="0.3">
      <c r="A164" t="str">
        <f>"02/13/2022 18:36:19.374"</f>
        <v>02/13/2022 18:36:19.374</v>
      </c>
      <c r="C164" t="str">
        <f t="shared" si="19"/>
        <v>FFDFD7C0</v>
      </c>
      <c r="D164" t="s">
        <v>113</v>
      </c>
      <c r="E164">
        <v>3</v>
      </c>
      <c r="F164">
        <v>1003</v>
      </c>
      <c r="G164" t="s">
        <v>114</v>
      </c>
      <c r="J164" t="s">
        <v>115</v>
      </c>
      <c r="K164">
        <v>0</v>
      </c>
      <c r="L164">
        <v>3</v>
      </c>
      <c r="M164">
        <v>0</v>
      </c>
      <c r="N164">
        <v>2</v>
      </c>
      <c r="O164">
        <v>1</v>
      </c>
      <c r="P164">
        <v>0</v>
      </c>
      <c r="Q164">
        <v>0</v>
      </c>
      <c r="S164" t="str">
        <f>"18:36:19.133"</f>
        <v>18:36:19.133</v>
      </c>
      <c r="T164" t="str">
        <f>"18:36:18.933"</f>
        <v>18:36:18.933</v>
      </c>
      <c r="U164" t="str">
        <f t="shared" si="17"/>
        <v>AAB6EE</v>
      </c>
      <c r="V164">
        <v>0</v>
      </c>
      <c r="W164">
        <v>0</v>
      </c>
      <c r="X164">
        <v>4</v>
      </c>
      <c r="Z164">
        <v>0</v>
      </c>
      <c r="AA164">
        <v>8</v>
      </c>
      <c r="AB164">
        <v>3</v>
      </c>
      <c r="AC164">
        <v>0</v>
      </c>
      <c r="AD164">
        <v>10</v>
      </c>
      <c r="AE164">
        <v>0</v>
      </c>
      <c r="AF164">
        <v>0</v>
      </c>
      <c r="AG164">
        <v>1</v>
      </c>
      <c r="AH164">
        <v>1</v>
      </c>
      <c r="AI164" t="s">
        <v>229</v>
      </c>
      <c r="AJ164">
        <v>35.536887999999998</v>
      </c>
      <c r="AK164" t="s">
        <v>230</v>
      </c>
      <c r="AL164">
        <v>-76.022364999999994</v>
      </c>
      <c r="AM164">
        <v>25</v>
      </c>
      <c r="AN164">
        <v>3225</v>
      </c>
      <c r="AO164" t="s">
        <v>118</v>
      </c>
      <c r="AP164">
        <v>-69</v>
      </c>
      <c r="AQ164">
        <v>-112</v>
      </c>
      <c r="AR164">
        <v>1728</v>
      </c>
      <c r="AZ164">
        <v>1200</v>
      </c>
      <c r="BA164">
        <v>1</v>
      </c>
      <c r="BB164" t="str">
        <f t="shared" si="20"/>
        <v xml:space="preserve">N79NX   </v>
      </c>
      <c r="BC164">
        <v>1</v>
      </c>
      <c r="BE164">
        <v>0</v>
      </c>
      <c r="BF164">
        <v>0</v>
      </c>
      <c r="BG164">
        <v>0</v>
      </c>
      <c r="BH164">
        <v>3050</v>
      </c>
      <c r="BI164">
        <v>0</v>
      </c>
      <c r="BJ164">
        <v>0</v>
      </c>
      <c r="BK164">
        <v>0</v>
      </c>
      <c r="BL164">
        <v>0</v>
      </c>
      <c r="BO164">
        <v>0</v>
      </c>
      <c r="BP164">
        <v>0</v>
      </c>
      <c r="BW164" t="str">
        <f>"18:36:19.140"</f>
        <v>18:36:19.140</v>
      </c>
      <c r="BZ164">
        <v>0</v>
      </c>
      <c r="CA164">
        <v>3488</v>
      </c>
      <c r="CB164">
        <v>216</v>
      </c>
      <c r="CC164">
        <v>583.59379999999999</v>
      </c>
      <c r="CD164">
        <v>1</v>
      </c>
      <c r="CE164">
        <v>1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2</v>
      </c>
      <c r="CL164">
        <v>0</v>
      </c>
      <c r="CM164">
        <v>2</v>
      </c>
      <c r="CN164">
        <v>0</v>
      </c>
      <c r="CO164">
        <v>6</v>
      </c>
      <c r="CP164" t="s">
        <v>119</v>
      </c>
      <c r="CQ164">
        <v>145</v>
      </c>
      <c r="CR164">
        <v>1</v>
      </c>
      <c r="CW164">
        <v>8873741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</row>
    <row r="165" spans="1:113" x14ac:dyDescent="0.3">
      <c r="A165" t="str">
        <f>"02/13/2022 18:36:19.390"</f>
        <v>02/13/2022 18:36:19.390</v>
      </c>
      <c r="C165" t="str">
        <f t="shared" si="19"/>
        <v>FFDFD7C0</v>
      </c>
      <c r="D165" t="s">
        <v>113</v>
      </c>
      <c r="E165">
        <v>4</v>
      </c>
      <c r="F165">
        <v>1004</v>
      </c>
      <c r="G165" t="s">
        <v>120</v>
      </c>
      <c r="J165" t="s">
        <v>115</v>
      </c>
      <c r="K165">
        <v>0</v>
      </c>
      <c r="L165">
        <v>3</v>
      </c>
      <c r="M165">
        <v>0</v>
      </c>
      <c r="N165">
        <v>2</v>
      </c>
      <c r="O165">
        <v>1</v>
      </c>
      <c r="P165">
        <v>0</v>
      </c>
      <c r="Q165">
        <v>0</v>
      </c>
      <c r="S165" t="str">
        <f>"18:36:19.133"</f>
        <v>18:36:19.133</v>
      </c>
      <c r="T165" t="str">
        <f>"18:36:18.933"</f>
        <v>18:36:18.933</v>
      </c>
      <c r="U165" t="str">
        <f t="shared" si="17"/>
        <v>AAB6EE</v>
      </c>
      <c r="V165">
        <v>0</v>
      </c>
      <c r="W165">
        <v>0</v>
      </c>
      <c r="X165">
        <v>4</v>
      </c>
      <c r="Z165">
        <v>0</v>
      </c>
      <c r="AA165">
        <v>8</v>
      </c>
      <c r="AB165">
        <v>3</v>
      </c>
      <c r="AC165">
        <v>0</v>
      </c>
      <c r="AD165">
        <v>10</v>
      </c>
      <c r="AE165">
        <v>0</v>
      </c>
      <c r="AF165">
        <v>0</v>
      </c>
      <c r="AG165">
        <v>1</v>
      </c>
      <c r="AH165">
        <v>1</v>
      </c>
      <c r="AI165" t="s">
        <v>229</v>
      </c>
      <c r="AJ165">
        <v>35.536887999999998</v>
      </c>
      <c r="AK165" t="s">
        <v>230</v>
      </c>
      <c r="AL165">
        <v>-76.022364999999994</v>
      </c>
      <c r="AM165">
        <v>25</v>
      </c>
      <c r="AN165">
        <v>3225</v>
      </c>
      <c r="AO165" t="s">
        <v>118</v>
      </c>
      <c r="AP165">
        <v>-69</v>
      </c>
      <c r="AQ165">
        <v>-112</v>
      </c>
      <c r="AR165">
        <v>1728</v>
      </c>
      <c r="AZ165">
        <v>1200</v>
      </c>
      <c r="BA165">
        <v>1</v>
      </c>
      <c r="BB165" t="str">
        <f t="shared" si="20"/>
        <v xml:space="preserve">N79NX   </v>
      </c>
      <c r="BC165">
        <v>1</v>
      </c>
      <c r="BE165">
        <v>0</v>
      </c>
      <c r="BF165">
        <v>0</v>
      </c>
      <c r="BG165">
        <v>0</v>
      </c>
      <c r="BH165">
        <v>3050</v>
      </c>
      <c r="BI165">
        <v>0</v>
      </c>
      <c r="BJ165">
        <v>0</v>
      </c>
      <c r="BK165">
        <v>0</v>
      </c>
      <c r="BL165">
        <v>0</v>
      </c>
      <c r="BO165">
        <v>0</v>
      </c>
      <c r="BP165">
        <v>0</v>
      </c>
      <c r="BW165" t="str">
        <f>"18:36:19.140"</f>
        <v>18:36:19.140</v>
      </c>
      <c r="BZ165">
        <v>0</v>
      </c>
      <c r="CA165">
        <v>3488</v>
      </c>
      <c r="CB165">
        <v>216</v>
      </c>
      <c r="CC165">
        <v>583.59379999999999</v>
      </c>
      <c r="CD165">
        <v>1</v>
      </c>
      <c r="CE165">
        <v>1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2</v>
      </c>
      <c r="CL165">
        <v>0</v>
      </c>
      <c r="CM165">
        <v>2</v>
      </c>
      <c r="CN165">
        <v>0</v>
      </c>
      <c r="CO165">
        <v>6</v>
      </c>
      <c r="CP165" t="s">
        <v>119</v>
      </c>
      <c r="CQ165">
        <v>145</v>
      </c>
      <c r="CR165">
        <v>1</v>
      </c>
      <c r="CW165">
        <v>8873741</v>
      </c>
      <c r="CY165">
        <v>0</v>
      </c>
      <c r="CZ165">
        <v>0</v>
      </c>
      <c r="DA165">
        <v>1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</row>
    <row r="166" spans="1:113" x14ac:dyDescent="0.3">
      <c r="A166" t="str">
        <f>"02/13/2022 18:36:19.390"</f>
        <v>02/13/2022 18:36:19.390</v>
      </c>
      <c r="C166" t="str">
        <f t="shared" si="19"/>
        <v>FFDFD7C0</v>
      </c>
      <c r="D166" t="s">
        <v>121</v>
      </c>
      <c r="E166">
        <v>2</v>
      </c>
      <c r="H166">
        <v>158</v>
      </c>
      <c r="I166" t="s">
        <v>120</v>
      </c>
      <c r="J166" t="s">
        <v>122</v>
      </c>
      <c r="K166">
        <v>0</v>
      </c>
      <c r="L166">
        <v>3</v>
      </c>
      <c r="M166">
        <v>0</v>
      </c>
      <c r="N166">
        <v>2</v>
      </c>
      <c r="O166">
        <v>1</v>
      </c>
      <c r="P166">
        <v>0</v>
      </c>
      <c r="Q166">
        <v>0</v>
      </c>
      <c r="S166" t="str">
        <f>"18:36:19.133"</f>
        <v>18:36:19.133</v>
      </c>
      <c r="T166" t="str">
        <f>"18:36:18.933"</f>
        <v>18:36:18.933</v>
      </c>
      <c r="U166" t="str">
        <f t="shared" si="17"/>
        <v>AAB6EE</v>
      </c>
      <c r="V166">
        <v>0</v>
      </c>
      <c r="W166">
        <v>0</v>
      </c>
      <c r="X166">
        <v>4</v>
      </c>
      <c r="Z166">
        <v>0</v>
      </c>
      <c r="AA166">
        <v>8</v>
      </c>
      <c r="AB166">
        <v>3</v>
      </c>
      <c r="AC166">
        <v>0</v>
      </c>
      <c r="AD166">
        <v>10</v>
      </c>
      <c r="AE166">
        <v>0</v>
      </c>
      <c r="AF166">
        <v>0</v>
      </c>
      <c r="AG166">
        <v>1</v>
      </c>
      <c r="AH166">
        <v>1</v>
      </c>
      <c r="AI166" t="s">
        <v>229</v>
      </c>
      <c r="AJ166">
        <v>35.536887999999998</v>
      </c>
      <c r="AK166" t="s">
        <v>230</v>
      </c>
      <c r="AL166">
        <v>-76.022364999999994</v>
      </c>
      <c r="AM166">
        <v>25</v>
      </c>
      <c r="AN166">
        <v>3225</v>
      </c>
      <c r="AO166" t="s">
        <v>118</v>
      </c>
      <c r="AP166">
        <v>-69</v>
      </c>
      <c r="AQ166">
        <v>-112</v>
      </c>
      <c r="AR166">
        <v>1728</v>
      </c>
      <c r="AZ166">
        <v>1200</v>
      </c>
      <c r="BA166">
        <v>1</v>
      </c>
      <c r="BB166" t="str">
        <f t="shared" si="20"/>
        <v xml:space="preserve">N79NX   </v>
      </c>
      <c r="BC166">
        <v>1</v>
      </c>
      <c r="BE166">
        <v>0</v>
      </c>
      <c r="BF166">
        <v>0</v>
      </c>
      <c r="BG166">
        <v>0</v>
      </c>
      <c r="BH166">
        <v>3050</v>
      </c>
      <c r="BI166">
        <v>0</v>
      </c>
      <c r="BJ166">
        <v>0</v>
      </c>
      <c r="BK166">
        <v>0</v>
      </c>
      <c r="BL166">
        <v>0</v>
      </c>
      <c r="BO166">
        <v>0</v>
      </c>
      <c r="BP166">
        <v>0</v>
      </c>
      <c r="BW166" t="str">
        <f>"18:36:19.140"</f>
        <v>18:36:19.140</v>
      </c>
      <c r="BZ166">
        <v>0</v>
      </c>
      <c r="CA166">
        <v>3488</v>
      </c>
      <c r="CB166">
        <v>216</v>
      </c>
      <c r="CC166">
        <v>583.59379999999999</v>
      </c>
      <c r="CD166">
        <v>1</v>
      </c>
      <c r="CE166">
        <v>1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2</v>
      </c>
      <c r="CL166">
        <v>0</v>
      </c>
      <c r="CM166">
        <v>2</v>
      </c>
      <c r="CN166">
        <v>0</v>
      </c>
      <c r="CO166">
        <v>6</v>
      </c>
      <c r="CP166" t="s">
        <v>119</v>
      </c>
      <c r="CQ166">
        <v>145</v>
      </c>
      <c r="CR166">
        <v>1</v>
      </c>
      <c r="CW166">
        <v>8873741</v>
      </c>
      <c r="CY166">
        <v>0</v>
      </c>
      <c r="CZ166">
        <v>0</v>
      </c>
      <c r="DA166">
        <v>1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</row>
    <row r="167" spans="1:113" x14ac:dyDescent="0.3">
      <c r="A167" t="str">
        <f>"02/13/2022 18:36:20.283"</f>
        <v>02/13/2022 18:36:20.283</v>
      </c>
      <c r="C167" t="str">
        <f t="shared" si="19"/>
        <v>FFDFD7C0</v>
      </c>
      <c r="D167" t="s">
        <v>121</v>
      </c>
      <c r="E167">
        <v>2</v>
      </c>
      <c r="H167">
        <v>158</v>
      </c>
      <c r="I167" t="s">
        <v>120</v>
      </c>
      <c r="J167" t="s">
        <v>122</v>
      </c>
      <c r="K167">
        <v>0</v>
      </c>
      <c r="L167">
        <v>3</v>
      </c>
      <c r="M167">
        <v>0</v>
      </c>
      <c r="N167">
        <v>2</v>
      </c>
      <c r="O167">
        <v>1</v>
      </c>
      <c r="P167">
        <v>0</v>
      </c>
      <c r="Q167">
        <v>0</v>
      </c>
      <c r="S167" t="str">
        <f>"18:36:20.062"</f>
        <v>18:36:20.062</v>
      </c>
      <c r="T167" t="str">
        <f>"18:36:19.863"</f>
        <v>18:36:19.863</v>
      </c>
      <c r="U167" t="str">
        <f t="shared" si="17"/>
        <v>AAB6EE</v>
      </c>
      <c r="V167">
        <v>0</v>
      </c>
      <c r="W167">
        <v>0</v>
      </c>
      <c r="X167">
        <v>4</v>
      </c>
      <c r="Z167">
        <v>0</v>
      </c>
      <c r="AA167">
        <v>8</v>
      </c>
      <c r="AB167">
        <v>3</v>
      </c>
      <c r="AC167">
        <v>0</v>
      </c>
      <c r="AD167">
        <v>10</v>
      </c>
      <c r="AE167">
        <v>0</v>
      </c>
      <c r="AF167">
        <v>0</v>
      </c>
      <c r="AG167">
        <v>1</v>
      </c>
      <c r="AH167">
        <v>1</v>
      </c>
      <c r="AI167" t="s">
        <v>231</v>
      </c>
      <c r="AJ167">
        <v>35.536394000000001</v>
      </c>
      <c r="AK167" t="s">
        <v>232</v>
      </c>
      <c r="AL167">
        <v>-76.022707999999994</v>
      </c>
      <c r="AM167">
        <v>25</v>
      </c>
      <c r="AN167">
        <v>3250</v>
      </c>
      <c r="AO167" t="s">
        <v>118</v>
      </c>
      <c r="AP167">
        <v>-68</v>
      </c>
      <c r="AQ167">
        <v>-113</v>
      </c>
      <c r="AR167">
        <v>1600</v>
      </c>
      <c r="AZ167">
        <v>1200</v>
      </c>
      <c r="BA167">
        <v>1</v>
      </c>
      <c r="BB167" t="str">
        <f t="shared" si="20"/>
        <v xml:space="preserve">N79NX   </v>
      </c>
      <c r="BC167">
        <v>1</v>
      </c>
      <c r="BE167">
        <v>0</v>
      </c>
      <c r="BF167">
        <v>0</v>
      </c>
      <c r="BG167">
        <v>0</v>
      </c>
      <c r="BH167">
        <v>3075</v>
      </c>
      <c r="BI167">
        <v>0</v>
      </c>
      <c r="BJ167">
        <v>0</v>
      </c>
      <c r="BK167">
        <v>0</v>
      </c>
      <c r="BL167">
        <v>0</v>
      </c>
      <c r="BO167">
        <v>0</v>
      </c>
      <c r="BP167">
        <v>0</v>
      </c>
      <c r="BW167" t="str">
        <f>"18:36:20.070"</f>
        <v>18:36:20.070</v>
      </c>
      <c r="BZ167">
        <v>0</v>
      </c>
      <c r="CA167">
        <v>3488</v>
      </c>
      <c r="CB167">
        <v>216</v>
      </c>
      <c r="CC167">
        <v>583.59379999999999</v>
      </c>
      <c r="CD167">
        <v>1</v>
      </c>
      <c r="CE167">
        <v>1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2</v>
      </c>
      <c r="CL167">
        <v>0</v>
      </c>
      <c r="CM167">
        <v>2</v>
      </c>
      <c r="CN167">
        <v>0</v>
      </c>
      <c r="CO167">
        <v>6</v>
      </c>
      <c r="CP167" t="s">
        <v>119</v>
      </c>
      <c r="CQ167">
        <v>145</v>
      </c>
      <c r="CR167">
        <v>1</v>
      </c>
      <c r="CW167">
        <v>8874202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</row>
    <row r="168" spans="1:113" x14ac:dyDescent="0.3">
      <c r="A168" t="str">
        <f>"02/13/2022 18:36:20.283"</f>
        <v>02/13/2022 18:36:20.283</v>
      </c>
      <c r="C168" t="str">
        <f t="shared" si="19"/>
        <v>FFDFD7C0</v>
      </c>
      <c r="D168" t="s">
        <v>113</v>
      </c>
      <c r="E168">
        <v>3</v>
      </c>
      <c r="F168">
        <v>1003</v>
      </c>
      <c r="G168" t="s">
        <v>114</v>
      </c>
      <c r="J168" t="s">
        <v>115</v>
      </c>
      <c r="K168">
        <v>0</v>
      </c>
      <c r="L168">
        <v>3</v>
      </c>
      <c r="M168">
        <v>0</v>
      </c>
      <c r="N168">
        <v>2</v>
      </c>
      <c r="O168">
        <v>1</v>
      </c>
      <c r="P168">
        <v>0</v>
      </c>
      <c r="Q168">
        <v>0</v>
      </c>
      <c r="S168" t="str">
        <f>"18:36:20.062"</f>
        <v>18:36:20.062</v>
      </c>
      <c r="T168" t="str">
        <f>"18:36:19.863"</f>
        <v>18:36:19.863</v>
      </c>
      <c r="U168" t="str">
        <f t="shared" si="17"/>
        <v>AAB6EE</v>
      </c>
      <c r="V168">
        <v>0</v>
      </c>
      <c r="W168">
        <v>0</v>
      </c>
      <c r="X168">
        <v>4</v>
      </c>
      <c r="Z168">
        <v>0</v>
      </c>
      <c r="AA168">
        <v>8</v>
      </c>
      <c r="AB168">
        <v>3</v>
      </c>
      <c r="AC168">
        <v>0</v>
      </c>
      <c r="AD168">
        <v>10</v>
      </c>
      <c r="AE168">
        <v>0</v>
      </c>
      <c r="AF168">
        <v>0</v>
      </c>
      <c r="AG168">
        <v>1</v>
      </c>
      <c r="AH168">
        <v>1</v>
      </c>
      <c r="AI168" t="s">
        <v>231</v>
      </c>
      <c r="AJ168">
        <v>35.536394000000001</v>
      </c>
      <c r="AK168" t="s">
        <v>232</v>
      </c>
      <c r="AL168">
        <v>-76.022707999999994</v>
      </c>
      <c r="AM168">
        <v>25</v>
      </c>
      <c r="AN168">
        <v>3250</v>
      </c>
      <c r="AO168" t="s">
        <v>118</v>
      </c>
      <c r="AP168">
        <v>-68</v>
      </c>
      <c r="AQ168">
        <v>-113</v>
      </c>
      <c r="AR168">
        <v>1600</v>
      </c>
      <c r="AZ168">
        <v>1200</v>
      </c>
      <c r="BA168">
        <v>1</v>
      </c>
      <c r="BB168" t="str">
        <f t="shared" si="20"/>
        <v xml:space="preserve">N79NX   </v>
      </c>
      <c r="BC168">
        <v>1</v>
      </c>
      <c r="BE168">
        <v>0</v>
      </c>
      <c r="BF168">
        <v>0</v>
      </c>
      <c r="BG168">
        <v>0</v>
      </c>
      <c r="BH168">
        <v>3075</v>
      </c>
      <c r="BI168">
        <v>0</v>
      </c>
      <c r="BJ168">
        <v>0</v>
      </c>
      <c r="BK168">
        <v>0</v>
      </c>
      <c r="BL168">
        <v>0</v>
      </c>
      <c r="BO168">
        <v>0</v>
      </c>
      <c r="BP168">
        <v>0</v>
      </c>
      <c r="BW168" t="str">
        <f>"18:36:20.070"</f>
        <v>18:36:20.070</v>
      </c>
      <c r="BZ168">
        <v>0</v>
      </c>
      <c r="CA168">
        <v>3488</v>
      </c>
      <c r="CB168">
        <v>216</v>
      </c>
      <c r="CC168">
        <v>583.59379999999999</v>
      </c>
      <c r="CD168">
        <v>1</v>
      </c>
      <c r="CE168">
        <v>1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2</v>
      </c>
      <c r="CL168">
        <v>0</v>
      </c>
      <c r="CM168">
        <v>2</v>
      </c>
      <c r="CN168">
        <v>0</v>
      </c>
      <c r="CO168">
        <v>6</v>
      </c>
      <c r="CP168" t="s">
        <v>119</v>
      </c>
      <c r="CQ168">
        <v>145</v>
      </c>
      <c r="CR168">
        <v>1</v>
      </c>
      <c r="CW168">
        <v>8874202</v>
      </c>
      <c r="CY168">
        <v>0</v>
      </c>
      <c r="CZ168">
        <v>0</v>
      </c>
      <c r="DA168">
        <v>1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</row>
    <row r="169" spans="1:113" x14ac:dyDescent="0.3">
      <c r="A169" t="str">
        <f>"02/13/2022 18:36:20.283"</f>
        <v>02/13/2022 18:36:20.283</v>
      </c>
      <c r="C169" t="str">
        <f t="shared" si="19"/>
        <v>FFDFD7C0</v>
      </c>
      <c r="D169" t="s">
        <v>113</v>
      </c>
      <c r="E169">
        <v>4</v>
      </c>
      <c r="F169">
        <v>1004</v>
      </c>
      <c r="G169" t="s">
        <v>120</v>
      </c>
      <c r="J169" t="s">
        <v>115</v>
      </c>
      <c r="K169">
        <v>0</v>
      </c>
      <c r="L169">
        <v>3</v>
      </c>
      <c r="M169">
        <v>0</v>
      </c>
      <c r="N169">
        <v>2</v>
      </c>
      <c r="O169">
        <v>1</v>
      </c>
      <c r="P169">
        <v>0</v>
      </c>
      <c r="Q169">
        <v>0</v>
      </c>
      <c r="S169" t="str">
        <f>"18:36:20.062"</f>
        <v>18:36:20.062</v>
      </c>
      <c r="T169" t="str">
        <f>"18:36:19.863"</f>
        <v>18:36:19.863</v>
      </c>
      <c r="U169" t="str">
        <f t="shared" si="17"/>
        <v>AAB6EE</v>
      </c>
      <c r="V169">
        <v>0</v>
      </c>
      <c r="W169">
        <v>0</v>
      </c>
      <c r="X169">
        <v>4</v>
      </c>
      <c r="Z169">
        <v>0</v>
      </c>
      <c r="AA169">
        <v>8</v>
      </c>
      <c r="AB169">
        <v>3</v>
      </c>
      <c r="AC169">
        <v>0</v>
      </c>
      <c r="AD169">
        <v>10</v>
      </c>
      <c r="AE169">
        <v>0</v>
      </c>
      <c r="AF169">
        <v>0</v>
      </c>
      <c r="AG169">
        <v>1</v>
      </c>
      <c r="AH169">
        <v>1</v>
      </c>
      <c r="AI169" t="s">
        <v>231</v>
      </c>
      <c r="AJ169">
        <v>35.536394000000001</v>
      </c>
      <c r="AK169" t="s">
        <v>232</v>
      </c>
      <c r="AL169">
        <v>-76.022707999999994</v>
      </c>
      <c r="AM169">
        <v>25</v>
      </c>
      <c r="AN169">
        <v>3250</v>
      </c>
      <c r="AO169" t="s">
        <v>118</v>
      </c>
      <c r="AP169">
        <v>-68</v>
      </c>
      <c r="AQ169">
        <v>-113</v>
      </c>
      <c r="AR169">
        <v>1600</v>
      </c>
      <c r="AZ169">
        <v>1200</v>
      </c>
      <c r="BA169">
        <v>1</v>
      </c>
      <c r="BB169" t="str">
        <f t="shared" si="20"/>
        <v xml:space="preserve">N79NX   </v>
      </c>
      <c r="BC169">
        <v>1</v>
      </c>
      <c r="BE169">
        <v>0</v>
      </c>
      <c r="BF169">
        <v>0</v>
      </c>
      <c r="BG169">
        <v>0</v>
      </c>
      <c r="BH169">
        <v>3075</v>
      </c>
      <c r="BI169">
        <v>0</v>
      </c>
      <c r="BJ169">
        <v>0</v>
      </c>
      <c r="BK169">
        <v>0</v>
      </c>
      <c r="BL169">
        <v>0</v>
      </c>
      <c r="BO169">
        <v>0</v>
      </c>
      <c r="BP169">
        <v>0</v>
      </c>
      <c r="BW169" t="str">
        <f>"18:36:20.070"</f>
        <v>18:36:20.070</v>
      </c>
      <c r="BZ169">
        <v>0</v>
      </c>
      <c r="CA169">
        <v>3488</v>
      </c>
      <c r="CB169">
        <v>216</v>
      </c>
      <c r="CC169">
        <v>583.59379999999999</v>
      </c>
      <c r="CD169">
        <v>1</v>
      </c>
      <c r="CE169">
        <v>1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2</v>
      </c>
      <c r="CL169">
        <v>0</v>
      </c>
      <c r="CM169">
        <v>2</v>
      </c>
      <c r="CN169">
        <v>0</v>
      </c>
      <c r="CO169">
        <v>6</v>
      </c>
      <c r="CP169" t="s">
        <v>119</v>
      </c>
      <c r="CQ169">
        <v>145</v>
      </c>
      <c r="CR169">
        <v>1</v>
      </c>
      <c r="CW169">
        <v>8874202</v>
      </c>
      <c r="CY169">
        <v>0</v>
      </c>
      <c r="CZ169">
        <v>0</v>
      </c>
      <c r="DA169">
        <v>1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</row>
    <row r="170" spans="1:113" x14ac:dyDescent="0.3">
      <c r="A170" t="str">
        <f>"02/13/2022 18:36:21.173"</f>
        <v>02/13/2022 18:36:21.173</v>
      </c>
      <c r="C170" t="str">
        <f t="shared" si="19"/>
        <v>FFDFD7C0</v>
      </c>
      <c r="D170" t="s">
        <v>113</v>
      </c>
      <c r="E170">
        <v>3</v>
      </c>
      <c r="F170">
        <v>1003</v>
      </c>
      <c r="G170" t="s">
        <v>114</v>
      </c>
      <c r="J170" t="s">
        <v>115</v>
      </c>
      <c r="K170">
        <v>0</v>
      </c>
      <c r="L170">
        <v>3</v>
      </c>
      <c r="M170">
        <v>0</v>
      </c>
      <c r="N170">
        <v>2</v>
      </c>
      <c r="O170">
        <v>1</v>
      </c>
      <c r="P170">
        <v>0</v>
      </c>
      <c r="Q170">
        <v>0</v>
      </c>
      <c r="S170" t="str">
        <f>"18:36:21.000"</f>
        <v>18:36:21.000</v>
      </c>
      <c r="T170" t="str">
        <f>"18:36:20.900"</f>
        <v>18:36:20.900</v>
      </c>
      <c r="U170" t="str">
        <f t="shared" si="17"/>
        <v>AAB6EE</v>
      </c>
      <c r="V170">
        <v>0</v>
      </c>
      <c r="W170">
        <v>0</v>
      </c>
      <c r="X170">
        <v>4</v>
      </c>
      <c r="Z170">
        <v>0</v>
      </c>
      <c r="AA170">
        <v>8</v>
      </c>
      <c r="AB170">
        <v>3</v>
      </c>
      <c r="AC170">
        <v>0</v>
      </c>
      <c r="AD170">
        <v>10</v>
      </c>
      <c r="AE170">
        <v>0</v>
      </c>
      <c r="AF170">
        <v>0</v>
      </c>
      <c r="AG170">
        <v>1</v>
      </c>
      <c r="AH170">
        <v>1</v>
      </c>
      <c r="AI170" t="s">
        <v>233</v>
      </c>
      <c r="AJ170">
        <v>35.535921999999999</v>
      </c>
      <c r="AK170" t="s">
        <v>234</v>
      </c>
      <c r="AL170">
        <v>-76.023052000000007</v>
      </c>
      <c r="AM170">
        <v>25</v>
      </c>
      <c r="AN170">
        <v>3275</v>
      </c>
      <c r="AO170" t="s">
        <v>118</v>
      </c>
      <c r="AP170">
        <v>-68</v>
      </c>
      <c r="AQ170">
        <v>-113</v>
      </c>
      <c r="AR170">
        <v>1472</v>
      </c>
      <c r="AZ170">
        <v>1200</v>
      </c>
      <c r="BA170">
        <v>1</v>
      </c>
      <c r="BB170" t="str">
        <f t="shared" si="20"/>
        <v xml:space="preserve">N79NX   </v>
      </c>
      <c r="BC170">
        <v>1</v>
      </c>
      <c r="BE170">
        <v>0</v>
      </c>
      <c r="BF170">
        <v>0</v>
      </c>
      <c r="BG170">
        <v>0</v>
      </c>
      <c r="BH170">
        <v>3100</v>
      </c>
      <c r="BI170">
        <v>0</v>
      </c>
      <c r="BJ170">
        <v>0</v>
      </c>
      <c r="BK170">
        <v>0</v>
      </c>
      <c r="BL170">
        <v>0</v>
      </c>
      <c r="BO170">
        <v>0</v>
      </c>
      <c r="BP170">
        <v>0</v>
      </c>
      <c r="BW170" t="str">
        <f>"18:36:21.000"</f>
        <v>18:36:21.000</v>
      </c>
      <c r="BZ170">
        <v>0</v>
      </c>
      <c r="CA170">
        <v>3488</v>
      </c>
      <c r="CB170">
        <v>216</v>
      </c>
      <c r="CC170">
        <v>583.59379999999999</v>
      </c>
      <c r="CD170">
        <v>1</v>
      </c>
      <c r="CE170">
        <v>1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2</v>
      </c>
      <c r="CL170">
        <v>0</v>
      </c>
      <c r="CM170">
        <v>2</v>
      </c>
      <c r="CN170">
        <v>0</v>
      </c>
      <c r="CO170">
        <v>6</v>
      </c>
      <c r="CP170" t="s">
        <v>119</v>
      </c>
      <c r="CQ170">
        <v>145</v>
      </c>
      <c r="CR170">
        <v>1</v>
      </c>
      <c r="CW170">
        <v>8874676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</row>
    <row r="171" spans="1:113" x14ac:dyDescent="0.3">
      <c r="A171" t="str">
        <f>"02/13/2022 18:36:21.173"</f>
        <v>02/13/2022 18:36:21.173</v>
      </c>
      <c r="C171" t="str">
        <f t="shared" si="19"/>
        <v>FFDFD7C0</v>
      </c>
      <c r="D171" t="s">
        <v>113</v>
      </c>
      <c r="E171">
        <v>4</v>
      </c>
      <c r="F171">
        <v>1004</v>
      </c>
      <c r="G171" t="s">
        <v>120</v>
      </c>
      <c r="J171" t="s">
        <v>115</v>
      </c>
      <c r="K171">
        <v>0</v>
      </c>
      <c r="L171">
        <v>3</v>
      </c>
      <c r="M171">
        <v>0</v>
      </c>
      <c r="N171">
        <v>2</v>
      </c>
      <c r="O171">
        <v>1</v>
      </c>
      <c r="P171">
        <v>0</v>
      </c>
      <c r="Q171">
        <v>0</v>
      </c>
      <c r="S171" t="str">
        <f>"18:36:21.000"</f>
        <v>18:36:21.000</v>
      </c>
      <c r="T171" t="str">
        <f>"18:36:20.900"</f>
        <v>18:36:20.900</v>
      </c>
      <c r="U171" t="str">
        <f t="shared" si="17"/>
        <v>AAB6EE</v>
      </c>
      <c r="V171">
        <v>0</v>
      </c>
      <c r="W171">
        <v>0</v>
      </c>
      <c r="X171">
        <v>4</v>
      </c>
      <c r="Z171">
        <v>0</v>
      </c>
      <c r="AA171">
        <v>8</v>
      </c>
      <c r="AB171">
        <v>3</v>
      </c>
      <c r="AC171">
        <v>0</v>
      </c>
      <c r="AD171">
        <v>10</v>
      </c>
      <c r="AE171">
        <v>0</v>
      </c>
      <c r="AF171">
        <v>0</v>
      </c>
      <c r="AG171">
        <v>1</v>
      </c>
      <c r="AH171">
        <v>1</v>
      </c>
      <c r="AI171" t="s">
        <v>233</v>
      </c>
      <c r="AJ171">
        <v>35.535921999999999</v>
      </c>
      <c r="AK171" t="s">
        <v>234</v>
      </c>
      <c r="AL171">
        <v>-76.023052000000007</v>
      </c>
      <c r="AM171">
        <v>25</v>
      </c>
      <c r="AN171">
        <v>3275</v>
      </c>
      <c r="AO171" t="s">
        <v>118</v>
      </c>
      <c r="AP171">
        <v>-68</v>
      </c>
      <c r="AQ171">
        <v>-113</v>
      </c>
      <c r="AR171">
        <v>1472</v>
      </c>
      <c r="AZ171">
        <v>1200</v>
      </c>
      <c r="BA171">
        <v>1</v>
      </c>
      <c r="BB171" t="str">
        <f t="shared" si="20"/>
        <v xml:space="preserve">N79NX   </v>
      </c>
      <c r="BC171">
        <v>1</v>
      </c>
      <c r="BE171">
        <v>0</v>
      </c>
      <c r="BF171">
        <v>0</v>
      </c>
      <c r="BG171">
        <v>0</v>
      </c>
      <c r="BH171">
        <v>3100</v>
      </c>
      <c r="BI171">
        <v>0</v>
      </c>
      <c r="BJ171">
        <v>0</v>
      </c>
      <c r="BK171">
        <v>0</v>
      </c>
      <c r="BL171">
        <v>0</v>
      </c>
      <c r="BO171">
        <v>0</v>
      </c>
      <c r="BP171">
        <v>0</v>
      </c>
      <c r="BW171" t="str">
        <f>"18:36:21.000"</f>
        <v>18:36:21.000</v>
      </c>
      <c r="BZ171">
        <v>0</v>
      </c>
      <c r="CA171">
        <v>3488</v>
      </c>
      <c r="CB171">
        <v>216</v>
      </c>
      <c r="CC171">
        <v>583.59379999999999</v>
      </c>
      <c r="CD171">
        <v>1</v>
      </c>
      <c r="CE171">
        <v>1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2</v>
      </c>
      <c r="CL171">
        <v>0</v>
      </c>
      <c r="CM171">
        <v>2</v>
      </c>
      <c r="CN171">
        <v>0</v>
      </c>
      <c r="CO171">
        <v>6</v>
      </c>
      <c r="CP171" t="s">
        <v>119</v>
      </c>
      <c r="CQ171">
        <v>145</v>
      </c>
      <c r="CR171">
        <v>1</v>
      </c>
      <c r="CW171">
        <v>8874676</v>
      </c>
      <c r="CY171">
        <v>0</v>
      </c>
      <c r="CZ171">
        <v>0</v>
      </c>
      <c r="DA171">
        <v>1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</row>
    <row r="172" spans="1:113" x14ac:dyDescent="0.3">
      <c r="A172" t="str">
        <f>"02/13/2022 18:36:21.205"</f>
        <v>02/13/2022 18:36:21.205</v>
      </c>
      <c r="C172" t="str">
        <f t="shared" si="19"/>
        <v>FFDFD7C0</v>
      </c>
      <c r="D172" t="s">
        <v>121</v>
      </c>
      <c r="E172">
        <v>2</v>
      </c>
      <c r="H172">
        <v>158</v>
      </c>
      <c r="I172" t="s">
        <v>120</v>
      </c>
      <c r="J172" t="s">
        <v>122</v>
      </c>
      <c r="K172">
        <v>0</v>
      </c>
      <c r="L172">
        <v>3</v>
      </c>
      <c r="M172">
        <v>0</v>
      </c>
      <c r="N172">
        <v>2</v>
      </c>
      <c r="O172">
        <v>1</v>
      </c>
      <c r="P172">
        <v>0</v>
      </c>
      <c r="Q172">
        <v>0</v>
      </c>
      <c r="S172" t="str">
        <f>"18:36:21.000"</f>
        <v>18:36:21.000</v>
      </c>
      <c r="T172" t="str">
        <f>"18:36:20.900"</f>
        <v>18:36:20.900</v>
      </c>
      <c r="U172" t="str">
        <f t="shared" si="17"/>
        <v>AAB6EE</v>
      </c>
      <c r="V172">
        <v>0</v>
      </c>
      <c r="W172">
        <v>0</v>
      </c>
      <c r="X172">
        <v>4</v>
      </c>
      <c r="Z172">
        <v>0</v>
      </c>
      <c r="AA172">
        <v>8</v>
      </c>
      <c r="AB172">
        <v>3</v>
      </c>
      <c r="AC172">
        <v>0</v>
      </c>
      <c r="AD172">
        <v>10</v>
      </c>
      <c r="AE172">
        <v>0</v>
      </c>
      <c r="AF172">
        <v>0</v>
      </c>
      <c r="AG172">
        <v>1</v>
      </c>
      <c r="AH172">
        <v>1</v>
      </c>
      <c r="AI172" t="s">
        <v>233</v>
      </c>
      <c r="AJ172">
        <v>35.535921999999999</v>
      </c>
      <c r="AK172" t="s">
        <v>234</v>
      </c>
      <c r="AL172">
        <v>-76.023052000000007</v>
      </c>
      <c r="AM172">
        <v>25</v>
      </c>
      <c r="AN172">
        <v>3275</v>
      </c>
      <c r="AO172" t="s">
        <v>118</v>
      </c>
      <c r="AP172">
        <v>-68</v>
      </c>
      <c r="AQ172">
        <v>-113</v>
      </c>
      <c r="AR172">
        <v>1472</v>
      </c>
      <c r="AZ172">
        <v>1200</v>
      </c>
      <c r="BA172">
        <v>1</v>
      </c>
      <c r="BB172" t="str">
        <f t="shared" si="20"/>
        <v xml:space="preserve">N79NX   </v>
      </c>
      <c r="BC172">
        <v>1</v>
      </c>
      <c r="BE172">
        <v>0</v>
      </c>
      <c r="BF172">
        <v>0</v>
      </c>
      <c r="BG172">
        <v>0</v>
      </c>
      <c r="BH172">
        <v>3100</v>
      </c>
      <c r="BI172">
        <v>0</v>
      </c>
      <c r="BJ172">
        <v>0</v>
      </c>
      <c r="BK172">
        <v>0</v>
      </c>
      <c r="BL172">
        <v>0</v>
      </c>
      <c r="BO172">
        <v>0</v>
      </c>
      <c r="BP172">
        <v>0</v>
      </c>
      <c r="BW172" t="str">
        <f>"18:36:21.000"</f>
        <v>18:36:21.000</v>
      </c>
      <c r="BZ172">
        <v>0</v>
      </c>
      <c r="CA172">
        <v>3488</v>
      </c>
      <c r="CB172">
        <v>216</v>
      </c>
      <c r="CC172">
        <v>583.59379999999999</v>
      </c>
      <c r="CD172">
        <v>1</v>
      </c>
      <c r="CE172">
        <v>1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2</v>
      </c>
      <c r="CL172">
        <v>0</v>
      </c>
      <c r="CM172">
        <v>2</v>
      </c>
      <c r="CN172">
        <v>0</v>
      </c>
      <c r="CO172">
        <v>6</v>
      </c>
      <c r="CP172" t="s">
        <v>119</v>
      </c>
      <c r="CQ172">
        <v>145</v>
      </c>
      <c r="CR172">
        <v>1</v>
      </c>
      <c r="CW172">
        <v>8874676</v>
      </c>
      <c r="CY172">
        <v>0</v>
      </c>
      <c r="CZ172">
        <v>0</v>
      </c>
      <c r="DA172">
        <v>1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</row>
    <row r="173" spans="1:113" x14ac:dyDescent="0.3">
      <c r="A173" t="str">
        <f>"02/13/2022 18:36:22.330"</f>
        <v>02/13/2022 18:36:22.330</v>
      </c>
      <c r="C173" t="str">
        <f t="shared" si="19"/>
        <v>FFDFD7C0</v>
      </c>
      <c r="D173" t="s">
        <v>113</v>
      </c>
      <c r="E173">
        <v>3</v>
      </c>
      <c r="F173">
        <v>1003</v>
      </c>
      <c r="G173" t="s">
        <v>114</v>
      </c>
      <c r="J173" t="s">
        <v>115</v>
      </c>
      <c r="K173">
        <v>0</v>
      </c>
      <c r="L173">
        <v>3</v>
      </c>
      <c r="M173">
        <v>0</v>
      </c>
      <c r="N173">
        <v>2</v>
      </c>
      <c r="O173">
        <v>1</v>
      </c>
      <c r="P173">
        <v>0</v>
      </c>
      <c r="Q173">
        <v>0</v>
      </c>
      <c r="S173" t="str">
        <f>"18:36:22.148"</f>
        <v>18:36:22.148</v>
      </c>
      <c r="T173" t="str">
        <f>"18:36:21.848"</f>
        <v>18:36:21.848</v>
      </c>
      <c r="U173" t="str">
        <f t="shared" si="17"/>
        <v>AAB6EE</v>
      </c>
      <c r="V173">
        <v>0</v>
      </c>
      <c r="W173">
        <v>0</v>
      </c>
      <c r="X173">
        <v>4</v>
      </c>
      <c r="Z173">
        <v>0</v>
      </c>
      <c r="AA173">
        <v>8</v>
      </c>
      <c r="AB173">
        <v>3</v>
      </c>
      <c r="AC173">
        <v>0</v>
      </c>
      <c r="AD173">
        <v>10</v>
      </c>
      <c r="AE173">
        <v>0</v>
      </c>
      <c r="AF173">
        <v>0</v>
      </c>
      <c r="AG173">
        <v>1</v>
      </c>
      <c r="AH173">
        <v>1</v>
      </c>
      <c r="AI173" t="s">
        <v>235</v>
      </c>
      <c r="AJ173">
        <v>35.535277999999998</v>
      </c>
      <c r="AK173" t="s">
        <v>236</v>
      </c>
      <c r="AL173">
        <v>-76.023501999999993</v>
      </c>
      <c r="AM173">
        <v>25</v>
      </c>
      <c r="AN173">
        <v>3300</v>
      </c>
      <c r="AO173" t="s">
        <v>118</v>
      </c>
      <c r="AP173">
        <v>-68</v>
      </c>
      <c r="AQ173">
        <v>-114</v>
      </c>
      <c r="AR173">
        <v>1344</v>
      </c>
      <c r="AZ173">
        <v>1200</v>
      </c>
      <c r="BA173">
        <v>1</v>
      </c>
      <c r="BB173" t="str">
        <f t="shared" si="20"/>
        <v xml:space="preserve">N79NX   </v>
      </c>
      <c r="BC173">
        <v>1</v>
      </c>
      <c r="BE173">
        <v>0</v>
      </c>
      <c r="BF173">
        <v>0</v>
      </c>
      <c r="BG173">
        <v>0</v>
      </c>
      <c r="BH173">
        <v>3125</v>
      </c>
      <c r="BI173">
        <v>0</v>
      </c>
      <c r="BJ173">
        <v>0</v>
      </c>
      <c r="BK173">
        <v>0</v>
      </c>
      <c r="BL173">
        <v>0</v>
      </c>
      <c r="BO173">
        <v>0</v>
      </c>
      <c r="BP173">
        <v>0</v>
      </c>
      <c r="BW173" t="str">
        <f>"18:36:22.150"</f>
        <v>18:36:22.150</v>
      </c>
      <c r="BZ173">
        <v>0</v>
      </c>
      <c r="CA173">
        <v>3488</v>
      </c>
      <c r="CB173">
        <v>216</v>
      </c>
      <c r="CC173">
        <v>583.59379999999999</v>
      </c>
      <c r="CD173">
        <v>1</v>
      </c>
      <c r="CE173">
        <v>1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2</v>
      </c>
      <c r="CL173">
        <v>0</v>
      </c>
      <c r="CM173">
        <v>2</v>
      </c>
      <c r="CN173">
        <v>0</v>
      </c>
      <c r="CO173">
        <v>6</v>
      </c>
      <c r="CP173" t="s">
        <v>119</v>
      </c>
      <c r="CQ173">
        <v>145</v>
      </c>
      <c r="CR173">
        <v>1</v>
      </c>
      <c r="CW173">
        <v>8875225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</row>
    <row r="174" spans="1:113" x14ac:dyDescent="0.3">
      <c r="A174" t="str">
        <f>"02/13/2022 18:36:22.330"</f>
        <v>02/13/2022 18:36:22.330</v>
      </c>
      <c r="C174" t="str">
        <f t="shared" si="19"/>
        <v>FFDFD7C0</v>
      </c>
      <c r="D174" t="s">
        <v>113</v>
      </c>
      <c r="E174">
        <v>4</v>
      </c>
      <c r="F174">
        <v>1004</v>
      </c>
      <c r="G174" t="s">
        <v>120</v>
      </c>
      <c r="J174" t="s">
        <v>115</v>
      </c>
      <c r="K174">
        <v>0</v>
      </c>
      <c r="L174">
        <v>3</v>
      </c>
      <c r="M174">
        <v>0</v>
      </c>
      <c r="N174">
        <v>2</v>
      </c>
      <c r="O174">
        <v>1</v>
      </c>
      <c r="P174">
        <v>0</v>
      </c>
      <c r="Q174">
        <v>0</v>
      </c>
      <c r="S174" t="str">
        <f>"18:36:22.148"</f>
        <v>18:36:22.148</v>
      </c>
      <c r="T174" t="str">
        <f>"18:36:21.848"</f>
        <v>18:36:21.848</v>
      </c>
      <c r="U174" t="str">
        <f t="shared" si="17"/>
        <v>AAB6EE</v>
      </c>
      <c r="V174">
        <v>0</v>
      </c>
      <c r="W174">
        <v>0</v>
      </c>
      <c r="X174">
        <v>4</v>
      </c>
      <c r="Z174">
        <v>0</v>
      </c>
      <c r="AA174">
        <v>8</v>
      </c>
      <c r="AB174">
        <v>3</v>
      </c>
      <c r="AC174">
        <v>0</v>
      </c>
      <c r="AD174">
        <v>10</v>
      </c>
      <c r="AE174">
        <v>0</v>
      </c>
      <c r="AF174">
        <v>0</v>
      </c>
      <c r="AG174">
        <v>1</v>
      </c>
      <c r="AH174">
        <v>1</v>
      </c>
      <c r="AI174" t="s">
        <v>235</v>
      </c>
      <c r="AJ174">
        <v>35.535277999999998</v>
      </c>
      <c r="AK174" t="s">
        <v>236</v>
      </c>
      <c r="AL174">
        <v>-76.023501999999993</v>
      </c>
      <c r="AM174">
        <v>25</v>
      </c>
      <c r="AN174">
        <v>3300</v>
      </c>
      <c r="AO174" t="s">
        <v>118</v>
      </c>
      <c r="AP174">
        <v>-68</v>
      </c>
      <c r="AQ174">
        <v>-114</v>
      </c>
      <c r="AR174">
        <v>1344</v>
      </c>
      <c r="AZ174">
        <v>1200</v>
      </c>
      <c r="BA174">
        <v>1</v>
      </c>
      <c r="BB174" t="str">
        <f t="shared" si="20"/>
        <v xml:space="preserve">N79NX   </v>
      </c>
      <c r="BC174">
        <v>1</v>
      </c>
      <c r="BE174">
        <v>0</v>
      </c>
      <c r="BF174">
        <v>0</v>
      </c>
      <c r="BG174">
        <v>0</v>
      </c>
      <c r="BH174">
        <v>3125</v>
      </c>
      <c r="BI174">
        <v>0</v>
      </c>
      <c r="BJ174">
        <v>0</v>
      </c>
      <c r="BK174">
        <v>0</v>
      </c>
      <c r="BL174">
        <v>0</v>
      </c>
      <c r="BO174">
        <v>0</v>
      </c>
      <c r="BP174">
        <v>0</v>
      </c>
      <c r="BW174" t="str">
        <f>"18:36:22.150"</f>
        <v>18:36:22.150</v>
      </c>
      <c r="BZ174">
        <v>0</v>
      </c>
      <c r="CA174">
        <v>3488</v>
      </c>
      <c r="CB174">
        <v>216</v>
      </c>
      <c r="CC174">
        <v>583.59379999999999</v>
      </c>
      <c r="CD174">
        <v>1</v>
      </c>
      <c r="CE174">
        <v>1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2</v>
      </c>
      <c r="CL174">
        <v>0</v>
      </c>
      <c r="CM174">
        <v>2</v>
      </c>
      <c r="CN174">
        <v>0</v>
      </c>
      <c r="CO174">
        <v>6</v>
      </c>
      <c r="CP174" t="s">
        <v>119</v>
      </c>
      <c r="CQ174">
        <v>145</v>
      </c>
      <c r="CR174">
        <v>1</v>
      </c>
      <c r="CW174">
        <v>8875225</v>
      </c>
      <c r="CY174">
        <v>0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</row>
    <row r="175" spans="1:113" x14ac:dyDescent="0.3">
      <c r="A175" t="str">
        <f>"02/13/2022 18:36:22.377"</f>
        <v>02/13/2022 18:36:22.377</v>
      </c>
      <c r="C175" t="str">
        <f t="shared" si="19"/>
        <v>FFDFD7C0</v>
      </c>
      <c r="D175" t="s">
        <v>121</v>
      </c>
      <c r="E175">
        <v>2</v>
      </c>
      <c r="H175">
        <v>158</v>
      </c>
      <c r="I175" t="s">
        <v>120</v>
      </c>
      <c r="J175" t="s">
        <v>122</v>
      </c>
      <c r="K175">
        <v>0</v>
      </c>
      <c r="L175">
        <v>3</v>
      </c>
      <c r="M175">
        <v>0</v>
      </c>
      <c r="N175">
        <v>2</v>
      </c>
      <c r="O175">
        <v>1</v>
      </c>
      <c r="P175">
        <v>0</v>
      </c>
      <c r="Q175">
        <v>0</v>
      </c>
      <c r="S175" t="str">
        <f>"18:36:22.148"</f>
        <v>18:36:22.148</v>
      </c>
      <c r="T175" t="str">
        <f>"18:36:21.848"</f>
        <v>18:36:21.848</v>
      </c>
      <c r="U175" t="str">
        <f t="shared" si="17"/>
        <v>AAB6EE</v>
      </c>
      <c r="V175">
        <v>0</v>
      </c>
      <c r="W175">
        <v>0</v>
      </c>
      <c r="X175">
        <v>4</v>
      </c>
      <c r="Z175">
        <v>0</v>
      </c>
      <c r="AA175">
        <v>8</v>
      </c>
      <c r="AB175">
        <v>3</v>
      </c>
      <c r="AC175">
        <v>0</v>
      </c>
      <c r="AD175">
        <v>10</v>
      </c>
      <c r="AE175">
        <v>0</v>
      </c>
      <c r="AF175">
        <v>0</v>
      </c>
      <c r="AG175">
        <v>1</v>
      </c>
      <c r="AH175">
        <v>1</v>
      </c>
      <c r="AI175" t="s">
        <v>235</v>
      </c>
      <c r="AJ175">
        <v>35.535277999999998</v>
      </c>
      <c r="AK175" t="s">
        <v>236</v>
      </c>
      <c r="AL175">
        <v>-76.023501999999993</v>
      </c>
      <c r="AM175">
        <v>25</v>
      </c>
      <c r="AN175">
        <v>3300</v>
      </c>
      <c r="AO175" t="s">
        <v>118</v>
      </c>
      <c r="AP175">
        <v>-68</v>
      </c>
      <c r="AQ175">
        <v>-114</v>
      </c>
      <c r="AR175">
        <v>1344</v>
      </c>
      <c r="AZ175">
        <v>1200</v>
      </c>
      <c r="BA175">
        <v>1</v>
      </c>
      <c r="BB175" t="str">
        <f t="shared" si="20"/>
        <v xml:space="preserve">N79NX   </v>
      </c>
      <c r="BC175">
        <v>1</v>
      </c>
      <c r="BE175">
        <v>0</v>
      </c>
      <c r="BF175">
        <v>0</v>
      </c>
      <c r="BG175">
        <v>0</v>
      </c>
      <c r="BH175">
        <v>3125</v>
      </c>
      <c r="BI175">
        <v>0</v>
      </c>
      <c r="BJ175">
        <v>0</v>
      </c>
      <c r="BK175">
        <v>0</v>
      </c>
      <c r="BL175">
        <v>0</v>
      </c>
      <c r="BO175">
        <v>0</v>
      </c>
      <c r="BP175">
        <v>0</v>
      </c>
      <c r="BW175" t="str">
        <f>"18:36:22.150"</f>
        <v>18:36:22.150</v>
      </c>
      <c r="BZ175">
        <v>0</v>
      </c>
      <c r="CA175">
        <v>3488</v>
      </c>
      <c r="CB175">
        <v>216</v>
      </c>
      <c r="CC175">
        <v>583.59379999999999</v>
      </c>
      <c r="CD175">
        <v>1</v>
      </c>
      <c r="CE175">
        <v>1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2</v>
      </c>
      <c r="CL175">
        <v>0</v>
      </c>
      <c r="CM175">
        <v>2</v>
      </c>
      <c r="CN175">
        <v>0</v>
      </c>
      <c r="CO175">
        <v>6</v>
      </c>
      <c r="CP175" t="s">
        <v>119</v>
      </c>
      <c r="CQ175">
        <v>145</v>
      </c>
      <c r="CR175">
        <v>1</v>
      </c>
      <c r="CW175">
        <v>8875225</v>
      </c>
      <c r="CY175">
        <v>0</v>
      </c>
      <c r="CZ175">
        <v>0</v>
      </c>
      <c r="DA175">
        <v>1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</row>
    <row r="176" spans="1:113" x14ac:dyDescent="0.3">
      <c r="A176" t="str">
        <f>"02/13/2022 18:36:23.424"</f>
        <v>02/13/2022 18:36:23.424</v>
      </c>
      <c r="C176" t="str">
        <f t="shared" si="19"/>
        <v>FFDFD7C0</v>
      </c>
      <c r="D176" t="s">
        <v>121</v>
      </c>
      <c r="E176">
        <v>2</v>
      </c>
      <c r="H176">
        <v>158</v>
      </c>
      <c r="I176" t="s">
        <v>120</v>
      </c>
      <c r="J176" t="s">
        <v>122</v>
      </c>
      <c r="K176">
        <v>0</v>
      </c>
      <c r="L176">
        <v>3</v>
      </c>
      <c r="M176">
        <v>0</v>
      </c>
      <c r="N176">
        <v>2</v>
      </c>
      <c r="O176">
        <v>1</v>
      </c>
      <c r="P176">
        <v>0</v>
      </c>
      <c r="Q176">
        <v>0</v>
      </c>
      <c r="S176" t="str">
        <f>"18:36:23.164"</f>
        <v>18:36:23.164</v>
      </c>
      <c r="T176" t="str">
        <f>"18:36:22.764"</f>
        <v>18:36:22.764</v>
      </c>
      <c r="U176" t="str">
        <f t="shared" si="17"/>
        <v>AAB6EE</v>
      </c>
      <c r="V176">
        <v>0</v>
      </c>
      <c r="W176">
        <v>0</v>
      </c>
      <c r="X176">
        <v>4</v>
      </c>
      <c r="Z176">
        <v>0</v>
      </c>
      <c r="AA176">
        <v>8</v>
      </c>
      <c r="AB176">
        <v>3</v>
      </c>
      <c r="AC176">
        <v>0</v>
      </c>
      <c r="AD176">
        <v>10</v>
      </c>
      <c r="AE176">
        <v>0</v>
      </c>
      <c r="AF176">
        <v>0</v>
      </c>
      <c r="AG176">
        <v>1</v>
      </c>
      <c r="AH176">
        <v>1</v>
      </c>
      <c r="AI176" t="s">
        <v>237</v>
      </c>
      <c r="AJ176">
        <v>35.534784999999999</v>
      </c>
      <c r="AK176" t="s">
        <v>238</v>
      </c>
      <c r="AL176">
        <v>-76.023846000000006</v>
      </c>
      <c r="AM176">
        <v>25</v>
      </c>
      <c r="AN176">
        <v>3325</v>
      </c>
      <c r="AO176" t="s">
        <v>118</v>
      </c>
      <c r="AP176">
        <v>-67</v>
      </c>
      <c r="AQ176">
        <v>-115</v>
      </c>
      <c r="AR176">
        <v>1280</v>
      </c>
      <c r="AZ176">
        <v>1200</v>
      </c>
      <c r="BA176">
        <v>1</v>
      </c>
      <c r="BB176" t="str">
        <f t="shared" si="20"/>
        <v xml:space="preserve">N79NX   </v>
      </c>
      <c r="BC176">
        <v>1</v>
      </c>
      <c r="BE176">
        <v>0</v>
      </c>
      <c r="BF176">
        <v>0</v>
      </c>
      <c r="BG176">
        <v>0</v>
      </c>
      <c r="BH176">
        <v>3150</v>
      </c>
      <c r="BI176">
        <v>0</v>
      </c>
      <c r="BJ176">
        <v>0</v>
      </c>
      <c r="BK176">
        <v>0</v>
      </c>
      <c r="BL176">
        <v>0</v>
      </c>
      <c r="BO176">
        <v>0</v>
      </c>
      <c r="BP176">
        <v>0</v>
      </c>
      <c r="BW176" t="str">
        <f>"18:36:23.170"</f>
        <v>18:36:23.170</v>
      </c>
      <c r="BZ176">
        <v>0</v>
      </c>
      <c r="CA176">
        <v>3488</v>
      </c>
      <c r="CB176">
        <v>216</v>
      </c>
      <c r="CC176">
        <v>583.59379999999999</v>
      </c>
      <c r="CD176">
        <v>1</v>
      </c>
      <c r="CE176">
        <v>1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2</v>
      </c>
      <c r="CL176">
        <v>0</v>
      </c>
      <c r="CM176">
        <v>2</v>
      </c>
      <c r="CN176">
        <v>0</v>
      </c>
      <c r="CO176">
        <v>7</v>
      </c>
      <c r="CP176" t="s">
        <v>119</v>
      </c>
      <c r="CQ176">
        <v>145</v>
      </c>
      <c r="CR176">
        <v>1</v>
      </c>
      <c r="CW176">
        <v>8875704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</row>
    <row r="177" spans="1:113" x14ac:dyDescent="0.3">
      <c r="A177" t="str">
        <f>"02/13/2022 18:36:23.424"</f>
        <v>02/13/2022 18:36:23.424</v>
      </c>
      <c r="C177" t="str">
        <f t="shared" si="19"/>
        <v>FFDFD7C0</v>
      </c>
      <c r="D177" t="s">
        <v>113</v>
      </c>
      <c r="E177">
        <v>3</v>
      </c>
      <c r="F177">
        <v>1003</v>
      </c>
      <c r="G177" t="s">
        <v>114</v>
      </c>
      <c r="J177" t="s">
        <v>115</v>
      </c>
      <c r="K177">
        <v>0</v>
      </c>
      <c r="L177">
        <v>3</v>
      </c>
      <c r="M177">
        <v>0</v>
      </c>
      <c r="N177">
        <v>2</v>
      </c>
      <c r="O177">
        <v>1</v>
      </c>
      <c r="P177">
        <v>0</v>
      </c>
      <c r="Q177">
        <v>0</v>
      </c>
      <c r="S177" t="str">
        <f>"18:36:23.164"</f>
        <v>18:36:23.164</v>
      </c>
      <c r="T177" t="str">
        <f>"18:36:22.764"</f>
        <v>18:36:22.764</v>
      </c>
      <c r="U177" t="str">
        <f t="shared" si="17"/>
        <v>AAB6EE</v>
      </c>
      <c r="V177">
        <v>0</v>
      </c>
      <c r="W177">
        <v>0</v>
      </c>
      <c r="X177">
        <v>4</v>
      </c>
      <c r="Z177">
        <v>0</v>
      </c>
      <c r="AA177">
        <v>8</v>
      </c>
      <c r="AB177">
        <v>3</v>
      </c>
      <c r="AC177">
        <v>0</v>
      </c>
      <c r="AD177">
        <v>10</v>
      </c>
      <c r="AE177">
        <v>0</v>
      </c>
      <c r="AF177">
        <v>0</v>
      </c>
      <c r="AG177">
        <v>1</v>
      </c>
      <c r="AH177">
        <v>1</v>
      </c>
      <c r="AI177" t="s">
        <v>237</v>
      </c>
      <c r="AJ177">
        <v>35.534784999999999</v>
      </c>
      <c r="AK177" t="s">
        <v>238</v>
      </c>
      <c r="AL177">
        <v>-76.023846000000006</v>
      </c>
      <c r="AM177">
        <v>25</v>
      </c>
      <c r="AN177">
        <v>3325</v>
      </c>
      <c r="AO177" t="s">
        <v>118</v>
      </c>
      <c r="AP177">
        <v>-67</v>
      </c>
      <c r="AQ177">
        <v>-115</v>
      </c>
      <c r="AR177">
        <v>1280</v>
      </c>
      <c r="AZ177">
        <v>1200</v>
      </c>
      <c r="BA177">
        <v>1</v>
      </c>
      <c r="BB177" t="str">
        <f t="shared" si="20"/>
        <v xml:space="preserve">N79NX   </v>
      </c>
      <c r="BC177">
        <v>1</v>
      </c>
      <c r="BE177">
        <v>0</v>
      </c>
      <c r="BF177">
        <v>0</v>
      </c>
      <c r="BG177">
        <v>0</v>
      </c>
      <c r="BH177">
        <v>3150</v>
      </c>
      <c r="BI177">
        <v>0</v>
      </c>
      <c r="BJ177">
        <v>0</v>
      </c>
      <c r="BK177">
        <v>0</v>
      </c>
      <c r="BL177">
        <v>0</v>
      </c>
      <c r="BO177">
        <v>0</v>
      </c>
      <c r="BP177">
        <v>0</v>
      </c>
      <c r="BW177" t="str">
        <f>"18:36:23.170"</f>
        <v>18:36:23.170</v>
      </c>
      <c r="BZ177">
        <v>0</v>
      </c>
      <c r="CA177">
        <v>3488</v>
      </c>
      <c r="CB177">
        <v>216</v>
      </c>
      <c r="CC177">
        <v>583.59379999999999</v>
      </c>
      <c r="CD177">
        <v>1</v>
      </c>
      <c r="CE177">
        <v>1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2</v>
      </c>
      <c r="CL177">
        <v>0</v>
      </c>
      <c r="CM177">
        <v>2</v>
      </c>
      <c r="CN177">
        <v>0</v>
      </c>
      <c r="CO177">
        <v>7</v>
      </c>
      <c r="CP177" t="s">
        <v>119</v>
      </c>
      <c r="CQ177">
        <v>145</v>
      </c>
      <c r="CR177">
        <v>1</v>
      </c>
      <c r="CW177">
        <v>8875704</v>
      </c>
      <c r="CY177">
        <v>0</v>
      </c>
      <c r="CZ177">
        <v>0</v>
      </c>
      <c r="DA177">
        <v>1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</row>
    <row r="178" spans="1:113" x14ac:dyDescent="0.3">
      <c r="A178" t="str">
        <f>"02/13/2022 18:36:23.424"</f>
        <v>02/13/2022 18:36:23.424</v>
      </c>
      <c r="C178" t="str">
        <f t="shared" si="19"/>
        <v>FFDFD7C0</v>
      </c>
      <c r="D178" t="s">
        <v>113</v>
      </c>
      <c r="E178">
        <v>4</v>
      </c>
      <c r="F178">
        <v>1004</v>
      </c>
      <c r="G178" t="s">
        <v>120</v>
      </c>
      <c r="J178" t="s">
        <v>115</v>
      </c>
      <c r="K178">
        <v>0</v>
      </c>
      <c r="L178">
        <v>3</v>
      </c>
      <c r="M178">
        <v>0</v>
      </c>
      <c r="N178">
        <v>2</v>
      </c>
      <c r="O178">
        <v>1</v>
      </c>
      <c r="P178">
        <v>0</v>
      </c>
      <c r="Q178">
        <v>0</v>
      </c>
      <c r="S178" t="str">
        <f>"18:36:23.164"</f>
        <v>18:36:23.164</v>
      </c>
      <c r="T178" t="str">
        <f>"18:36:22.764"</f>
        <v>18:36:22.764</v>
      </c>
      <c r="U178" t="str">
        <f t="shared" si="17"/>
        <v>AAB6EE</v>
      </c>
      <c r="V178">
        <v>0</v>
      </c>
      <c r="W178">
        <v>0</v>
      </c>
      <c r="X178">
        <v>4</v>
      </c>
      <c r="Z178">
        <v>0</v>
      </c>
      <c r="AA178">
        <v>8</v>
      </c>
      <c r="AB178">
        <v>3</v>
      </c>
      <c r="AC178">
        <v>0</v>
      </c>
      <c r="AD178">
        <v>10</v>
      </c>
      <c r="AE178">
        <v>0</v>
      </c>
      <c r="AF178">
        <v>0</v>
      </c>
      <c r="AG178">
        <v>1</v>
      </c>
      <c r="AH178">
        <v>1</v>
      </c>
      <c r="AI178" t="s">
        <v>237</v>
      </c>
      <c r="AJ178">
        <v>35.534784999999999</v>
      </c>
      <c r="AK178" t="s">
        <v>238</v>
      </c>
      <c r="AL178">
        <v>-76.023846000000006</v>
      </c>
      <c r="AM178">
        <v>25</v>
      </c>
      <c r="AN178">
        <v>3325</v>
      </c>
      <c r="AO178" t="s">
        <v>118</v>
      </c>
      <c r="AP178">
        <v>-67</v>
      </c>
      <c r="AQ178">
        <v>-115</v>
      </c>
      <c r="AR178">
        <v>1280</v>
      </c>
      <c r="AZ178">
        <v>1200</v>
      </c>
      <c r="BA178">
        <v>1</v>
      </c>
      <c r="BB178" t="str">
        <f t="shared" si="20"/>
        <v xml:space="preserve">N79NX   </v>
      </c>
      <c r="BC178">
        <v>1</v>
      </c>
      <c r="BE178">
        <v>0</v>
      </c>
      <c r="BF178">
        <v>0</v>
      </c>
      <c r="BG178">
        <v>0</v>
      </c>
      <c r="BH178">
        <v>3150</v>
      </c>
      <c r="BI178">
        <v>0</v>
      </c>
      <c r="BJ178">
        <v>0</v>
      </c>
      <c r="BK178">
        <v>0</v>
      </c>
      <c r="BL178">
        <v>0</v>
      </c>
      <c r="BO178">
        <v>0</v>
      </c>
      <c r="BP178">
        <v>0</v>
      </c>
      <c r="BW178" t="str">
        <f>"18:36:23.170"</f>
        <v>18:36:23.170</v>
      </c>
      <c r="BZ178">
        <v>0</v>
      </c>
      <c r="CA178">
        <v>3488</v>
      </c>
      <c r="CB178">
        <v>216</v>
      </c>
      <c r="CC178">
        <v>583.59379999999999</v>
      </c>
      <c r="CD178">
        <v>1</v>
      </c>
      <c r="CE178">
        <v>1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2</v>
      </c>
      <c r="CL178">
        <v>0</v>
      </c>
      <c r="CM178">
        <v>2</v>
      </c>
      <c r="CN178">
        <v>0</v>
      </c>
      <c r="CO178">
        <v>7</v>
      </c>
      <c r="CP178" t="s">
        <v>119</v>
      </c>
      <c r="CQ178">
        <v>145</v>
      </c>
      <c r="CR178">
        <v>1</v>
      </c>
      <c r="CW178">
        <v>8875704</v>
      </c>
      <c r="CY178">
        <v>0</v>
      </c>
      <c r="CZ178">
        <v>0</v>
      </c>
      <c r="DA178">
        <v>1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</row>
    <row r="179" spans="1:113" x14ac:dyDescent="0.3">
      <c r="A179" t="str">
        <f>"02/13/2022 18:36:24.331"</f>
        <v>02/13/2022 18:36:24.331</v>
      </c>
      <c r="C179" t="str">
        <f t="shared" si="19"/>
        <v>FFDFD7C0</v>
      </c>
      <c r="D179" t="s">
        <v>121</v>
      </c>
      <c r="E179">
        <v>2</v>
      </c>
      <c r="H179">
        <v>158</v>
      </c>
      <c r="I179" t="s">
        <v>120</v>
      </c>
      <c r="J179" t="s">
        <v>122</v>
      </c>
      <c r="K179">
        <v>0</v>
      </c>
      <c r="L179">
        <v>3</v>
      </c>
      <c r="M179">
        <v>0</v>
      </c>
      <c r="N179">
        <v>2</v>
      </c>
      <c r="O179">
        <v>1</v>
      </c>
      <c r="P179">
        <v>0</v>
      </c>
      <c r="Q179">
        <v>0</v>
      </c>
      <c r="S179" t="str">
        <f>"18:36:24.078"</f>
        <v>18:36:24.078</v>
      </c>
      <c r="T179" t="str">
        <f>"18:36:23.778"</f>
        <v>18:36:23.778</v>
      </c>
      <c r="U179" t="str">
        <f t="shared" si="17"/>
        <v>AAB6EE</v>
      </c>
      <c r="V179">
        <v>0</v>
      </c>
      <c r="W179">
        <v>0</v>
      </c>
      <c r="X179">
        <v>4</v>
      </c>
      <c r="Z179">
        <v>0</v>
      </c>
      <c r="AA179">
        <v>8</v>
      </c>
      <c r="AB179">
        <v>3</v>
      </c>
      <c r="AC179">
        <v>0</v>
      </c>
      <c r="AD179">
        <v>10</v>
      </c>
      <c r="AE179">
        <v>0</v>
      </c>
      <c r="AF179">
        <v>0</v>
      </c>
      <c r="AG179">
        <v>1</v>
      </c>
      <c r="AH179">
        <v>1</v>
      </c>
      <c r="AI179" t="s">
        <v>239</v>
      </c>
      <c r="AJ179">
        <v>35.534247999999998</v>
      </c>
      <c r="AK179" t="s">
        <v>240</v>
      </c>
      <c r="AL179">
        <v>-76.024231999999998</v>
      </c>
      <c r="AM179">
        <v>25</v>
      </c>
      <c r="AN179">
        <v>3325</v>
      </c>
      <c r="AO179" t="s">
        <v>118</v>
      </c>
      <c r="AP179">
        <v>-67</v>
      </c>
      <c r="AQ179">
        <v>-116</v>
      </c>
      <c r="AR179">
        <v>1088</v>
      </c>
      <c r="AZ179">
        <v>1200</v>
      </c>
      <c r="BA179">
        <v>1</v>
      </c>
      <c r="BB179" t="str">
        <f t="shared" si="20"/>
        <v xml:space="preserve">N79NX   </v>
      </c>
      <c r="BC179">
        <v>1</v>
      </c>
      <c r="BE179">
        <v>0</v>
      </c>
      <c r="BF179">
        <v>0</v>
      </c>
      <c r="BG179">
        <v>0</v>
      </c>
      <c r="BH179">
        <v>3175</v>
      </c>
      <c r="BI179">
        <v>0</v>
      </c>
      <c r="BJ179">
        <v>0</v>
      </c>
      <c r="BK179">
        <v>0</v>
      </c>
      <c r="BL179">
        <v>0</v>
      </c>
      <c r="BO179">
        <v>0</v>
      </c>
      <c r="BP179">
        <v>0</v>
      </c>
      <c r="BW179" t="str">
        <f>"18:36:24.080"</f>
        <v>18:36:24.080</v>
      </c>
      <c r="BZ179">
        <v>0</v>
      </c>
      <c r="CA179">
        <v>3488</v>
      </c>
      <c r="CB179">
        <v>216</v>
      </c>
      <c r="CC179">
        <v>583.59379999999999</v>
      </c>
      <c r="CD179">
        <v>1</v>
      </c>
      <c r="CE179">
        <v>1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2</v>
      </c>
      <c r="CL179">
        <v>0</v>
      </c>
      <c r="CM179">
        <v>2</v>
      </c>
      <c r="CN179">
        <v>0</v>
      </c>
      <c r="CO179">
        <v>7</v>
      </c>
      <c r="CP179" t="s">
        <v>119</v>
      </c>
      <c r="CQ179">
        <v>145</v>
      </c>
      <c r="CR179">
        <v>1</v>
      </c>
      <c r="CW179">
        <v>8876169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</row>
    <row r="180" spans="1:113" x14ac:dyDescent="0.3">
      <c r="A180" t="str">
        <f>"02/13/2022 18:36:24.331"</f>
        <v>02/13/2022 18:36:24.331</v>
      </c>
      <c r="C180" t="str">
        <f t="shared" si="19"/>
        <v>FFDFD7C0</v>
      </c>
      <c r="D180" t="s">
        <v>113</v>
      </c>
      <c r="E180">
        <v>3</v>
      </c>
      <c r="F180">
        <v>1003</v>
      </c>
      <c r="G180" t="s">
        <v>114</v>
      </c>
      <c r="J180" t="s">
        <v>115</v>
      </c>
      <c r="K180">
        <v>0</v>
      </c>
      <c r="L180">
        <v>3</v>
      </c>
      <c r="M180">
        <v>0</v>
      </c>
      <c r="N180">
        <v>2</v>
      </c>
      <c r="O180">
        <v>1</v>
      </c>
      <c r="P180">
        <v>0</v>
      </c>
      <c r="Q180">
        <v>0</v>
      </c>
      <c r="S180" t="str">
        <f>"18:36:24.078"</f>
        <v>18:36:24.078</v>
      </c>
      <c r="T180" t="str">
        <f>"18:36:23.778"</f>
        <v>18:36:23.778</v>
      </c>
      <c r="U180" t="str">
        <f t="shared" si="17"/>
        <v>AAB6EE</v>
      </c>
      <c r="V180">
        <v>0</v>
      </c>
      <c r="W180">
        <v>0</v>
      </c>
      <c r="X180">
        <v>4</v>
      </c>
      <c r="Z180">
        <v>0</v>
      </c>
      <c r="AA180">
        <v>8</v>
      </c>
      <c r="AB180">
        <v>3</v>
      </c>
      <c r="AC180">
        <v>0</v>
      </c>
      <c r="AD180">
        <v>10</v>
      </c>
      <c r="AE180">
        <v>0</v>
      </c>
      <c r="AF180">
        <v>0</v>
      </c>
      <c r="AG180">
        <v>1</v>
      </c>
      <c r="AH180">
        <v>1</v>
      </c>
      <c r="AI180" t="s">
        <v>239</v>
      </c>
      <c r="AJ180">
        <v>35.534247999999998</v>
      </c>
      <c r="AK180" t="s">
        <v>240</v>
      </c>
      <c r="AL180">
        <v>-76.024231999999998</v>
      </c>
      <c r="AM180">
        <v>25</v>
      </c>
      <c r="AN180">
        <v>3325</v>
      </c>
      <c r="AO180" t="s">
        <v>118</v>
      </c>
      <c r="AP180">
        <v>-67</v>
      </c>
      <c r="AQ180">
        <v>-116</v>
      </c>
      <c r="AR180">
        <v>1088</v>
      </c>
      <c r="AZ180">
        <v>1200</v>
      </c>
      <c r="BA180">
        <v>1</v>
      </c>
      <c r="BB180" t="str">
        <f t="shared" si="20"/>
        <v xml:space="preserve">N79NX   </v>
      </c>
      <c r="BC180">
        <v>1</v>
      </c>
      <c r="BE180">
        <v>0</v>
      </c>
      <c r="BF180">
        <v>0</v>
      </c>
      <c r="BG180">
        <v>0</v>
      </c>
      <c r="BH180">
        <v>3175</v>
      </c>
      <c r="BI180">
        <v>0</v>
      </c>
      <c r="BJ180">
        <v>0</v>
      </c>
      <c r="BK180">
        <v>0</v>
      </c>
      <c r="BL180">
        <v>0</v>
      </c>
      <c r="BO180">
        <v>0</v>
      </c>
      <c r="BP180">
        <v>0</v>
      </c>
      <c r="BW180" t="str">
        <f>"18:36:24.080"</f>
        <v>18:36:24.080</v>
      </c>
      <c r="BZ180">
        <v>0</v>
      </c>
      <c r="CA180">
        <v>3488</v>
      </c>
      <c r="CB180">
        <v>216</v>
      </c>
      <c r="CC180">
        <v>583.59379999999999</v>
      </c>
      <c r="CD180">
        <v>1</v>
      </c>
      <c r="CE180">
        <v>1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2</v>
      </c>
      <c r="CL180">
        <v>0</v>
      </c>
      <c r="CM180">
        <v>2</v>
      </c>
      <c r="CN180">
        <v>0</v>
      </c>
      <c r="CO180">
        <v>7</v>
      </c>
      <c r="CP180" t="s">
        <v>119</v>
      </c>
      <c r="CQ180">
        <v>145</v>
      </c>
      <c r="CR180">
        <v>1</v>
      </c>
      <c r="CW180">
        <v>8876169</v>
      </c>
      <c r="CY180">
        <v>0</v>
      </c>
      <c r="CZ180">
        <v>0</v>
      </c>
      <c r="DA180">
        <v>1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</row>
    <row r="181" spans="1:113" x14ac:dyDescent="0.3">
      <c r="A181" t="str">
        <f>"02/13/2022 18:36:24.331"</f>
        <v>02/13/2022 18:36:24.331</v>
      </c>
      <c r="C181" t="str">
        <f t="shared" si="19"/>
        <v>FFDFD7C0</v>
      </c>
      <c r="D181" t="s">
        <v>113</v>
      </c>
      <c r="E181">
        <v>4</v>
      </c>
      <c r="F181">
        <v>1004</v>
      </c>
      <c r="G181" t="s">
        <v>120</v>
      </c>
      <c r="J181" t="s">
        <v>115</v>
      </c>
      <c r="K181">
        <v>0</v>
      </c>
      <c r="L181">
        <v>3</v>
      </c>
      <c r="M181">
        <v>0</v>
      </c>
      <c r="N181">
        <v>2</v>
      </c>
      <c r="O181">
        <v>1</v>
      </c>
      <c r="P181">
        <v>0</v>
      </c>
      <c r="Q181">
        <v>0</v>
      </c>
      <c r="S181" t="str">
        <f>"18:36:24.078"</f>
        <v>18:36:24.078</v>
      </c>
      <c r="T181" t="str">
        <f>"18:36:23.778"</f>
        <v>18:36:23.778</v>
      </c>
      <c r="U181" t="str">
        <f t="shared" si="17"/>
        <v>AAB6EE</v>
      </c>
      <c r="V181">
        <v>0</v>
      </c>
      <c r="W181">
        <v>0</v>
      </c>
      <c r="X181">
        <v>4</v>
      </c>
      <c r="Z181">
        <v>0</v>
      </c>
      <c r="AA181">
        <v>8</v>
      </c>
      <c r="AB181">
        <v>3</v>
      </c>
      <c r="AC181">
        <v>0</v>
      </c>
      <c r="AD181">
        <v>10</v>
      </c>
      <c r="AE181">
        <v>0</v>
      </c>
      <c r="AF181">
        <v>0</v>
      </c>
      <c r="AG181">
        <v>1</v>
      </c>
      <c r="AH181">
        <v>1</v>
      </c>
      <c r="AI181" t="s">
        <v>239</v>
      </c>
      <c r="AJ181">
        <v>35.534247999999998</v>
      </c>
      <c r="AK181" t="s">
        <v>240</v>
      </c>
      <c r="AL181">
        <v>-76.024231999999998</v>
      </c>
      <c r="AM181">
        <v>25</v>
      </c>
      <c r="AN181">
        <v>3325</v>
      </c>
      <c r="AO181" t="s">
        <v>118</v>
      </c>
      <c r="AP181">
        <v>-67</v>
      </c>
      <c r="AQ181">
        <v>-116</v>
      </c>
      <c r="AR181">
        <v>1088</v>
      </c>
      <c r="AZ181">
        <v>1200</v>
      </c>
      <c r="BA181">
        <v>1</v>
      </c>
      <c r="BB181" t="str">
        <f t="shared" si="20"/>
        <v xml:space="preserve">N79NX   </v>
      </c>
      <c r="BC181">
        <v>1</v>
      </c>
      <c r="BE181">
        <v>0</v>
      </c>
      <c r="BF181">
        <v>0</v>
      </c>
      <c r="BG181">
        <v>0</v>
      </c>
      <c r="BH181">
        <v>3175</v>
      </c>
      <c r="BI181">
        <v>0</v>
      </c>
      <c r="BJ181">
        <v>0</v>
      </c>
      <c r="BK181">
        <v>0</v>
      </c>
      <c r="BL181">
        <v>0</v>
      </c>
      <c r="BO181">
        <v>0</v>
      </c>
      <c r="BP181">
        <v>0</v>
      </c>
      <c r="BW181" t="str">
        <f>"18:36:24.080"</f>
        <v>18:36:24.080</v>
      </c>
      <c r="BZ181">
        <v>0</v>
      </c>
      <c r="CA181">
        <v>3488</v>
      </c>
      <c r="CB181">
        <v>216</v>
      </c>
      <c r="CC181">
        <v>583.59379999999999</v>
      </c>
      <c r="CD181">
        <v>1</v>
      </c>
      <c r="CE181">
        <v>1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2</v>
      </c>
      <c r="CL181">
        <v>0</v>
      </c>
      <c r="CM181">
        <v>2</v>
      </c>
      <c r="CN181">
        <v>0</v>
      </c>
      <c r="CO181">
        <v>7</v>
      </c>
      <c r="CP181" t="s">
        <v>119</v>
      </c>
      <c r="CQ181">
        <v>145</v>
      </c>
      <c r="CR181">
        <v>1</v>
      </c>
      <c r="CW181">
        <v>8876169</v>
      </c>
      <c r="CY181">
        <v>0</v>
      </c>
      <c r="CZ181">
        <v>0</v>
      </c>
      <c r="DA181">
        <v>1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</row>
    <row r="182" spans="1:113" x14ac:dyDescent="0.3">
      <c r="A182" t="str">
        <f>"02/13/2022 18:36:25.302"</f>
        <v>02/13/2022 18:36:25.302</v>
      </c>
      <c r="C182" t="str">
        <f t="shared" si="19"/>
        <v>FFDFD7C0</v>
      </c>
      <c r="D182" t="s">
        <v>113</v>
      </c>
      <c r="E182">
        <v>3</v>
      </c>
      <c r="F182">
        <v>1003</v>
      </c>
      <c r="G182" t="s">
        <v>114</v>
      </c>
      <c r="J182" t="s">
        <v>115</v>
      </c>
      <c r="K182">
        <v>0</v>
      </c>
      <c r="L182">
        <v>3</v>
      </c>
      <c r="M182">
        <v>0</v>
      </c>
      <c r="N182">
        <v>2</v>
      </c>
      <c r="O182">
        <v>1</v>
      </c>
      <c r="P182">
        <v>0</v>
      </c>
      <c r="Q182">
        <v>0</v>
      </c>
      <c r="S182" t="str">
        <f>"18:36:25.125"</f>
        <v>18:36:25.125</v>
      </c>
      <c r="T182" t="str">
        <f>"18:36:24.925"</f>
        <v>18:36:24.925</v>
      </c>
      <c r="U182" t="str">
        <f t="shared" si="17"/>
        <v>AAB6EE</v>
      </c>
      <c r="V182">
        <v>0</v>
      </c>
      <c r="W182">
        <v>0</v>
      </c>
      <c r="X182">
        <v>4</v>
      </c>
      <c r="Z182">
        <v>0</v>
      </c>
      <c r="AA182">
        <v>8</v>
      </c>
      <c r="AB182">
        <v>3</v>
      </c>
      <c r="AC182">
        <v>0</v>
      </c>
      <c r="AD182">
        <v>10</v>
      </c>
      <c r="AE182">
        <v>0</v>
      </c>
      <c r="AF182">
        <v>0</v>
      </c>
      <c r="AG182">
        <v>1</v>
      </c>
      <c r="AH182">
        <v>1</v>
      </c>
      <c r="AI182" t="s">
        <v>241</v>
      </c>
      <c r="AJ182">
        <v>35.533669000000003</v>
      </c>
      <c r="AK182" t="s">
        <v>242</v>
      </c>
      <c r="AL182">
        <v>-76.024640000000005</v>
      </c>
      <c r="AM182">
        <v>25</v>
      </c>
      <c r="AN182">
        <v>3350</v>
      </c>
      <c r="AO182" t="s">
        <v>118</v>
      </c>
      <c r="AP182">
        <v>-67</v>
      </c>
      <c r="AQ182">
        <v>-118</v>
      </c>
      <c r="AR182">
        <v>960</v>
      </c>
      <c r="AZ182">
        <v>1200</v>
      </c>
      <c r="BA182">
        <v>1</v>
      </c>
      <c r="BB182" t="str">
        <f t="shared" si="20"/>
        <v xml:space="preserve">N79NX   </v>
      </c>
      <c r="BC182">
        <v>1</v>
      </c>
      <c r="BE182">
        <v>0</v>
      </c>
      <c r="BF182">
        <v>0</v>
      </c>
      <c r="BG182">
        <v>0</v>
      </c>
      <c r="BH182">
        <v>3200</v>
      </c>
      <c r="BI182">
        <v>0</v>
      </c>
      <c r="BJ182">
        <v>0</v>
      </c>
      <c r="BK182">
        <v>0</v>
      </c>
      <c r="BL182">
        <v>0</v>
      </c>
      <c r="BO182">
        <v>0</v>
      </c>
      <c r="BP182">
        <v>0</v>
      </c>
      <c r="BW182" t="str">
        <f>"18:36:25.130"</f>
        <v>18:36:25.130</v>
      </c>
      <c r="BZ182">
        <v>0</v>
      </c>
      <c r="CA182">
        <v>3488</v>
      </c>
      <c r="CB182">
        <v>216</v>
      </c>
      <c r="CC182">
        <v>583.59379999999999</v>
      </c>
      <c r="CD182">
        <v>1</v>
      </c>
      <c r="CE182">
        <v>1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2</v>
      </c>
      <c r="CL182">
        <v>0</v>
      </c>
      <c r="CM182">
        <v>2</v>
      </c>
      <c r="CN182">
        <v>0</v>
      </c>
      <c r="CO182">
        <v>7</v>
      </c>
      <c r="CP182" t="s">
        <v>119</v>
      </c>
      <c r="CQ182">
        <v>145</v>
      </c>
      <c r="CR182">
        <v>1</v>
      </c>
      <c r="CW182">
        <v>8876730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</row>
    <row r="183" spans="1:113" x14ac:dyDescent="0.3">
      <c r="A183" t="str">
        <f>"02/13/2022 18:36:25.318"</f>
        <v>02/13/2022 18:36:25.318</v>
      </c>
      <c r="C183" t="str">
        <f t="shared" si="19"/>
        <v>FFDFD7C0</v>
      </c>
      <c r="D183" t="s">
        <v>113</v>
      </c>
      <c r="E183">
        <v>4</v>
      </c>
      <c r="F183">
        <v>1004</v>
      </c>
      <c r="G183" t="s">
        <v>120</v>
      </c>
      <c r="J183" t="s">
        <v>115</v>
      </c>
      <c r="K183">
        <v>0</v>
      </c>
      <c r="L183">
        <v>3</v>
      </c>
      <c r="M183">
        <v>0</v>
      </c>
      <c r="N183">
        <v>2</v>
      </c>
      <c r="O183">
        <v>1</v>
      </c>
      <c r="P183">
        <v>0</v>
      </c>
      <c r="Q183">
        <v>0</v>
      </c>
      <c r="S183" t="str">
        <f>"18:36:25.125"</f>
        <v>18:36:25.125</v>
      </c>
      <c r="T183" t="str">
        <f>"18:36:24.925"</f>
        <v>18:36:24.925</v>
      </c>
      <c r="U183" t="str">
        <f t="shared" si="17"/>
        <v>AAB6EE</v>
      </c>
      <c r="V183">
        <v>0</v>
      </c>
      <c r="W183">
        <v>0</v>
      </c>
      <c r="X183">
        <v>4</v>
      </c>
      <c r="Z183">
        <v>0</v>
      </c>
      <c r="AA183">
        <v>8</v>
      </c>
      <c r="AB183">
        <v>3</v>
      </c>
      <c r="AC183">
        <v>0</v>
      </c>
      <c r="AD183">
        <v>10</v>
      </c>
      <c r="AE183">
        <v>0</v>
      </c>
      <c r="AF183">
        <v>0</v>
      </c>
      <c r="AG183">
        <v>1</v>
      </c>
      <c r="AH183">
        <v>1</v>
      </c>
      <c r="AI183" t="s">
        <v>241</v>
      </c>
      <c r="AJ183">
        <v>35.533669000000003</v>
      </c>
      <c r="AK183" t="s">
        <v>242</v>
      </c>
      <c r="AL183">
        <v>-76.024640000000005</v>
      </c>
      <c r="AM183">
        <v>25</v>
      </c>
      <c r="AN183">
        <v>3350</v>
      </c>
      <c r="AO183" t="s">
        <v>118</v>
      </c>
      <c r="AP183">
        <v>-67</v>
      </c>
      <c r="AQ183">
        <v>-118</v>
      </c>
      <c r="AR183">
        <v>960</v>
      </c>
      <c r="AZ183">
        <v>1200</v>
      </c>
      <c r="BA183">
        <v>1</v>
      </c>
      <c r="BB183" t="str">
        <f t="shared" si="20"/>
        <v xml:space="preserve">N79NX   </v>
      </c>
      <c r="BC183">
        <v>1</v>
      </c>
      <c r="BE183">
        <v>0</v>
      </c>
      <c r="BF183">
        <v>0</v>
      </c>
      <c r="BG183">
        <v>0</v>
      </c>
      <c r="BH183">
        <v>3200</v>
      </c>
      <c r="BI183">
        <v>0</v>
      </c>
      <c r="BJ183">
        <v>0</v>
      </c>
      <c r="BK183">
        <v>0</v>
      </c>
      <c r="BL183">
        <v>0</v>
      </c>
      <c r="BO183">
        <v>0</v>
      </c>
      <c r="BP183">
        <v>0</v>
      </c>
      <c r="BW183" t="str">
        <f>"18:36:25.130"</f>
        <v>18:36:25.130</v>
      </c>
      <c r="BZ183">
        <v>0</v>
      </c>
      <c r="CA183">
        <v>3488</v>
      </c>
      <c r="CB183">
        <v>216</v>
      </c>
      <c r="CC183">
        <v>583.59379999999999</v>
      </c>
      <c r="CD183">
        <v>1</v>
      </c>
      <c r="CE183">
        <v>1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2</v>
      </c>
      <c r="CL183">
        <v>0</v>
      </c>
      <c r="CM183">
        <v>2</v>
      </c>
      <c r="CN183">
        <v>0</v>
      </c>
      <c r="CO183">
        <v>7</v>
      </c>
      <c r="CP183" t="s">
        <v>119</v>
      </c>
      <c r="CQ183">
        <v>145</v>
      </c>
      <c r="CR183">
        <v>1</v>
      </c>
      <c r="CW183">
        <v>8876730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</row>
    <row r="184" spans="1:113" x14ac:dyDescent="0.3">
      <c r="A184" t="str">
        <f>"02/13/2022 18:36:25.364"</f>
        <v>02/13/2022 18:36:25.364</v>
      </c>
      <c r="C184" t="str">
        <f t="shared" si="19"/>
        <v>FFDFD7C0</v>
      </c>
      <c r="D184" t="s">
        <v>121</v>
      </c>
      <c r="E184">
        <v>2</v>
      </c>
      <c r="H184">
        <v>158</v>
      </c>
      <c r="I184" t="s">
        <v>120</v>
      </c>
      <c r="J184" t="s">
        <v>122</v>
      </c>
      <c r="K184">
        <v>0</v>
      </c>
      <c r="L184">
        <v>3</v>
      </c>
      <c r="M184">
        <v>0</v>
      </c>
      <c r="N184">
        <v>2</v>
      </c>
      <c r="O184">
        <v>1</v>
      </c>
      <c r="P184">
        <v>0</v>
      </c>
      <c r="Q184">
        <v>0</v>
      </c>
      <c r="S184" t="str">
        <f>"18:36:25.125"</f>
        <v>18:36:25.125</v>
      </c>
      <c r="T184" t="str">
        <f>"18:36:24.925"</f>
        <v>18:36:24.925</v>
      </c>
      <c r="U184" t="str">
        <f t="shared" si="17"/>
        <v>AAB6EE</v>
      </c>
      <c r="V184">
        <v>0</v>
      </c>
      <c r="W184">
        <v>0</v>
      </c>
      <c r="X184">
        <v>4</v>
      </c>
      <c r="Z184">
        <v>0</v>
      </c>
      <c r="AA184">
        <v>8</v>
      </c>
      <c r="AB184">
        <v>3</v>
      </c>
      <c r="AC184">
        <v>0</v>
      </c>
      <c r="AD184">
        <v>10</v>
      </c>
      <c r="AE184">
        <v>0</v>
      </c>
      <c r="AF184">
        <v>0</v>
      </c>
      <c r="AG184">
        <v>1</v>
      </c>
      <c r="AH184">
        <v>1</v>
      </c>
      <c r="AI184" t="s">
        <v>241</v>
      </c>
      <c r="AJ184">
        <v>35.533669000000003</v>
      </c>
      <c r="AK184" t="s">
        <v>242</v>
      </c>
      <c r="AL184">
        <v>-76.024640000000005</v>
      </c>
      <c r="AM184">
        <v>25</v>
      </c>
      <c r="AN184">
        <v>3350</v>
      </c>
      <c r="AO184" t="s">
        <v>118</v>
      </c>
      <c r="AP184">
        <v>-67</v>
      </c>
      <c r="AQ184">
        <v>-118</v>
      </c>
      <c r="AR184">
        <v>960</v>
      </c>
      <c r="AZ184">
        <v>1200</v>
      </c>
      <c r="BA184">
        <v>1</v>
      </c>
      <c r="BB184" t="str">
        <f t="shared" si="20"/>
        <v xml:space="preserve">N79NX   </v>
      </c>
      <c r="BC184">
        <v>1</v>
      </c>
      <c r="BE184">
        <v>0</v>
      </c>
      <c r="BF184">
        <v>0</v>
      </c>
      <c r="BG184">
        <v>0</v>
      </c>
      <c r="BH184">
        <v>3200</v>
      </c>
      <c r="BI184">
        <v>0</v>
      </c>
      <c r="BJ184">
        <v>0</v>
      </c>
      <c r="BK184">
        <v>0</v>
      </c>
      <c r="BL184">
        <v>0</v>
      </c>
      <c r="BO184">
        <v>0</v>
      </c>
      <c r="BP184">
        <v>0</v>
      </c>
      <c r="BW184" t="str">
        <f>"18:36:25.130"</f>
        <v>18:36:25.130</v>
      </c>
      <c r="BZ184">
        <v>0</v>
      </c>
      <c r="CA184">
        <v>3488</v>
      </c>
      <c r="CB184">
        <v>216</v>
      </c>
      <c r="CC184">
        <v>583.59379999999999</v>
      </c>
      <c r="CD184">
        <v>1</v>
      </c>
      <c r="CE184">
        <v>1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2</v>
      </c>
      <c r="CL184">
        <v>0</v>
      </c>
      <c r="CM184">
        <v>2</v>
      </c>
      <c r="CN184">
        <v>0</v>
      </c>
      <c r="CO184">
        <v>7</v>
      </c>
      <c r="CP184" t="s">
        <v>119</v>
      </c>
      <c r="CQ184">
        <v>145</v>
      </c>
      <c r="CR184">
        <v>1</v>
      </c>
      <c r="CW184">
        <v>8876730</v>
      </c>
      <c r="CY184">
        <v>0</v>
      </c>
      <c r="CZ184">
        <v>0</v>
      </c>
      <c r="DA184">
        <v>1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</row>
    <row r="185" spans="1:113" x14ac:dyDescent="0.3">
      <c r="A185" t="str">
        <f>"02/13/2022 18:36:26.240"</f>
        <v>02/13/2022 18:36:26.240</v>
      </c>
      <c r="C185" t="str">
        <f t="shared" si="19"/>
        <v>FFDFD7C0</v>
      </c>
      <c r="D185" t="s">
        <v>113</v>
      </c>
      <c r="E185">
        <v>4</v>
      </c>
      <c r="F185">
        <v>1004</v>
      </c>
      <c r="G185" t="s">
        <v>120</v>
      </c>
      <c r="J185" t="s">
        <v>115</v>
      </c>
      <c r="K185">
        <v>0</v>
      </c>
      <c r="L185">
        <v>3</v>
      </c>
      <c r="M185">
        <v>0</v>
      </c>
      <c r="N185">
        <v>2</v>
      </c>
      <c r="O185">
        <v>1</v>
      </c>
      <c r="P185">
        <v>0</v>
      </c>
      <c r="Q185">
        <v>0</v>
      </c>
      <c r="S185" t="str">
        <f>"18:36:26.055"</f>
        <v>18:36:26.055</v>
      </c>
      <c r="T185" t="str">
        <f>"18:36:25.955"</f>
        <v>18:36:25.955</v>
      </c>
      <c r="U185" t="str">
        <f t="shared" si="17"/>
        <v>AAB6EE</v>
      </c>
      <c r="V185">
        <v>0</v>
      </c>
      <c r="W185">
        <v>0</v>
      </c>
      <c r="X185">
        <v>4</v>
      </c>
      <c r="Z185">
        <v>0</v>
      </c>
      <c r="AA185">
        <v>8</v>
      </c>
      <c r="AB185">
        <v>3</v>
      </c>
      <c r="AC185">
        <v>0</v>
      </c>
      <c r="AD185">
        <v>10</v>
      </c>
      <c r="AE185">
        <v>0</v>
      </c>
      <c r="AF185">
        <v>0</v>
      </c>
      <c r="AG185">
        <v>1</v>
      </c>
      <c r="AH185">
        <v>1</v>
      </c>
      <c r="AI185" t="s">
        <v>243</v>
      </c>
      <c r="AJ185">
        <v>35.533175</v>
      </c>
      <c r="AK185" t="s">
        <v>244</v>
      </c>
      <c r="AL185">
        <v>-76.024983000000006</v>
      </c>
      <c r="AM185">
        <v>25</v>
      </c>
      <c r="AN185">
        <v>3375</v>
      </c>
      <c r="AO185" t="s">
        <v>118</v>
      </c>
      <c r="AP185">
        <v>-67</v>
      </c>
      <c r="AQ185">
        <v>-119</v>
      </c>
      <c r="AR185">
        <v>832</v>
      </c>
      <c r="AZ185">
        <v>1200</v>
      </c>
      <c r="BA185">
        <v>1</v>
      </c>
      <c r="BB185" t="str">
        <f t="shared" si="20"/>
        <v xml:space="preserve">N79NX   </v>
      </c>
      <c r="BC185">
        <v>1</v>
      </c>
      <c r="BE185">
        <v>0</v>
      </c>
      <c r="BF185">
        <v>0</v>
      </c>
      <c r="BG185">
        <v>0</v>
      </c>
      <c r="BH185">
        <v>3200</v>
      </c>
      <c r="BI185">
        <v>0</v>
      </c>
      <c r="BJ185">
        <v>0</v>
      </c>
      <c r="BK185">
        <v>0</v>
      </c>
      <c r="BL185">
        <v>0</v>
      </c>
      <c r="BO185">
        <v>0</v>
      </c>
      <c r="BP185">
        <v>0</v>
      </c>
      <c r="BW185" t="str">
        <f>"18:36:26.060"</f>
        <v>18:36:26.060</v>
      </c>
      <c r="BZ185">
        <v>0</v>
      </c>
      <c r="CA185">
        <v>3488</v>
      </c>
      <c r="CB185">
        <v>216</v>
      </c>
      <c r="CC185">
        <v>583.59379999999999</v>
      </c>
      <c r="CD185">
        <v>1</v>
      </c>
      <c r="CE185">
        <v>1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2</v>
      </c>
      <c r="CL185">
        <v>0</v>
      </c>
      <c r="CM185">
        <v>2</v>
      </c>
      <c r="CN185">
        <v>0</v>
      </c>
      <c r="CO185">
        <v>7</v>
      </c>
      <c r="CP185" t="s">
        <v>119</v>
      </c>
      <c r="CQ185">
        <v>145</v>
      </c>
      <c r="CR185">
        <v>1</v>
      </c>
      <c r="CW185">
        <v>8877231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</row>
    <row r="186" spans="1:113" x14ac:dyDescent="0.3">
      <c r="A186" t="str">
        <f>"02/13/2022 18:36:26.286"</f>
        <v>02/13/2022 18:36:26.286</v>
      </c>
      <c r="C186" t="str">
        <f t="shared" si="19"/>
        <v>FFDFD7C0</v>
      </c>
      <c r="D186" t="s">
        <v>121</v>
      </c>
      <c r="E186">
        <v>2</v>
      </c>
      <c r="H186">
        <v>158</v>
      </c>
      <c r="I186" t="s">
        <v>120</v>
      </c>
      <c r="J186" t="s">
        <v>122</v>
      </c>
      <c r="K186">
        <v>0</v>
      </c>
      <c r="L186">
        <v>3</v>
      </c>
      <c r="M186">
        <v>0</v>
      </c>
      <c r="N186">
        <v>2</v>
      </c>
      <c r="O186">
        <v>1</v>
      </c>
      <c r="P186">
        <v>0</v>
      </c>
      <c r="Q186">
        <v>0</v>
      </c>
      <c r="S186" t="str">
        <f>"18:36:26.055"</f>
        <v>18:36:26.055</v>
      </c>
      <c r="T186" t="str">
        <f>"18:36:25.955"</f>
        <v>18:36:25.955</v>
      </c>
      <c r="U186" t="str">
        <f t="shared" si="17"/>
        <v>AAB6EE</v>
      </c>
      <c r="V186">
        <v>0</v>
      </c>
      <c r="W186">
        <v>0</v>
      </c>
      <c r="X186">
        <v>4</v>
      </c>
      <c r="Z186">
        <v>0</v>
      </c>
      <c r="AA186">
        <v>8</v>
      </c>
      <c r="AB186">
        <v>3</v>
      </c>
      <c r="AC186">
        <v>0</v>
      </c>
      <c r="AD186">
        <v>10</v>
      </c>
      <c r="AE186">
        <v>0</v>
      </c>
      <c r="AF186">
        <v>0</v>
      </c>
      <c r="AG186">
        <v>1</v>
      </c>
      <c r="AH186">
        <v>1</v>
      </c>
      <c r="AI186" t="s">
        <v>243</v>
      </c>
      <c r="AJ186">
        <v>35.533175</v>
      </c>
      <c r="AK186" t="s">
        <v>244</v>
      </c>
      <c r="AL186">
        <v>-76.024983000000006</v>
      </c>
      <c r="AM186">
        <v>25</v>
      </c>
      <c r="AN186">
        <v>3375</v>
      </c>
      <c r="AO186" t="s">
        <v>118</v>
      </c>
      <c r="AP186">
        <v>-67</v>
      </c>
      <c r="AQ186">
        <v>-119</v>
      </c>
      <c r="AR186">
        <v>832</v>
      </c>
      <c r="AZ186">
        <v>1200</v>
      </c>
      <c r="BA186">
        <v>1</v>
      </c>
      <c r="BB186" t="str">
        <f t="shared" si="20"/>
        <v xml:space="preserve">N79NX   </v>
      </c>
      <c r="BC186">
        <v>1</v>
      </c>
      <c r="BE186">
        <v>0</v>
      </c>
      <c r="BF186">
        <v>0</v>
      </c>
      <c r="BG186">
        <v>0</v>
      </c>
      <c r="BH186">
        <v>3200</v>
      </c>
      <c r="BI186">
        <v>0</v>
      </c>
      <c r="BJ186">
        <v>0</v>
      </c>
      <c r="BK186">
        <v>0</v>
      </c>
      <c r="BL186">
        <v>0</v>
      </c>
      <c r="BO186">
        <v>0</v>
      </c>
      <c r="BP186">
        <v>0</v>
      </c>
      <c r="BW186" t="str">
        <f>"18:36:26.060"</f>
        <v>18:36:26.060</v>
      </c>
      <c r="BZ186">
        <v>0</v>
      </c>
      <c r="CA186">
        <v>3488</v>
      </c>
      <c r="CB186">
        <v>216</v>
      </c>
      <c r="CC186">
        <v>583.59379999999999</v>
      </c>
      <c r="CD186">
        <v>1</v>
      </c>
      <c r="CE186">
        <v>1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2</v>
      </c>
      <c r="CL186">
        <v>0</v>
      </c>
      <c r="CM186">
        <v>2</v>
      </c>
      <c r="CN186">
        <v>0</v>
      </c>
      <c r="CO186">
        <v>7</v>
      </c>
      <c r="CP186" t="s">
        <v>119</v>
      </c>
      <c r="CQ186">
        <v>145</v>
      </c>
      <c r="CR186">
        <v>1</v>
      </c>
      <c r="CW186">
        <v>8877231</v>
      </c>
      <c r="CY186">
        <v>0</v>
      </c>
      <c r="CZ186">
        <v>0</v>
      </c>
      <c r="DA186">
        <v>1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</row>
    <row r="187" spans="1:113" x14ac:dyDescent="0.3">
      <c r="A187" t="str">
        <f>"02/13/2022 18:36:26.286"</f>
        <v>02/13/2022 18:36:26.286</v>
      </c>
      <c r="C187" t="str">
        <f t="shared" si="19"/>
        <v>FFDFD7C0</v>
      </c>
      <c r="D187" t="s">
        <v>113</v>
      </c>
      <c r="E187">
        <v>3</v>
      </c>
      <c r="F187">
        <v>1003</v>
      </c>
      <c r="G187" t="s">
        <v>114</v>
      </c>
      <c r="J187" t="s">
        <v>115</v>
      </c>
      <c r="K187">
        <v>0</v>
      </c>
      <c r="L187">
        <v>3</v>
      </c>
      <c r="M187">
        <v>0</v>
      </c>
      <c r="N187">
        <v>2</v>
      </c>
      <c r="O187">
        <v>1</v>
      </c>
      <c r="P187">
        <v>0</v>
      </c>
      <c r="Q187">
        <v>0</v>
      </c>
      <c r="S187" t="str">
        <f>"18:36:26.055"</f>
        <v>18:36:26.055</v>
      </c>
      <c r="T187" t="str">
        <f>"18:36:25.955"</f>
        <v>18:36:25.955</v>
      </c>
      <c r="U187" t="str">
        <f t="shared" si="17"/>
        <v>AAB6EE</v>
      </c>
      <c r="V187">
        <v>0</v>
      </c>
      <c r="W187">
        <v>0</v>
      </c>
      <c r="X187">
        <v>4</v>
      </c>
      <c r="Z187">
        <v>0</v>
      </c>
      <c r="AA187">
        <v>8</v>
      </c>
      <c r="AB187">
        <v>3</v>
      </c>
      <c r="AC187">
        <v>0</v>
      </c>
      <c r="AD187">
        <v>10</v>
      </c>
      <c r="AE187">
        <v>0</v>
      </c>
      <c r="AF187">
        <v>0</v>
      </c>
      <c r="AG187">
        <v>1</v>
      </c>
      <c r="AH187">
        <v>1</v>
      </c>
      <c r="AI187" t="s">
        <v>243</v>
      </c>
      <c r="AJ187">
        <v>35.533175</v>
      </c>
      <c r="AK187" t="s">
        <v>244</v>
      </c>
      <c r="AL187">
        <v>-76.024983000000006</v>
      </c>
      <c r="AM187">
        <v>25</v>
      </c>
      <c r="AN187">
        <v>3375</v>
      </c>
      <c r="AO187" t="s">
        <v>118</v>
      </c>
      <c r="AP187">
        <v>-67</v>
      </c>
      <c r="AQ187">
        <v>-119</v>
      </c>
      <c r="AR187">
        <v>832</v>
      </c>
      <c r="AZ187">
        <v>1200</v>
      </c>
      <c r="BA187">
        <v>1</v>
      </c>
      <c r="BB187" t="str">
        <f t="shared" si="20"/>
        <v xml:space="preserve">N79NX   </v>
      </c>
      <c r="BC187">
        <v>1</v>
      </c>
      <c r="BE187">
        <v>0</v>
      </c>
      <c r="BF187">
        <v>0</v>
      </c>
      <c r="BG187">
        <v>0</v>
      </c>
      <c r="BH187">
        <v>3200</v>
      </c>
      <c r="BI187">
        <v>0</v>
      </c>
      <c r="BJ187">
        <v>0</v>
      </c>
      <c r="BK187">
        <v>0</v>
      </c>
      <c r="BL187">
        <v>0</v>
      </c>
      <c r="BO187">
        <v>0</v>
      </c>
      <c r="BP187">
        <v>0</v>
      </c>
      <c r="BW187" t="str">
        <f>"18:36:26.060"</f>
        <v>18:36:26.060</v>
      </c>
      <c r="BZ187">
        <v>0</v>
      </c>
      <c r="CA187">
        <v>3488</v>
      </c>
      <c r="CB187">
        <v>216</v>
      </c>
      <c r="CC187">
        <v>583.59379999999999</v>
      </c>
      <c r="CD187">
        <v>1</v>
      </c>
      <c r="CE187">
        <v>1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2</v>
      </c>
      <c r="CL187">
        <v>0</v>
      </c>
      <c r="CM187">
        <v>2</v>
      </c>
      <c r="CN187">
        <v>0</v>
      </c>
      <c r="CO187">
        <v>7</v>
      </c>
      <c r="CP187" t="s">
        <v>119</v>
      </c>
      <c r="CQ187">
        <v>145</v>
      </c>
      <c r="CR187">
        <v>1</v>
      </c>
      <c r="CW187">
        <v>8877231</v>
      </c>
      <c r="CY187">
        <v>0</v>
      </c>
      <c r="CZ187">
        <v>0</v>
      </c>
      <c r="DA187">
        <v>1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</row>
    <row r="188" spans="1:113" x14ac:dyDescent="0.3">
      <c r="A188" t="str">
        <f>"02/13/2022 18:36:27.224"</f>
        <v>02/13/2022 18:36:27.224</v>
      </c>
      <c r="C188" t="str">
        <f t="shared" si="19"/>
        <v>FFDFD7C0</v>
      </c>
      <c r="D188" t="s">
        <v>121</v>
      </c>
      <c r="E188">
        <v>2</v>
      </c>
      <c r="H188">
        <v>158</v>
      </c>
      <c r="I188" t="s">
        <v>120</v>
      </c>
      <c r="J188" t="s">
        <v>122</v>
      </c>
      <c r="K188">
        <v>0</v>
      </c>
      <c r="L188">
        <v>3</v>
      </c>
      <c r="M188">
        <v>0</v>
      </c>
      <c r="N188">
        <v>2</v>
      </c>
      <c r="O188">
        <v>1</v>
      </c>
      <c r="P188">
        <v>0</v>
      </c>
      <c r="Q188">
        <v>0</v>
      </c>
      <c r="S188" t="str">
        <f>"18:36:27.000"</f>
        <v>18:36:27.000</v>
      </c>
      <c r="T188" t="str">
        <f>"18:36:26.900"</f>
        <v>18:36:26.900</v>
      </c>
      <c r="U188" t="str">
        <f t="shared" si="17"/>
        <v>AAB6EE</v>
      </c>
      <c r="V188">
        <v>0</v>
      </c>
      <c r="W188">
        <v>0</v>
      </c>
      <c r="X188">
        <v>4</v>
      </c>
      <c r="Z188">
        <v>0</v>
      </c>
      <c r="AA188">
        <v>8</v>
      </c>
      <c r="AB188">
        <v>3</v>
      </c>
      <c r="AC188">
        <v>0</v>
      </c>
      <c r="AD188">
        <v>10</v>
      </c>
      <c r="AE188">
        <v>0</v>
      </c>
      <c r="AF188">
        <v>0</v>
      </c>
      <c r="AG188">
        <v>1</v>
      </c>
      <c r="AH188">
        <v>1</v>
      </c>
      <c r="AI188" t="s">
        <v>245</v>
      </c>
      <c r="AJ188">
        <v>35.53266</v>
      </c>
      <c r="AK188" t="s">
        <v>246</v>
      </c>
      <c r="AL188">
        <v>-76.025326000000007</v>
      </c>
      <c r="AM188">
        <v>25</v>
      </c>
      <c r="AN188">
        <v>3375</v>
      </c>
      <c r="AO188" t="s">
        <v>118</v>
      </c>
      <c r="AP188">
        <v>-67</v>
      </c>
      <c r="AQ188">
        <v>-121</v>
      </c>
      <c r="AR188">
        <v>704</v>
      </c>
      <c r="AZ188">
        <v>1200</v>
      </c>
      <c r="BA188">
        <v>1</v>
      </c>
      <c r="BB188" t="str">
        <f t="shared" si="20"/>
        <v xml:space="preserve">N79NX   </v>
      </c>
      <c r="BC188">
        <v>1</v>
      </c>
      <c r="BE188">
        <v>0</v>
      </c>
      <c r="BF188">
        <v>0</v>
      </c>
      <c r="BG188">
        <v>0</v>
      </c>
      <c r="BH188">
        <v>3225</v>
      </c>
      <c r="BI188">
        <v>0</v>
      </c>
      <c r="BJ188">
        <v>0</v>
      </c>
      <c r="BK188">
        <v>0</v>
      </c>
      <c r="BL188">
        <v>0</v>
      </c>
      <c r="BO188">
        <v>0</v>
      </c>
      <c r="BP188">
        <v>0</v>
      </c>
      <c r="BW188" t="str">
        <f>"18:36:27.000"</f>
        <v>18:36:27.000</v>
      </c>
      <c r="BZ188">
        <v>0</v>
      </c>
      <c r="CA188">
        <v>3488</v>
      </c>
      <c r="CB188">
        <v>216</v>
      </c>
      <c r="CC188">
        <v>583.59379999999999</v>
      </c>
      <c r="CD188">
        <v>1</v>
      </c>
      <c r="CE188">
        <v>1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2</v>
      </c>
      <c r="CL188">
        <v>0</v>
      </c>
      <c r="CM188">
        <v>2</v>
      </c>
      <c r="CN188">
        <v>0</v>
      </c>
      <c r="CO188">
        <v>7</v>
      </c>
      <c r="CP188" t="s">
        <v>119</v>
      </c>
      <c r="CQ188">
        <v>145</v>
      </c>
      <c r="CR188">
        <v>1</v>
      </c>
      <c r="CW188">
        <v>8877641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</row>
    <row r="189" spans="1:113" x14ac:dyDescent="0.3">
      <c r="A189" t="str">
        <f>"02/13/2022 18:36:27.224"</f>
        <v>02/13/2022 18:36:27.224</v>
      </c>
      <c r="C189" t="str">
        <f t="shared" si="19"/>
        <v>FFDFD7C0</v>
      </c>
      <c r="D189" t="s">
        <v>113</v>
      </c>
      <c r="E189">
        <v>3</v>
      </c>
      <c r="F189">
        <v>1003</v>
      </c>
      <c r="G189" t="s">
        <v>114</v>
      </c>
      <c r="J189" t="s">
        <v>115</v>
      </c>
      <c r="K189">
        <v>0</v>
      </c>
      <c r="L189">
        <v>3</v>
      </c>
      <c r="M189">
        <v>0</v>
      </c>
      <c r="N189">
        <v>2</v>
      </c>
      <c r="O189">
        <v>1</v>
      </c>
      <c r="P189">
        <v>0</v>
      </c>
      <c r="Q189">
        <v>0</v>
      </c>
      <c r="S189" t="str">
        <f>"18:36:27.000"</f>
        <v>18:36:27.000</v>
      </c>
      <c r="T189" t="str">
        <f>"18:36:26.900"</f>
        <v>18:36:26.900</v>
      </c>
      <c r="U189" t="str">
        <f t="shared" si="17"/>
        <v>AAB6EE</v>
      </c>
      <c r="V189">
        <v>0</v>
      </c>
      <c r="W189">
        <v>0</v>
      </c>
      <c r="X189">
        <v>4</v>
      </c>
      <c r="Z189">
        <v>0</v>
      </c>
      <c r="AA189">
        <v>8</v>
      </c>
      <c r="AB189">
        <v>3</v>
      </c>
      <c r="AC189">
        <v>0</v>
      </c>
      <c r="AD189">
        <v>10</v>
      </c>
      <c r="AE189">
        <v>0</v>
      </c>
      <c r="AF189">
        <v>0</v>
      </c>
      <c r="AG189">
        <v>1</v>
      </c>
      <c r="AH189">
        <v>1</v>
      </c>
      <c r="AI189" t="s">
        <v>245</v>
      </c>
      <c r="AJ189">
        <v>35.53266</v>
      </c>
      <c r="AK189" t="s">
        <v>246</v>
      </c>
      <c r="AL189">
        <v>-76.025326000000007</v>
      </c>
      <c r="AM189">
        <v>25</v>
      </c>
      <c r="AN189">
        <v>3375</v>
      </c>
      <c r="AO189" t="s">
        <v>118</v>
      </c>
      <c r="AP189">
        <v>-67</v>
      </c>
      <c r="AQ189">
        <v>-121</v>
      </c>
      <c r="AR189">
        <v>704</v>
      </c>
      <c r="AZ189">
        <v>1200</v>
      </c>
      <c r="BA189">
        <v>1</v>
      </c>
      <c r="BB189" t="str">
        <f t="shared" si="20"/>
        <v xml:space="preserve">N79NX   </v>
      </c>
      <c r="BC189">
        <v>1</v>
      </c>
      <c r="BE189">
        <v>0</v>
      </c>
      <c r="BF189">
        <v>0</v>
      </c>
      <c r="BG189">
        <v>0</v>
      </c>
      <c r="BH189">
        <v>3225</v>
      </c>
      <c r="BI189">
        <v>0</v>
      </c>
      <c r="BJ189">
        <v>0</v>
      </c>
      <c r="BK189">
        <v>0</v>
      </c>
      <c r="BL189">
        <v>0</v>
      </c>
      <c r="BO189">
        <v>0</v>
      </c>
      <c r="BP189">
        <v>0</v>
      </c>
      <c r="BW189" t="str">
        <f>"18:36:27.000"</f>
        <v>18:36:27.000</v>
      </c>
      <c r="BZ189">
        <v>0</v>
      </c>
      <c r="CA189">
        <v>3488</v>
      </c>
      <c r="CB189">
        <v>216</v>
      </c>
      <c r="CC189">
        <v>583.59379999999999</v>
      </c>
      <c r="CD189">
        <v>1</v>
      </c>
      <c r="CE189">
        <v>1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2</v>
      </c>
      <c r="CL189">
        <v>0</v>
      </c>
      <c r="CM189">
        <v>2</v>
      </c>
      <c r="CN189">
        <v>0</v>
      </c>
      <c r="CO189">
        <v>7</v>
      </c>
      <c r="CP189" t="s">
        <v>119</v>
      </c>
      <c r="CQ189">
        <v>145</v>
      </c>
      <c r="CR189">
        <v>1</v>
      </c>
      <c r="CW189">
        <v>8877641</v>
      </c>
      <c r="CY189">
        <v>0</v>
      </c>
      <c r="CZ189">
        <v>0</v>
      </c>
      <c r="DA189">
        <v>1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</row>
    <row r="190" spans="1:113" x14ac:dyDescent="0.3">
      <c r="A190" t="str">
        <f>"02/13/2022 18:36:27.224"</f>
        <v>02/13/2022 18:36:27.224</v>
      </c>
      <c r="C190" t="str">
        <f t="shared" si="19"/>
        <v>FFDFD7C0</v>
      </c>
      <c r="D190" t="s">
        <v>113</v>
      </c>
      <c r="E190">
        <v>4</v>
      </c>
      <c r="F190">
        <v>1004</v>
      </c>
      <c r="G190" t="s">
        <v>120</v>
      </c>
      <c r="J190" t="s">
        <v>115</v>
      </c>
      <c r="K190">
        <v>0</v>
      </c>
      <c r="L190">
        <v>3</v>
      </c>
      <c r="M190">
        <v>0</v>
      </c>
      <c r="N190">
        <v>2</v>
      </c>
      <c r="O190">
        <v>1</v>
      </c>
      <c r="P190">
        <v>0</v>
      </c>
      <c r="Q190">
        <v>0</v>
      </c>
      <c r="S190" t="str">
        <f>"18:36:27.000"</f>
        <v>18:36:27.000</v>
      </c>
      <c r="T190" t="str">
        <f>"18:36:26.900"</f>
        <v>18:36:26.900</v>
      </c>
      <c r="U190" t="str">
        <f t="shared" si="17"/>
        <v>AAB6EE</v>
      </c>
      <c r="V190">
        <v>0</v>
      </c>
      <c r="W190">
        <v>0</v>
      </c>
      <c r="X190">
        <v>4</v>
      </c>
      <c r="Z190">
        <v>0</v>
      </c>
      <c r="AA190">
        <v>8</v>
      </c>
      <c r="AB190">
        <v>3</v>
      </c>
      <c r="AC190">
        <v>0</v>
      </c>
      <c r="AD190">
        <v>10</v>
      </c>
      <c r="AE190">
        <v>0</v>
      </c>
      <c r="AF190">
        <v>0</v>
      </c>
      <c r="AG190">
        <v>1</v>
      </c>
      <c r="AH190">
        <v>1</v>
      </c>
      <c r="AI190" t="s">
        <v>245</v>
      </c>
      <c r="AJ190">
        <v>35.53266</v>
      </c>
      <c r="AK190" t="s">
        <v>246</v>
      </c>
      <c r="AL190">
        <v>-76.025326000000007</v>
      </c>
      <c r="AM190">
        <v>25</v>
      </c>
      <c r="AN190">
        <v>3375</v>
      </c>
      <c r="AO190" t="s">
        <v>118</v>
      </c>
      <c r="AP190">
        <v>-67</v>
      </c>
      <c r="AQ190">
        <v>-121</v>
      </c>
      <c r="AR190">
        <v>704</v>
      </c>
      <c r="AZ190">
        <v>1200</v>
      </c>
      <c r="BA190">
        <v>1</v>
      </c>
      <c r="BB190" t="str">
        <f t="shared" si="20"/>
        <v xml:space="preserve">N79NX   </v>
      </c>
      <c r="BC190">
        <v>1</v>
      </c>
      <c r="BE190">
        <v>0</v>
      </c>
      <c r="BF190">
        <v>0</v>
      </c>
      <c r="BG190">
        <v>0</v>
      </c>
      <c r="BH190">
        <v>3225</v>
      </c>
      <c r="BI190">
        <v>0</v>
      </c>
      <c r="BJ190">
        <v>0</v>
      </c>
      <c r="BK190">
        <v>0</v>
      </c>
      <c r="BL190">
        <v>0</v>
      </c>
      <c r="BO190">
        <v>0</v>
      </c>
      <c r="BP190">
        <v>0</v>
      </c>
      <c r="BW190" t="str">
        <f>"18:36:27.000"</f>
        <v>18:36:27.000</v>
      </c>
      <c r="BZ190">
        <v>0</v>
      </c>
      <c r="CA190">
        <v>3488</v>
      </c>
      <c r="CB190">
        <v>216</v>
      </c>
      <c r="CC190">
        <v>583.59379999999999</v>
      </c>
      <c r="CD190">
        <v>1</v>
      </c>
      <c r="CE190">
        <v>1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2</v>
      </c>
      <c r="CL190">
        <v>0</v>
      </c>
      <c r="CM190">
        <v>2</v>
      </c>
      <c r="CN190">
        <v>0</v>
      </c>
      <c r="CO190">
        <v>7</v>
      </c>
      <c r="CP190" t="s">
        <v>119</v>
      </c>
      <c r="CQ190">
        <v>145</v>
      </c>
      <c r="CR190">
        <v>1</v>
      </c>
      <c r="CW190">
        <v>8877641</v>
      </c>
      <c r="CY190">
        <v>0</v>
      </c>
      <c r="CZ190">
        <v>0</v>
      </c>
      <c r="DA190">
        <v>1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</row>
    <row r="191" spans="1:113" x14ac:dyDescent="0.3">
      <c r="A191" t="str">
        <f>"02/13/2022 18:36:28.115"</f>
        <v>02/13/2022 18:36:28.115</v>
      </c>
      <c r="C191" t="str">
        <f t="shared" si="19"/>
        <v>FFDFD7C0</v>
      </c>
      <c r="D191" t="s">
        <v>121</v>
      </c>
      <c r="E191">
        <v>2</v>
      </c>
      <c r="H191">
        <v>158</v>
      </c>
      <c r="I191" t="s">
        <v>120</v>
      </c>
      <c r="J191" t="s">
        <v>122</v>
      </c>
      <c r="K191">
        <v>0</v>
      </c>
      <c r="L191">
        <v>3</v>
      </c>
      <c r="M191">
        <v>0</v>
      </c>
      <c r="N191">
        <v>2</v>
      </c>
      <c r="O191">
        <v>1</v>
      </c>
      <c r="P191">
        <v>0</v>
      </c>
      <c r="Q191">
        <v>0</v>
      </c>
      <c r="S191" t="str">
        <f t="shared" ref="S191:T193" si="21">"18:36:27.828"</f>
        <v>18:36:27.828</v>
      </c>
      <c r="T191" t="str">
        <f t="shared" si="21"/>
        <v>18:36:27.828</v>
      </c>
      <c r="U191" t="str">
        <f t="shared" si="17"/>
        <v>AAB6EE</v>
      </c>
      <c r="V191">
        <v>0</v>
      </c>
      <c r="W191">
        <v>0</v>
      </c>
      <c r="X191">
        <v>4</v>
      </c>
      <c r="Z191">
        <v>0</v>
      </c>
      <c r="AA191">
        <v>8</v>
      </c>
      <c r="AB191">
        <v>3</v>
      </c>
      <c r="AC191">
        <v>0</v>
      </c>
      <c r="AD191">
        <v>10</v>
      </c>
      <c r="AE191">
        <v>0</v>
      </c>
      <c r="AF191">
        <v>0</v>
      </c>
      <c r="AG191">
        <v>1</v>
      </c>
      <c r="AH191">
        <v>1</v>
      </c>
      <c r="AI191" t="s">
        <v>247</v>
      </c>
      <c r="AJ191">
        <v>35.532167000000001</v>
      </c>
      <c r="AK191" t="s">
        <v>248</v>
      </c>
      <c r="AL191">
        <v>-76.025627</v>
      </c>
      <c r="AM191">
        <v>25</v>
      </c>
      <c r="AN191">
        <v>3375</v>
      </c>
      <c r="AO191" t="s">
        <v>118</v>
      </c>
      <c r="AP191">
        <v>-67</v>
      </c>
      <c r="AQ191">
        <v>-122</v>
      </c>
      <c r="AR191">
        <v>640</v>
      </c>
      <c r="AZ191">
        <v>1200</v>
      </c>
      <c r="BA191">
        <v>1</v>
      </c>
      <c r="BB191" t="str">
        <f t="shared" si="20"/>
        <v xml:space="preserve">N79NX   </v>
      </c>
      <c r="BC191">
        <v>1</v>
      </c>
      <c r="BE191">
        <v>0</v>
      </c>
      <c r="BF191">
        <v>0</v>
      </c>
      <c r="BG191">
        <v>0</v>
      </c>
      <c r="BH191">
        <v>3225</v>
      </c>
      <c r="BI191">
        <v>0</v>
      </c>
      <c r="BJ191">
        <v>0</v>
      </c>
      <c r="BK191">
        <v>0</v>
      </c>
      <c r="BL191">
        <v>0</v>
      </c>
      <c r="BO191">
        <v>0</v>
      </c>
      <c r="BP191">
        <v>0</v>
      </c>
      <c r="BW191" t="str">
        <f>"18:36:27.830"</f>
        <v>18:36:27.830</v>
      </c>
      <c r="BZ191">
        <v>0</v>
      </c>
      <c r="CA191">
        <v>3488</v>
      </c>
      <c r="CB191">
        <v>216</v>
      </c>
      <c r="CC191">
        <v>583.59379999999999</v>
      </c>
      <c r="CD191">
        <v>1</v>
      </c>
      <c r="CE191">
        <v>1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2</v>
      </c>
      <c r="CL191">
        <v>0</v>
      </c>
      <c r="CM191">
        <v>2</v>
      </c>
      <c r="CN191">
        <v>0</v>
      </c>
      <c r="CO191">
        <v>7</v>
      </c>
      <c r="CP191" t="s">
        <v>119</v>
      </c>
      <c r="CQ191">
        <v>145</v>
      </c>
      <c r="CR191">
        <v>1</v>
      </c>
      <c r="CW191">
        <v>8878081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</row>
    <row r="192" spans="1:113" x14ac:dyDescent="0.3">
      <c r="A192" t="str">
        <f>"02/13/2022 18:36:28.115"</f>
        <v>02/13/2022 18:36:28.115</v>
      </c>
      <c r="C192" t="str">
        <f t="shared" si="19"/>
        <v>FFDFD7C0</v>
      </c>
      <c r="D192" t="s">
        <v>113</v>
      </c>
      <c r="E192">
        <v>3</v>
      </c>
      <c r="F192">
        <v>1003</v>
      </c>
      <c r="G192" t="s">
        <v>114</v>
      </c>
      <c r="J192" t="s">
        <v>115</v>
      </c>
      <c r="K192">
        <v>0</v>
      </c>
      <c r="L192">
        <v>3</v>
      </c>
      <c r="M192">
        <v>0</v>
      </c>
      <c r="N192">
        <v>2</v>
      </c>
      <c r="O192">
        <v>1</v>
      </c>
      <c r="P192">
        <v>0</v>
      </c>
      <c r="Q192">
        <v>0</v>
      </c>
      <c r="S192" t="str">
        <f t="shared" si="21"/>
        <v>18:36:27.828</v>
      </c>
      <c r="T192" t="str">
        <f t="shared" si="21"/>
        <v>18:36:27.828</v>
      </c>
      <c r="U192" t="str">
        <f t="shared" si="17"/>
        <v>AAB6EE</v>
      </c>
      <c r="V192">
        <v>0</v>
      </c>
      <c r="W192">
        <v>0</v>
      </c>
      <c r="X192">
        <v>4</v>
      </c>
      <c r="Z192">
        <v>0</v>
      </c>
      <c r="AA192">
        <v>8</v>
      </c>
      <c r="AB192">
        <v>3</v>
      </c>
      <c r="AC192">
        <v>0</v>
      </c>
      <c r="AD192">
        <v>10</v>
      </c>
      <c r="AE192">
        <v>0</v>
      </c>
      <c r="AF192">
        <v>0</v>
      </c>
      <c r="AG192">
        <v>1</v>
      </c>
      <c r="AH192">
        <v>1</v>
      </c>
      <c r="AI192" t="s">
        <v>247</v>
      </c>
      <c r="AJ192">
        <v>35.532167000000001</v>
      </c>
      <c r="AK192" t="s">
        <v>248</v>
      </c>
      <c r="AL192">
        <v>-76.025627</v>
      </c>
      <c r="AM192">
        <v>25</v>
      </c>
      <c r="AN192">
        <v>3375</v>
      </c>
      <c r="AO192" t="s">
        <v>118</v>
      </c>
      <c r="AP192">
        <v>-67</v>
      </c>
      <c r="AQ192">
        <v>-122</v>
      </c>
      <c r="AR192">
        <v>640</v>
      </c>
      <c r="AZ192">
        <v>1200</v>
      </c>
      <c r="BA192">
        <v>1</v>
      </c>
      <c r="BB192" t="str">
        <f t="shared" si="20"/>
        <v xml:space="preserve">N79NX   </v>
      </c>
      <c r="BC192">
        <v>1</v>
      </c>
      <c r="BE192">
        <v>0</v>
      </c>
      <c r="BF192">
        <v>0</v>
      </c>
      <c r="BG192">
        <v>0</v>
      </c>
      <c r="BH192">
        <v>3225</v>
      </c>
      <c r="BI192">
        <v>0</v>
      </c>
      <c r="BJ192">
        <v>0</v>
      </c>
      <c r="BK192">
        <v>0</v>
      </c>
      <c r="BL192">
        <v>0</v>
      </c>
      <c r="BO192">
        <v>0</v>
      </c>
      <c r="BP192">
        <v>0</v>
      </c>
      <c r="BW192" t="str">
        <f>"18:36:27.830"</f>
        <v>18:36:27.830</v>
      </c>
      <c r="BZ192">
        <v>0</v>
      </c>
      <c r="CA192">
        <v>3488</v>
      </c>
      <c r="CB192">
        <v>216</v>
      </c>
      <c r="CC192">
        <v>583.59379999999999</v>
      </c>
      <c r="CD192">
        <v>1</v>
      </c>
      <c r="CE192">
        <v>1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2</v>
      </c>
      <c r="CL192">
        <v>0</v>
      </c>
      <c r="CM192">
        <v>2</v>
      </c>
      <c r="CN192">
        <v>0</v>
      </c>
      <c r="CO192">
        <v>7</v>
      </c>
      <c r="CP192" t="s">
        <v>119</v>
      </c>
      <c r="CQ192">
        <v>145</v>
      </c>
      <c r="CR192">
        <v>1</v>
      </c>
      <c r="CW192">
        <v>8878081</v>
      </c>
      <c r="CY192">
        <v>0</v>
      </c>
      <c r="CZ192">
        <v>0</v>
      </c>
      <c r="DA192">
        <v>1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</row>
    <row r="193" spans="1:113" x14ac:dyDescent="0.3">
      <c r="A193" t="str">
        <f>"02/13/2022 18:36:28.115"</f>
        <v>02/13/2022 18:36:28.115</v>
      </c>
      <c r="C193" t="str">
        <f t="shared" si="19"/>
        <v>FFDFD7C0</v>
      </c>
      <c r="D193" t="s">
        <v>113</v>
      </c>
      <c r="E193">
        <v>4</v>
      </c>
      <c r="F193">
        <v>1004</v>
      </c>
      <c r="G193" t="s">
        <v>120</v>
      </c>
      <c r="J193" t="s">
        <v>115</v>
      </c>
      <c r="K193">
        <v>0</v>
      </c>
      <c r="L193">
        <v>3</v>
      </c>
      <c r="M193">
        <v>0</v>
      </c>
      <c r="N193">
        <v>2</v>
      </c>
      <c r="O193">
        <v>1</v>
      </c>
      <c r="P193">
        <v>0</v>
      </c>
      <c r="Q193">
        <v>0</v>
      </c>
      <c r="S193" t="str">
        <f t="shared" si="21"/>
        <v>18:36:27.828</v>
      </c>
      <c r="T193" t="str">
        <f t="shared" si="21"/>
        <v>18:36:27.828</v>
      </c>
      <c r="U193" t="str">
        <f t="shared" si="17"/>
        <v>AAB6EE</v>
      </c>
      <c r="V193">
        <v>0</v>
      </c>
      <c r="W193">
        <v>0</v>
      </c>
      <c r="X193">
        <v>4</v>
      </c>
      <c r="Z193">
        <v>0</v>
      </c>
      <c r="AA193">
        <v>8</v>
      </c>
      <c r="AB193">
        <v>3</v>
      </c>
      <c r="AC193">
        <v>0</v>
      </c>
      <c r="AD193">
        <v>10</v>
      </c>
      <c r="AE193">
        <v>0</v>
      </c>
      <c r="AF193">
        <v>0</v>
      </c>
      <c r="AG193">
        <v>1</v>
      </c>
      <c r="AH193">
        <v>1</v>
      </c>
      <c r="AI193" t="s">
        <v>247</v>
      </c>
      <c r="AJ193">
        <v>35.532167000000001</v>
      </c>
      <c r="AK193" t="s">
        <v>248</v>
      </c>
      <c r="AL193">
        <v>-76.025627</v>
      </c>
      <c r="AM193">
        <v>25</v>
      </c>
      <c r="AN193">
        <v>3375</v>
      </c>
      <c r="AO193" t="s">
        <v>118</v>
      </c>
      <c r="AP193">
        <v>-67</v>
      </c>
      <c r="AQ193">
        <v>-122</v>
      </c>
      <c r="AR193">
        <v>640</v>
      </c>
      <c r="AZ193">
        <v>1200</v>
      </c>
      <c r="BA193">
        <v>1</v>
      </c>
      <c r="BB193" t="str">
        <f t="shared" si="20"/>
        <v xml:space="preserve">N79NX   </v>
      </c>
      <c r="BC193">
        <v>1</v>
      </c>
      <c r="BE193">
        <v>0</v>
      </c>
      <c r="BF193">
        <v>0</v>
      </c>
      <c r="BG193">
        <v>0</v>
      </c>
      <c r="BH193">
        <v>3225</v>
      </c>
      <c r="BI193">
        <v>0</v>
      </c>
      <c r="BJ193">
        <v>0</v>
      </c>
      <c r="BK193">
        <v>0</v>
      </c>
      <c r="BL193">
        <v>0</v>
      </c>
      <c r="BO193">
        <v>0</v>
      </c>
      <c r="BP193">
        <v>0</v>
      </c>
      <c r="BW193" t="str">
        <f>"18:36:27.830"</f>
        <v>18:36:27.830</v>
      </c>
      <c r="BZ193">
        <v>0</v>
      </c>
      <c r="CA193">
        <v>3488</v>
      </c>
      <c r="CB193">
        <v>216</v>
      </c>
      <c r="CC193">
        <v>583.59379999999999</v>
      </c>
      <c r="CD193">
        <v>1</v>
      </c>
      <c r="CE193">
        <v>1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2</v>
      </c>
      <c r="CL193">
        <v>0</v>
      </c>
      <c r="CM193">
        <v>2</v>
      </c>
      <c r="CN193">
        <v>0</v>
      </c>
      <c r="CO193">
        <v>7</v>
      </c>
      <c r="CP193" t="s">
        <v>119</v>
      </c>
      <c r="CQ193">
        <v>145</v>
      </c>
      <c r="CR193">
        <v>1</v>
      </c>
      <c r="CW193">
        <v>8878081</v>
      </c>
      <c r="CY193">
        <v>0</v>
      </c>
      <c r="CZ193">
        <v>0</v>
      </c>
      <c r="DA193">
        <v>1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</row>
    <row r="194" spans="1:113" x14ac:dyDescent="0.3">
      <c r="A194" t="str">
        <f>"02/13/2022 18:36:29.115"</f>
        <v>02/13/2022 18:36:29.115</v>
      </c>
      <c r="C194" t="str">
        <f t="shared" si="19"/>
        <v>FFDFD7C0</v>
      </c>
      <c r="D194" t="s">
        <v>113</v>
      </c>
      <c r="E194">
        <v>3</v>
      </c>
      <c r="F194">
        <v>1003</v>
      </c>
      <c r="G194" t="s">
        <v>114</v>
      </c>
      <c r="J194" t="s">
        <v>115</v>
      </c>
      <c r="K194">
        <v>0</v>
      </c>
      <c r="L194">
        <v>3</v>
      </c>
      <c r="M194">
        <v>0</v>
      </c>
      <c r="N194">
        <v>2</v>
      </c>
      <c r="O194">
        <v>1</v>
      </c>
      <c r="P194">
        <v>0</v>
      </c>
      <c r="Q194">
        <v>0</v>
      </c>
      <c r="S194" t="str">
        <f t="shared" ref="S194:T196" si="22">"18:36:28.875"</f>
        <v>18:36:28.875</v>
      </c>
      <c r="T194" t="str">
        <f t="shared" si="22"/>
        <v>18:36:28.875</v>
      </c>
      <c r="U194" t="str">
        <f t="shared" ref="U194:U257" si="23">"AAB6EE"</f>
        <v>AAB6EE</v>
      </c>
      <c r="V194">
        <v>0</v>
      </c>
      <c r="W194">
        <v>0</v>
      </c>
      <c r="X194">
        <v>4</v>
      </c>
      <c r="Z194">
        <v>0</v>
      </c>
      <c r="AA194">
        <v>8</v>
      </c>
      <c r="AB194">
        <v>3</v>
      </c>
      <c r="AC194">
        <v>0</v>
      </c>
      <c r="AD194">
        <v>10</v>
      </c>
      <c r="AE194">
        <v>0</v>
      </c>
      <c r="AF194">
        <v>0</v>
      </c>
      <c r="AG194">
        <v>1</v>
      </c>
      <c r="AH194">
        <v>1</v>
      </c>
      <c r="AI194" t="s">
        <v>249</v>
      </c>
      <c r="AJ194">
        <v>35.531609000000003</v>
      </c>
      <c r="AK194" t="s">
        <v>250</v>
      </c>
      <c r="AL194">
        <v>-76.026033999999996</v>
      </c>
      <c r="AM194">
        <v>25</v>
      </c>
      <c r="AN194">
        <v>3400</v>
      </c>
      <c r="AO194" t="s">
        <v>118</v>
      </c>
      <c r="AP194">
        <v>-67</v>
      </c>
      <c r="AQ194">
        <v>-124</v>
      </c>
      <c r="AR194">
        <v>512</v>
      </c>
      <c r="AZ194">
        <v>1200</v>
      </c>
      <c r="BA194">
        <v>1</v>
      </c>
      <c r="BB194" t="str">
        <f t="shared" si="20"/>
        <v xml:space="preserve">N79NX   </v>
      </c>
      <c r="BC194">
        <v>1</v>
      </c>
      <c r="BE194">
        <v>0</v>
      </c>
      <c r="BF194">
        <v>0</v>
      </c>
      <c r="BG194">
        <v>0</v>
      </c>
      <c r="BH194">
        <v>3225</v>
      </c>
      <c r="BI194">
        <v>0</v>
      </c>
      <c r="BJ194">
        <v>0</v>
      </c>
      <c r="BK194">
        <v>0</v>
      </c>
      <c r="BL194">
        <v>0</v>
      </c>
      <c r="BO194">
        <v>0</v>
      </c>
      <c r="BP194">
        <v>0</v>
      </c>
      <c r="BW194" t="str">
        <f>"18:36:28.880"</f>
        <v>18:36:28.880</v>
      </c>
      <c r="BZ194">
        <v>0</v>
      </c>
      <c r="CA194">
        <v>3488</v>
      </c>
      <c r="CB194">
        <v>216</v>
      </c>
      <c r="CC194">
        <v>583.59379999999999</v>
      </c>
      <c r="CD194">
        <v>1</v>
      </c>
      <c r="CE194">
        <v>1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2</v>
      </c>
      <c r="CL194">
        <v>0</v>
      </c>
      <c r="CM194">
        <v>2</v>
      </c>
      <c r="CN194">
        <v>0</v>
      </c>
      <c r="CO194">
        <v>7</v>
      </c>
      <c r="CP194" t="s">
        <v>119</v>
      </c>
      <c r="CQ194">
        <v>145</v>
      </c>
      <c r="CR194">
        <v>1</v>
      </c>
      <c r="CW194">
        <v>8878609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</row>
    <row r="195" spans="1:113" x14ac:dyDescent="0.3">
      <c r="A195" t="str">
        <f>"02/13/2022 18:36:29.115"</f>
        <v>02/13/2022 18:36:29.115</v>
      </c>
      <c r="C195" t="str">
        <f t="shared" si="19"/>
        <v>FFDFD7C0</v>
      </c>
      <c r="D195" t="s">
        <v>113</v>
      </c>
      <c r="E195">
        <v>4</v>
      </c>
      <c r="F195">
        <v>1004</v>
      </c>
      <c r="G195" t="s">
        <v>120</v>
      </c>
      <c r="J195" t="s">
        <v>115</v>
      </c>
      <c r="K195">
        <v>0</v>
      </c>
      <c r="L195">
        <v>3</v>
      </c>
      <c r="M195">
        <v>0</v>
      </c>
      <c r="N195">
        <v>2</v>
      </c>
      <c r="O195">
        <v>1</v>
      </c>
      <c r="P195">
        <v>0</v>
      </c>
      <c r="Q195">
        <v>0</v>
      </c>
      <c r="S195" t="str">
        <f t="shared" si="22"/>
        <v>18:36:28.875</v>
      </c>
      <c r="T195" t="str">
        <f t="shared" si="22"/>
        <v>18:36:28.875</v>
      </c>
      <c r="U195" t="str">
        <f t="shared" si="23"/>
        <v>AAB6EE</v>
      </c>
      <c r="V195">
        <v>0</v>
      </c>
      <c r="W195">
        <v>0</v>
      </c>
      <c r="X195">
        <v>4</v>
      </c>
      <c r="Z195">
        <v>0</v>
      </c>
      <c r="AA195">
        <v>8</v>
      </c>
      <c r="AB195">
        <v>3</v>
      </c>
      <c r="AC195">
        <v>0</v>
      </c>
      <c r="AD195">
        <v>10</v>
      </c>
      <c r="AE195">
        <v>0</v>
      </c>
      <c r="AF195">
        <v>0</v>
      </c>
      <c r="AG195">
        <v>1</v>
      </c>
      <c r="AH195">
        <v>1</v>
      </c>
      <c r="AI195" t="s">
        <v>249</v>
      </c>
      <c r="AJ195">
        <v>35.531609000000003</v>
      </c>
      <c r="AK195" t="s">
        <v>250</v>
      </c>
      <c r="AL195">
        <v>-76.026033999999996</v>
      </c>
      <c r="AM195">
        <v>25</v>
      </c>
      <c r="AN195">
        <v>3400</v>
      </c>
      <c r="AO195" t="s">
        <v>118</v>
      </c>
      <c r="AP195">
        <v>-67</v>
      </c>
      <c r="AQ195">
        <v>-124</v>
      </c>
      <c r="AR195">
        <v>512</v>
      </c>
      <c r="AZ195">
        <v>1200</v>
      </c>
      <c r="BA195">
        <v>1</v>
      </c>
      <c r="BB195" t="str">
        <f t="shared" si="20"/>
        <v xml:space="preserve">N79NX   </v>
      </c>
      <c r="BC195">
        <v>1</v>
      </c>
      <c r="BE195">
        <v>0</v>
      </c>
      <c r="BF195">
        <v>0</v>
      </c>
      <c r="BG195">
        <v>0</v>
      </c>
      <c r="BH195">
        <v>3225</v>
      </c>
      <c r="BI195">
        <v>0</v>
      </c>
      <c r="BJ195">
        <v>0</v>
      </c>
      <c r="BK195">
        <v>0</v>
      </c>
      <c r="BL195">
        <v>0</v>
      </c>
      <c r="BO195">
        <v>0</v>
      </c>
      <c r="BP195">
        <v>0</v>
      </c>
      <c r="BW195" t="str">
        <f>"18:36:28.880"</f>
        <v>18:36:28.880</v>
      </c>
      <c r="BZ195">
        <v>0</v>
      </c>
      <c r="CA195">
        <v>3488</v>
      </c>
      <c r="CB195">
        <v>216</v>
      </c>
      <c r="CC195">
        <v>583.59379999999999</v>
      </c>
      <c r="CD195">
        <v>1</v>
      </c>
      <c r="CE195">
        <v>1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2</v>
      </c>
      <c r="CL195">
        <v>0</v>
      </c>
      <c r="CM195">
        <v>2</v>
      </c>
      <c r="CN195">
        <v>0</v>
      </c>
      <c r="CO195">
        <v>7</v>
      </c>
      <c r="CP195" t="s">
        <v>119</v>
      </c>
      <c r="CQ195">
        <v>145</v>
      </c>
      <c r="CR195">
        <v>1</v>
      </c>
      <c r="CW195">
        <v>8878609</v>
      </c>
      <c r="CY195">
        <v>0</v>
      </c>
      <c r="CZ195">
        <v>0</v>
      </c>
      <c r="DA195">
        <v>1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</row>
    <row r="196" spans="1:113" x14ac:dyDescent="0.3">
      <c r="A196" t="str">
        <f>"02/13/2022 18:36:29.115"</f>
        <v>02/13/2022 18:36:29.115</v>
      </c>
      <c r="C196" t="str">
        <f t="shared" si="19"/>
        <v>FFDFD7C0</v>
      </c>
      <c r="D196" t="s">
        <v>121</v>
      </c>
      <c r="E196">
        <v>2</v>
      </c>
      <c r="H196">
        <v>158</v>
      </c>
      <c r="I196" t="s">
        <v>120</v>
      </c>
      <c r="J196" t="s">
        <v>122</v>
      </c>
      <c r="K196">
        <v>0</v>
      </c>
      <c r="L196">
        <v>3</v>
      </c>
      <c r="M196">
        <v>0</v>
      </c>
      <c r="N196">
        <v>2</v>
      </c>
      <c r="O196">
        <v>1</v>
      </c>
      <c r="P196">
        <v>0</v>
      </c>
      <c r="Q196">
        <v>0</v>
      </c>
      <c r="S196" t="str">
        <f t="shared" si="22"/>
        <v>18:36:28.875</v>
      </c>
      <c r="T196" t="str">
        <f t="shared" si="22"/>
        <v>18:36:28.875</v>
      </c>
      <c r="U196" t="str">
        <f t="shared" si="23"/>
        <v>AAB6EE</v>
      </c>
      <c r="V196">
        <v>0</v>
      </c>
      <c r="W196">
        <v>0</v>
      </c>
      <c r="X196">
        <v>4</v>
      </c>
      <c r="Z196">
        <v>0</v>
      </c>
      <c r="AA196">
        <v>8</v>
      </c>
      <c r="AB196">
        <v>3</v>
      </c>
      <c r="AC196">
        <v>0</v>
      </c>
      <c r="AD196">
        <v>10</v>
      </c>
      <c r="AE196">
        <v>0</v>
      </c>
      <c r="AF196">
        <v>0</v>
      </c>
      <c r="AG196">
        <v>1</v>
      </c>
      <c r="AH196">
        <v>1</v>
      </c>
      <c r="AI196" t="s">
        <v>249</v>
      </c>
      <c r="AJ196">
        <v>35.531609000000003</v>
      </c>
      <c r="AK196" t="s">
        <v>250</v>
      </c>
      <c r="AL196">
        <v>-76.026033999999996</v>
      </c>
      <c r="AM196">
        <v>25</v>
      </c>
      <c r="AN196">
        <v>3400</v>
      </c>
      <c r="AO196" t="s">
        <v>118</v>
      </c>
      <c r="AP196">
        <v>-67</v>
      </c>
      <c r="AQ196">
        <v>-124</v>
      </c>
      <c r="AR196">
        <v>512</v>
      </c>
      <c r="AZ196">
        <v>1200</v>
      </c>
      <c r="BA196">
        <v>1</v>
      </c>
      <c r="BB196" t="str">
        <f t="shared" si="20"/>
        <v xml:space="preserve">N79NX   </v>
      </c>
      <c r="BC196">
        <v>1</v>
      </c>
      <c r="BE196">
        <v>0</v>
      </c>
      <c r="BF196">
        <v>0</v>
      </c>
      <c r="BG196">
        <v>0</v>
      </c>
      <c r="BH196">
        <v>3225</v>
      </c>
      <c r="BI196">
        <v>0</v>
      </c>
      <c r="BJ196">
        <v>0</v>
      </c>
      <c r="BK196">
        <v>0</v>
      </c>
      <c r="BL196">
        <v>0</v>
      </c>
      <c r="BO196">
        <v>0</v>
      </c>
      <c r="BP196">
        <v>0</v>
      </c>
      <c r="BW196" t="str">
        <f>"18:36:28.880"</f>
        <v>18:36:28.880</v>
      </c>
      <c r="BZ196">
        <v>0</v>
      </c>
      <c r="CA196">
        <v>3488</v>
      </c>
      <c r="CB196">
        <v>216</v>
      </c>
      <c r="CC196">
        <v>583.59379999999999</v>
      </c>
      <c r="CD196">
        <v>1</v>
      </c>
      <c r="CE196">
        <v>1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2</v>
      </c>
      <c r="CL196">
        <v>0</v>
      </c>
      <c r="CM196">
        <v>2</v>
      </c>
      <c r="CN196">
        <v>0</v>
      </c>
      <c r="CO196">
        <v>7</v>
      </c>
      <c r="CP196" t="s">
        <v>119</v>
      </c>
      <c r="CQ196">
        <v>145</v>
      </c>
      <c r="CR196">
        <v>1</v>
      </c>
      <c r="CW196">
        <v>8878609</v>
      </c>
      <c r="CY196">
        <v>0</v>
      </c>
      <c r="CZ196">
        <v>0</v>
      </c>
      <c r="DA196">
        <v>1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</row>
    <row r="197" spans="1:113" x14ac:dyDescent="0.3">
      <c r="A197" t="str">
        <f>"02/13/2022 18:36:30.352"</f>
        <v>02/13/2022 18:36:30.352</v>
      </c>
      <c r="C197" t="str">
        <f t="shared" ref="C197:C260" si="24">"FFDFD7C0"</f>
        <v>FFDFD7C0</v>
      </c>
      <c r="D197" t="s">
        <v>113</v>
      </c>
      <c r="E197">
        <v>3</v>
      </c>
      <c r="F197">
        <v>1003</v>
      </c>
      <c r="G197" t="s">
        <v>114</v>
      </c>
      <c r="J197" t="s">
        <v>115</v>
      </c>
      <c r="K197">
        <v>0</v>
      </c>
      <c r="L197">
        <v>3</v>
      </c>
      <c r="M197">
        <v>0</v>
      </c>
      <c r="N197">
        <v>2</v>
      </c>
      <c r="O197">
        <v>1</v>
      </c>
      <c r="P197">
        <v>0</v>
      </c>
      <c r="Q197">
        <v>0</v>
      </c>
      <c r="S197" t="str">
        <f>"18:36:29.953"</f>
        <v>18:36:29.953</v>
      </c>
      <c r="T197" t="str">
        <f>"18:36:29.853"</f>
        <v>18:36:29.853</v>
      </c>
      <c r="U197" t="str">
        <f t="shared" si="23"/>
        <v>AAB6EE</v>
      </c>
      <c r="V197">
        <v>0</v>
      </c>
      <c r="W197">
        <v>0</v>
      </c>
      <c r="X197">
        <v>4</v>
      </c>
      <c r="Z197">
        <v>0</v>
      </c>
      <c r="AA197">
        <v>8</v>
      </c>
      <c r="AB197">
        <v>3</v>
      </c>
      <c r="AC197">
        <v>0</v>
      </c>
      <c r="AD197">
        <v>10</v>
      </c>
      <c r="AE197">
        <v>0</v>
      </c>
      <c r="AF197">
        <v>0</v>
      </c>
      <c r="AG197">
        <v>1</v>
      </c>
      <c r="AH197">
        <v>1</v>
      </c>
      <c r="AI197" t="s">
        <v>251</v>
      </c>
      <c r="AJ197">
        <v>35.530965000000002</v>
      </c>
      <c r="AK197" t="s">
        <v>252</v>
      </c>
      <c r="AL197">
        <v>-76.026420999999999</v>
      </c>
      <c r="AM197">
        <v>25</v>
      </c>
      <c r="AN197">
        <v>3400</v>
      </c>
      <c r="AO197" t="s">
        <v>118</v>
      </c>
      <c r="AP197">
        <v>-67</v>
      </c>
      <c r="AQ197">
        <v>-125</v>
      </c>
      <c r="AR197">
        <v>448</v>
      </c>
      <c r="AZ197">
        <v>1200</v>
      </c>
      <c r="BA197">
        <v>1</v>
      </c>
      <c r="BB197" t="str">
        <f t="shared" ref="BB197:BB260" si="25">"N79NX   "</f>
        <v xml:space="preserve">N79NX   </v>
      </c>
      <c r="BC197">
        <v>1</v>
      </c>
      <c r="BE197">
        <v>0</v>
      </c>
      <c r="BF197">
        <v>0</v>
      </c>
      <c r="BG197">
        <v>0</v>
      </c>
      <c r="BH197">
        <v>3250</v>
      </c>
      <c r="BI197">
        <v>0</v>
      </c>
      <c r="BJ197">
        <v>0</v>
      </c>
      <c r="BK197">
        <v>0</v>
      </c>
      <c r="BL197">
        <v>0</v>
      </c>
      <c r="BO197">
        <v>0</v>
      </c>
      <c r="BP197">
        <v>0</v>
      </c>
      <c r="BW197" t="str">
        <f>"18:36:29.960"</f>
        <v>18:36:29.960</v>
      </c>
      <c r="BZ197">
        <v>0</v>
      </c>
      <c r="CA197">
        <v>3488</v>
      </c>
      <c r="CB197">
        <v>216</v>
      </c>
      <c r="CC197">
        <v>583.59379999999999</v>
      </c>
      <c r="CD197">
        <v>1</v>
      </c>
      <c r="CE197">
        <v>1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2</v>
      </c>
      <c r="CL197">
        <v>0</v>
      </c>
      <c r="CM197">
        <v>2</v>
      </c>
      <c r="CN197">
        <v>0</v>
      </c>
      <c r="CO197">
        <v>7</v>
      </c>
      <c r="CP197" t="s">
        <v>119</v>
      </c>
      <c r="CQ197">
        <v>145</v>
      </c>
      <c r="CR197">
        <v>1</v>
      </c>
      <c r="CW197">
        <v>8879137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</row>
    <row r="198" spans="1:113" x14ac:dyDescent="0.3">
      <c r="A198" t="str">
        <f>"02/13/2022 18:36:30.352"</f>
        <v>02/13/2022 18:36:30.352</v>
      </c>
      <c r="C198" t="str">
        <f t="shared" si="24"/>
        <v>FFDFD7C0</v>
      </c>
      <c r="D198" t="s">
        <v>121</v>
      </c>
      <c r="E198">
        <v>2</v>
      </c>
      <c r="H198">
        <v>158</v>
      </c>
      <c r="I198" t="s">
        <v>120</v>
      </c>
      <c r="J198" t="s">
        <v>122</v>
      </c>
      <c r="K198">
        <v>0</v>
      </c>
      <c r="L198">
        <v>3</v>
      </c>
      <c r="M198">
        <v>0</v>
      </c>
      <c r="N198">
        <v>2</v>
      </c>
      <c r="O198">
        <v>1</v>
      </c>
      <c r="P198">
        <v>0</v>
      </c>
      <c r="Q198">
        <v>0</v>
      </c>
      <c r="S198" t="str">
        <f>"18:36:29.953"</f>
        <v>18:36:29.953</v>
      </c>
      <c r="T198" t="str">
        <f>"18:36:29.853"</f>
        <v>18:36:29.853</v>
      </c>
      <c r="U198" t="str">
        <f t="shared" si="23"/>
        <v>AAB6EE</v>
      </c>
      <c r="V198">
        <v>0</v>
      </c>
      <c r="W198">
        <v>0</v>
      </c>
      <c r="X198">
        <v>4</v>
      </c>
      <c r="Z198">
        <v>0</v>
      </c>
      <c r="AA198">
        <v>8</v>
      </c>
      <c r="AB198">
        <v>3</v>
      </c>
      <c r="AC198">
        <v>0</v>
      </c>
      <c r="AD198">
        <v>10</v>
      </c>
      <c r="AE198">
        <v>0</v>
      </c>
      <c r="AF198">
        <v>0</v>
      </c>
      <c r="AG198">
        <v>1</v>
      </c>
      <c r="AH198">
        <v>1</v>
      </c>
      <c r="AI198" t="s">
        <v>251</v>
      </c>
      <c r="AJ198">
        <v>35.530965000000002</v>
      </c>
      <c r="AK198" t="s">
        <v>252</v>
      </c>
      <c r="AL198">
        <v>-76.026420999999999</v>
      </c>
      <c r="AM198">
        <v>25</v>
      </c>
      <c r="AN198">
        <v>3400</v>
      </c>
      <c r="AO198" t="s">
        <v>118</v>
      </c>
      <c r="AP198">
        <v>-67</v>
      </c>
      <c r="AQ198">
        <v>-125</v>
      </c>
      <c r="AR198">
        <v>448</v>
      </c>
      <c r="AZ198">
        <v>1200</v>
      </c>
      <c r="BA198">
        <v>1</v>
      </c>
      <c r="BB198" t="str">
        <f t="shared" si="25"/>
        <v xml:space="preserve">N79NX   </v>
      </c>
      <c r="BC198">
        <v>1</v>
      </c>
      <c r="BE198">
        <v>0</v>
      </c>
      <c r="BF198">
        <v>0</v>
      </c>
      <c r="BG198">
        <v>0</v>
      </c>
      <c r="BH198">
        <v>3250</v>
      </c>
      <c r="BI198">
        <v>0</v>
      </c>
      <c r="BJ198">
        <v>0</v>
      </c>
      <c r="BK198">
        <v>0</v>
      </c>
      <c r="BL198">
        <v>0</v>
      </c>
      <c r="BO198">
        <v>0</v>
      </c>
      <c r="BP198">
        <v>0</v>
      </c>
      <c r="BW198" t="str">
        <f>"18:36:29.960"</f>
        <v>18:36:29.960</v>
      </c>
      <c r="BZ198">
        <v>0</v>
      </c>
      <c r="CA198">
        <v>3488</v>
      </c>
      <c r="CB198">
        <v>216</v>
      </c>
      <c r="CC198">
        <v>583.59379999999999</v>
      </c>
      <c r="CD198">
        <v>1</v>
      </c>
      <c r="CE198">
        <v>1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2</v>
      </c>
      <c r="CL198">
        <v>0</v>
      </c>
      <c r="CM198">
        <v>2</v>
      </c>
      <c r="CN198">
        <v>0</v>
      </c>
      <c r="CO198">
        <v>7</v>
      </c>
      <c r="CP198" t="s">
        <v>119</v>
      </c>
      <c r="CQ198">
        <v>145</v>
      </c>
      <c r="CR198">
        <v>1</v>
      </c>
      <c r="CW198">
        <v>8879137</v>
      </c>
      <c r="CY198">
        <v>0</v>
      </c>
      <c r="CZ198">
        <v>0</v>
      </c>
      <c r="DA198">
        <v>1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</row>
    <row r="199" spans="1:113" x14ac:dyDescent="0.3">
      <c r="A199" t="str">
        <f>"02/13/2022 18:36:31.315"</f>
        <v>02/13/2022 18:36:31.315</v>
      </c>
      <c r="C199" t="str">
        <f t="shared" si="24"/>
        <v>FFDFD7C0</v>
      </c>
      <c r="D199" t="s">
        <v>113</v>
      </c>
      <c r="E199">
        <v>4</v>
      </c>
      <c r="F199">
        <v>1004</v>
      </c>
      <c r="G199" t="s">
        <v>120</v>
      </c>
      <c r="J199" t="s">
        <v>115</v>
      </c>
      <c r="K199">
        <v>0</v>
      </c>
      <c r="L199">
        <v>3</v>
      </c>
      <c r="M199">
        <v>0</v>
      </c>
      <c r="N199">
        <v>2</v>
      </c>
      <c r="O199">
        <v>1</v>
      </c>
      <c r="P199">
        <v>0</v>
      </c>
      <c r="Q199">
        <v>0</v>
      </c>
      <c r="S199" t="str">
        <f>"18:36:31.078"</f>
        <v>18:36:31.078</v>
      </c>
      <c r="T199" t="str">
        <f>"18:36:30.778"</f>
        <v>18:36:30.778</v>
      </c>
      <c r="U199" t="str">
        <f t="shared" si="23"/>
        <v>AAB6EE</v>
      </c>
      <c r="V199">
        <v>0</v>
      </c>
      <c r="W199">
        <v>0</v>
      </c>
      <c r="X199">
        <v>4</v>
      </c>
      <c r="Z199">
        <v>0</v>
      </c>
      <c r="AA199">
        <v>8</v>
      </c>
      <c r="AB199">
        <v>3</v>
      </c>
      <c r="AC199">
        <v>0</v>
      </c>
      <c r="AD199">
        <v>10</v>
      </c>
      <c r="AE199">
        <v>0</v>
      </c>
      <c r="AF199">
        <v>0</v>
      </c>
      <c r="AG199">
        <v>1</v>
      </c>
      <c r="AH199">
        <v>1</v>
      </c>
      <c r="AI199" t="s">
        <v>253</v>
      </c>
      <c r="AJ199">
        <v>35.530299999999997</v>
      </c>
      <c r="AK199" t="s">
        <v>254</v>
      </c>
      <c r="AL199">
        <v>-76.026849999999996</v>
      </c>
      <c r="AM199">
        <v>25</v>
      </c>
      <c r="AN199">
        <v>3400</v>
      </c>
      <c r="AO199" t="s">
        <v>118</v>
      </c>
      <c r="AP199">
        <v>-67</v>
      </c>
      <c r="AQ199">
        <v>-127</v>
      </c>
      <c r="AR199">
        <v>320</v>
      </c>
      <c r="AZ199">
        <v>1200</v>
      </c>
      <c r="BA199">
        <v>1</v>
      </c>
      <c r="BB199" t="str">
        <f t="shared" si="25"/>
        <v xml:space="preserve">N79NX   </v>
      </c>
      <c r="BC199">
        <v>1</v>
      </c>
      <c r="BE199">
        <v>0</v>
      </c>
      <c r="BF199">
        <v>0</v>
      </c>
      <c r="BG199">
        <v>0</v>
      </c>
      <c r="BH199">
        <v>3250</v>
      </c>
      <c r="BI199">
        <v>0</v>
      </c>
      <c r="BJ199">
        <v>0</v>
      </c>
      <c r="BK199">
        <v>0</v>
      </c>
      <c r="BL199">
        <v>0</v>
      </c>
      <c r="BO199">
        <v>0</v>
      </c>
      <c r="BP199">
        <v>0</v>
      </c>
      <c r="BW199" t="str">
        <f>"18:36:31.080"</f>
        <v>18:36:31.080</v>
      </c>
      <c r="BZ199">
        <v>0</v>
      </c>
      <c r="CA199">
        <v>3488</v>
      </c>
      <c r="CB199">
        <v>216</v>
      </c>
      <c r="CC199">
        <v>583.59379999999999</v>
      </c>
      <c r="CD199">
        <v>1</v>
      </c>
      <c r="CE199">
        <v>1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2</v>
      </c>
      <c r="CL199">
        <v>0</v>
      </c>
      <c r="CM199">
        <v>2</v>
      </c>
      <c r="CN199">
        <v>0</v>
      </c>
      <c r="CO199">
        <v>7</v>
      </c>
      <c r="CP199" t="s">
        <v>119</v>
      </c>
      <c r="CQ199">
        <v>145</v>
      </c>
      <c r="CR199">
        <v>1</v>
      </c>
      <c r="CW199">
        <v>8879687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</row>
    <row r="200" spans="1:113" x14ac:dyDescent="0.3">
      <c r="A200" t="str">
        <f>"02/13/2022 18:36:31.315"</f>
        <v>02/13/2022 18:36:31.315</v>
      </c>
      <c r="C200" t="str">
        <f t="shared" si="24"/>
        <v>FFDFD7C0</v>
      </c>
      <c r="D200" t="s">
        <v>113</v>
      </c>
      <c r="E200">
        <v>3</v>
      </c>
      <c r="F200">
        <v>1003</v>
      </c>
      <c r="G200" t="s">
        <v>114</v>
      </c>
      <c r="J200" t="s">
        <v>115</v>
      </c>
      <c r="K200">
        <v>0</v>
      </c>
      <c r="L200">
        <v>3</v>
      </c>
      <c r="M200">
        <v>0</v>
      </c>
      <c r="N200">
        <v>2</v>
      </c>
      <c r="O200">
        <v>1</v>
      </c>
      <c r="P200">
        <v>0</v>
      </c>
      <c r="Q200">
        <v>0</v>
      </c>
      <c r="S200" t="str">
        <f>"18:36:31.078"</f>
        <v>18:36:31.078</v>
      </c>
      <c r="T200" t="str">
        <f>"18:36:30.778"</f>
        <v>18:36:30.778</v>
      </c>
      <c r="U200" t="str">
        <f t="shared" si="23"/>
        <v>AAB6EE</v>
      </c>
      <c r="V200">
        <v>0</v>
      </c>
      <c r="W200">
        <v>0</v>
      </c>
      <c r="X200">
        <v>4</v>
      </c>
      <c r="Z200">
        <v>0</v>
      </c>
      <c r="AA200">
        <v>8</v>
      </c>
      <c r="AB200">
        <v>3</v>
      </c>
      <c r="AC200">
        <v>0</v>
      </c>
      <c r="AD200">
        <v>10</v>
      </c>
      <c r="AE200">
        <v>0</v>
      </c>
      <c r="AF200">
        <v>0</v>
      </c>
      <c r="AG200">
        <v>1</v>
      </c>
      <c r="AH200">
        <v>1</v>
      </c>
      <c r="AI200" t="s">
        <v>253</v>
      </c>
      <c r="AJ200">
        <v>35.530299999999997</v>
      </c>
      <c r="AK200" t="s">
        <v>254</v>
      </c>
      <c r="AL200">
        <v>-76.026849999999996</v>
      </c>
      <c r="AM200">
        <v>25</v>
      </c>
      <c r="AN200">
        <v>3400</v>
      </c>
      <c r="AO200" t="s">
        <v>118</v>
      </c>
      <c r="AP200">
        <v>-67</v>
      </c>
      <c r="AQ200">
        <v>-127</v>
      </c>
      <c r="AR200">
        <v>320</v>
      </c>
      <c r="AZ200">
        <v>1200</v>
      </c>
      <c r="BA200">
        <v>1</v>
      </c>
      <c r="BB200" t="str">
        <f t="shared" si="25"/>
        <v xml:space="preserve">N79NX   </v>
      </c>
      <c r="BC200">
        <v>1</v>
      </c>
      <c r="BE200">
        <v>0</v>
      </c>
      <c r="BF200">
        <v>0</v>
      </c>
      <c r="BG200">
        <v>0</v>
      </c>
      <c r="BH200">
        <v>3250</v>
      </c>
      <c r="BI200">
        <v>0</v>
      </c>
      <c r="BJ200">
        <v>0</v>
      </c>
      <c r="BK200">
        <v>0</v>
      </c>
      <c r="BL200">
        <v>0</v>
      </c>
      <c r="BO200">
        <v>0</v>
      </c>
      <c r="BP200">
        <v>0</v>
      </c>
      <c r="BW200" t="str">
        <f>"18:36:31.080"</f>
        <v>18:36:31.080</v>
      </c>
      <c r="BZ200">
        <v>0</v>
      </c>
      <c r="CA200">
        <v>3488</v>
      </c>
      <c r="CB200">
        <v>216</v>
      </c>
      <c r="CC200">
        <v>583.59379999999999</v>
      </c>
      <c r="CD200">
        <v>1</v>
      </c>
      <c r="CE200">
        <v>1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2</v>
      </c>
      <c r="CL200">
        <v>0</v>
      </c>
      <c r="CM200">
        <v>2</v>
      </c>
      <c r="CN200">
        <v>0</v>
      </c>
      <c r="CO200">
        <v>7</v>
      </c>
      <c r="CP200" t="s">
        <v>119</v>
      </c>
      <c r="CQ200">
        <v>145</v>
      </c>
      <c r="CR200">
        <v>1</v>
      </c>
      <c r="CW200">
        <v>8879687</v>
      </c>
      <c r="CY200">
        <v>0</v>
      </c>
      <c r="CZ200">
        <v>0</v>
      </c>
      <c r="DA200">
        <v>1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</row>
    <row r="201" spans="1:113" x14ac:dyDescent="0.3">
      <c r="A201" t="str">
        <f>"02/13/2022 18:36:31.315"</f>
        <v>02/13/2022 18:36:31.315</v>
      </c>
      <c r="C201" t="str">
        <f t="shared" si="24"/>
        <v>FFDFD7C0</v>
      </c>
      <c r="D201" t="s">
        <v>121</v>
      </c>
      <c r="E201">
        <v>2</v>
      </c>
      <c r="H201">
        <v>158</v>
      </c>
      <c r="I201" t="s">
        <v>120</v>
      </c>
      <c r="J201" t="s">
        <v>122</v>
      </c>
      <c r="K201">
        <v>0</v>
      </c>
      <c r="L201">
        <v>3</v>
      </c>
      <c r="M201">
        <v>0</v>
      </c>
      <c r="N201">
        <v>2</v>
      </c>
      <c r="O201">
        <v>1</v>
      </c>
      <c r="P201">
        <v>0</v>
      </c>
      <c r="Q201">
        <v>0</v>
      </c>
      <c r="S201" t="str">
        <f>"18:36:31.078"</f>
        <v>18:36:31.078</v>
      </c>
      <c r="T201" t="str">
        <f>"18:36:30.778"</f>
        <v>18:36:30.778</v>
      </c>
      <c r="U201" t="str">
        <f t="shared" si="23"/>
        <v>AAB6EE</v>
      </c>
      <c r="V201">
        <v>0</v>
      </c>
      <c r="W201">
        <v>0</v>
      </c>
      <c r="X201">
        <v>4</v>
      </c>
      <c r="Z201">
        <v>0</v>
      </c>
      <c r="AA201">
        <v>8</v>
      </c>
      <c r="AB201">
        <v>3</v>
      </c>
      <c r="AC201">
        <v>0</v>
      </c>
      <c r="AD201">
        <v>10</v>
      </c>
      <c r="AE201">
        <v>0</v>
      </c>
      <c r="AF201">
        <v>0</v>
      </c>
      <c r="AG201">
        <v>1</v>
      </c>
      <c r="AH201">
        <v>1</v>
      </c>
      <c r="AI201" t="s">
        <v>253</v>
      </c>
      <c r="AJ201">
        <v>35.530299999999997</v>
      </c>
      <c r="AK201" t="s">
        <v>254</v>
      </c>
      <c r="AL201">
        <v>-76.026849999999996</v>
      </c>
      <c r="AM201">
        <v>25</v>
      </c>
      <c r="AN201">
        <v>3400</v>
      </c>
      <c r="AO201" t="s">
        <v>118</v>
      </c>
      <c r="AP201">
        <v>-67</v>
      </c>
      <c r="AQ201">
        <v>-127</v>
      </c>
      <c r="AR201">
        <v>320</v>
      </c>
      <c r="AZ201">
        <v>1200</v>
      </c>
      <c r="BA201">
        <v>1</v>
      </c>
      <c r="BB201" t="str">
        <f t="shared" si="25"/>
        <v xml:space="preserve">N79NX   </v>
      </c>
      <c r="BC201">
        <v>1</v>
      </c>
      <c r="BE201">
        <v>0</v>
      </c>
      <c r="BF201">
        <v>0</v>
      </c>
      <c r="BG201">
        <v>0</v>
      </c>
      <c r="BH201">
        <v>3250</v>
      </c>
      <c r="BI201">
        <v>0</v>
      </c>
      <c r="BJ201">
        <v>0</v>
      </c>
      <c r="BK201">
        <v>0</v>
      </c>
      <c r="BL201">
        <v>0</v>
      </c>
      <c r="BO201">
        <v>0</v>
      </c>
      <c r="BP201">
        <v>0</v>
      </c>
      <c r="BW201" t="str">
        <f>"18:36:31.080"</f>
        <v>18:36:31.080</v>
      </c>
      <c r="BZ201">
        <v>0</v>
      </c>
      <c r="CA201">
        <v>3488</v>
      </c>
      <c r="CB201">
        <v>216</v>
      </c>
      <c r="CC201">
        <v>583.59379999999999</v>
      </c>
      <c r="CD201">
        <v>1</v>
      </c>
      <c r="CE201">
        <v>1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2</v>
      </c>
      <c r="CL201">
        <v>0</v>
      </c>
      <c r="CM201">
        <v>2</v>
      </c>
      <c r="CN201">
        <v>0</v>
      </c>
      <c r="CO201">
        <v>7</v>
      </c>
      <c r="CP201" t="s">
        <v>119</v>
      </c>
      <c r="CQ201">
        <v>145</v>
      </c>
      <c r="CR201">
        <v>1</v>
      </c>
      <c r="CW201">
        <v>8879687</v>
      </c>
      <c r="CY201">
        <v>0</v>
      </c>
      <c r="CZ201">
        <v>0</v>
      </c>
      <c r="DA201">
        <v>1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</row>
    <row r="202" spans="1:113" x14ac:dyDescent="0.3">
      <c r="A202" t="str">
        <f>"02/13/2022 18:36:32.377"</f>
        <v>02/13/2022 18:36:32.377</v>
      </c>
      <c r="C202" t="str">
        <f t="shared" si="24"/>
        <v>FFDFD7C0</v>
      </c>
      <c r="D202" t="s">
        <v>113</v>
      </c>
      <c r="E202">
        <v>3</v>
      </c>
      <c r="F202">
        <v>1003</v>
      </c>
      <c r="G202" t="s">
        <v>114</v>
      </c>
      <c r="J202" t="s">
        <v>115</v>
      </c>
      <c r="K202">
        <v>0</v>
      </c>
      <c r="L202">
        <v>3</v>
      </c>
      <c r="M202">
        <v>0</v>
      </c>
      <c r="N202">
        <v>2</v>
      </c>
      <c r="O202">
        <v>1</v>
      </c>
      <c r="P202">
        <v>0</v>
      </c>
      <c r="Q202">
        <v>0</v>
      </c>
      <c r="S202" t="str">
        <f>"18:36:32.203"</f>
        <v>18:36:32.203</v>
      </c>
      <c r="T202" t="str">
        <f>"18:36:32.103"</f>
        <v>18:36:32.103</v>
      </c>
      <c r="U202" t="str">
        <f t="shared" si="23"/>
        <v>AAB6EE</v>
      </c>
      <c r="V202">
        <v>0</v>
      </c>
      <c r="W202">
        <v>0</v>
      </c>
      <c r="X202">
        <v>4</v>
      </c>
      <c r="Z202">
        <v>0</v>
      </c>
      <c r="AA202">
        <v>8</v>
      </c>
      <c r="AB202">
        <v>3</v>
      </c>
      <c r="AC202">
        <v>0</v>
      </c>
      <c r="AD202">
        <v>10</v>
      </c>
      <c r="AE202">
        <v>0</v>
      </c>
      <c r="AF202">
        <v>0</v>
      </c>
      <c r="AG202">
        <v>1</v>
      </c>
      <c r="AH202">
        <v>1</v>
      </c>
      <c r="AI202" t="s">
        <v>255</v>
      </c>
      <c r="AJ202">
        <v>35.529592000000001</v>
      </c>
      <c r="AK202" t="s">
        <v>256</v>
      </c>
      <c r="AL202">
        <v>-76.027321999999998</v>
      </c>
      <c r="AM202">
        <v>25</v>
      </c>
      <c r="AN202">
        <v>3425</v>
      </c>
      <c r="AO202" t="s">
        <v>118</v>
      </c>
      <c r="AP202">
        <v>-67</v>
      </c>
      <c r="AQ202">
        <v>-129</v>
      </c>
      <c r="AR202">
        <v>192</v>
      </c>
      <c r="AZ202">
        <v>1200</v>
      </c>
      <c r="BA202">
        <v>1</v>
      </c>
      <c r="BB202" t="str">
        <f t="shared" si="25"/>
        <v xml:space="preserve">N79NX   </v>
      </c>
      <c r="BC202">
        <v>1</v>
      </c>
      <c r="BE202">
        <v>0</v>
      </c>
      <c r="BF202">
        <v>0</v>
      </c>
      <c r="BG202">
        <v>0</v>
      </c>
      <c r="BH202">
        <v>3250</v>
      </c>
      <c r="BI202">
        <v>0</v>
      </c>
      <c r="BJ202">
        <v>0</v>
      </c>
      <c r="BK202">
        <v>0</v>
      </c>
      <c r="BL202">
        <v>0</v>
      </c>
      <c r="BO202">
        <v>0</v>
      </c>
      <c r="BP202">
        <v>0</v>
      </c>
      <c r="BW202" t="str">
        <f>"18:36:32.210"</f>
        <v>18:36:32.210</v>
      </c>
      <c r="BZ202">
        <v>0</v>
      </c>
      <c r="CA202">
        <v>3488</v>
      </c>
      <c r="CB202">
        <v>216</v>
      </c>
      <c r="CC202">
        <v>583.59379999999999</v>
      </c>
      <c r="CD202">
        <v>1</v>
      </c>
      <c r="CE202">
        <v>1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2</v>
      </c>
      <c r="CL202">
        <v>0</v>
      </c>
      <c r="CM202">
        <v>2</v>
      </c>
      <c r="CN202">
        <v>0</v>
      </c>
      <c r="CO202">
        <v>7</v>
      </c>
      <c r="CP202" t="s">
        <v>119</v>
      </c>
      <c r="CQ202">
        <v>145</v>
      </c>
      <c r="CR202">
        <v>1</v>
      </c>
      <c r="CW202">
        <v>8880214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</row>
    <row r="203" spans="1:113" x14ac:dyDescent="0.3">
      <c r="A203" t="str">
        <f>"02/13/2022 18:36:32.377"</f>
        <v>02/13/2022 18:36:32.377</v>
      </c>
      <c r="C203" t="str">
        <f t="shared" si="24"/>
        <v>FFDFD7C0</v>
      </c>
      <c r="D203" t="s">
        <v>113</v>
      </c>
      <c r="E203">
        <v>4</v>
      </c>
      <c r="F203">
        <v>1004</v>
      </c>
      <c r="G203" t="s">
        <v>120</v>
      </c>
      <c r="J203" t="s">
        <v>115</v>
      </c>
      <c r="K203">
        <v>0</v>
      </c>
      <c r="L203">
        <v>3</v>
      </c>
      <c r="M203">
        <v>0</v>
      </c>
      <c r="N203">
        <v>2</v>
      </c>
      <c r="O203">
        <v>1</v>
      </c>
      <c r="P203">
        <v>0</v>
      </c>
      <c r="Q203">
        <v>0</v>
      </c>
      <c r="S203" t="str">
        <f>"18:36:32.203"</f>
        <v>18:36:32.203</v>
      </c>
      <c r="T203" t="str">
        <f>"18:36:32.103"</f>
        <v>18:36:32.103</v>
      </c>
      <c r="U203" t="str">
        <f t="shared" si="23"/>
        <v>AAB6EE</v>
      </c>
      <c r="V203">
        <v>0</v>
      </c>
      <c r="W203">
        <v>0</v>
      </c>
      <c r="X203">
        <v>4</v>
      </c>
      <c r="Z203">
        <v>0</v>
      </c>
      <c r="AA203">
        <v>8</v>
      </c>
      <c r="AB203">
        <v>3</v>
      </c>
      <c r="AC203">
        <v>0</v>
      </c>
      <c r="AD203">
        <v>10</v>
      </c>
      <c r="AE203">
        <v>0</v>
      </c>
      <c r="AF203">
        <v>0</v>
      </c>
      <c r="AG203">
        <v>1</v>
      </c>
      <c r="AH203">
        <v>1</v>
      </c>
      <c r="AI203" t="s">
        <v>255</v>
      </c>
      <c r="AJ203">
        <v>35.529592000000001</v>
      </c>
      <c r="AK203" t="s">
        <v>256</v>
      </c>
      <c r="AL203">
        <v>-76.027321999999998</v>
      </c>
      <c r="AM203">
        <v>25</v>
      </c>
      <c r="AN203">
        <v>3425</v>
      </c>
      <c r="AO203" t="s">
        <v>118</v>
      </c>
      <c r="AP203">
        <v>-67</v>
      </c>
      <c r="AQ203">
        <v>-129</v>
      </c>
      <c r="AR203">
        <v>192</v>
      </c>
      <c r="AZ203">
        <v>1200</v>
      </c>
      <c r="BA203">
        <v>1</v>
      </c>
      <c r="BB203" t="str">
        <f t="shared" si="25"/>
        <v xml:space="preserve">N79NX   </v>
      </c>
      <c r="BC203">
        <v>1</v>
      </c>
      <c r="BE203">
        <v>0</v>
      </c>
      <c r="BF203">
        <v>0</v>
      </c>
      <c r="BG203">
        <v>0</v>
      </c>
      <c r="BH203">
        <v>3250</v>
      </c>
      <c r="BI203">
        <v>0</v>
      </c>
      <c r="BJ203">
        <v>0</v>
      </c>
      <c r="BK203">
        <v>0</v>
      </c>
      <c r="BL203">
        <v>0</v>
      </c>
      <c r="BO203">
        <v>0</v>
      </c>
      <c r="BP203">
        <v>0</v>
      </c>
      <c r="BW203" t="str">
        <f>"18:36:32.210"</f>
        <v>18:36:32.210</v>
      </c>
      <c r="BZ203">
        <v>0</v>
      </c>
      <c r="CA203">
        <v>3488</v>
      </c>
      <c r="CB203">
        <v>216</v>
      </c>
      <c r="CC203">
        <v>583.59379999999999</v>
      </c>
      <c r="CD203">
        <v>1</v>
      </c>
      <c r="CE203">
        <v>1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2</v>
      </c>
      <c r="CL203">
        <v>0</v>
      </c>
      <c r="CM203">
        <v>2</v>
      </c>
      <c r="CN203">
        <v>0</v>
      </c>
      <c r="CO203">
        <v>7</v>
      </c>
      <c r="CP203" t="s">
        <v>119</v>
      </c>
      <c r="CQ203">
        <v>145</v>
      </c>
      <c r="CR203">
        <v>1</v>
      </c>
      <c r="CW203">
        <v>8880214</v>
      </c>
      <c r="CY203">
        <v>0</v>
      </c>
      <c r="CZ203">
        <v>0</v>
      </c>
      <c r="DA203">
        <v>1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</row>
    <row r="204" spans="1:113" x14ac:dyDescent="0.3">
      <c r="A204" t="str">
        <f>"02/13/2022 18:36:32.377"</f>
        <v>02/13/2022 18:36:32.377</v>
      </c>
      <c r="C204" t="str">
        <f t="shared" si="24"/>
        <v>FFDFD7C0</v>
      </c>
      <c r="D204" t="s">
        <v>121</v>
      </c>
      <c r="E204">
        <v>2</v>
      </c>
      <c r="H204">
        <v>158</v>
      </c>
      <c r="I204" t="s">
        <v>120</v>
      </c>
      <c r="J204" t="s">
        <v>122</v>
      </c>
      <c r="K204">
        <v>0</v>
      </c>
      <c r="L204">
        <v>3</v>
      </c>
      <c r="M204">
        <v>0</v>
      </c>
      <c r="N204">
        <v>2</v>
      </c>
      <c r="O204">
        <v>1</v>
      </c>
      <c r="P204">
        <v>0</v>
      </c>
      <c r="Q204">
        <v>0</v>
      </c>
      <c r="S204" t="str">
        <f>"18:36:32.203"</f>
        <v>18:36:32.203</v>
      </c>
      <c r="T204" t="str">
        <f>"18:36:32.103"</f>
        <v>18:36:32.103</v>
      </c>
      <c r="U204" t="str">
        <f t="shared" si="23"/>
        <v>AAB6EE</v>
      </c>
      <c r="V204">
        <v>0</v>
      </c>
      <c r="W204">
        <v>0</v>
      </c>
      <c r="X204">
        <v>4</v>
      </c>
      <c r="Z204">
        <v>0</v>
      </c>
      <c r="AA204">
        <v>8</v>
      </c>
      <c r="AB204">
        <v>3</v>
      </c>
      <c r="AC204">
        <v>0</v>
      </c>
      <c r="AD204">
        <v>10</v>
      </c>
      <c r="AE204">
        <v>0</v>
      </c>
      <c r="AF204">
        <v>0</v>
      </c>
      <c r="AG204">
        <v>1</v>
      </c>
      <c r="AH204">
        <v>1</v>
      </c>
      <c r="AI204" t="s">
        <v>255</v>
      </c>
      <c r="AJ204">
        <v>35.529592000000001</v>
      </c>
      <c r="AK204" t="s">
        <v>256</v>
      </c>
      <c r="AL204">
        <v>-76.027321999999998</v>
      </c>
      <c r="AM204">
        <v>25</v>
      </c>
      <c r="AN204">
        <v>3425</v>
      </c>
      <c r="AO204" t="s">
        <v>118</v>
      </c>
      <c r="AP204">
        <v>-67</v>
      </c>
      <c r="AQ204">
        <v>-129</v>
      </c>
      <c r="AR204">
        <v>192</v>
      </c>
      <c r="AZ204">
        <v>1200</v>
      </c>
      <c r="BA204">
        <v>1</v>
      </c>
      <c r="BB204" t="str">
        <f t="shared" si="25"/>
        <v xml:space="preserve">N79NX   </v>
      </c>
      <c r="BC204">
        <v>1</v>
      </c>
      <c r="BE204">
        <v>0</v>
      </c>
      <c r="BF204">
        <v>0</v>
      </c>
      <c r="BG204">
        <v>0</v>
      </c>
      <c r="BH204">
        <v>3250</v>
      </c>
      <c r="BI204">
        <v>0</v>
      </c>
      <c r="BJ204">
        <v>0</v>
      </c>
      <c r="BK204">
        <v>0</v>
      </c>
      <c r="BL204">
        <v>0</v>
      </c>
      <c r="BO204">
        <v>0</v>
      </c>
      <c r="BP204">
        <v>0</v>
      </c>
      <c r="BW204" t="str">
        <f>"18:36:32.210"</f>
        <v>18:36:32.210</v>
      </c>
      <c r="BZ204">
        <v>0</v>
      </c>
      <c r="CA204">
        <v>3488</v>
      </c>
      <c r="CB204">
        <v>216</v>
      </c>
      <c r="CC204">
        <v>583.59379999999999</v>
      </c>
      <c r="CD204">
        <v>1</v>
      </c>
      <c r="CE204">
        <v>1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2</v>
      </c>
      <c r="CL204">
        <v>0</v>
      </c>
      <c r="CM204">
        <v>2</v>
      </c>
      <c r="CN204">
        <v>0</v>
      </c>
      <c r="CO204">
        <v>7</v>
      </c>
      <c r="CP204" t="s">
        <v>119</v>
      </c>
      <c r="CQ204">
        <v>145</v>
      </c>
      <c r="CR204">
        <v>1</v>
      </c>
      <c r="CW204">
        <v>8880214</v>
      </c>
      <c r="CY204">
        <v>0</v>
      </c>
      <c r="CZ204">
        <v>0</v>
      </c>
      <c r="DA204">
        <v>1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</row>
    <row r="205" spans="1:113" x14ac:dyDescent="0.3">
      <c r="A205" t="str">
        <f>"02/13/2022 18:36:33.627"</f>
        <v>02/13/2022 18:36:33.627</v>
      </c>
      <c r="C205" t="str">
        <f t="shared" si="24"/>
        <v>FFDFD7C0</v>
      </c>
      <c r="D205" t="s">
        <v>121</v>
      </c>
      <c r="E205">
        <v>2</v>
      </c>
      <c r="H205">
        <v>158</v>
      </c>
      <c r="I205" t="s">
        <v>120</v>
      </c>
      <c r="J205" t="s">
        <v>122</v>
      </c>
      <c r="K205">
        <v>0</v>
      </c>
      <c r="L205">
        <v>3</v>
      </c>
      <c r="M205">
        <v>0</v>
      </c>
      <c r="N205">
        <v>2</v>
      </c>
      <c r="O205">
        <v>1</v>
      </c>
      <c r="P205">
        <v>0</v>
      </c>
      <c r="Q205">
        <v>0</v>
      </c>
      <c r="S205" t="str">
        <f>"18:36:33.125"</f>
        <v>18:36:33.125</v>
      </c>
      <c r="T205" t="str">
        <f>"18:36:32.625"</f>
        <v>18:36:32.625</v>
      </c>
      <c r="U205" t="str">
        <f t="shared" si="23"/>
        <v>AAB6EE</v>
      </c>
      <c r="V205">
        <v>0</v>
      </c>
      <c r="W205">
        <v>0</v>
      </c>
      <c r="X205">
        <v>4</v>
      </c>
      <c r="Z205">
        <v>0</v>
      </c>
      <c r="AA205">
        <v>8</v>
      </c>
      <c r="AB205">
        <v>3</v>
      </c>
      <c r="AC205">
        <v>0</v>
      </c>
      <c r="AD205">
        <v>10</v>
      </c>
      <c r="AE205">
        <v>0</v>
      </c>
      <c r="AF205">
        <v>0</v>
      </c>
      <c r="AG205">
        <v>1</v>
      </c>
      <c r="AH205">
        <v>1</v>
      </c>
      <c r="AI205" t="s">
        <v>257</v>
      </c>
      <c r="AJ205">
        <v>35.529055999999997</v>
      </c>
      <c r="AK205" t="s">
        <v>258</v>
      </c>
      <c r="AL205">
        <v>-76.027687</v>
      </c>
      <c r="AM205">
        <v>25</v>
      </c>
      <c r="AN205">
        <v>3425</v>
      </c>
      <c r="AO205" t="s">
        <v>118</v>
      </c>
      <c r="AP205">
        <v>-67</v>
      </c>
      <c r="AQ205">
        <v>-130</v>
      </c>
      <c r="AR205">
        <v>192</v>
      </c>
      <c r="AZ205">
        <v>1200</v>
      </c>
      <c r="BA205">
        <v>1</v>
      </c>
      <c r="BB205" t="str">
        <f t="shared" si="25"/>
        <v xml:space="preserve">N79NX   </v>
      </c>
      <c r="BC205">
        <v>1</v>
      </c>
      <c r="BE205">
        <v>0</v>
      </c>
      <c r="BF205">
        <v>0</v>
      </c>
      <c r="BG205">
        <v>0</v>
      </c>
      <c r="BH205">
        <v>3275</v>
      </c>
      <c r="BI205">
        <v>0</v>
      </c>
      <c r="BJ205">
        <v>0</v>
      </c>
      <c r="BK205">
        <v>0</v>
      </c>
      <c r="BL205">
        <v>0</v>
      </c>
      <c r="BO205">
        <v>0</v>
      </c>
      <c r="BP205">
        <v>0</v>
      </c>
      <c r="BW205" t="str">
        <f>"18:36:33.130"</f>
        <v>18:36:33.130</v>
      </c>
      <c r="BZ205">
        <v>0</v>
      </c>
      <c r="CA205">
        <v>3488</v>
      </c>
      <c r="CB205">
        <v>216</v>
      </c>
      <c r="CC205">
        <v>583.59379999999999</v>
      </c>
      <c r="CD205">
        <v>1</v>
      </c>
      <c r="CE205">
        <v>1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2</v>
      </c>
      <c r="CL205">
        <v>0</v>
      </c>
      <c r="CM205">
        <v>2</v>
      </c>
      <c r="CN205">
        <v>0</v>
      </c>
      <c r="CO205">
        <v>7</v>
      </c>
      <c r="CP205" t="s">
        <v>119</v>
      </c>
      <c r="CQ205">
        <v>145</v>
      </c>
      <c r="CR205">
        <v>1</v>
      </c>
      <c r="CW205">
        <v>8880664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</row>
    <row r="206" spans="1:113" x14ac:dyDescent="0.3">
      <c r="A206" t="str">
        <f>"02/13/2022 18:36:33.627"</f>
        <v>02/13/2022 18:36:33.627</v>
      </c>
      <c r="C206" t="str">
        <f t="shared" si="24"/>
        <v>FFDFD7C0</v>
      </c>
      <c r="D206" t="s">
        <v>113</v>
      </c>
      <c r="E206">
        <v>3</v>
      </c>
      <c r="F206">
        <v>1003</v>
      </c>
      <c r="G206" t="s">
        <v>114</v>
      </c>
      <c r="J206" t="s">
        <v>115</v>
      </c>
      <c r="K206">
        <v>0</v>
      </c>
      <c r="L206">
        <v>3</v>
      </c>
      <c r="M206">
        <v>0</v>
      </c>
      <c r="N206">
        <v>2</v>
      </c>
      <c r="O206">
        <v>1</v>
      </c>
      <c r="P206">
        <v>0</v>
      </c>
      <c r="Q206">
        <v>0</v>
      </c>
      <c r="S206" t="str">
        <f>"18:36:33.125"</f>
        <v>18:36:33.125</v>
      </c>
      <c r="T206" t="str">
        <f>"18:36:32.625"</f>
        <v>18:36:32.625</v>
      </c>
      <c r="U206" t="str">
        <f t="shared" si="23"/>
        <v>AAB6EE</v>
      </c>
      <c r="V206">
        <v>0</v>
      </c>
      <c r="W206">
        <v>0</v>
      </c>
      <c r="X206">
        <v>4</v>
      </c>
      <c r="Z206">
        <v>0</v>
      </c>
      <c r="AA206">
        <v>8</v>
      </c>
      <c r="AB206">
        <v>3</v>
      </c>
      <c r="AC206">
        <v>0</v>
      </c>
      <c r="AD206">
        <v>10</v>
      </c>
      <c r="AE206">
        <v>0</v>
      </c>
      <c r="AF206">
        <v>0</v>
      </c>
      <c r="AG206">
        <v>1</v>
      </c>
      <c r="AH206">
        <v>1</v>
      </c>
      <c r="AI206" t="s">
        <v>257</v>
      </c>
      <c r="AJ206">
        <v>35.529055999999997</v>
      </c>
      <c r="AK206" t="s">
        <v>258</v>
      </c>
      <c r="AL206">
        <v>-76.027687</v>
      </c>
      <c r="AM206">
        <v>25</v>
      </c>
      <c r="AN206">
        <v>3425</v>
      </c>
      <c r="AO206" t="s">
        <v>118</v>
      </c>
      <c r="AP206">
        <v>-67</v>
      </c>
      <c r="AQ206">
        <v>-130</v>
      </c>
      <c r="AR206">
        <v>192</v>
      </c>
      <c r="AZ206">
        <v>1200</v>
      </c>
      <c r="BA206">
        <v>1</v>
      </c>
      <c r="BB206" t="str">
        <f t="shared" si="25"/>
        <v xml:space="preserve">N79NX   </v>
      </c>
      <c r="BC206">
        <v>1</v>
      </c>
      <c r="BE206">
        <v>0</v>
      </c>
      <c r="BF206">
        <v>0</v>
      </c>
      <c r="BG206">
        <v>0</v>
      </c>
      <c r="BH206">
        <v>3275</v>
      </c>
      <c r="BI206">
        <v>0</v>
      </c>
      <c r="BJ206">
        <v>0</v>
      </c>
      <c r="BK206">
        <v>0</v>
      </c>
      <c r="BL206">
        <v>0</v>
      </c>
      <c r="BO206">
        <v>0</v>
      </c>
      <c r="BP206">
        <v>0</v>
      </c>
      <c r="BW206" t="str">
        <f>"18:36:33.130"</f>
        <v>18:36:33.130</v>
      </c>
      <c r="BZ206">
        <v>0</v>
      </c>
      <c r="CA206">
        <v>3488</v>
      </c>
      <c r="CB206">
        <v>216</v>
      </c>
      <c r="CC206">
        <v>583.59379999999999</v>
      </c>
      <c r="CD206">
        <v>1</v>
      </c>
      <c r="CE206">
        <v>1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2</v>
      </c>
      <c r="CL206">
        <v>0</v>
      </c>
      <c r="CM206">
        <v>2</v>
      </c>
      <c r="CN206">
        <v>0</v>
      </c>
      <c r="CO206">
        <v>7</v>
      </c>
      <c r="CP206" t="s">
        <v>119</v>
      </c>
      <c r="CQ206">
        <v>145</v>
      </c>
      <c r="CR206">
        <v>1</v>
      </c>
      <c r="CW206">
        <v>8880664</v>
      </c>
      <c r="CY206">
        <v>0</v>
      </c>
      <c r="CZ206">
        <v>0</v>
      </c>
      <c r="DA206">
        <v>1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</row>
    <row r="207" spans="1:113" x14ac:dyDescent="0.3">
      <c r="A207" t="str">
        <f>"02/13/2022 18:36:33.627"</f>
        <v>02/13/2022 18:36:33.627</v>
      </c>
      <c r="C207" t="str">
        <f t="shared" si="24"/>
        <v>FFDFD7C0</v>
      </c>
      <c r="D207" t="s">
        <v>113</v>
      </c>
      <c r="E207">
        <v>4</v>
      </c>
      <c r="F207">
        <v>1004</v>
      </c>
      <c r="G207" t="s">
        <v>120</v>
      </c>
      <c r="J207" t="s">
        <v>115</v>
      </c>
      <c r="K207">
        <v>0</v>
      </c>
      <c r="L207">
        <v>3</v>
      </c>
      <c r="M207">
        <v>0</v>
      </c>
      <c r="N207">
        <v>2</v>
      </c>
      <c r="O207">
        <v>1</v>
      </c>
      <c r="P207">
        <v>0</v>
      </c>
      <c r="Q207">
        <v>0</v>
      </c>
      <c r="S207" t="str">
        <f>"18:36:33.125"</f>
        <v>18:36:33.125</v>
      </c>
      <c r="T207" t="str">
        <f>"18:36:32.625"</f>
        <v>18:36:32.625</v>
      </c>
      <c r="U207" t="str">
        <f t="shared" si="23"/>
        <v>AAB6EE</v>
      </c>
      <c r="V207">
        <v>0</v>
      </c>
      <c r="W207">
        <v>0</v>
      </c>
      <c r="X207">
        <v>4</v>
      </c>
      <c r="Z207">
        <v>0</v>
      </c>
      <c r="AA207">
        <v>8</v>
      </c>
      <c r="AB207">
        <v>3</v>
      </c>
      <c r="AC207">
        <v>0</v>
      </c>
      <c r="AD207">
        <v>10</v>
      </c>
      <c r="AE207">
        <v>0</v>
      </c>
      <c r="AF207">
        <v>0</v>
      </c>
      <c r="AG207">
        <v>1</v>
      </c>
      <c r="AH207">
        <v>1</v>
      </c>
      <c r="AI207" t="s">
        <v>257</v>
      </c>
      <c r="AJ207">
        <v>35.529055999999997</v>
      </c>
      <c r="AK207" t="s">
        <v>258</v>
      </c>
      <c r="AL207">
        <v>-76.027687</v>
      </c>
      <c r="AM207">
        <v>25</v>
      </c>
      <c r="AN207">
        <v>3425</v>
      </c>
      <c r="AO207" t="s">
        <v>118</v>
      </c>
      <c r="AP207">
        <v>-67</v>
      </c>
      <c r="AQ207">
        <v>-130</v>
      </c>
      <c r="AR207">
        <v>192</v>
      </c>
      <c r="AZ207">
        <v>1200</v>
      </c>
      <c r="BA207">
        <v>1</v>
      </c>
      <c r="BB207" t="str">
        <f t="shared" si="25"/>
        <v xml:space="preserve">N79NX   </v>
      </c>
      <c r="BC207">
        <v>1</v>
      </c>
      <c r="BE207">
        <v>0</v>
      </c>
      <c r="BF207">
        <v>0</v>
      </c>
      <c r="BG207">
        <v>0</v>
      </c>
      <c r="BH207">
        <v>3275</v>
      </c>
      <c r="BI207">
        <v>0</v>
      </c>
      <c r="BJ207">
        <v>0</v>
      </c>
      <c r="BK207">
        <v>0</v>
      </c>
      <c r="BL207">
        <v>0</v>
      </c>
      <c r="BO207">
        <v>0</v>
      </c>
      <c r="BP207">
        <v>0</v>
      </c>
      <c r="BW207" t="str">
        <f>"18:36:33.130"</f>
        <v>18:36:33.130</v>
      </c>
      <c r="BZ207">
        <v>0</v>
      </c>
      <c r="CA207">
        <v>3488</v>
      </c>
      <c r="CB207">
        <v>216</v>
      </c>
      <c r="CC207">
        <v>583.59379999999999</v>
      </c>
      <c r="CD207">
        <v>1</v>
      </c>
      <c r="CE207">
        <v>1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2</v>
      </c>
      <c r="CL207">
        <v>0</v>
      </c>
      <c r="CM207">
        <v>2</v>
      </c>
      <c r="CN207">
        <v>0</v>
      </c>
      <c r="CO207">
        <v>7</v>
      </c>
      <c r="CP207" t="s">
        <v>119</v>
      </c>
      <c r="CQ207">
        <v>145</v>
      </c>
      <c r="CR207">
        <v>1</v>
      </c>
      <c r="CW207">
        <v>8880664</v>
      </c>
      <c r="CY207">
        <v>0</v>
      </c>
      <c r="CZ207">
        <v>0</v>
      </c>
      <c r="DA207">
        <v>1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</row>
    <row r="208" spans="1:113" x14ac:dyDescent="0.3">
      <c r="A208" t="str">
        <f>"02/13/2022 18:36:34.284"</f>
        <v>02/13/2022 18:36:34.284</v>
      </c>
      <c r="C208" t="str">
        <f t="shared" si="24"/>
        <v>FFDFD7C0</v>
      </c>
      <c r="D208" t="s">
        <v>113</v>
      </c>
      <c r="E208">
        <v>3</v>
      </c>
      <c r="F208">
        <v>1003</v>
      </c>
      <c r="G208" t="s">
        <v>114</v>
      </c>
      <c r="J208" t="s">
        <v>115</v>
      </c>
      <c r="K208">
        <v>0</v>
      </c>
      <c r="L208">
        <v>3</v>
      </c>
      <c r="M208">
        <v>0</v>
      </c>
      <c r="N208">
        <v>2</v>
      </c>
      <c r="O208">
        <v>1</v>
      </c>
      <c r="P208">
        <v>0</v>
      </c>
      <c r="Q208">
        <v>0</v>
      </c>
      <c r="S208" t="str">
        <f>"18:36:34.000"</f>
        <v>18:36:34.000</v>
      </c>
      <c r="T208" t="str">
        <f>"18:36:33.800"</f>
        <v>18:36:33.800</v>
      </c>
      <c r="U208" t="str">
        <f t="shared" si="23"/>
        <v>AAB6EE</v>
      </c>
      <c r="V208">
        <v>0</v>
      </c>
      <c r="W208">
        <v>0</v>
      </c>
      <c r="X208">
        <v>4</v>
      </c>
      <c r="Z208">
        <v>0</v>
      </c>
      <c r="AA208">
        <v>8</v>
      </c>
      <c r="AB208">
        <v>3</v>
      </c>
      <c r="AC208">
        <v>0</v>
      </c>
      <c r="AD208">
        <v>10</v>
      </c>
      <c r="AE208">
        <v>0</v>
      </c>
      <c r="AF208">
        <v>0</v>
      </c>
      <c r="AG208">
        <v>1</v>
      </c>
      <c r="AH208">
        <v>1</v>
      </c>
      <c r="AI208" t="s">
        <v>259</v>
      </c>
      <c r="AJ208">
        <v>35.528540999999997</v>
      </c>
      <c r="AK208" t="s">
        <v>260</v>
      </c>
      <c r="AL208">
        <v>-76.027966000000006</v>
      </c>
      <c r="AM208">
        <v>25</v>
      </c>
      <c r="AN208">
        <v>3425</v>
      </c>
      <c r="AO208" t="s">
        <v>118</v>
      </c>
      <c r="AP208">
        <v>-68</v>
      </c>
      <c r="AQ208">
        <v>-131</v>
      </c>
      <c r="AR208">
        <v>192</v>
      </c>
      <c r="AZ208">
        <v>1200</v>
      </c>
      <c r="BA208">
        <v>1</v>
      </c>
      <c r="BB208" t="str">
        <f t="shared" si="25"/>
        <v xml:space="preserve">N79NX   </v>
      </c>
      <c r="BC208">
        <v>1</v>
      </c>
      <c r="BE208">
        <v>0</v>
      </c>
      <c r="BF208">
        <v>0</v>
      </c>
      <c r="BG208">
        <v>0</v>
      </c>
      <c r="BH208">
        <v>3275</v>
      </c>
      <c r="BI208">
        <v>0</v>
      </c>
      <c r="BJ208">
        <v>0</v>
      </c>
      <c r="BK208">
        <v>0</v>
      </c>
      <c r="BL208">
        <v>0</v>
      </c>
      <c r="BO208">
        <v>0</v>
      </c>
      <c r="BP208">
        <v>0</v>
      </c>
      <c r="BW208" t="str">
        <f>"18:36:34.000"</f>
        <v>18:36:34.000</v>
      </c>
      <c r="BZ208">
        <v>0</v>
      </c>
      <c r="CA208">
        <v>3488</v>
      </c>
      <c r="CB208">
        <v>216</v>
      </c>
      <c r="CC208">
        <v>583.59379999999999</v>
      </c>
      <c r="CD208">
        <v>1</v>
      </c>
      <c r="CE208">
        <v>1</v>
      </c>
      <c r="CF208">
        <v>0</v>
      </c>
      <c r="CG208">
        <v>1</v>
      </c>
      <c r="CH208">
        <v>0</v>
      </c>
      <c r="CI208">
        <v>0</v>
      </c>
      <c r="CJ208">
        <v>0</v>
      </c>
      <c r="CK208">
        <v>2</v>
      </c>
      <c r="CL208">
        <v>0</v>
      </c>
      <c r="CM208">
        <v>2</v>
      </c>
      <c r="CN208">
        <v>0</v>
      </c>
      <c r="CO208">
        <v>7</v>
      </c>
      <c r="CP208" t="s">
        <v>119</v>
      </c>
      <c r="CQ208">
        <v>145</v>
      </c>
      <c r="CR208">
        <v>1</v>
      </c>
      <c r="CW208">
        <v>8881084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</row>
    <row r="209" spans="1:113" x14ac:dyDescent="0.3">
      <c r="A209" t="str">
        <f>"02/13/2022 18:36:34.284"</f>
        <v>02/13/2022 18:36:34.284</v>
      </c>
      <c r="C209" t="str">
        <f t="shared" si="24"/>
        <v>FFDFD7C0</v>
      </c>
      <c r="D209" t="s">
        <v>113</v>
      </c>
      <c r="E209">
        <v>4</v>
      </c>
      <c r="F209">
        <v>1004</v>
      </c>
      <c r="G209" t="s">
        <v>120</v>
      </c>
      <c r="J209" t="s">
        <v>115</v>
      </c>
      <c r="K209">
        <v>0</v>
      </c>
      <c r="L209">
        <v>3</v>
      </c>
      <c r="M209">
        <v>0</v>
      </c>
      <c r="N209">
        <v>2</v>
      </c>
      <c r="O209">
        <v>1</v>
      </c>
      <c r="P209">
        <v>0</v>
      </c>
      <c r="Q209">
        <v>0</v>
      </c>
      <c r="S209" t="str">
        <f>"18:36:34.000"</f>
        <v>18:36:34.000</v>
      </c>
      <c r="T209" t="str">
        <f>"18:36:33.800"</f>
        <v>18:36:33.800</v>
      </c>
      <c r="U209" t="str">
        <f t="shared" si="23"/>
        <v>AAB6EE</v>
      </c>
      <c r="V209">
        <v>0</v>
      </c>
      <c r="W209">
        <v>0</v>
      </c>
      <c r="X209">
        <v>4</v>
      </c>
      <c r="Z209">
        <v>0</v>
      </c>
      <c r="AA209">
        <v>8</v>
      </c>
      <c r="AB209">
        <v>3</v>
      </c>
      <c r="AC209">
        <v>0</v>
      </c>
      <c r="AD209">
        <v>10</v>
      </c>
      <c r="AE209">
        <v>0</v>
      </c>
      <c r="AF209">
        <v>0</v>
      </c>
      <c r="AG209">
        <v>1</v>
      </c>
      <c r="AH209">
        <v>1</v>
      </c>
      <c r="AI209" t="s">
        <v>259</v>
      </c>
      <c r="AJ209">
        <v>35.528540999999997</v>
      </c>
      <c r="AK209" t="s">
        <v>260</v>
      </c>
      <c r="AL209">
        <v>-76.027966000000006</v>
      </c>
      <c r="AM209">
        <v>25</v>
      </c>
      <c r="AN209">
        <v>3425</v>
      </c>
      <c r="AO209" t="s">
        <v>118</v>
      </c>
      <c r="AP209">
        <v>-68</v>
      </c>
      <c r="AQ209">
        <v>-131</v>
      </c>
      <c r="AR209">
        <v>192</v>
      </c>
      <c r="AZ209">
        <v>1200</v>
      </c>
      <c r="BA209">
        <v>1</v>
      </c>
      <c r="BB209" t="str">
        <f t="shared" si="25"/>
        <v xml:space="preserve">N79NX   </v>
      </c>
      <c r="BC209">
        <v>1</v>
      </c>
      <c r="BE209">
        <v>0</v>
      </c>
      <c r="BF209">
        <v>0</v>
      </c>
      <c r="BG209">
        <v>0</v>
      </c>
      <c r="BH209">
        <v>3275</v>
      </c>
      <c r="BI209">
        <v>0</v>
      </c>
      <c r="BJ209">
        <v>0</v>
      </c>
      <c r="BK209">
        <v>0</v>
      </c>
      <c r="BL209">
        <v>0</v>
      </c>
      <c r="BO209">
        <v>0</v>
      </c>
      <c r="BP209">
        <v>0</v>
      </c>
      <c r="BW209" t="str">
        <f>"18:36:34.000"</f>
        <v>18:36:34.000</v>
      </c>
      <c r="BZ209">
        <v>0</v>
      </c>
      <c r="CA209">
        <v>3488</v>
      </c>
      <c r="CB209">
        <v>216</v>
      </c>
      <c r="CC209">
        <v>583.59379999999999</v>
      </c>
      <c r="CD209">
        <v>1</v>
      </c>
      <c r="CE209">
        <v>1</v>
      </c>
      <c r="CF209">
        <v>0</v>
      </c>
      <c r="CG209">
        <v>1</v>
      </c>
      <c r="CH209">
        <v>0</v>
      </c>
      <c r="CI209">
        <v>0</v>
      </c>
      <c r="CJ209">
        <v>0</v>
      </c>
      <c r="CK209">
        <v>2</v>
      </c>
      <c r="CL209">
        <v>0</v>
      </c>
      <c r="CM209">
        <v>2</v>
      </c>
      <c r="CN209">
        <v>0</v>
      </c>
      <c r="CO209">
        <v>7</v>
      </c>
      <c r="CP209" t="s">
        <v>119</v>
      </c>
      <c r="CQ209">
        <v>145</v>
      </c>
      <c r="CR209">
        <v>1</v>
      </c>
      <c r="CW209">
        <v>8881084</v>
      </c>
      <c r="CY209">
        <v>0</v>
      </c>
      <c r="CZ209">
        <v>0</v>
      </c>
      <c r="DA209">
        <v>1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</row>
    <row r="210" spans="1:113" x14ac:dyDescent="0.3">
      <c r="A210" t="str">
        <f>"02/13/2022 18:36:34.315"</f>
        <v>02/13/2022 18:36:34.315</v>
      </c>
      <c r="C210" t="str">
        <f t="shared" si="24"/>
        <v>FFDFD7C0</v>
      </c>
      <c r="D210" t="s">
        <v>121</v>
      </c>
      <c r="E210">
        <v>2</v>
      </c>
      <c r="H210">
        <v>158</v>
      </c>
      <c r="I210" t="s">
        <v>120</v>
      </c>
      <c r="J210" t="s">
        <v>122</v>
      </c>
      <c r="K210">
        <v>0</v>
      </c>
      <c r="L210">
        <v>3</v>
      </c>
      <c r="M210">
        <v>0</v>
      </c>
      <c r="N210">
        <v>2</v>
      </c>
      <c r="O210">
        <v>1</v>
      </c>
      <c r="P210">
        <v>0</v>
      </c>
      <c r="Q210">
        <v>0</v>
      </c>
      <c r="S210" t="str">
        <f>"18:36:34.000"</f>
        <v>18:36:34.000</v>
      </c>
      <c r="T210" t="str">
        <f>"18:36:33.800"</f>
        <v>18:36:33.800</v>
      </c>
      <c r="U210" t="str">
        <f t="shared" si="23"/>
        <v>AAB6EE</v>
      </c>
      <c r="V210">
        <v>0</v>
      </c>
      <c r="W210">
        <v>0</v>
      </c>
      <c r="X210">
        <v>4</v>
      </c>
      <c r="Z210">
        <v>0</v>
      </c>
      <c r="AA210">
        <v>8</v>
      </c>
      <c r="AB210">
        <v>3</v>
      </c>
      <c r="AC210">
        <v>0</v>
      </c>
      <c r="AD210">
        <v>10</v>
      </c>
      <c r="AE210">
        <v>0</v>
      </c>
      <c r="AF210">
        <v>0</v>
      </c>
      <c r="AG210">
        <v>1</v>
      </c>
      <c r="AH210">
        <v>1</v>
      </c>
      <c r="AI210" t="s">
        <v>259</v>
      </c>
      <c r="AJ210">
        <v>35.528540999999997</v>
      </c>
      <c r="AK210" t="s">
        <v>260</v>
      </c>
      <c r="AL210">
        <v>-76.027966000000006</v>
      </c>
      <c r="AM210">
        <v>25</v>
      </c>
      <c r="AN210">
        <v>3425</v>
      </c>
      <c r="AO210" t="s">
        <v>118</v>
      </c>
      <c r="AP210">
        <v>-68</v>
      </c>
      <c r="AQ210">
        <v>-131</v>
      </c>
      <c r="AR210">
        <v>192</v>
      </c>
      <c r="AZ210">
        <v>1200</v>
      </c>
      <c r="BA210">
        <v>1</v>
      </c>
      <c r="BB210" t="str">
        <f t="shared" si="25"/>
        <v xml:space="preserve">N79NX   </v>
      </c>
      <c r="BC210">
        <v>1</v>
      </c>
      <c r="BE210">
        <v>0</v>
      </c>
      <c r="BF210">
        <v>0</v>
      </c>
      <c r="BG210">
        <v>0</v>
      </c>
      <c r="BH210">
        <v>3275</v>
      </c>
      <c r="BI210">
        <v>0</v>
      </c>
      <c r="BJ210">
        <v>0</v>
      </c>
      <c r="BK210">
        <v>0</v>
      </c>
      <c r="BL210">
        <v>0</v>
      </c>
      <c r="BO210">
        <v>0</v>
      </c>
      <c r="BP210">
        <v>0</v>
      </c>
      <c r="BW210" t="str">
        <f>"18:36:34.000"</f>
        <v>18:36:34.000</v>
      </c>
      <c r="BZ210">
        <v>0</v>
      </c>
      <c r="CA210">
        <v>3488</v>
      </c>
      <c r="CB210">
        <v>216</v>
      </c>
      <c r="CC210">
        <v>583.59379999999999</v>
      </c>
      <c r="CD210">
        <v>1</v>
      </c>
      <c r="CE210">
        <v>1</v>
      </c>
      <c r="CF210">
        <v>0</v>
      </c>
      <c r="CG210">
        <v>1</v>
      </c>
      <c r="CH210">
        <v>0</v>
      </c>
      <c r="CI210">
        <v>0</v>
      </c>
      <c r="CJ210">
        <v>0</v>
      </c>
      <c r="CK210">
        <v>2</v>
      </c>
      <c r="CL210">
        <v>0</v>
      </c>
      <c r="CM210">
        <v>2</v>
      </c>
      <c r="CN210">
        <v>0</v>
      </c>
      <c r="CO210">
        <v>7</v>
      </c>
      <c r="CP210" t="s">
        <v>119</v>
      </c>
      <c r="CQ210">
        <v>145</v>
      </c>
      <c r="CR210">
        <v>1</v>
      </c>
      <c r="CW210">
        <v>8881084</v>
      </c>
      <c r="CY210">
        <v>0</v>
      </c>
      <c r="CZ210">
        <v>0</v>
      </c>
      <c r="DA210">
        <v>1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</row>
    <row r="211" spans="1:113" x14ac:dyDescent="0.3">
      <c r="A211" t="str">
        <f>"02/13/2022 18:36:35.145"</f>
        <v>02/13/2022 18:36:35.145</v>
      </c>
      <c r="C211" t="str">
        <f t="shared" si="24"/>
        <v>FFDFD7C0</v>
      </c>
      <c r="D211" t="s">
        <v>113</v>
      </c>
      <c r="E211">
        <v>3</v>
      </c>
      <c r="F211">
        <v>1003</v>
      </c>
      <c r="G211" t="s">
        <v>114</v>
      </c>
      <c r="J211" t="s">
        <v>115</v>
      </c>
      <c r="K211">
        <v>0</v>
      </c>
      <c r="L211">
        <v>3</v>
      </c>
      <c r="M211">
        <v>0</v>
      </c>
      <c r="N211">
        <v>2</v>
      </c>
      <c r="O211">
        <v>1</v>
      </c>
      <c r="P211">
        <v>0</v>
      </c>
      <c r="Q211">
        <v>0</v>
      </c>
      <c r="S211" t="str">
        <f>"18:36:34.930"</f>
        <v>18:36:34.930</v>
      </c>
      <c r="T211" t="str">
        <f>"18:36:34.730"</f>
        <v>18:36:34.730</v>
      </c>
      <c r="U211" t="str">
        <f t="shared" si="23"/>
        <v>AAB6EE</v>
      </c>
      <c r="V211">
        <v>0</v>
      </c>
      <c r="W211">
        <v>0</v>
      </c>
      <c r="X211">
        <v>4</v>
      </c>
      <c r="Z211">
        <v>0</v>
      </c>
      <c r="AA211">
        <v>8</v>
      </c>
      <c r="AB211">
        <v>3</v>
      </c>
      <c r="AC211">
        <v>0</v>
      </c>
      <c r="AD211">
        <v>10</v>
      </c>
      <c r="AE211">
        <v>0</v>
      </c>
      <c r="AF211">
        <v>0</v>
      </c>
      <c r="AG211">
        <v>1</v>
      </c>
      <c r="AH211">
        <v>1</v>
      </c>
      <c r="AI211" t="s">
        <v>261</v>
      </c>
      <c r="AJ211">
        <v>35.527960999999998</v>
      </c>
      <c r="AK211" t="s">
        <v>262</v>
      </c>
      <c r="AL211">
        <v>-76.028373000000002</v>
      </c>
      <c r="AM211">
        <v>25</v>
      </c>
      <c r="AN211">
        <v>3425</v>
      </c>
      <c r="AO211" t="s">
        <v>118</v>
      </c>
      <c r="AP211">
        <v>-68</v>
      </c>
      <c r="AQ211">
        <v>-133</v>
      </c>
      <c r="AR211">
        <v>128</v>
      </c>
      <c r="AZ211">
        <v>1200</v>
      </c>
      <c r="BA211">
        <v>1</v>
      </c>
      <c r="BB211" t="str">
        <f t="shared" si="25"/>
        <v xml:space="preserve">N79NX   </v>
      </c>
      <c r="BC211">
        <v>1</v>
      </c>
      <c r="BE211">
        <v>0</v>
      </c>
      <c r="BF211">
        <v>0</v>
      </c>
      <c r="BG211">
        <v>0</v>
      </c>
      <c r="BH211">
        <v>3275</v>
      </c>
      <c r="BI211">
        <v>0</v>
      </c>
      <c r="BJ211">
        <v>0</v>
      </c>
      <c r="BK211">
        <v>0</v>
      </c>
      <c r="BL211">
        <v>0</v>
      </c>
      <c r="BO211">
        <v>0</v>
      </c>
      <c r="BP211">
        <v>0</v>
      </c>
      <c r="BW211" t="str">
        <f>"18:36:34.930"</f>
        <v>18:36:34.930</v>
      </c>
      <c r="BZ211">
        <v>0</v>
      </c>
      <c r="CA211">
        <v>3488</v>
      </c>
      <c r="CB211">
        <v>216</v>
      </c>
      <c r="CC211">
        <v>583.59379999999999</v>
      </c>
      <c r="CD211">
        <v>1</v>
      </c>
      <c r="CE211">
        <v>1</v>
      </c>
      <c r="CF211">
        <v>0</v>
      </c>
      <c r="CG211">
        <v>1</v>
      </c>
      <c r="CH211">
        <v>0</v>
      </c>
      <c r="CI211">
        <v>0</v>
      </c>
      <c r="CJ211">
        <v>0</v>
      </c>
      <c r="CK211">
        <v>2</v>
      </c>
      <c r="CL211">
        <v>0</v>
      </c>
      <c r="CM211">
        <v>2</v>
      </c>
      <c r="CN211">
        <v>0</v>
      </c>
      <c r="CO211">
        <v>7</v>
      </c>
      <c r="CP211" t="s">
        <v>119</v>
      </c>
      <c r="CQ211">
        <v>145</v>
      </c>
      <c r="CR211">
        <v>1</v>
      </c>
      <c r="CW211">
        <v>8881544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</row>
    <row r="212" spans="1:113" x14ac:dyDescent="0.3">
      <c r="A212" t="str">
        <f>"02/13/2022 18:36:35.145"</f>
        <v>02/13/2022 18:36:35.145</v>
      </c>
      <c r="C212" t="str">
        <f t="shared" si="24"/>
        <v>FFDFD7C0</v>
      </c>
      <c r="D212" t="s">
        <v>113</v>
      </c>
      <c r="E212">
        <v>4</v>
      </c>
      <c r="F212">
        <v>1004</v>
      </c>
      <c r="G212" t="s">
        <v>120</v>
      </c>
      <c r="J212" t="s">
        <v>115</v>
      </c>
      <c r="K212">
        <v>0</v>
      </c>
      <c r="L212">
        <v>3</v>
      </c>
      <c r="M212">
        <v>0</v>
      </c>
      <c r="N212">
        <v>2</v>
      </c>
      <c r="O212">
        <v>1</v>
      </c>
      <c r="P212">
        <v>0</v>
      </c>
      <c r="Q212">
        <v>0</v>
      </c>
      <c r="S212" t="str">
        <f>"18:36:34.930"</f>
        <v>18:36:34.930</v>
      </c>
      <c r="T212" t="str">
        <f>"18:36:34.730"</f>
        <v>18:36:34.730</v>
      </c>
      <c r="U212" t="str">
        <f t="shared" si="23"/>
        <v>AAB6EE</v>
      </c>
      <c r="V212">
        <v>0</v>
      </c>
      <c r="W212">
        <v>0</v>
      </c>
      <c r="X212">
        <v>4</v>
      </c>
      <c r="Z212">
        <v>0</v>
      </c>
      <c r="AA212">
        <v>8</v>
      </c>
      <c r="AB212">
        <v>3</v>
      </c>
      <c r="AC212">
        <v>0</v>
      </c>
      <c r="AD212">
        <v>10</v>
      </c>
      <c r="AE212">
        <v>0</v>
      </c>
      <c r="AF212">
        <v>0</v>
      </c>
      <c r="AG212">
        <v>1</v>
      </c>
      <c r="AH212">
        <v>1</v>
      </c>
      <c r="AI212" t="s">
        <v>261</v>
      </c>
      <c r="AJ212">
        <v>35.527960999999998</v>
      </c>
      <c r="AK212" t="s">
        <v>262</v>
      </c>
      <c r="AL212">
        <v>-76.028373000000002</v>
      </c>
      <c r="AM212">
        <v>25</v>
      </c>
      <c r="AN212">
        <v>3425</v>
      </c>
      <c r="AO212" t="s">
        <v>118</v>
      </c>
      <c r="AP212">
        <v>-68</v>
      </c>
      <c r="AQ212">
        <v>-133</v>
      </c>
      <c r="AR212">
        <v>128</v>
      </c>
      <c r="AZ212">
        <v>1200</v>
      </c>
      <c r="BA212">
        <v>1</v>
      </c>
      <c r="BB212" t="str">
        <f t="shared" si="25"/>
        <v xml:space="preserve">N79NX   </v>
      </c>
      <c r="BC212">
        <v>1</v>
      </c>
      <c r="BE212">
        <v>0</v>
      </c>
      <c r="BF212">
        <v>0</v>
      </c>
      <c r="BG212">
        <v>0</v>
      </c>
      <c r="BH212">
        <v>3275</v>
      </c>
      <c r="BI212">
        <v>0</v>
      </c>
      <c r="BJ212">
        <v>0</v>
      </c>
      <c r="BK212">
        <v>0</v>
      </c>
      <c r="BL212">
        <v>0</v>
      </c>
      <c r="BO212">
        <v>0</v>
      </c>
      <c r="BP212">
        <v>0</v>
      </c>
      <c r="BW212" t="str">
        <f>"18:36:34.930"</f>
        <v>18:36:34.930</v>
      </c>
      <c r="BZ212">
        <v>0</v>
      </c>
      <c r="CA212">
        <v>3488</v>
      </c>
      <c r="CB212">
        <v>216</v>
      </c>
      <c r="CC212">
        <v>583.59379999999999</v>
      </c>
      <c r="CD212">
        <v>1</v>
      </c>
      <c r="CE212">
        <v>1</v>
      </c>
      <c r="CF212">
        <v>0</v>
      </c>
      <c r="CG212">
        <v>1</v>
      </c>
      <c r="CH212">
        <v>0</v>
      </c>
      <c r="CI212">
        <v>0</v>
      </c>
      <c r="CJ212">
        <v>0</v>
      </c>
      <c r="CK212">
        <v>2</v>
      </c>
      <c r="CL212">
        <v>0</v>
      </c>
      <c r="CM212">
        <v>2</v>
      </c>
      <c r="CN212">
        <v>0</v>
      </c>
      <c r="CO212">
        <v>7</v>
      </c>
      <c r="CP212" t="s">
        <v>119</v>
      </c>
      <c r="CQ212">
        <v>145</v>
      </c>
      <c r="CR212">
        <v>1</v>
      </c>
      <c r="CW212">
        <v>8881544</v>
      </c>
      <c r="CY212">
        <v>0</v>
      </c>
      <c r="CZ212">
        <v>0</v>
      </c>
      <c r="DA212">
        <v>1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</row>
    <row r="213" spans="1:113" x14ac:dyDescent="0.3">
      <c r="A213" t="str">
        <f>"02/13/2022 18:36:35.239"</f>
        <v>02/13/2022 18:36:35.239</v>
      </c>
      <c r="C213" t="str">
        <f t="shared" si="24"/>
        <v>FFDFD7C0</v>
      </c>
      <c r="D213" t="s">
        <v>121</v>
      </c>
      <c r="E213">
        <v>2</v>
      </c>
      <c r="H213">
        <v>158</v>
      </c>
      <c r="I213" t="s">
        <v>120</v>
      </c>
      <c r="J213" t="s">
        <v>122</v>
      </c>
      <c r="K213">
        <v>0</v>
      </c>
      <c r="L213">
        <v>3</v>
      </c>
      <c r="M213">
        <v>0</v>
      </c>
      <c r="N213">
        <v>2</v>
      </c>
      <c r="O213">
        <v>1</v>
      </c>
      <c r="P213">
        <v>0</v>
      </c>
      <c r="Q213">
        <v>0</v>
      </c>
      <c r="S213" t="str">
        <f>"18:36:34.930"</f>
        <v>18:36:34.930</v>
      </c>
      <c r="T213" t="str">
        <f>"18:36:34.730"</f>
        <v>18:36:34.730</v>
      </c>
      <c r="U213" t="str">
        <f t="shared" si="23"/>
        <v>AAB6EE</v>
      </c>
      <c r="V213">
        <v>0</v>
      </c>
      <c r="W213">
        <v>0</v>
      </c>
      <c r="X213">
        <v>4</v>
      </c>
      <c r="Z213">
        <v>0</v>
      </c>
      <c r="AA213">
        <v>8</v>
      </c>
      <c r="AB213">
        <v>3</v>
      </c>
      <c r="AC213">
        <v>0</v>
      </c>
      <c r="AD213">
        <v>10</v>
      </c>
      <c r="AE213">
        <v>0</v>
      </c>
      <c r="AF213">
        <v>0</v>
      </c>
      <c r="AG213">
        <v>1</v>
      </c>
      <c r="AH213">
        <v>1</v>
      </c>
      <c r="AI213" t="s">
        <v>261</v>
      </c>
      <c r="AJ213">
        <v>35.527960999999998</v>
      </c>
      <c r="AK213" t="s">
        <v>262</v>
      </c>
      <c r="AL213">
        <v>-76.028373000000002</v>
      </c>
      <c r="AM213">
        <v>25</v>
      </c>
      <c r="AN213">
        <v>3425</v>
      </c>
      <c r="AO213" t="s">
        <v>118</v>
      </c>
      <c r="AP213">
        <v>-68</v>
      </c>
      <c r="AQ213">
        <v>-133</v>
      </c>
      <c r="AR213">
        <v>128</v>
      </c>
      <c r="AZ213">
        <v>1200</v>
      </c>
      <c r="BA213">
        <v>1</v>
      </c>
      <c r="BB213" t="str">
        <f t="shared" si="25"/>
        <v xml:space="preserve">N79NX   </v>
      </c>
      <c r="BC213">
        <v>1</v>
      </c>
      <c r="BE213">
        <v>0</v>
      </c>
      <c r="BF213">
        <v>0</v>
      </c>
      <c r="BG213">
        <v>0</v>
      </c>
      <c r="BH213">
        <v>3275</v>
      </c>
      <c r="BI213">
        <v>0</v>
      </c>
      <c r="BJ213">
        <v>0</v>
      </c>
      <c r="BK213">
        <v>0</v>
      </c>
      <c r="BL213">
        <v>0</v>
      </c>
      <c r="BO213">
        <v>0</v>
      </c>
      <c r="BP213">
        <v>0</v>
      </c>
      <c r="BW213" t="str">
        <f>"18:36:34.930"</f>
        <v>18:36:34.930</v>
      </c>
      <c r="BZ213">
        <v>0</v>
      </c>
      <c r="CA213">
        <v>3488</v>
      </c>
      <c r="CB213">
        <v>216</v>
      </c>
      <c r="CC213">
        <v>583.59379999999999</v>
      </c>
      <c r="CD213">
        <v>1</v>
      </c>
      <c r="CE213">
        <v>1</v>
      </c>
      <c r="CF213">
        <v>0</v>
      </c>
      <c r="CG213">
        <v>1</v>
      </c>
      <c r="CH213">
        <v>0</v>
      </c>
      <c r="CI213">
        <v>0</v>
      </c>
      <c r="CJ213">
        <v>0</v>
      </c>
      <c r="CK213">
        <v>2</v>
      </c>
      <c r="CL213">
        <v>0</v>
      </c>
      <c r="CM213">
        <v>2</v>
      </c>
      <c r="CN213">
        <v>0</v>
      </c>
      <c r="CO213">
        <v>7</v>
      </c>
      <c r="CP213" t="s">
        <v>119</v>
      </c>
      <c r="CQ213">
        <v>145</v>
      </c>
      <c r="CR213">
        <v>1</v>
      </c>
      <c r="CW213">
        <v>8881544</v>
      </c>
      <c r="CY213">
        <v>0</v>
      </c>
      <c r="CZ213">
        <v>0</v>
      </c>
      <c r="DA213">
        <v>1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</row>
    <row r="214" spans="1:113" x14ac:dyDescent="0.3">
      <c r="A214" t="str">
        <f>"02/13/2022 18:36:36.006"</f>
        <v>02/13/2022 18:36:36.006</v>
      </c>
      <c r="C214" t="str">
        <f t="shared" si="24"/>
        <v>FFDFD7C0</v>
      </c>
      <c r="D214" t="s">
        <v>113</v>
      </c>
      <c r="E214">
        <v>3</v>
      </c>
      <c r="F214">
        <v>1003</v>
      </c>
      <c r="G214" t="s">
        <v>114</v>
      </c>
      <c r="J214" t="s">
        <v>115</v>
      </c>
      <c r="K214">
        <v>0</v>
      </c>
      <c r="L214">
        <v>3</v>
      </c>
      <c r="M214">
        <v>0</v>
      </c>
      <c r="N214">
        <v>2</v>
      </c>
      <c r="O214">
        <v>1</v>
      </c>
      <c r="P214">
        <v>0</v>
      </c>
      <c r="Q214">
        <v>0</v>
      </c>
      <c r="S214" t="str">
        <f>"18:36:35.836"</f>
        <v>18:36:35.836</v>
      </c>
      <c r="T214" t="str">
        <f>"18:36:35.736"</f>
        <v>18:36:35.736</v>
      </c>
      <c r="U214" t="str">
        <f t="shared" si="23"/>
        <v>AAB6EE</v>
      </c>
      <c r="V214">
        <v>0</v>
      </c>
      <c r="W214">
        <v>0</v>
      </c>
      <c r="X214">
        <v>4</v>
      </c>
      <c r="Z214">
        <v>0</v>
      </c>
      <c r="AA214">
        <v>8</v>
      </c>
      <c r="AB214">
        <v>3</v>
      </c>
      <c r="AC214">
        <v>0</v>
      </c>
      <c r="AD214">
        <v>10</v>
      </c>
      <c r="AE214">
        <v>0</v>
      </c>
      <c r="AF214">
        <v>0</v>
      </c>
      <c r="AG214">
        <v>1</v>
      </c>
      <c r="AH214">
        <v>1</v>
      </c>
      <c r="AI214" t="s">
        <v>263</v>
      </c>
      <c r="AJ214">
        <v>35.527360000000002</v>
      </c>
      <c r="AK214" t="s">
        <v>264</v>
      </c>
      <c r="AL214">
        <v>-76.028717</v>
      </c>
      <c r="AM214">
        <v>25</v>
      </c>
      <c r="AN214">
        <v>3425</v>
      </c>
      <c r="AO214" t="s">
        <v>118</v>
      </c>
      <c r="AP214">
        <v>-69</v>
      </c>
      <c r="AQ214">
        <v>-135</v>
      </c>
      <c r="AR214">
        <v>128</v>
      </c>
      <c r="AZ214">
        <v>1200</v>
      </c>
      <c r="BA214">
        <v>1</v>
      </c>
      <c r="BB214" t="str">
        <f t="shared" si="25"/>
        <v xml:space="preserve">N79NX   </v>
      </c>
      <c r="BC214">
        <v>1</v>
      </c>
      <c r="BE214">
        <v>0</v>
      </c>
      <c r="BF214">
        <v>0</v>
      </c>
      <c r="BG214">
        <v>0</v>
      </c>
      <c r="BH214">
        <v>3275</v>
      </c>
      <c r="BI214">
        <v>0</v>
      </c>
      <c r="BJ214">
        <v>0</v>
      </c>
      <c r="BK214">
        <v>0</v>
      </c>
      <c r="BL214">
        <v>0</v>
      </c>
      <c r="BO214">
        <v>0</v>
      </c>
      <c r="BP214">
        <v>0</v>
      </c>
      <c r="BW214" t="str">
        <f>"18:36:35.840"</f>
        <v>18:36:35.840</v>
      </c>
      <c r="BZ214">
        <v>0</v>
      </c>
      <c r="CA214">
        <v>3488</v>
      </c>
      <c r="CB214">
        <v>216</v>
      </c>
      <c r="CC214">
        <v>583.59379999999999</v>
      </c>
      <c r="CD214">
        <v>1</v>
      </c>
      <c r="CE214">
        <v>1</v>
      </c>
      <c r="CF214">
        <v>0</v>
      </c>
      <c r="CG214">
        <v>1</v>
      </c>
      <c r="CH214">
        <v>0</v>
      </c>
      <c r="CI214">
        <v>0</v>
      </c>
      <c r="CJ214">
        <v>0</v>
      </c>
      <c r="CK214">
        <v>2</v>
      </c>
      <c r="CL214">
        <v>0</v>
      </c>
      <c r="CM214">
        <v>2</v>
      </c>
      <c r="CN214">
        <v>0</v>
      </c>
      <c r="CO214">
        <v>7</v>
      </c>
      <c r="CP214" t="s">
        <v>119</v>
      </c>
      <c r="CQ214">
        <v>145</v>
      </c>
      <c r="CR214">
        <v>1</v>
      </c>
      <c r="CW214">
        <v>8881945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</row>
    <row r="215" spans="1:113" x14ac:dyDescent="0.3">
      <c r="A215" t="str">
        <f>"02/13/2022 18:36:36.006"</f>
        <v>02/13/2022 18:36:36.006</v>
      </c>
      <c r="C215" t="str">
        <f t="shared" si="24"/>
        <v>FFDFD7C0</v>
      </c>
      <c r="D215" t="s">
        <v>113</v>
      </c>
      <c r="E215">
        <v>4</v>
      </c>
      <c r="F215">
        <v>1004</v>
      </c>
      <c r="G215" t="s">
        <v>120</v>
      </c>
      <c r="J215" t="s">
        <v>115</v>
      </c>
      <c r="K215">
        <v>0</v>
      </c>
      <c r="L215">
        <v>3</v>
      </c>
      <c r="M215">
        <v>0</v>
      </c>
      <c r="N215">
        <v>2</v>
      </c>
      <c r="O215">
        <v>1</v>
      </c>
      <c r="P215">
        <v>0</v>
      </c>
      <c r="Q215">
        <v>0</v>
      </c>
      <c r="S215" t="str">
        <f>"18:36:35.836"</f>
        <v>18:36:35.836</v>
      </c>
      <c r="T215" t="str">
        <f>"18:36:35.736"</f>
        <v>18:36:35.736</v>
      </c>
      <c r="U215" t="str">
        <f t="shared" si="23"/>
        <v>AAB6EE</v>
      </c>
      <c r="V215">
        <v>0</v>
      </c>
      <c r="W215">
        <v>0</v>
      </c>
      <c r="X215">
        <v>4</v>
      </c>
      <c r="Z215">
        <v>0</v>
      </c>
      <c r="AA215">
        <v>8</v>
      </c>
      <c r="AB215">
        <v>3</v>
      </c>
      <c r="AC215">
        <v>0</v>
      </c>
      <c r="AD215">
        <v>10</v>
      </c>
      <c r="AE215">
        <v>0</v>
      </c>
      <c r="AF215">
        <v>0</v>
      </c>
      <c r="AG215">
        <v>1</v>
      </c>
      <c r="AH215">
        <v>1</v>
      </c>
      <c r="AI215" t="s">
        <v>263</v>
      </c>
      <c r="AJ215">
        <v>35.527360000000002</v>
      </c>
      <c r="AK215" t="s">
        <v>264</v>
      </c>
      <c r="AL215">
        <v>-76.028717</v>
      </c>
      <c r="AM215">
        <v>25</v>
      </c>
      <c r="AN215">
        <v>3425</v>
      </c>
      <c r="AO215" t="s">
        <v>118</v>
      </c>
      <c r="AP215">
        <v>-69</v>
      </c>
      <c r="AQ215">
        <v>-135</v>
      </c>
      <c r="AR215">
        <v>128</v>
      </c>
      <c r="AZ215">
        <v>1200</v>
      </c>
      <c r="BA215">
        <v>1</v>
      </c>
      <c r="BB215" t="str">
        <f t="shared" si="25"/>
        <v xml:space="preserve">N79NX   </v>
      </c>
      <c r="BC215">
        <v>1</v>
      </c>
      <c r="BE215">
        <v>0</v>
      </c>
      <c r="BF215">
        <v>0</v>
      </c>
      <c r="BG215">
        <v>0</v>
      </c>
      <c r="BH215">
        <v>3275</v>
      </c>
      <c r="BI215">
        <v>0</v>
      </c>
      <c r="BJ215">
        <v>0</v>
      </c>
      <c r="BK215">
        <v>0</v>
      </c>
      <c r="BL215">
        <v>0</v>
      </c>
      <c r="BO215">
        <v>0</v>
      </c>
      <c r="BP215">
        <v>0</v>
      </c>
      <c r="BW215" t="str">
        <f>"18:36:35.840"</f>
        <v>18:36:35.840</v>
      </c>
      <c r="BZ215">
        <v>0</v>
      </c>
      <c r="CA215">
        <v>3488</v>
      </c>
      <c r="CB215">
        <v>216</v>
      </c>
      <c r="CC215">
        <v>583.59379999999999</v>
      </c>
      <c r="CD215">
        <v>1</v>
      </c>
      <c r="CE215">
        <v>1</v>
      </c>
      <c r="CF215">
        <v>0</v>
      </c>
      <c r="CG215">
        <v>1</v>
      </c>
      <c r="CH215">
        <v>0</v>
      </c>
      <c r="CI215">
        <v>0</v>
      </c>
      <c r="CJ215">
        <v>0</v>
      </c>
      <c r="CK215">
        <v>2</v>
      </c>
      <c r="CL215">
        <v>0</v>
      </c>
      <c r="CM215">
        <v>2</v>
      </c>
      <c r="CN215">
        <v>0</v>
      </c>
      <c r="CO215">
        <v>7</v>
      </c>
      <c r="CP215" t="s">
        <v>119</v>
      </c>
      <c r="CQ215">
        <v>145</v>
      </c>
      <c r="CR215">
        <v>1</v>
      </c>
      <c r="CW215">
        <v>8881945</v>
      </c>
      <c r="CY215">
        <v>0</v>
      </c>
      <c r="CZ215">
        <v>0</v>
      </c>
      <c r="DA215">
        <v>1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</row>
    <row r="216" spans="1:113" x14ac:dyDescent="0.3">
      <c r="A216" t="str">
        <f>"02/13/2022 18:36:36.006"</f>
        <v>02/13/2022 18:36:36.006</v>
      </c>
      <c r="C216" t="str">
        <f t="shared" si="24"/>
        <v>FFDFD7C0</v>
      </c>
      <c r="D216" t="s">
        <v>121</v>
      </c>
      <c r="E216">
        <v>2</v>
      </c>
      <c r="H216">
        <v>158</v>
      </c>
      <c r="I216" t="s">
        <v>120</v>
      </c>
      <c r="J216" t="s">
        <v>122</v>
      </c>
      <c r="K216">
        <v>0</v>
      </c>
      <c r="L216">
        <v>3</v>
      </c>
      <c r="M216">
        <v>0</v>
      </c>
      <c r="N216">
        <v>2</v>
      </c>
      <c r="O216">
        <v>1</v>
      </c>
      <c r="P216">
        <v>0</v>
      </c>
      <c r="Q216">
        <v>0</v>
      </c>
      <c r="S216" t="str">
        <f>"18:36:35.836"</f>
        <v>18:36:35.836</v>
      </c>
      <c r="T216" t="str">
        <f>"18:36:35.736"</f>
        <v>18:36:35.736</v>
      </c>
      <c r="U216" t="str">
        <f t="shared" si="23"/>
        <v>AAB6EE</v>
      </c>
      <c r="V216">
        <v>0</v>
      </c>
      <c r="W216">
        <v>0</v>
      </c>
      <c r="X216">
        <v>4</v>
      </c>
      <c r="Z216">
        <v>0</v>
      </c>
      <c r="AA216">
        <v>8</v>
      </c>
      <c r="AB216">
        <v>3</v>
      </c>
      <c r="AC216">
        <v>0</v>
      </c>
      <c r="AD216">
        <v>10</v>
      </c>
      <c r="AE216">
        <v>0</v>
      </c>
      <c r="AF216">
        <v>0</v>
      </c>
      <c r="AG216">
        <v>1</v>
      </c>
      <c r="AH216">
        <v>1</v>
      </c>
      <c r="AI216" t="s">
        <v>263</v>
      </c>
      <c r="AJ216">
        <v>35.527360000000002</v>
      </c>
      <c r="AK216" t="s">
        <v>264</v>
      </c>
      <c r="AL216">
        <v>-76.028717</v>
      </c>
      <c r="AM216">
        <v>25</v>
      </c>
      <c r="AN216">
        <v>3425</v>
      </c>
      <c r="AO216" t="s">
        <v>118</v>
      </c>
      <c r="AP216">
        <v>-69</v>
      </c>
      <c r="AQ216">
        <v>-135</v>
      </c>
      <c r="AR216">
        <v>128</v>
      </c>
      <c r="AZ216">
        <v>1200</v>
      </c>
      <c r="BA216">
        <v>1</v>
      </c>
      <c r="BB216" t="str">
        <f t="shared" si="25"/>
        <v xml:space="preserve">N79NX   </v>
      </c>
      <c r="BC216">
        <v>1</v>
      </c>
      <c r="BE216">
        <v>0</v>
      </c>
      <c r="BF216">
        <v>0</v>
      </c>
      <c r="BG216">
        <v>0</v>
      </c>
      <c r="BH216">
        <v>3275</v>
      </c>
      <c r="BI216">
        <v>0</v>
      </c>
      <c r="BJ216">
        <v>0</v>
      </c>
      <c r="BK216">
        <v>0</v>
      </c>
      <c r="BL216">
        <v>0</v>
      </c>
      <c r="BO216">
        <v>0</v>
      </c>
      <c r="BP216">
        <v>0</v>
      </c>
      <c r="BW216" t="str">
        <f>"18:36:35.840"</f>
        <v>18:36:35.840</v>
      </c>
      <c r="BZ216">
        <v>0</v>
      </c>
      <c r="CA216">
        <v>3488</v>
      </c>
      <c r="CB216">
        <v>216</v>
      </c>
      <c r="CC216">
        <v>583.59379999999999</v>
      </c>
      <c r="CD216">
        <v>1</v>
      </c>
      <c r="CE216">
        <v>1</v>
      </c>
      <c r="CF216">
        <v>0</v>
      </c>
      <c r="CG216">
        <v>1</v>
      </c>
      <c r="CH216">
        <v>0</v>
      </c>
      <c r="CI216">
        <v>0</v>
      </c>
      <c r="CJ216">
        <v>0</v>
      </c>
      <c r="CK216">
        <v>2</v>
      </c>
      <c r="CL216">
        <v>0</v>
      </c>
      <c r="CM216">
        <v>2</v>
      </c>
      <c r="CN216">
        <v>0</v>
      </c>
      <c r="CO216">
        <v>7</v>
      </c>
      <c r="CP216" t="s">
        <v>119</v>
      </c>
      <c r="CQ216">
        <v>145</v>
      </c>
      <c r="CR216">
        <v>1</v>
      </c>
      <c r="CW216">
        <v>8881945</v>
      </c>
      <c r="CY216">
        <v>0</v>
      </c>
      <c r="CZ216">
        <v>0</v>
      </c>
      <c r="DA216">
        <v>1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</row>
    <row r="217" spans="1:113" x14ac:dyDescent="0.3">
      <c r="A217" t="str">
        <f>"02/13/2022 18:36:37.162"</f>
        <v>02/13/2022 18:36:37.162</v>
      </c>
      <c r="C217" t="str">
        <f t="shared" si="24"/>
        <v>FFDFD7C0</v>
      </c>
      <c r="D217" t="s">
        <v>113</v>
      </c>
      <c r="E217">
        <v>4</v>
      </c>
      <c r="F217">
        <v>1004</v>
      </c>
      <c r="G217" t="s">
        <v>120</v>
      </c>
      <c r="J217" t="s">
        <v>115</v>
      </c>
      <c r="K217">
        <v>0</v>
      </c>
      <c r="L217">
        <v>3</v>
      </c>
      <c r="M217">
        <v>0</v>
      </c>
      <c r="N217">
        <v>2</v>
      </c>
      <c r="O217">
        <v>1</v>
      </c>
      <c r="P217">
        <v>0</v>
      </c>
      <c r="Q217">
        <v>0</v>
      </c>
      <c r="S217" t="str">
        <f>"18:36:36.984"</f>
        <v>18:36:36.984</v>
      </c>
      <c r="T217" t="str">
        <f>"18:36:36.584"</f>
        <v>18:36:36.584</v>
      </c>
      <c r="U217" t="str">
        <f t="shared" si="23"/>
        <v>AAB6EE</v>
      </c>
      <c r="V217">
        <v>0</v>
      </c>
      <c r="W217">
        <v>0</v>
      </c>
      <c r="X217">
        <v>4</v>
      </c>
      <c r="Z217">
        <v>0</v>
      </c>
      <c r="AA217">
        <v>8</v>
      </c>
      <c r="AB217">
        <v>3</v>
      </c>
      <c r="AC217">
        <v>0</v>
      </c>
      <c r="AD217">
        <v>10</v>
      </c>
      <c r="AE217">
        <v>0</v>
      </c>
      <c r="AF217">
        <v>0</v>
      </c>
      <c r="AG217">
        <v>1</v>
      </c>
      <c r="AH217">
        <v>1</v>
      </c>
      <c r="AI217" t="s">
        <v>265</v>
      </c>
      <c r="AJ217">
        <v>35.526674</v>
      </c>
      <c r="AK217" t="s">
        <v>266</v>
      </c>
      <c r="AL217">
        <v>-76.029167000000001</v>
      </c>
      <c r="AM217">
        <v>25</v>
      </c>
      <c r="AN217">
        <v>3425</v>
      </c>
      <c r="AO217" t="s">
        <v>118</v>
      </c>
      <c r="AP217">
        <v>-69</v>
      </c>
      <c r="AQ217">
        <v>-136</v>
      </c>
      <c r="AR217">
        <v>64</v>
      </c>
      <c r="AZ217">
        <v>1200</v>
      </c>
      <c r="BA217">
        <v>1</v>
      </c>
      <c r="BB217" t="str">
        <f t="shared" si="25"/>
        <v xml:space="preserve">N79NX   </v>
      </c>
      <c r="BC217">
        <v>1</v>
      </c>
      <c r="BE217">
        <v>0</v>
      </c>
      <c r="BF217">
        <v>0</v>
      </c>
      <c r="BG217">
        <v>0</v>
      </c>
      <c r="BH217">
        <v>3275</v>
      </c>
      <c r="BI217">
        <v>0</v>
      </c>
      <c r="BJ217">
        <v>0</v>
      </c>
      <c r="BK217">
        <v>0</v>
      </c>
      <c r="BL217">
        <v>0</v>
      </c>
      <c r="BO217">
        <v>0</v>
      </c>
      <c r="BP217">
        <v>0</v>
      </c>
      <c r="BW217" t="str">
        <f>"18:36:36.990"</f>
        <v>18:36:36.990</v>
      </c>
      <c r="BZ217">
        <v>0</v>
      </c>
      <c r="CA217">
        <v>3488</v>
      </c>
      <c r="CB217">
        <v>216</v>
      </c>
      <c r="CC217">
        <v>583.59379999999999</v>
      </c>
      <c r="CD217">
        <v>1</v>
      </c>
      <c r="CE217">
        <v>1</v>
      </c>
      <c r="CF217">
        <v>0</v>
      </c>
      <c r="CG217">
        <v>1</v>
      </c>
      <c r="CH217">
        <v>0</v>
      </c>
      <c r="CI217">
        <v>0</v>
      </c>
      <c r="CJ217">
        <v>0</v>
      </c>
      <c r="CK217">
        <v>2</v>
      </c>
      <c r="CL217">
        <v>0</v>
      </c>
      <c r="CM217">
        <v>2</v>
      </c>
      <c r="CN217">
        <v>0</v>
      </c>
      <c r="CO217">
        <v>7</v>
      </c>
      <c r="CP217" t="s">
        <v>119</v>
      </c>
      <c r="CQ217">
        <v>145</v>
      </c>
      <c r="CR217">
        <v>1</v>
      </c>
      <c r="CW217">
        <v>8882490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</row>
    <row r="218" spans="1:113" x14ac:dyDescent="0.3">
      <c r="A218" t="str">
        <f>"02/13/2022 18:36:37.162"</f>
        <v>02/13/2022 18:36:37.162</v>
      </c>
      <c r="C218" t="str">
        <f t="shared" si="24"/>
        <v>FFDFD7C0</v>
      </c>
      <c r="D218" t="s">
        <v>113</v>
      </c>
      <c r="E218">
        <v>3</v>
      </c>
      <c r="F218">
        <v>1003</v>
      </c>
      <c r="G218" t="s">
        <v>114</v>
      </c>
      <c r="J218" t="s">
        <v>115</v>
      </c>
      <c r="K218">
        <v>0</v>
      </c>
      <c r="L218">
        <v>3</v>
      </c>
      <c r="M218">
        <v>0</v>
      </c>
      <c r="N218">
        <v>2</v>
      </c>
      <c r="O218">
        <v>1</v>
      </c>
      <c r="P218">
        <v>0</v>
      </c>
      <c r="Q218">
        <v>0</v>
      </c>
      <c r="S218" t="str">
        <f>"18:36:36.984"</f>
        <v>18:36:36.984</v>
      </c>
      <c r="T218" t="str">
        <f>"18:36:36.584"</f>
        <v>18:36:36.584</v>
      </c>
      <c r="U218" t="str">
        <f t="shared" si="23"/>
        <v>AAB6EE</v>
      </c>
      <c r="V218">
        <v>0</v>
      </c>
      <c r="W218">
        <v>0</v>
      </c>
      <c r="X218">
        <v>4</v>
      </c>
      <c r="Z218">
        <v>0</v>
      </c>
      <c r="AA218">
        <v>8</v>
      </c>
      <c r="AB218">
        <v>3</v>
      </c>
      <c r="AC218">
        <v>0</v>
      </c>
      <c r="AD218">
        <v>10</v>
      </c>
      <c r="AE218">
        <v>0</v>
      </c>
      <c r="AF218">
        <v>0</v>
      </c>
      <c r="AG218">
        <v>1</v>
      </c>
      <c r="AH218">
        <v>1</v>
      </c>
      <c r="AI218" t="s">
        <v>265</v>
      </c>
      <c r="AJ218">
        <v>35.526674</v>
      </c>
      <c r="AK218" t="s">
        <v>266</v>
      </c>
      <c r="AL218">
        <v>-76.029167000000001</v>
      </c>
      <c r="AM218">
        <v>25</v>
      </c>
      <c r="AN218">
        <v>3425</v>
      </c>
      <c r="AO218" t="s">
        <v>118</v>
      </c>
      <c r="AP218">
        <v>-69</v>
      </c>
      <c r="AQ218">
        <v>-136</v>
      </c>
      <c r="AR218">
        <v>64</v>
      </c>
      <c r="AZ218">
        <v>1200</v>
      </c>
      <c r="BA218">
        <v>1</v>
      </c>
      <c r="BB218" t="str">
        <f t="shared" si="25"/>
        <v xml:space="preserve">N79NX   </v>
      </c>
      <c r="BC218">
        <v>1</v>
      </c>
      <c r="BE218">
        <v>0</v>
      </c>
      <c r="BF218">
        <v>0</v>
      </c>
      <c r="BG218">
        <v>0</v>
      </c>
      <c r="BH218">
        <v>3275</v>
      </c>
      <c r="BI218">
        <v>0</v>
      </c>
      <c r="BJ218">
        <v>0</v>
      </c>
      <c r="BK218">
        <v>0</v>
      </c>
      <c r="BL218">
        <v>0</v>
      </c>
      <c r="BO218">
        <v>0</v>
      </c>
      <c r="BP218">
        <v>0</v>
      </c>
      <c r="BW218" t="str">
        <f>"18:36:36.990"</f>
        <v>18:36:36.990</v>
      </c>
      <c r="BZ218">
        <v>0</v>
      </c>
      <c r="CA218">
        <v>3488</v>
      </c>
      <c r="CB218">
        <v>216</v>
      </c>
      <c r="CC218">
        <v>583.59379999999999</v>
      </c>
      <c r="CD218">
        <v>1</v>
      </c>
      <c r="CE218">
        <v>1</v>
      </c>
      <c r="CF218">
        <v>0</v>
      </c>
      <c r="CG218">
        <v>1</v>
      </c>
      <c r="CH218">
        <v>0</v>
      </c>
      <c r="CI218">
        <v>0</v>
      </c>
      <c r="CJ218">
        <v>0</v>
      </c>
      <c r="CK218">
        <v>2</v>
      </c>
      <c r="CL218">
        <v>0</v>
      </c>
      <c r="CM218">
        <v>2</v>
      </c>
      <c r="CN218">
        <v>0</v>
      </c>
      <c r="CO218">
        <v>7</v>
      </c>
      <c r="CP218" t="s">
        <v>119</v>
      </c>
      <c r="CQ218">
        <v>145</v>
      </c>
      <c r="CR218">
        <v>1</v>
      </c>
      <c r="CW218">
        <v>8882490</v>
      </c>
      <c r="CY218">
        <v>0</v>
      </c>
      <c r="CZ218">
        <v>0</v>
      </c>
      <c r="DA218">
        <v>1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</row>
    <row r="219" spans="1:113" x14ac:dyDescent="0.3">
      <c r="A219" t="str">
        <f>"02/13/2022 18:36:37.225"</f>
        <v>02/13/2022 18:36:37.225</v>
      </c>
      <c r="C219" t="str">
        <f t="shared" si="24"/>
        <v>FFDFD7C0</v>
      </c>
      <c r="D219" t="s">
        <v>121</v>
      </c>
      <c r="E219">
        <v>2</v>
      </c>
      <c r="H219">
        <v>158</v>
      </c>
      <c r="I219" t="s">
        <v>120</v>
      </c>
      <c r="J219" t="s">
        <v>122</v>
      </c>
      <c r="K219">
        <v>0</v>
      </c>
      <c r="L219">
        <v>3</v>
      </c>
      <c r="M219">
        <v>0</v>
      </c>
      <c r="N219">
        <v>2</v>
      </c>
      <c r="O219">
        <v>1</v>
      </c>
      <c r="P219">
        <v>0</v>
      </c>
      <c r="Q219">
        <v>0</v>
      </c>
      <c r="S219" t="str">
        <f>"18:36:36.984"</f>
        <v>18:36:36.984</v>
      </c>
      <c r="T219" t="str">
        <f>"18:36:36.584"</f>
        <v>18:36:36.584</v>
      </c>
      <c r="U219" t="str">
        <f t="shared" si="23"/>
        <v>AAB6EE</v>
      </c>
      <c r="V219">
        <v>0</v>
      </c>
      <c r="W219">
        <v>0</v>
      </c>
      <c r="X219">
        <v>4</v>
      </c>
      <c r="Z219">
        <v>0</v>
      </c>
      <c r="AA219">
        <v>8</v>
      </c>
      <c r="AB219">
        <v>3</v>
      </c>
      <c r="AC219">
        <v>0</v>
      </c>
      <c r="AD219">
        <v>10</v>
      </c>
      <c r="AE219">
        <v>0</v>
      </c>
      <c r="AF219">
        <v>0</v>
      </c>
      <c r="AG219">
        <v>1</v>
      </c>
      <c r="AH219">
        <v>1</v>
      </c>
      <c r="AI219" t="s">
        <v>265</v>
      </c>
      <c r="AJ219">
        <v>35.526674</v>
      </c>
      <c r="AK219" t="s">
        <v>266</v>
      </c>
      <c r="AL219">
        <v>-76.029167000000001</v>
      </c>
      <c r="AM219">
        <v>25</v>
      </c>
      <c r="AN219">
        <v>3425</v>
      </c>
      <c r="AO219" t="s">
        <v>118</v>
      </c>
      <c r="AP219">
        <v>-69</v>
      </c>
      <c r="AQ219">
        <v>-136</v>
      </c>
      <c r="AR219">
        <v>64</v>
      </c>
      <c r="AZ219">
        <v>1200</v>
      </c>
      <c r="BA219">
        <v>1</v>
      </c>
      <c r="BB219" t="str">
        <f t="shared" si="25"/>
        <v xml:space="preserve">N79NX   </v>
      </c>
      <c r="BC219">
        <v>1</v>
      </c>
      <c r="BE219">
        <v>0</v>
      </c>
      <c r="BF219">
        <v>0</v>
      </c>
      <c r="BG219">
        <v>0</v>
      </c>
      <c r="BH219">
        <v>3275</v>
      </c>
      <c r="BI219">
        <v>0</v>
      </c>
      <c r="BJ219">
        <v>0</v>
      </c>
      <c r="BK219">
        <v>0</v>
      </c>
      <c r="BL219">
        <v>0</v>
      </c>
      <c r="BO219">
        <v>0</v>
      </c>
      <c r="BP219">
        <v>0</v>
      </c>
      <c r="BW219" t="str">
        <f>"18:36:36.990"</f>
        <v>18:36:36.990</v>
      </c>
      <c r="BZ219">
        <v>0</v>
      </c>
      <c r="CA219">
        <v>3488</v>
      </c>
      <c r="CB219">
        <v>216</v>
      </c>
      <c r="CC219">
        <v>583.59379999999999</v>
      </c>
      <c r="CD219">
        <v>1</v>
      </c>
      <c r="CE219">
        <v>1</v>
      </c>
      <c r="CF219">
        <v>0</v>
      </c>
      <c r="CG219">
        <v>1</v>
      </c>
      <c r="CH219">
        <v>0</v>
      </c>
      <c r="CI219">
        <v>0</v>
      </c>
      <c r="CJ219">
        <v>0</v>
      </c>
      <c r="CK219">
        <v>2</v>
      </c>
      <c r="CL219">
        <v>0</v>
      </c>
      <c r="CM219">
        <v>2</v>
      </c>
      <c r="CN219">
        <v>0</v>
      </c>
      <c r="CO219">
        <v>7</v>
      </c>
      <c r="CP219" t="s">
        <v>119</v>
      </c>
      <c r="CQ219">
        <v>145</v>
      </c>
      <c r="CR219">
        <v>1</v>
      </c>
      <c r="CW219">
        <v>8882490</v>
      </c>
      <c r="CY219">
        <v>0</v>
      </c>
      <c r="CZ219">
        <v>0</v>
      </c>
      <c r="DA219">
        <v>1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</row>
    <row r="220" spans="1:113" x14ac:dyDescent="0.3">
      <c r="A220" t="str">
        <f>"02/13/2022 18:36:38.194"</f>
        <v>02/13/2022 18:36:38.194</v>
      </c>
      <c r="C220" t="str">
        <f t="shared" si="24"/>
        <v>FFDFD7C0</v>
      </c>
      <c r="D220" t="s">
        <v>121</v>
      </c>
      <c r="E220">
        <v>2</v>
      </c>
      <c r="H220">
        <v>158</v>
      </c>
      <c r="I220" t="s">
        <v>120</v>
      </c>
      <c r="J220" t="s">
        <v>122</v>
      </c>
      <c r="K220">
        <v>0</v>
      </c>
      <c r="L220">
        <v>3</v>
      </c>
      <c r="M220">
        <v>0</v>
      </c>
      <c r="N220">
        <v>2</v>
      </c>
      <c r="O220">
        <v>1</v>
      </c>
      <c r="P220">
        <v>0</v>
      </c>
      <c r="Q220">
        <v>0</v>
      </c>
      <c r="S220" t="str">
        <f>"18:36:38.000"</f>
        <v>18:36:38.000</v>
      </c>
      <c r="T220" t="str">
        <f>"18:36:37.600"</f>
        <v>18:36:37.600</v>
      </c>
      <c r="U220" t="str">
        <f t="shared" si="23"/>
        <v>AAB6EE</v>
      </c>
      <c r="V220">
        <v>0</v>
      </c>
      <c r="W220">
        <v>0</v>
      </c>
      <c r="X220">
        <v>4</v>
      </c>
      <c r="Z220">
        <v>0</v>
      </c>
      <c r="AA220">
        <v>8</v>
      </c>
      <c r="AB220">
        <v>3</v>
      </c>
      <c r="AC220">
        <v>0</v>
      </c>
      <c r="AD220">
        <v>10</v>
      </c>
      <c r="AE220">
        <v>0</v>
      </c>
      <c r="AF220">
        <v>0</v>
      </c>
      <c r="AG220">
        <v>1</v>
      </c>
      <c r="AH220">
        <v>1</v>
      </c>
      <c r="AI220" t="s">
        <v>267</v>
      </c>
      <c r="AJ220">
        <v>35.526072999999997</v>
      </c>
      <c r="AK220" t="s">
        <v>268</v>
      </c>
      <c r="AL220">
        <v>-76.029510000000002</v>
      </c>
      <c r="AM220">
        <v>25</v>
      </c>
      <c r="AN220">
        <v>3425</v>
      </c>
      <c r="AO220" t="s">
        <v>118</v>
      </c>
      <c r="AP220">
        <v>-70</v>
      </c>
      <c r="AQ220">
        <v>-137</v>
      </c>
      <c r="AR220">
        <v>0</v>
      </c>
      <c r="AZ220">
        <v>1200</v>
      </c>
      <c r="BA220">
        <v>1</v>
      </c>
      <c r="BB220" t="str">
        <f t="shared" si="25"/>
        <v xml:space="preserve">N79NX   </v>
      </c>
      <c r="BC220">
        <v>1</v>
      </c>
      <c r="BE220">
        <v>0</v>
      </c>
      <c r="BF220">
        <v>0</v>
      </c>
      <c r="BG220">
        <v>0</v>
      </c>
      <c r="BH220">
        <v>3275</v>
      </c>
      <c r="BI220">
        <v>0</v>
      </c>
      <c r="BJ220">
        <v>0</v>
      </c>
      <c r="BK220">
        <v>0</v>
      </c>
      <c r="BL220">
        <v>0</v>
      </c>
      <c r="BO220">
        <v>0</v>
      </c>
      <c r="BP220">
        <v>0</v>
      </c>
      <c r="BW220" t="str">
        <f>"18:36:38.000"</f>
        <v>18:36:38.000</v>
      </c>
      <c r="BZ220">
        <v>0</v>
      </c>
      <c r="CA220">
        <v>3488</v>
      </c>
      <c r="CB220">
        <v>216</v>
      </c>
      <c r="CC220">
        <v>583.59379999999999</v>
      </c>
      <c r="CD220">
        <v>1</v>
      </c>
      <c r="CE220">
        <v>1</v>
      </c>
      <c r="CF220">
        <v>0</v>
      </c>
      <c r="CG220">
        <v>1</v>
      </c>
      <c r="CH220">
        <v>0</v>
      </c>
      <c r="CI220">
        <v>0</v>
      </c>
      <c r="CJ220">
        <v>0</v>
      </c>
      <c r="CK220">
        <v>2</v>
      </c>
      <c r="CL220">
        <v>0</v>
      </c>
      <c r="CM220">
        <v>2</v>
      </c>
      <c r="CN220">
        <v>0</v>
      </c>
      <c r="CO220">
        <v>7</v>
      </c>
      <c r="CP220" t="s">
        <v>119</v>
      </c>
      <c r="CQ220">
        <v>145</v>
      </c>
      <c r="CR220">
        <v>1</v>
      </c>
      <c r="CW220">
        <v>8882973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</row>
    <row r="221" spans="1:113" x14ac:dyDescent="0.3">
      <c r="A221" t="str">
        <f>"02/13/2022 18:36:38.226"</f>
        <v>02/13/2022 18:36:38.226</v>
      </c>
      <c r="C221" t="str">
        <f t="shared" si="24"/>
        <v>FFDFD7C0</v>
      </c>
      <c r="D221" t="s">
        <v>113</v>
      </c>
      <c r="E221">
        <v>3</v>
      </c>
      <c r="F221">
        <v>1003</v>
      </c>
      <c r="G221" t="s">
        <v>114</v>
      </c>
      <c r="J221" t="s">
        <v>115</v>
      </c>
      <c r="K221">
        <v>0</v>
      </c>
      <c r="L221">
        <v>3</v>
      </c>
      <c r="M221">
        <v>0</v>
      </c>
      <c r="N221">
        <v>2</v>
      </c>
      <c r="O221">
        <v>1</v>
      </c>
      <c r="P221">
        <v>0</v>
      </c>
      <c r="Q221">
        <v>0</v>
      </c>
      <c r="S221" t="str">
        <f>"18:36:38.000"</f>
        <v>18:36:38.000</v>
      </c>
      <c r="T221" t="str">
        <f>"18:36:37.600"</f>
        <v>18:36:37.600</v>
      </c>
      <c r="U221" t="str">
        <f t="shared" si="23"/>
        <v>AAB6EE</v>
      </c>
      <c r="V221">
        <v>0</v>
      </c>
      <c r="W221">
        <v>0</v>
      </c>
      <c r="X221">
        <v>4</v>
      </c>
      <c r="Z221">
        <v>0</v>
      </c>
      <c r="AA221">
        <v>8</v>
      </c>
      <c r="AB221">
        <v>3</v>
      </c>
      <c r="AC221">
        <v>0</v>
      </c>
      <c r="AD221">
        <v>10</v>
      </c>
      <c r="AE221">
        <v>0</v>
      </c>
      <c r="AF221">
        <v>0</v>
      </c>
      <c r="AG221">
        <v>1</v>
      </c>
      <c r="AH221">
        <v>1</v>
      </c>
      <c r="AI221" t="s">
        <v>267</v>
      </c>
      <c r="AJ221">
        <v>35.526072999999997</v>
      </c>
      <c r="AK221" t="s">
        <v>268</v>
      </c>
      <c r="AL221">
        <v>-76.029510000000002</v>
      </c>
      <c r="AM221">
        <v>25</v>
      </c>
      <c r="AN221">
        <v>3425</v>
      </c>
      <c r="AO221" t="s">
        <v>118</v>
      </c>
      <c r="AP221">
        <v>-70</v>
      </c>
      <c r="AQ221">
        <v>-137</v>
      </c>
      <c r="AR221">
        <v>0</v>
      </c>
      <c r="AZ221">
        <v>1200</v>
      </c>
      <c r="BA221">
        <v>1</v>
      </c>
      <c r="BB221" t="str">
        <f t="shared" si="25"/>
        <v xml:space="preserve">N79NX   </v>
      </c>
      <c r="BC221">
        <v>1</v>
      </c>
      <c r="BE221">
        <v>0</v>
      </c>
      <c r="BF221">
        <v>0</v>
      </c>
      <c r="BG221">
        <v>0</v>
      </c>
      <c r="BH221">
        <v>3275</v>
      </c>
      <c r="BI221">
        <v>0</v>
      </c>
      <c r="BJ221">
        <v>0</v>
      </c>
      <c r="BK221">
        <v>0</v>
      </c>
      <c r="BL221">
        <v>0</v>
      </c>
      <c r="BO221">
        <v>0</v>
      </c>
      <c r="BP221">
        <v>0</v>
      </c>
      <c r="BW221" t="str">
        <f>"18:36:38.000"</f>
        <v>18:36:38.000</v>
      </c>
      <c r="BZ221">
        <v>0</v>
      </c>
      <c r="CA221">
        <v>3488</v>
      </c>
      <c r="CB221">
        <v>216</v>
      </c>
      <c r="CC221">
        <v>583.59379999999999</v>
      </c>
      <c r="CD221">
        <v>1</v>
      </c>
      <c r="CE221">
        <v>1</v>
      </c>
      <c r="CF221">
        <v>0</v>
      </c>
      <c r="CG221">
        <v>1</v>
      </c>
      <c r="CH221">
        <v>0</v>
      </c>
      <c r="CI221">
        <v>0</v>
      </c>
      <c r="CJ221">
        <v>0</v>
      </c>
      <c r="CK221">
        <v>2</v>
      </c>
      <c r="CL221">
        <v>0</v>
      </c>
      <c r="CM221">
        <v>2</v>
      </c>
      <c r="CN221">
        <v>0</v>
      </c>
      <c r="CO221">
        <v>7</v>
      </c>
      <c r="CP221" t="s">
        <v>119</v>
      </c>
      <c r="CQ221">
        <v>145</v>
      </c>
      <c r="CR221">
        <v>1</v>
      </c>
      <c r="CW221">
        <v>8882973</v>
      </c>
      <c r="CY221">
        <v>0</v>
      </c>
      <c r="CZ221">
        <v>0</v>
      </c>
      <c r="DA221">
        <v>1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</row>
    <row r="222" spans="1:113" x14ac:dyDescent="0.3">
      <c r="A222" t="str">
        <f>"02/13/2022 18:36:38.226"</f>
        <v>02/13/2022 18:36:38.226</v>
      </c>
      <c r="C222" t="str">
        <f t="shared" si="24"/>
        <v>FFDFD7C0</v>
      </c>
      <c r="D222" t="s">
        <v>113</v>
      </c>
      <c r="E222">
        <v>4</v>
      </c>
      <c r="F222">
        <v>1004</v>
      </c>
      <c r="G222" t="s">
        <v>120</v>
      </c>
      <c r="J222" t="s">
        <v>115</v>
      </c>
      <c r="K222">
        <v>0</v>
      </c>
      <c r="L222">
        <v>3</v>
      </c>
      <c r="M222">
        <v>0</v>
      </c>
      <c r="N222">
        <v>2</v>
      </c>
      <c r="O222">
        <v>1</v>
      </c>
      <c r="P222">
        <v>0</v>
      </c>
      <c r="Q222">
        <v>0</v>
      </c>
      <c r="S222" t="str">
        <f>"18:36:38.000"</f>
        <v>18:36:38.000</v>
      </c>
      <c r="T222" t="str">
        <f>"18:36:37.600"</f>
        <v>18:36:37.600</v>
      </c>
      <c r="U222" t="str">
        <f t="shared" si="23"/>
        <v>AAB6EE</v>
      </c>
      <c r="V222">
        <v>0</v>
      </c>
      <c r="W222">
        <v>0</v>
      </c>
      <c r="X222">
        <v>4</v>
      </c>
      <c r="Z222">
        <v>0</v>
      </c>
      <c r="AA222">
        <v>8</v>
      </c>
      <c r="AB222">
        <v>3</v>
      </c>
      <c r="AC222">
        <v>0</v>
      </c>
      <c r="AD222">
        <v>10</v>
      </c>
      <c r="AE222">
        <v>0</v>
      </c>
      <c r="AF222">
        <v>0</v>
      </c>
      <c r="AG222">
        <v>1</v>
      </c>
      <c r="AH222">
        <v>1</v>
      </c>
      <c r="AI222" t="s">
        <v>267</v>
      </c>
      <c r="AJ222">
        <v>35.526072999999997</v>
      </c>
      <c r="AK222" t="s">
        <v>268</v>
      </c>
      <c r="AL222">
        <v>-76.029510000000002</v>
      </c>
      <c r="AM222">
        <v>25</v>
      </c>
      <c r="AN222">
        <v>3425</v>
      </c>
      <c r="AO222" t="s">
        <v>118</v>
      </c>
      <c r="AP222">
        <v>-70</v>
      </c>
      <c r="AQ222">
        <v>-137</v>
      </c>
      <c r="AR222">
        <v>0</v>
      </c>
      <c r="AZ222">
        <v>1200</v>
      </c>
      <c r="BA222">
        <v>1</v>
      </c>
      <c r="BB222" t="str">
        <f t="shared" si="25"/>
        <v xml:space="preserve">N79NX   </v>
      </c>
      <c r="BC222">
        <v>1</v>
      </c>
      <c r="BE222">
        <v>0</v>
      </c>
      <c r="BF222">
        <v>0</v>
      </c>
      <c r="BG222">
        <v>0</v>
      </c>
      <c r="BH222">
        <v>3275</v>
      </c>
      <c r="BI222">
        <v>0</v>
      </c>
      <c r="BJ222">
        <v>0</v>
      </c>
      <c r="BK222">
        <v>0</v>
      </c>
      <c r="BL222">
        <v>0</v>
      </c>
      <c r="BO222">
        <v>0</v>
      </c>
      <c r="BP222">
        <v>0</v>
      </c>
      <c r="BW222" t="str">
        <f>"18:36:38.000"</f>
        <v>18:36:38.000</v>
      </c>
      <c r="BZ222">
        <v>0</v>
      </c>
      <c r="CA222">
        <v>3488</v>
      </c>
      <c r="CB222">
        <v>216</v>
      </c>
      <c r="CC222">
        <v>583.59379999999999</v>
      </c>
      <c r="CD222">
        <v>1</v>
      </c>
      <c r="CE222">
        <v>1</v>
      </c>
      <c r="CF222">
        <v>0</v>
      </c>
      <c r="CG222">
        <v>1</v>
      </c>
      <c r="CH222">
        <v>0</v>
      </c>
      <c r="CI222">
        <v>0</v>
      </c>
      <c r="CJ222">
        <v>0</v>
      </c>
      <c r="CK222">
        <v>2</v>
      </c>
      <c r="CL222">
        <v>0</v>
      </c>
      <c r="CM222">
        <v>2</v>
      </c>
      <c r="CN222">
        <v>0</v>
      </c>
      <c r="CO222">
        <v>7</v>
      </c>
      <c r="CP222" t="s">
        <v>119</v>
      </c>
      <c r="CQ222">
        <v>145</v>
      </c>
      <c r="CR222">
        <v>1</v>
      </c>
      <c r="CW222">
        <v>8882973</v>
      </c>
      <c r="CY222">
        <v>0</v>
      </c>
      <c r="CZ222">
        <v>0</v>
      </c>
      <c r="DA222">
        <v>1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</row>
    <row r="223" spans="1:113" x14ac:dyDescent="0.3">
      <c r="A223" t="str">
        <f>"02/13/2022 18:36:39.368"</f>
        <v>02/13/2022 18:36:39.368</v>
      </c>
      <c r="C223" t="str">
        <f t="shared" si="24"/>
        <v>FFDFD7C0</v>
      </c>
      <c r="D223" t="s">
        <v>121</v>
      </c>
      <c r="E223">
        <v>2</v>
      </c>
      <c r="H223">
        <v>158</v>
      </c>
      <c r="I223" t="s">
        <v>120</v>
      </c>
      <c r="J223" t="s">
        <v>122</v>
      </c>
      <c r="K223">
        <v>0</v>
      </c>
      <c r="L223">
        <v>3</v>
      </c>
      <c r="M223">
        <v>0</v>
      </c>
      <c r="N223">
        <v>2</v>
      </c>
      <c r="O223">
        <v>1</v>
      </c>
      <c r="P223">
        <v>0</v>
      </c>
      <c r="Q223">
        <v>0</v>
      </c>
      <c r="S223" t="str">
        <f>"18:36:39.156"</f>
        <v>18:36:39.156</v>
      </c>
      <c r="T223" t="str">
        <f>"18:36:38.656"</f>
        <v>18:36:38.656</v>
      </c>
      <c r="U223" t="str">
        <f t="shared" si="23"/>
        <v>AAB6EE</v>
      </c>
      <c r="V223">
        <v>0</v>
      </c>
      <c r="W223">
        <v>0</v>
      </c>
      <c r="X223">
        <v>4</v>
      </c>
      <c r="Z223">
        <v>0</v>
      </c>
      <c r="AA223">
        <v>8</v>
      </c>
      <c r="AB223">
        <v>3</v>
      </c>
      <c r="AC223">
        <v>0</v>
      </c>
      <c r="AD223">
        <v>10</v>
      </c>
      <c r="AE223">
        <v>0</v>
      </c>
      <c r="AF223">
        <v>0</v>
      </c>
      <c r="AG223">
        <v>1</v>
      </c>
      <c r="AH223">
        <v>1</v>
      </c>
      <c r="AI223" t="s">
        <v>269</v>
      </c>
      <c r="AJ223">
        <v>35.525300999999999</v>
      </c>
      <c r="AK223" t="s">
        <v>270</v>
      </c>
      <c r="AL223">
        <v>-76.030024999999995</v>
      </c>
      <c r="AM223">
        <v>25</v>
      </c>
      <c r="AN223">
        <v>3425</v>
      </c>
      <c r="AO223" t="s">
        <v>118</v>
      </c>
      <c r="AP223">
        <v>-71</v>
      </c>
      <c r="AQ223">
        <v>-139</v>
      </c>
      <c r="AR223">
        <v>0</v>
      </c>
      <c r="AZ223">
        <v>1200</v>
      </c>
      <c r="BA223">
        <v>1</v>
      </c>
      <c r="BB223" t="str">
        <f t="shared" si="25"/>
        <v xml:space="preserve">N79NX   </v>
      </c>
      <c r="BC223">
        <v>1</v>
      </c>
      <c r="BE223">
        <v>0</v>
      </c>
      <c r="BF223">
        <v>0</v>
      </c>
      <c r="BG223">
        <v>0</v>
      </c>
      <c r="BH223">
        <v>3275</v>
      </c>
      <c r="BI223">
        <v>0</v>
      </c>
      <c r="BJ223">
        <v>0</v>
      </c>
      <c r="BK223">
        <v>0</v>
      </c>
      <c r="BL223">
        <v>0</v>
      </c>
      <c r="BO223">
        <v>0</v>
      </c>
      <c r="BP223">
        <v>0</v>
      </c>
      <c r="BW223" t="str">
        <f>"18:36:39.160"</f>
        <v>18:36:39.160</v>
      </c>
      <c r="BZ223">
        <v>0</v>
      </c>
      <c r="CA223">
        <v>3488</v>
      </c>
      <c r="CB223">
        <v>216</v>
      </c>
      <c r="CC223">
        <v>583.59379999999999</v>
      </c>
      <c r="CD223">
        <v>1</v>
      </c>
      <c r="CE223">
        <v>1</v>
      </c>
      <c r="CF223">
        <v>0</v>
      </c>
      <c r="CG223">
        <v>1</v>
      </c>
      <c r="CH223">
        <v>0</v>
      </c>
      <c r="CI223">
        <v>0</v>
      </c>
      <c r="CJ223">
        <v>0</v>
      </c>
      <c r="CK223">
        <v>2</v>
      </c>
      <c r="CL223">
        <v>0</v>
      </c>
      <c r="CM223">
        <v>2</v>
      </c>
      <c r="CN223">
        <v>0</v>
      </c>
      <c r="CO223">
        <v>7</v>
      </c>
      <c r="CP223" t="s">
        <v>119</v>
      </c>
      <c r="CQ223">
        <v>145</v>
      </c>
      <c r="CR223">
        <v>1</v>
      </c>
      <c r="CW223">
        <v>8883541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</row>
    <row r="224" spans="1:113" x14ac:dyDescent="0.3">
      <c r="A224" t="str">
        <f>"02/13/2022 18:36:39.399"</f>
        <v>02/13/2022 18:36:39.399</v>
      </c>
      <c r="C224" t="str">
        <f t="shared" si="24"/>
        <v>FFDFD7C0</v>
      </c>
      <c r="D224" t="s">
        <v>113</v>
      </c>
      <c r="E224">
        <v>3</v>
      </c>
      <c r="F224">
        <v>1003</v>
      </c>
      <c r="G224" t="s">
        <v>114</v>
      </c>
      <c r="J224" t="s">
        <v>115</v>
      </c>
      <c r="K224">
        <v>0</v>
      </c>
      <c r="L224">
        <v>3</v>
      </c>
      <c r="M224">
        <v>0</v>
      </c>
      <c r="N224">
        <v>2</v>
      </c>
      <c r="O224">
        <v>1</v>
      </c>
      <c r="P224">
        <v>0</v>
      </c>
      <c r="Q224">
        <v>0</v>
      </c>
      <c r="S224" t="str">
        <f>"18:36:39.156"</f>
        <v>18:36:39.156</v>
      </c>
      <c r="T224" t="str">
        <f>"18:36:38.656"</f>
        <v>18:36:38.656</v>
      </c>
      <c r="U224" t="str">
        <f t="shared" si="23"/>
        <v>AAB6EE</v>
      </c>
      <c r="V224">
        <v>0</v>
      </c>
      <c r="W224">
        <v>0</v>
      </c>
      <c r="X224">
        <v>4</v>
      </c>
      <c r="Z224">
        <v>0</v>
      </c>
      <c r="AA224">
        <v>8</v>
      </c>
      <c r="AB224">
        <v>3</v>
      </c>
      <c r="AC224">
        <v>0</v>
      </c>
      <c r="AD224">
        <v>10</v>
      </c>
      <c r="AE224">
        <v>0</v>
      </c>
      <c r="AF224">
        <v>0</v>
      </c>
      <c r="AG224">
        <v>1</v>
      </c>
      <c r="AH224">
        <v>1</v>
      </c>
      <c r="AI224" t="s">
        <v>269</v>
      </c>
      <c r="AJ224">
        <v>35.525300999999999</v>
      </c>
      <c r="AK224" t="s">
        <v>270</v>
      </c>
      <c r="AL224">
        <v>-76.030024999999995</v>
      </c>
      <c r="AM224">
        <v>25</v>
      </c>
      <c r="AN224">
        <v>3425</v>
      </c>
      <c r="AO224" t="s">
        <v>118</v>
      </c>
      <c r="AP224">
        <v>-71</v>
      </c>
      <c r="AQ224">
        <v>-139</v>
      </c>
      <c r="AR224">
        <v>0</v>
      </c>
      <c r="AZ224">
        <v>1200</v>
      </c>
      <c r="BA224">
        <v>1</v>
      </c>
      <c r="BB224" t="str">
        <f t="shared" si="25"/>
        <v xml:space="preserve">N79NX   </v>
      </c>
      <c r="BC224">
        <v>1</v>
      </c>
      <c r="BE224">
        <v>0</v>
      </c>
      <c r="BF224">
        <v>0</v>
      </c>
      <c r="BG224">
        <v>0</v>
      </c>
      <c r="BH224">
        <v>3275</v>
      </c>
      <c r="BI224">
        <v>0</v>
      </c>
      <c r="BJ224">
        <v>0</v>
      </c>
      <c r="BK224">
        <v>0</v>
      </c>
      <c r="BL224">
        <v>0</v>
      </c>
      <c r="BO224">
        <v>0</v>
      </c>
      <c r="BP224">
        <v>0</v>
      </c>
      <c r="BW224" t="str">
        <f>"18:36:39.160"</f>
        <v>18:36:39.160</v>
      </c>
      <c r="BZ224">
        <v>0</v>
      </c>
      <c r="CA224">
        <v>3488</v>
      </c>
      <c r="CB224">
        <v>216</v>
      </c>
      <c r="CC224">
        <v>583.59379999999999</v>
      </c>
      <c r="CD224">
        <v>1</v>
      </c>
      <c r="CE224">
        <v>1</v>
      </c>
      <c r="CF224">
        <v>0</v>
      </c>
      <c r="CG224">
        <v>1</v>
      </c>
      <c r="CH224">
        <v>0</v>
      </c>
      <c r="CI224">
        <v>0</v>
      </c>
      <c r="CJ224">
        <v>0</v>
      </c>
      <c r="CK224">
        <v>2</v>
      </c>
      <c r="CL224">
        <v>0</v>
      </c>
      <c r="CM224">
        <v>2</v>
      </c>
      <c r="CN224">
        <v>0</v>
      </c>
      <c r="CO224">
        <v>7</v>
      </c>
      <c r="CP224" t="s">
        <v>119</v>
      </c>
      <c r="CQ224">
        <v>145</v>
      </c>
      <c r="CR224">
        <v>1</v>
      </c>
      <c r="CW224">
        <v>8883541</v>
      </c>
      <c r="CY224">
        <v>0</v>
      </c>
      <c r="CZ224">
        <v>0</v>
      </c>
      <c r="DA224">
        <v>1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</row>
    <row r="225" spans="1:113" x14ac:dyDescent="0.3">
      <c r="A225" t="str">
        <f>"02/13/2022 18:36:39.399"</f>
        <v>02/13/2022 18:36:39.399</v>
      </c>
      <c r="C225" t="str">
        <f t="shared" si="24"/>
        <v>FFDFD7C0</v>
      </c>
      <c r="D225" t="s">
        <v>113</v>
      </c>
      <c r="E225">
        <v>4</v>
      </c>
      <c r="F225">
        <v>1004</v>
      </c>
      <c r="G225" t="s">
        <v>120</v>
      </c>
      <c r="J225" t="s">
        <v>115</v>
      </c>
      <c r="K225">
        <v>0</v>
      </c>
      <c r="L225">
        <v>3</v>
      </c>
      <c r="M225">
        <v>0</v>
      </c>
      <c r="N225">
        <v>2</v>
      </c>
      <c r="O225">
        <v>1</v>
      </c>
      <c r="P225">
        <v>0</v>
      </c>
      <c r="Q225">
        <v>0</v>
      </c>
      <c r="S225" t="str">
        <f>"18:36:39.156"</f>
        <v>18:36:39.156</v>
      </c>
      <c r="T225" t="str">
        <f>"18:36:38.656"</f>
        <v>18:36:38.656</v>
      </c>
      <c r="U225" t="str">
        <f t="shared" si="23"/>
        <v>AAB6EE</v>
      </c>
      <c r="V225">
        <v>0</v>
      </c>
      <c r="W225">
        <v>0</v>
      </c>
      <c r="X225">
        <v>4</v>
      </c>
      <c r="Z225">
        <v>0</v>
      </c>
      <c r="AA225">
        <v>8</v>
      </c>
      <c r="AB225">
        <v>3</v>
      </c>
      <c r="AC225">
        <v>0</v>
      </c>
      <c r="AD225">
        <v>10</v>
      </c>
      <c r="AE225">
        <v>0</v>
      </c>
      <c r="AF225">
        <v>0</v>
      </c>
      <c r="AG225">
        <v>1</v>
      </c>
      <c r="AH225">
        <v>1</v>
      </c>
      <c r="AI225" t="s">
        <v>269</v>
      </c>
      <c r="AJ225">
        <v>35.525300999999999</v>
      </c>
      <c r="AK225" t="s">
        <v>270</v>
      </c>
      <c r="AL225">
        <v>-76.030024999999995</v>
      </c>
      <c r="AM225">
        <v>25</v>
      </c>
      <c r="AN225">
        <v>3425</v>
      </c>
      <c r="AO225" t="s">
        <v>118</v>
      </c>
      <c r="AP225">
        <v>-71</v>
      </c>
      <c r="AQ225">
        <v>-139</v>
      </c>
      <c r="AR225">
        <v>0</v>
      </c>
      <c r="AZ225">
        <v>1200</v>
      </c>
      <c r="BA225">
        <v>1</v>
      </c>
      <c r="BB225" t="str">
        <f t="shared" si="25"/>
        <v xml:space="preserve">N79NX   </v>
      </c>
      <c r="BC225">
        <v>1</v>
      </c>
      <c r="BE225">
        <v>0</v>
      </c>
      <c r="BF225">
        <v>0</v>
      </c>
      <c r="BG225">
        <v>0</v>
      </c>
      <c r="BH225">
        <v>3275</v>
      </c>
      <c r="BI225">
        <v>0</v>
      </c>
      <c r="BJ225">
        <v>0</v>
      </c>
      <c r="BK225">
        <v>0</v>
      </c>
      <c r="BL225">
        <v>0</v>
      </c>
      <c r="BO225">
        <v>0</v>
      </c>
      <c r="BP225">
        <v>0</v>
      </c>
      <c r="BW225" t="str">
        <f>"18:36:39.160"</f>
        <v>18:36:39.160</v>
      </c>
      <c r="BZ225">
        <v>0</v>
      </c>
      <c r="CA225">
        <v>3488</v>
      </c>
      <c r="CB225">
        <v>216</v>
      </c>
      <c r="CC225">
        <v>583.59379999999999</v>
      </c>
      <c r="CD225">
        <v>1</v>
      </c>
      <c r="CE225">
        <v>1</v>
      </c>
      <c r="CF225">
        <v>0</v>
      </c>
      <c r="CG225">
        <v>1</v>
      </c>
      <c r="CH225">
        <v>0</v>
      </c>
      <c r="CI225">
        <v>0</v>
      </c>
      <c r="CJ225">
        <v>0</v>
      </c>
      <c r="CK225">
        <v>2</v>
      </c>
      <c r="CL225">
        <v>0</v>
      </c>
      <c r="CM225">
        <v>2</v>
      </c>
      <c r="CN225">
        <v>0</v>
      </c>
      <c r="CO225">
        <v>7</v>
      </c>
      <c r="CP225" t="s">
        <v>119</v>
      </c>
      <c r="CQ225">
        <v>145</v>
      </c>
      <c r="CR225">
        <v>1</v>
      </c>
      <c r="CW225">
        <v>8883541</v>
      </c>
      <c r="CY225">
        <v>0</v>
      </c>
      <c r="CZ225">
        <v>0</v>
      </c>
      <c r="DA225">
        <v>1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</row>
    <row r="226" spans="1:113" x14ac:dyDescent="0.3">
      <c r="A226" t="str">
        <f>"02/13/2022 18:36:40.463"</f>
        <v>02/13/2022 18:36:40.463</v>
      </c>
      <c r="C226" t="str">
        <f t="shared" si="24"/>
        <v>FFDFD7C0</v>
      </c>
      <c r="D226" t="s">
        <v>113</v>
      </c>
      <c r="E226">
        <v>3</v>
      </c>
      <c r="F226">
        <v>1003</v>
      </c>
      <c r="G226" t="s">
        <v>114</v>
      </c>
      <c r="J226" t="s">
        <v>115</v>
      </c>
      <c r="K226">
        <v>0</v>
      </c>
      <c r="L226">
        <v>3</v>
      </c>
      <c r="M226">
        <v>0</v>
      </c>
      <c r="N226">
        <v>2</v>
      </c>
      <c r="O226">
        <v>1</v>
      </c>
      <c r="P226">
        <v>0</v>
      </c>
      <c r="Q226">
        <v>0</v>
      </c>
      <c r="S226" t="str">
        <f>"18:36:40.234"</f>
        <v>18:36:40.234</v>
      </c>
      <c r="T226" t="str">
        <f>"18:36:39.834"</f>
        <v>18:36:39.834</v>
      </c>
      <c r="U226" t="str">
        <f t="shared" si="23"/>
        <v>AAB6EE</v>
      </c>
      <c r="V226">
        <v>0</v>
      </c>
      <c r="W226">
        <v>0</v>
      </c>
      <c r="X226">
        <v>4</v>
      </c>
      <c r="Z226">
        <v>0</v>
      </c>
      <c r="AA226">
        <v>8</v>
      </c>
      <c r="AB226">
        <v>3</v>
      </c>
      <c r="AC226">
        <v>0</v>
      </c>
      <c r="AD226">
        <v>10</v>
      </c>
      <c r="AE226">
        <v>0</v>
      </c>
      <c r="AF226">
        <v>0</v>
      </c>
      <c r="AG226">
        <v>1</v>
      </c>
      <c r="AH226">
        <v>1</v>
      </c>
      <c r="AI226" t="s">
        <v>271</v>
      </c>
      <c r="AJ226">
        <v>35.524571000000002</v>
      </c>
      <c r="AK226" t="s">
        <v>272</v>
      </c>
      <c r="AL226">
        <v>-76.030475999999993</v>
      </c>
      <c r="AM226">
        <v>25</v>
      </c>
      <c r="AN226">
        <v>3425</v>
      </c>
      <c r="AO226" t="s">
        <v>118</v>
      </c>
      <c r="AP226">
        <v>-72</v>
      </c>
      <c r="AQ226">
        <v>-140</v>
      </c>
      <c r="AR226">
        <v>0</v>
      </c>
      <c r="AZ226">
        <v>1200</v>
      </c>
      <c r="BA226">
        <v>1</v>
      </c>
      <c r="BB226" t="str">
        <f t="shared" si="25"/>
        <v xml:space="preserve">N79NX   </v>
      </c>
      <c r="BC226">
        <v>1</v>
      </c>
      <c r="BE226">
        <v>0</v>
      </c>
      <c r="BF226">
        <v>0</v>
      </c>
      <c r="BG226">
        <v>0</v>
      </c>
      <c r="BH226">
        <v>3300</v>
      </c>
      <c r="BI226">
        <v>0</v>
      </c>
      <c r="BJ226">
        <v>0</v>
      </c>
      <c r="BK226">
        <v>0</v>
      </c>
      <c r="BL226">
        <v>0</v>
      </c>
      <c r="BO226">
        <v>0</v>
      </c>
      <c r="BP226">
        <v>0</v>
      </c>
      <c r="BW226" t="str">
        <f>"18:36:40.240"</f>
        <v>18:36:40.240</v>
      </c>
      <c r="BZ226">
        <v>0</v>
      </c>
      <c r="CA226">
        <v>3488</v>
      </c>
      <c r="CB226">
        <v>216</v>
      </c>
      <c r="CC226">
        <v>583.59379999999999</v>
      </c>
      <c r="CD226">
        <v>1</v>
      </c>
      <c r="CE226">
        <v>1</v>
      </c>
      <c r="CF226">
        <v>0</v>
      </c>
      <c r="CG226">
        <v>1</v>
      </c>
      <c r="CH226">
        <v>0</v>
      </c>
      <c r="CI226">
        <v>0</v>
      </c>
      <c r="CJ226">
        <v>0</v>
      </c>
      <c r="CK226">
        <v>2</v>
      </c>
      <c r="CL226">
        <v>0</v>
      </c>
      <c r="CM226">
        <v>2</v>
      </c>
      <c r="CN226">
        <v>0</v>
      </c>
      <c r="CO226">
        <v>7</v>
      </c>
      <c r="CP226" t="s">
        <v>119</v>
      </c>
      <c r="CQ226">
        <v>145</v>
      </c>
      <c r="CR226">
        <v>1</v>
      </c>
      <c r="CW226">
        <v>8884078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</row>
    <row r="227" spans="1:113" x14ac:dyDescent="0.3">
      <c r="A227" t="str">
        <f>"02/13/2022 18:36:40.463"</f>
        <v>02/13/2022 18:36:40.463</v>
      </c>
      <c r="C227" t="str">
        <f t="shared" si="24"/>
        <v>FFDFD7C0</v>
      </c>
      <c r="D227" t="s">
        <v>113</v>
      </c>
      <c r="E227">
        <v>4</v>
      </c>
      <c r="F227">
        <v>1004</v>
      </c>
      <c r="G227" t="s">
        <v>120</v>
      </c>
      <c r="J227" t="s">
        <v>115</v>
      </c>
      <c r="K227">
        <v>0</v>
      </c>
      <c r="L227">
        <v>3</v>
      </c>
      <c r="M227">
        <v>0</v>
      </c>
      <c r="N227">
        <v>2</v>
      </c>
      <c r="O227">
        <v>1</v>
      </c>
      <c r="P227">
        <v>0</v>
      </c>
      <c r="Q227">
        <v>0</v>
      </c>
      <c r="S227" t="str">
        <f>"18:36:40.234"</f>
        <v>18:36:40.234</v>
      </c>
      <c r="T227" t="str">
        <f>"18:36:39.834"</f>
        <v>18:36:39.834</v>
      </c>
      <c r="U227" t="str">
        <f t="shared" si="23"/>
        <v>AAB6EE</v>
      </c>
      <c r="V227">
        <v>0</v>
      </c>
      <c r="W227">
        <v>0</v>
      </c>
      <c r="X227">
        <v>4</v>
      </c>
      <c r="Z227">
        <v>0</v>
      </c>
      <c r="AA227">
        <v>8</v>
      </c>
      <c r="AB227">
        <v>3</v>
      </c>
      <c r="AC227">
        <v>0</v>
      </c>
      <c r="AD227">
        <v>10</v>
      </c>
      <c r="AE227">
        <v>0</v>
      </c>
      <c r="AF227">
        <v>0</v>
      </c>
      <c r="AG227">
        <v>1</v>
      </c>
      <c r="AH227">
        <v>1</v>
      </c>
      <c r="AI227" t="s">
        <v>271</v>
      </c>
      <c r="AJ227">
        <v>35.524571000000002</v>
      </c>
      <c r="AK227" t="s">
        <v>272</v>
      </c>
      <c r="AL227">
        <v>-76.030475999999993</v>
      </c>
      <c r="AM227">
        <v>25</v>
      </c>
      <c r="AN227">
        <v>3425</v>
      </c>
      <c r="AO227" t="s">
        <v>118</v>
      </c>
      <c r="AP227">
        <v>-72</v>
      </c>
      <c r="AQ227">
        <v>-140</v>
      </c>
      <c r="AR227">
        <v>0</v>
      </c>
      <c r="AZ227">
        <v>1200</v>
      </c>
      <c r="BA227">
        <v>1</v>
      </c>
      <c r="BB227" t="str">
        <f t="shared" si="25"/>
        <v xml:space="preserve">N79NX   </v>
      </c>
      <c r="BC227">
        <v>1</v>
      </c>
      <c r="BE227">
        <v>0</v>
      </c>
      <c r="BF227">
        <v>0</v>
      </c>
      <c r="BG227">
        <v>0</v>
      </c>
      <c r="BH227">
        <v>3300</v>
      </c>
      <c r="BI227">
        <v>0</v>
      </c>
      <c r="BJ227">
        <v>0</v>
      </c>
      <c r="BK227">
        <v>0</v>
      </c>
      <c r="BL227">
        <v>0</v>
      </c>
      <c r="BO227">
        <v>0</v>
      </c>
      <c r="BP227">
        <v>0</v>
      </c>
      <c r="BW227" t="str">
        <f>"18:36:40.240"</f>
        <v>18:36:40.240</v>
      </c>
      <c r="BZ227">
        <v>0</v>
      </c>
      <c r="CA227">
        <v>3488</v>
      </c>
      <c r="CB227">
        <v>216</v>
      </c>
      <c r="CC227">
        <v>583.59379999999999</v>
      </c>
      <c r="CD227">
        <v>1</v>
      </c>
      <c r="CE227">
        <v>1</v>
      </c>
      <c r="CF227">
        <v>0</v>
      </c>
      <c r="CG227">
        <v>1</v>
      </c>
      <c r="CH227">
        <v>0</v>
      </c>
      <c r="CI227">
        <v>0</v>
      </c>
      <c r="CJ227">
        <v>0</v>
      </c>
      <c r="CK227">
        <v>2</v>
      </c>
      <c r="CL227">
        <v>0</v>
      </c>
      <c r="CM227">
        <v>2</v>
      </c>
      <c r="CN227">
        <v>0</v>
      </c>
      <c r="CO227">
        <v>7</v>
      </c>
      <c r="CP227" t="s">
        <v>119</v>
      </c>
      <c r="CQ227">
        <v>145</v>
      </c>
      <c r="CR227">
        <v>1</v>
      </c>
      <c r="CW227">
        <v>8884078</v>
      </c>
      <c r="CY227">
        <v>0</v>
      </c>
      <c r="CZ227">
        <v>0</v>
      </c>
      <c r="DA227">
        <v>1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</row>
    <row r="228" spans="1:113" x14ac:dyDescent="0.3">
      <c r="A228" t="str">
        <f>"02/13/2022 18:36:40.479"</f>
        <v>02/13/2022 18:36:40.479</v>
      </c>
      <c r="C228" t="str">
        <f t="shared" si="24"/>
        <v>FFDFD7C0</v>
      </c>
      <c r="D228" t="s">
        <v>121</v>
      </c>
      <c r="E228">
        <v>2</v>
      </c>
      <c r="H228">
        <v>158</v>
      </c>
      <c r="I228" t="s">
        <v>120</v>
      </c>
      <c r="J228" t="s">
        <v>122</v>
      </c>
      <c r="K228">
        <v>0</v>
      </c>
      <c r="L228">
        <v>3</v>
      </c>
      <c r="M228">
        <v>0</v>
      </c>
      <c r="N228">
        <v>2</v>
      </c>
      <c r="O228">
        <v>1</v>
      </c>
      <c r="P228">
        <v>0</v>
      </c>
      <c r="Q228">
        <v>0</v>
      </c>
      <c r="S228" t="str">
        <f>"18:36:40.234"</f>
        <v>18:36:40.234</v>
      </c>
      <c r="T228" t="str">
        <f>"18:36:39.834"</f>
        <v>18:36:39.834</v>
      </c>
      <c r="U228" t="str">
        <f t="shared" si="23"/>
        <v>AAB6EE</v>
      </c>
      <c r="V228">
        <v>0</v>
      </c>
      <c r="W228">
        <v>0</v>
      </c>
      <c r="X228">
        <v>4</v>
      </c>
      <c r="Z228">
        <v>0</v>
      </c>
      <c r="AA228">
        <v>8</v>
      </c>
      <c r="AB228">
        <v>3</v>
      </c>
      <c r="AC228">
        <v>0</v>
      </c>
      <c r="AD228">
        <v>10</v>
      </c>
      <c r="AE228">
        <v>0</v>
      </c>
      <c r="AF228">
        <v>0</v>
      </c>
      <c r="AG228">
        <v>1</v>
      </c>
      <c r="AH228">
        <v>1</v>
      </c>
      <c r="AI228" t="s">
        <v>271</v>
      </c>
      <c r="AJ228">
        <v>35.524571000000002</v>
      </c>
      <c r="AK228" t="s">
        <v>272</v>
      </c>
      <c r="AL228">
        <v>-76.030475999999993</v>
      </c>
      <c r="AM228">
        <v>25</v>
      </c>
      <c r="AN228">
        <v>3425</v>
      </c>
      <c r="AO228" t="s">
        <v>118</v>
      </c>
      <c r="AP228">
        <v>-72</v>
      </c>
      <c r="AQ228">
        <v>-140</v>
      </c>
      <c r="AR228">
        <v>0</v>
      </c>
      <c r="AZ228">
        <v>1200</v>
      </c>
      <c r="BA228">
        <v>1</v>
      </c>
      <c r="BB228" t="str">
        <f t="shared" si="25"/>
        <v xml:space="preserve">N79NX   </v>
      </c>
      <c r="BC228">
        <v>1</v>
      </c>
      <c r="BE228">
        <v>0</v>
      </c>
      <c r="BF228">
        <v>0</v>
      </c>
      <c r="BG228">
        <v>0</v>
      </c>
      <c r="BH228">
        <v>3300</v>
      </c>
      <c r="BI228">
        <v>0</v>
      </c>
      <c r="BJ228">
        <v>0</v>
      </c>
      <c r="BK228">
        <v>0</v>
      </c>
      <c r="BL228">
        <v>0</v>
      </c>
      <c r="BO228">
        <v>0</v>
      </c>
      <c r="BP228">
        <v>0</v>
      </c>
      <c r="BW228" t="str">
        <f>"18:36:40.240"</f>
        <v>18:36:40.240</v>
      </c>
      <c r="BZ228">
        <v>0</v>
      </c>
      <c r="CA228">
        <v>3488</v>
      </c>
      <c r="CB228">
        <v>216</v>
      </c>
      <c r="CC228">
        <v>583.59379999999999</v>
      </c>
      <c r="CD228">
        <v>1</v>
      </c>
      <c r="CE228">
        <v>1</v>
      </c>
      <c r="CF228">
        <v>0</v>
      </c>
      <c r="CG228">
        <v>1</v>
      </c>
      <c r="CH228">
        <v>0</v>
      </c>
      <c r="CI228">
        <v>0</v>
      </c>
      <c r="CJ228">
        <v>0</v>
      </c>
      <c r="CK228">
        <v>2</v>
      </c>
      <c r="CL228">
        <v>0</v>
      </c>
      <c r="CM228">
        <v>2</v>
      </c>
      <c r="CN228">
        <v>0</v>
      </c>
      <c r="CO228">
        <v>7</v>
      </c>
      <c r="CP228" t="s">
        <v>119</v>
      </c>
      <c r="CQ228">
        <v>145</v>
      </c>
      <c r="CR228">
        <v>1</v>
      </c>
      <c r="CW228">
        <v>8884078</v>
      </c>
      <c r="CY228">
        <v>0</v>
      </c>
      <c r="CZ228">
        <v>0</v>
      </c>
      <c r="DA228">
        <v>1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</row>
    <row r="229" spans="1:113" x14ac:dyDescent="0.3">
      <c r="A229" t="str">
        <f>"02/13/2022 18:36:41.370"</f>
        <v>02/13/2022 18:36:41.370</v>
      </c>
      <c r="C229" t="str">
        <f t="shared" si="24"/>
        <v>FFDFD7C0</v>
      </c>
      <c r="D229" t="s">
        <v>113</v>
      </c>
      <c r="E229">
        <v>3</v>
      </c>
      <c r="F229">
        <v>1003</v>
      </c>
      <c r="G229" t="s">
        <v>114</v>
      </c>
      <c r="J229" t="s">
        <v>115</v>
      </c>
      <c r="K229">
        <v>0</v>
      </c>
      <c r="L229">
        <v>3</v>
      </c>
      <c r="M229">
        <v>0</v>
      </c>
      <c r="N229">
        <v>2</v>
      </c>
      <c r="O229">
        <v>1</v>
      </c>
      <c r="P229">
        <v>0</v>
      </c>
      <c r="Q229">
        <v>0</v>
      </c>
      <c r="S229" t="str">
        <f>"18:36:41.180"</f>
        <v>18:36:41.180</v>
      </c>
      <c r="T229" t="str">
        <f>"18:36:40.980"</f>
        <v>18:36:40.980</v>
      </c>
      <c r="U229" t="str">
        <f t="shared" si="23"/>
        <v>AAB6EE</v>
      </c>
      <c r="V229">
        <v>0</v>
      </c>
      <c r="W229">
        <v>0</v>
      </c>
      <c r="X229">
        <v>4</v>
      </c>
      <c r="Z229">
        <v>0</v>
      </c>
      <c r="AA229">
        <v>8</v>
      </c>
      <c r="AB229">
        <v>3</v>
      </c>
      <c r="AC229">
        <v>0</v>
      </c>
      <c r="AD229">
        <v>10</v>
      </c>
      <c r="AE229">
        <v>0</v>
      </c>
      <c r="AF229">
        <v>0</v>
      </c>
      <c r="AG229">
        <v>1</v>
      </c>
      <c r="AH229">
        <v>1</v>
      </c>
      <c r="AI229" t="s">
        <v>273</v>
      </c>
      <c r="AJ229">
        <v>35.523969999999998</v>
      </c>
      <c r="AK229" t="s">
        <v>274</v>
      </c>
      <c r="AL229">
        <v>-76.030818999999994</v>
      </c>
      <c r="AM229">
        <v>25</v>
      </c>
      <c r="AN229">
        <v>3425</v>
      </c>
      <c r="AO229" t="s">
        <v>118</v>
      </c>
      <c r="AP229">
        <v>-73</v>
      </c>
      <c r="AQ229">
        <v>-142</v>
      </c>
      <c r="AR229">
        <v>64</v>
      </c>
      <c r="AZ229">
        <v>1200</v>
      </c>
      <c r="BA229">
        <v>1</v>
      </c>
      <c r="BB229" t="str">
        <f t="shared" si="25"/>
        <v xml:space="preserve">N79NX   </v>
      </c>
      <c r="BC229">
        <v>1</v>
      </c>
      <c r="BE229">
        <v>0</v>
      </c>
      <c r="BF229">
        <v>0</v>
      </c>
      <c r="BG229">
        <v>0</v>
      </c>
      <c r="BH229">
        <v>3300</v>
      </c>
      <c r="BI229">
        <v>0</v>
      </c>
      <c r="BJ229">
        <v>0</v>
      </c>
      <c r="BK229">
        <v>0</v>
      </c>
      <c r="BL229">
        <v>0</v>
      </c>
      <c r="BO229">
        <v>0</v>
      </c>
      <c r="BP229">
        <v>0</v>
      </c>
      <c r="BW229" t="str">
        <f>"18:36:41.180"</f>
        <v>18:36:41.180</v>
      </c>
      <c r="BZ229">
        <v>0</v>
      </c>
      <c r="CA229">
        <v>3488</v>
      </c>
      <c r="CB229">
        <v>216</v>
      </c>
      <c r="CC229">
        <v>583.59379999999999</v>
      </c>
      <c r="CD229">
        <v>1</v>
      </c>
      <c r="CE229">
        <v>1</v>
      </c>
      <c r="CF229">
        <v>0</v>
      </c>
      <c r="CG229">
        <v>1</v>
      </c>
      <c r="CH229">
        <v>0</v>
      </c>
      <c r="CI229">
        <v>0</v>
      </c>
      <c r="CJ229">
        <v>0</v>
      </c>
      <c r="CK229">
        <v>2</v>
      </c>
      <c r="CL229">
        <v>0</v>
      </c>
      <c r="CM229">
        <v>2</v>
      </c>
      <c r="CN229">
        <v>0</v>
      </c>
      <c r="CO229">
        <v>7</v>
      </c>
      <c r="CP229" t="s">
        <v>119</v>
      </c>
      <c r="CQ229">
        <v>145</v>
      </c>
      <c r="CR229">
        <v>1</v>
      </c>
      <c r="CW229">
        <v>8884508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</row>
    <row r="230" spans="1:113" x14ac:dyDescent="0.3">
      <c r="A230" t="str">
        <f>"02/13/2022 18:36:41.370"</f>
        <v>02/13/2022 18:36:41.370</v>
      </c>
      <c r="C230" t="str">
        <f t="shared" si="24"/>
        <v>FFDFD7C0</v>
      </c>
      <c r="D230" t="s">
        <v>113</v>
      </c>
      <c r="E230">
        <v>4</v>
      </c>
      <c r="F230">
        <v>1004</v>
      </c>
      <c r="G230" t="s">
        <v>120</v>
      </c>
      <c r="J230" t="s">
        <v>115</v>
      </c>
      <c r="K230">
        <v>0</v>
      </c>
      <c r="L230">
        <v>3</v>
      </c>
      <c r="M230">
        <v>0</v>
      </c>
      <c r="N230">
        <v>2</v>
      </c>
      <c r="O230">
        <v>1</v>
      </c>
      <c r="P230">
        <v>0</v>
      </c>
      <c r="Q230">
        <v>0</v>
      </c>
      <c r="S230" t="str">
        <f>"18:36:41.180"</f>
        <v>18:36:41.180</v>
      </c>
      <c r="T230" t="str">
        <f>"18:36:40.980"</f>
        <v>18:36:40.980</v>
      </c>
      <c r="U230" t="str">
        <f t="shared" si="23"/>
        <v>AAB6EE</v>
      </c>
      <c r="V230">
        <v>0</v>
      </c>
      <c r="W230">
        <v>0</v>
      </c>
      <c r="X230">
        <v>4</v>
      </c>
      <c r="Z230">
        <v>0</v>
      </c>
      <c r="AA230">
        <v>8</v>
      </c>
      <c r="AB230">
        <v>3</v>
      </c>
      <c r="AC230">
        <v>0</v>
      </c>
      <c r="AD230">
        <v>10</v>
      </c>
      <c r="AE230">
        <v>0</v>
      </c>
      <c r="AF230">
        <v>0</v>
      </c>
      <c r="AG230">
        <v>1</v>
      </c>
      <c r="AH230">
        <v>1</v>
      </c>
      <c r="AI230" t="s">
        <v>273</v>
      </c>
      <c r="AJ230">
        <v>35.523969999999998</v>
      </c>
      <c r="AK230" t="s">
        <v>274</v>
      </c>
      <c r="AL230">
        <v>-76.030818999999994</v>
      </c>
      <c r="AM230">
        <v>25</v>
      </c>
      <c r="AN230">
        <v>3425</v>
      </c>
      <c r="AO230" t="s">
        <v>118</v>
      </c>
      <c r="AP230">
        <v>-73</v>
      </c>
      <c r="AQ230">
        <v>-142</v>
      </c>
      <c r="AR230">
        <v>64</v>
      </c>
      <c r="AZ230">
        <v>1200</v>
      </c>
      <c r="BA230">
        <v>1</v>
      </c>
      <c r="BB230" t="str">
        <f t="shared" si="25"/>
        <v xml:space="preserve">N79NX   </v>
      </c>
      <c r="BC230">
        <v>1</v>
      </c>
      <c r="BE230">
        <v>0</v>
      </c>
      <c r="BF230">
        <v>0</v>
      </c>
      <c r="BG230">
        <v>0</v>
      </c>
      <c r="BH230">
        <v>3300</v>
      </c>
      <c r="BI230">
        <v>0</v>
      </c>
      <c r="BJ230">
        <v>0</v>
      </c>
      <c r="BK230">
        <v>0</v>
      </c>
      <c r="BL230">
        <v>0</v>
      </c>
      <c r="BO230">
        <v>0</v>
      </c>
      <c r="BP230">
        <v>0</v>
      </c>
      <c r="BW230" t="str">
        <f>"18:36:41.180"</f>
        <v>18:36:41.180</v>
      </c>
      <c r="BZ230">
        <v>0</v>
      </c>
      <c r="CA230">
        <v>3488</v>
      </c>
      <c r="CB230">
        <v>216</v>
      </c>
      <c r="CC230">
        <v>583.59379999999999</v>
      </c>
      <c r="CD230">
        <v>1</v>
      </c>
      <c r="CE230">
        <v>1</v>
      </c>
      <c r="CF230">
        <v>0</v>
      </c>
      <c r="CG230">
        <v>1</v>
      </c>
      <c r="CH230">
        <v>0</v>
      </c>
      <c r="CI230">
        <v>0</v>
      </c>
      <c r="CJ230">
        <v>0</v>
      </c>
      <c r="CK230">
        <v>2</v>
      </c>
      <c r="CL230">
        <v>0</v>
      </c>
      <c r="CM230">
        <v>2</v>
      </c>
      <c r="CN230">
        <v>0</v>
      </c>
      <c r="CO230">
        <v>7</v>
      </c>
      <c r="CP230" t="s">
        <v>119</v>
      </c>
      <c r="CQ230">
        <v>145</v>
      </c>
      <c r="CR230">
        <v>1</v>
      </c>
      <c r="CW230">
        <v>8884508</v>
      </c>
      <c r="CY230">
        <v>0</v>
      </c>
      <c r="CZ230">
        <v>0</v>
      </c>
      <c r="DA230">
        <v>1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</row>
    <row r="231" spans="1:113" x14ac:dyDescent="0.3">
      <c r="A231" t="str">
        <f>"02/13/2022 18:36:41.401"</f>
        <v>02/13/2022 18:36:41.401</v>
      </c>
      <c r="C231" t="str">
        <f t="shared" si="24"/>
        <v>FFDFD7C0</v>
      </c>
      <c r="D231" t="s">
        <v>121</v>
      </c>
      <c r="E231">
        <v>2</v>
      </c>
      <c r="H231">
        <v>158</v>
      </c>
      <c r="I231" t="s">
        <v>120</v>
      </c>
      <c r="J231" t="s">
        <v>122</v>
      </c>
      <c r="K231">
        <v>0</v>
      </c>
      <c r="L231">
        <v>3</v>
      </c>
      <c r="M231">
        <v>0</v>
      </c>
      <c r="N231">
        <v>2</v>
      </c>
      <c r="O231">
        <v>1</v>
      </c>
      <c r="P231">
        <v>0</v>
      </c>
      <c r="Q231">
        <v>0</v>
      </c>
      <c r="S231" t="str">
        <f>"18:36:41.180"</f>
        <v>18:36:41.180</v>
      </c>
      <c r="T231" t="str">
        <f>"18:36:40.980"</f>
        <v>18:36:40.980</v>
      </c>
      <c r="U231" t="str">
        <f t="shared" si="23"/>
        <v>AAB6EE</v>
      </c>
      <c r="V231">
        <v>0</v>
      </c>
      <c r="W231">
        <v>0</v>
      </c>
      <c r="X231">
        <v>4</v>
      </c>
      <c r="Z231">
        <v>0</v>
      </c>
      <c r="AA231">
        <v>8</v>
      </c>
      <c r="AB231">
        <v>3</v>
      </c>
      <c r="AC231">
        <v>0</v>
      </c>
      <c r="AD231">
        <v>10</v>
      </c>
      <c r="AE231">
        <v>0</v>
      </c>
      <c r="AF231">
        <v>0</v>
      </c>
      <c r="AG231">
        <v>1</v>
      </c>
      <c r="AH231">
        <v>1</v>
      </c>
      <c r="AI231" t="s">
        <v>273</v>
      </c>
      <c r="AJ231">
        <v>35.523969999999998</v>
      </c>
      <c r="AK231" t="s">
        <v>274</v>
      </c>
      <c r="AL231">
        <v>-76.030818999999994</v>
      </c>
      <c r="AM231">
        <v>25</v>
      </c>
      <c r="AN231">
        <v>3425</v>
      </c>
      <c r="AO231" t="s">
        <v>118</v>
      </c>
      <c r="AP231">
        <v>-73</v>
      </c>
      <c r="AQ231">
        <v>-142</v>
      </c>
      <c r="AR231">
        <v>64</v>
      </c>
      <c r="AZ231">
        <v>1200</v>
      </c>
      <c r="BA231">
        <v>1</v>
      </c>
      <c r="BB231" t="str">
        <f t="shared" si="25"/>
        <v xml:space="preserve">N79NX   </v>
      </c>
      <c r="BC231">
        <v>1</v>
      </c>
      <c r="BE231">
        <v>0</v>
      </c>
      <c r="BF231">
        <v>0</v>
      </c>
      <c r="BG231">
        <v>0</v>
      </c>
      <c r="BH231">
        <v>3300</v>
      </c>
      <c r="BI231">
        <v>0</v>
      </c>
      <c r="BJ231">
        <v>0</v>
      </c>
      <c r="BK231">
        <v>0</v>
      </c>
      <c r="BL231">
        <v>0</v>
      </c>
      <c r="BO231">
        <v>0</v>
      </c>
      <c r="BP231">
        <v>0</v>
      </c>
      <c r="BW231" t="str">
        <f>"18:36:41.180"</f>
        <v>18:36:41.180</v>
      </c>
      <c r="BZ231">
        <v>0</v>
      </c>
      <c r="CA231">
        <v>3488</v>
      </c>
      <c r="CB231">
        <v>216</v>
      </c>
      <c r="CC231">
        <v>583.59379999999999</v>
      </c>
      <c r="CD231">
        <v>1</v>
      </c>
      <c r="CE231">
        <v>1</v>
      </c>
      <c r="CF231">
        <v>0</v>
      </c>
      <c r="CG231">
        <v>1</v>
      </c>
      <c r="CH231">
        <v>0</v>
      </c>
      <c r="CI231">
        <v>0</v>
      </c>
      <c r="CJ231">
        <v>0</v>
      </c>
      <c r="CK231">
        <v>2</v>
      </c>
      <c r="CL231">
        <v>0</v>
      </c>
      <c r="CM231">
        <v>2</v>
      </c>
      <c r="CN231">
        <v>0</v>
      </c>
      <c r="CO231">
        <v>7</v>
      </c>
      <c r="CP231" t="s">
        <v>119</v>
      </c>
      <c r="CQ231">
        <v>145</v>
      </c>
      <c r="CR231">
        <v>1</v>
      </c>
      <c r="CW231">
        <v>8884508</v>
      </c>
      <c r="CY231">
        <v>0</v>
      </c>
      <c r="CZ231">
        <v>0</v>
      </c>
      <c r="DA231">
        <v>1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</row>
    <row r="232" spans="1:113" x14ac:dyDescent="0.3">
      <c r="A232" t="str">
        <f>"02/13/2022 18:36:42.292"</f>
        <v>02/13/2022 18:36:42.292</v>
      </c>
      <c r="C232" t="str">
        <f t="shared" si="24"/>
        <v>FFDFD7C0</v>
      </c>
      <c r="D232" t="s">
        <v>121</v>
      </c>
      <c r="E232">
        <v>2</v>
      </c>
      <c r="H232">
        <v>158</v>
      </c>
      <c r="I232" t="s">
        <v>120</v>
      </c>
      <c r="J232" t="s">
        <v>122</v>
      </c>
      <c r="K232">
        <v>0</v>
      </c>
      <c r="L232">
        <v>3</v>
      </c>
      <c r="M232">
        <v>0</v>
      </c>
      <c r="N232">
        <v>2</v>
      </c>
      <c r="O232">
        <v>1</v>
      </c>
      <c r="P232">
        <v>0</v>
      </c>
      <c r="Q232">
        <v>0</v>
      </c>
      <c r="S232" t="str">
        <f>"18:36:42.086"</f>
        <v>18:36:42.086</v>
      </c>
      <c r="T232" t="str">
        <f>"18:36:41.886"</f>
        <v>18:36:41.886</v>
      </c>
      <c r="U232" t="str">
        <f t="shared" si="23"/>
        <v>AAB6EE</v>
      </c>
      <c r="V232">
        <v>0</v>
      </c>
      <c r="W232">
        <v>0</v>
      </c>
      <c r="X232">
        <v>4</v>
      </c>
      <c r="Z232">
        <v>0</v>
      </c>
      <c r="AA232">
        <v>8</v>
      </c>
      <c r="AB232">
        <v>3</v>
      </c>
      <c r="AC232">
        <v>0</v>
      </c>
      <c r="AD232">
        <v>10</v>
      </c>
      <c r="AE232">
        <v>0</v>
      </c>
      <c r="AF232">
        <v>0</v>
      </c>
      <c r="AG232">
        <v>1</v>
      </c>
      <c r="AH232">
        <v>1</v>
      </c>
      <c r="AI232" t="s">
        <v>275</v>
      </c>
      <c r="AJ232">
        <v>35.523369000000002</v>
      </c>
      <c r="AK232" t="s">
        <v>276</v>
      </c>
      <c r="AL232">
        <v>-76.031227000000001</v>
      </c>
      <c r="AM232">
        <v>25</v>
      </c>
      <c r="AN232">
        <v>3425</v>
      </c>
      <c r="AO232" t="s">
        <v>118</v>
      </c>
      <c r="AP232">
        <v>-73</v>
      </c>
      <c r="AQ232">
        <v>-143</v>
      </c>
      <c r="AR232">
        <v>64</v>
      </c>
      <c r="AZ232">
        <v>1200</v>
      </c>
      <c r="BA232">
        <v>1</v>
      </c>
      <c r="BB232" t="str">
        <f t="shared" si="25"/>
        <v xml:space="preserve">N79NX   </v>
      </c>
      <c r="BC232">
        <v>1</v>
      </c>
      <c r="BE232">
        <v>0</v>
      </c>
      <c r="BF232">
        <v>0</v>
      </c>
      <c r="BG232">
        <v>0</v>
      </c>
      <c r="BH232">
        <v>3300</v>
      </c>
      <c r="BI232">
        <v>0</v>
      </c>
      <c r="BJ232">
        <v>0</v>
      </c>
      <c r="BK232">
        <v>0</v>
      </c>
      <c r="BL232">
        <v>0</v>
      </c>
      <c r="BO232">
        <v>0</v>
      </c>
      <c r="BP232">
        <v>0</v>
      </c>
      <c r="BW232" t="str">
        <f>"18:36:42.090"</f>
        <v>18:36:42.090</v>
      </c>
      <c r="BZ232">
        <v>0</v>
      </c>
      <c r="CA232">
        <v>3488</v>
      </c>
      <c r="CB232">
        <v>216</v>
      </c>
      <c r="CC232">
        <v>583.59379999999999</v>
      </c>
      <c r="CD232">
        <v>1</v>
      </c>
      <c r="CE232">
        <v>1</v>
      </c>
      <c r="CF232">
        <v>0</v>
      </c>
      <c r="CG232">
        <v>1</v>
      </c>
      <c r="CH232">
        <v>0</v>
      </c>
      <c r="CI232">
        <v>0</v>
      </c>
      <c r="CJ232">
        <v>0</v>
      </c>
      <c r="CK232">
        <v>2</v>
      </c>
      <c r="CL232">
        <v>0</v>
      </c>
      <c r="CM232">
        <v>2</v>
      </c>
      <c r="CN232">
        <v>0</v>
      </c>
      <c r="CO232">
        <v>7</v>
      </c>
      <c r="CP232" t="s">
        <v>119</v>
      </c>
      <c r="CQ232">
        <v>145</v>
      </c>
      <c r="CR232">
        <v>1</v>
      </c>
      <c r="CW232">
        <v>8885004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</row>
    <row r="233" spans="1:113" x14ac:dyDescent="0.3">
      <c r="A233" t="str">
        <f>"02/13/2022 18:36:42.307"</f>
        <v>02/13/2022 18:36:42.307</v>
      </c>
      <c r="C233" t="str">
        <f t="shared" si="24"/>
        <v>FFDFD7C0</v>
      </c>
      <c r="D233" t="s">
        <v>113</v>
      </c>
      <c r="E233">
        <v>3</v>
      </c>
      <c r="F233">
        <v>1003</v>
      </c>
      <c r="G233" t="s">
        <v>114</v>
      </c>
      <c r="J233" t="s">
        <v>115</v>
      </c>
      <c r="K233">
        <v>0</v>
      </c>
      <c r="L233">
        <v>3</v>
      </c>
      <c r="M233">
        <v>0</v>
      </c>
      <c r="N233">
        <v>2</v>
      </c>
      <c r="O233">
        <v>1</v>
      </c>
      <c r="P233">
        <v>0</v>
      </c>
      <c r="Q233">
        <v>0</v>
      </c>
      <c r="S233" t="str">
        <f>"18:36:42.086"</f>
        <v>18:36:42.086</v>
      </c>
      <c r="T233" t="str">
        <f>"18:36:41.886"</f>
        <v>18:36:41.886</v>
      </c>
      <c r="U233" t="str">
        <f t="shared" si="23"/>
        <v>AAB6EE</v>
      </c>
      <c r="V233">
        <v>0</v>
      </c>
      <c r="W233">
        <v>0</v>
      </c>
      <c r="X233">
        <v>4</v>
      </c>
      <c r="Z233">
        <v>0</v>
      </c>
      <c r="AA233">
        <v>8</v>
      </c>
      <c r="AB233">
        <v>3</v>
      </c>
      <c r="AC233">
        <v>0</v>
      </c>
      <c r="AD233">
        <v>10</v>
      </c>
      <c r="AE233">
        <v>0</v>
      </c>
      <c r="AF233">
        <v>0</v>
      </c>
      <c r="AG233">
        <v>1</v>
      </c>
      <c r="AH233">
        <v>1</v>
      </c>
      <c r="AI233" t="s">
        <v>275</v>
      </c>
      <c r="AJ233">
        <v>35.523369000000002</v>
      </c>
      <c r="AK233" t="s">
        <v>276</v>
      </c>
      <c r="AL233">
        <v>-76.031227000000001</v>
      </c>
      <c r="AM233">
        <v>25</v>
      </c>
      <c r="AN233">
        <v>3425</v>
      </c>
      <c r="AO233" t="s">
        <v>118</v>
      </c>
      <c r="AP233">
        <v>-73</v>
      </c>
      <c r="AQ233">
        <v>-143</v>
      </c>
      <c r="AR233">
        <v>64</v>
      </c>
      <c r="AZ233">
        <v>1200</v>
      </c>
      <c r="BA233">
        <v>1</v>
      </c>
      <c r="BB233" t="str">
        <f t="shared" si="25"/>
        <v xml:space="preserve">N79NX   </v>
      </c>
      <c r="BC233">
        <v>1</v>
      </c>
      <c r="BE233">
        <v>0</v>
      </c>
      <c r="BF233">
        <v>0</v>
      </c>
      <c r="BG233">
        <v>0</v>
      </c>
      <c r="BH233">
        <v>3300</v>
      </c>
      <c r="BI233">
        <v>0</v>
      </c>
      <c r="BJ233">
        <v>0</v>
      </c>
      <c r="BK233">
        <v>0</v>
      </c>
      <c r="BL233">
        <v>0</v>
      </c>
      <c r="BO233">
        <v>0</v>
      </c>
      <c r="BP233">
        <v>0</v>
      </c>
      <c r="BW233" t="str">
        <f>"18:36:42.090"</f>
        <v>18:36:42.090</v>
      </c>
      <c r="BZ233">
        <v>0</v>
      </c>
      <c r="CA233">
        <v>3488</v>
      </c>
      <c r="CB233">
        <v>216</v>
      </c>
      <c r="CC233">
        <v>583.59379999999999</v>
      </c>
      <c r="CD233">
        <v>1</v>
      </c>
      <c r="CE233">
        <v>1</v>
      </c>
      <c r="CF233">
        <v>0</v>
      </c>
      <c r="CG233">
        <v>1</v>
      </c>
      <c r="CH233">
        <v>0</v>
      </c>
      <c r="CI233">
        <v>0</v>
      </c>
      <c r="CJ233">
        <v>0</v>
      </c>
      <c r="CK233">
        <v>2</v>
      </c>
      <c r="CL233">
        <v>0</v>
      </c>
      <c r="CM233">
        <v>2</v>
      </c>
      <c r="CN233">
        <v>0</v>
      </c>
      <c r="CO233">
        <v>7</v>
      </c>
      <c r="CP233" t="s">
        <v>119</v>
      </c>
      <c r="CQ233">
        <v>145</v>
      </c>
      <c r="CR233">
        <v>1</v>
      </c>
      <c r="CW233">
        <v>8885004</v>
      </c>
      <c r="CY233">
        <v>0</v>
      </c>
      <c r="CZ233">
        <v>0</v>
      </c>
      <c r="DA233">
        <v>1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</row>
    <row r="234" spans="1:113" x14ac:dyDescent="0.3">
      <c r="A234" t="str">
        <f>"02/13/2022 18:36:42.307"</f>
        <v>02/13/2022 18:36:42.307</v>
      </c>
      <c r="C234" t="str">
        <f t="shared" si="24"/>
        <v>FFDFD7C0</v>
      </c>
      <c r="D234" t="s">
        <v>113</v>
      </c>
      <c r="E234">
        <v>4</v>
      </c>
      <c r="F234">
        <v>1004</v>
      </c>
      <c r="G234" t="s">
        <v>120</v>
      </c>
      <c r="J234" t="s">
        <v>115</v>
      </c>
      <c r="K234">
        <v>0</v>
      </c>
      <c r="L234">
        <v>3</v>
      </c>
      <c r="M234">
        <v>0</v>
      </c>
      <c r="N234">
        <v>2</v>
      </c>
      <c r="O234">
        <v>1</v>
      </c>
      <c r="P234">
        <v>0</v>
      </c>
      <c r="Q234">
        <v>0</v>
      </c>
      <c r="S234" t="str">
        <f>"18:36:42.086"</f>
        <v>18:36:42.086</v>
      </c>
      <c r="T234" t="str">
        <f>"18:36:41.886"</f>
        <v>18:36:41.886</v>
      </c>
      <c r="U234" t="str">
        <f t="shared" si="23"/>
        <v>AAB6EE</v>
      </c>
      <c r="V234">
        <v>0</v>
      </c>
      <c r="W234">
        <v>0</v>
      </c>
      <c r="X234">
        <v>4</v>
      </c>
      <c r="Z234">
        <v>0</v>
      </c>
      <c r="AA234">
        <v>8</v>
      </c>
      <c r="AB234">
        <v>3</v>
      </c>
      <c r="AC234">
        <v>0</v>
      </c>
      <c r="AD234">
        <v>10</v>
      </c>
      <c r="AE234">
        <v>0</v>
      </c>
      <c r="AF234">
        <v>0</v>
      </c>
      <c r="AG234">
        <v>1</v>
      </c>
      <c r="AH234">
        <v>1</v>
      </c>
      <c r="AI234" t="s">
        <v>275</v>
      </c>
      <c r="AJ234">
        <v>35.523369000000002</v>
      </c>
      <c r="AK234" t="s">
        <v>276</v>
      </c>
      <c r="AL234">
        <v>-76.031227000000001</v>
      </c>
      <c r="AM234">
        <v>25</v>
      </c>
      <c r="AN234">
        <v>3425</v>
      </c>
      <c r="AO234" t="s">
        <v>118</v>
      </c>
      <c r="AP234">
        <v>-73</v>
      </c>
      <c r="AQ234">
        <v>-143</v>
      </c>
      <c r="AR234">
        <v>64</v>
      </c>
      <c r="AZ234">
        <v>1200</v>
      </c>
      <c r="BA234">
        <v>1</v>
      </c>
      <c r="BB234" t="str">
        <f t="shared" si="25"/>
        <v xml:space="preserve">N79NX   </v>
      </c>
      <c r="BC234">
        <v>1</v>
      </c>
      <c r="BE234">
        <v>0</v>
      </c>
      <c r="BF234">
        <v>0</v>
      </c>
      <c r="BG234">
        <v>0</v>
      </c>
      <c r="BH234">
        <v>3300</v>
      </c>
      <c r="BI234">
        <v>0</v>
      </c>
      <c r="BJ234">
        <v>0</v>
      </c>
      <c r="BK234">
        <v>0</v>
      </c>
      <c r="BL234">
        <v>0</v>
      </c>
      <c r="BO234">
        <v>0</v>
      </c>
      <c r="BP234">
        <v>0</v>
      </c>
      <c r="BW234" t="str">
        <f>"18:36:42.090"</f>
        <v>18:36:42.090</v>
      </c>
      <c r="BZ234">
        <v>0</v>
      </c>
      <c r="CA234">
        <v>3488</v>
      </c>
      <c r="CB234">
        <v>216</v>
      </c>
      <c r="CC234">
        <v>583.59379999999999</v>
      </c>
      <c r="CD234">
        <v>1</v>
      </c>
      <c r="CE234">
        <v>1</v>
      </c>
      <c r="CF234">
        <v>0</v>
      </c>
      <c r="CG234">
        <v>1</v>
      </c>
      <c r="CH234">
        <v>0</v>
      </c>
      <c r="CI234">
        <v>0</v>
      </c>
      <c r="CJ234">
        <v>0</v>
      </c>
      <c r="CK234">
        <v>2</v>
      </c>
      <c r="CL234">
        <v>0</v>
      </c>
      <c r="CM234">
        <v>2</v>
      </c>
      <c r="CN234">
        <v>0</v>
      </c>
      <c r="CO234">
        <v>7</v>
      </c>
      <c r="CP234" t="s">
        <v>119</v>
      </c>
      <c r="CQ234">
        <v>145</v>
      </c>
      <c r="CR234">
        <v>1</v>
      </c>
      <c r="CW234">
        <v>8885004</v>
      </c>
      <c r="CY234">
        <v>0</v>
      </c>
      <c r="CZ234">
        <v>0</v>
      </c>
      <c r="DA234">
        <v>1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</row>
    <row r="235" spans="1:113" x14ac:dyDescent="0.3">
      <c r="A235" t="str">
        <f>"02/13/2022 18:36:43.370"</f>
        <v>02/13/2022 18:36:43.370</v>
      </c>
      <c r="C235" t="str">
        <f t="shared" si="24"/>
        <v>FFDFD7C0</v>
      </c>
      <c r="D235" t="s">
        <v>121</v>
      </c>
      <c r="E235">
        <v>2</v>
      </c>
      <c r="H235">
        <v>158</v>
      </c>
      <c r="I235" t="s">
        <v>120</v>
      </c>
      <c r="J235" t="s">
        <v>122</v>
      </c>
      <c r="K235">
        <v>0</v>
      </c>
      <c r="L235">
        <v>3</v>
      </c>
      <c r="M235">
        <v>0</v>
      </c>
      <c r="N235">
        <v>2</v>
      </c>
      <c r="O235">
        <v>1</v>
      </c>
      <c r="P235">
        <v>0</v>
      </c>
      <c r="Q235">
        <v>0</v>
      </c>
      <c r="S235" t="str">
        <f>"18:36:43.133"</f>
        <v>18:36:43.133</v>
      </c>
      <c r="T235" t="str">
        <f>"18:36:42.833"</f>
        <v>18:36:42.833</v>
      </c>
      <c r="U235" t="str">
        <f t="shared" si="23"/>
        <v>AAB6EE</v>
      </c>
      <c r="V235">
        <v>0</v>
      </c>
      <c r="W235">
        <v>0</v>
      </c>
      <c r="X235">
        <v>4</v>
      </c>
      <c r="Z235">
        <v>0</v>
      </c>
      <c r="AA235">
        <v>8</v>
      </c>
      <c r="AB235">
        <v>3</v>
      </c>
      <c r="AC235">
        <v>0</v>
      </c>
      <c r="AD235">
        <v>10</v>
      </c>
      <c r="AE235">
        <v>0</v>
      </c>
      <c r="AF235">
        <v>0</v>
      </c>
      <c r="AG235">
        <v>1</v>
      </c>
      <c r="AH235">
        <v>1</v>
      </c>
      <c r="AI235" t="s">
        <v>277</v>
      </c>
      <c r="AJ235">
        <v>35.522640000000003</v>
      </c>
      <c r="AK235" t="s">
        <v>278</v>
      </c>
      <c r="AL235">
        <v>-76.031677999999999</v>
      </c>
      <c r="AM235">
        <v>25</v>
      </c>
      <c r="AN235">
        <v>3425</v>
      </c>
      <c r="AO235" t="s">
        <v>118</v>
      </c>
      <c r="AP235">
        <v>-74</v>
      </c>
      <c r="AQ235">
        <v>-144</v>
      </c>
      <c r="AR235">
        <v>0</v>
      </c>
      <c r="AZ235">
        <v>1200</v>
      </c>
      <c r="BA235">
        <v>1</v>
      </c>
      <c r="BB235" t="str">
        <f t="shared" si="25"/>
        <v xml:space="preserve">N79NX   </v>
      </c>
      <c r="BC235">
        <v>1</v>
      </c>
      <c r="BE235">
        <v>0</v>
      </c>
      <c r="BF235">
        <v>0</v>
      </c>
      <c r="BG235">
        <v>0</v>
      </c>
      <c r="BH235">
        <v>3275</v>
      </c>
      <c r="BI235">
        <v>0</v>
      </c>
      <c r="BJ235">
        <v>0</v>
      </c>
      <c r="BK235">
        <v>0</v>
      </c>
      <c r="BL235">
        <v>0</v>
      </c>
      <c r="BO235">
        <v>0</v>
      </c>
      <c r="BP235">
        <v>0</v>
      </c>
      <c r="BW235" t="str">
        <f>"18:36:43.140"</f>
        <v>18:36:43.140</v>
      </c>
      <c r="BZ235">
        <v>0</v>
      </c>
      <c r="CA235">
        <v>3488</v>
      </c>
      <c r="CB235">
        <v>216</v>
      </c>
      <c r="CC235">
        <v>583.59379999999999</v>
      </c>
      <c r="CD235">
        <v>1</v>
      </c>
      <c r="CE235">
        <v>1</v>
      </c>
      <c r="CF235">
        <v>0</v>
      </c>
      <c r="CG235">
        <v>1</v>
      </c>
      <c r="CH235">
        <v>0</v>
      </c>
      <c r="CI235">
        <v>0</v>
      </c>
      <c r="CJ235">
        <v>0</v>
      </c>
      <c r="CK235">
        <v>2</v>
      </c>
      <c r="CL235">
        <v>0</v>
      </c>
      <c r="CM235">
        <v>2</v>
      </c>
      <c r="CN235">
        <v>0</v>
      </c>
      <c r="CO235">
        <v>7</v>
      </c>
      <c r="CP235" t="s">
        <v>119</v>
      </c>
      <c r="CQ235">
        <v>145</v>
      </c>
      <c r="CR235">
        <v>1</v>
      </c>
      <c r="CW235">
        <v>8885495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</row>
    <row r="236" spans="1:113" x14ac:dyDescent="0.3">
      <c r="A236" t="str">
        <f>"02/13/2022 18:36:43.370"</f>
        <v>02/13/2022 18:36:43.370</v>
      </c>
      <c r="C236" t="str">
        <f t="shared" si="24"/>
        <v>FFDFD7C0</v>
      </c>
      <c r="D236" t="s">
        <v>113</v>
      </c>
      <c r="E236">
        <v>3</v>
      </c>
      <c r="F236">
        <v>1003</v>
      </c>
      <c r="G236" t="s">
        <v>114</v>
      </c>
      <c r="J236" t="s">
        <v>115</v>
      </c>
      <c r="K236">
        <v>0</v>
      </c>
      <c r="L236">
        <v>3</v>
      </c>
      <c r="M236">
        <v>0</v>
      </c>
      <c r="N236">
        <v>2</v>
      </c>
      <c r="O236">
        <v>1</v>
      </c>
      <c r="P236">
        <v>0</v>
      </c>
      <c r="Q236">
        <v>0</v>
      </c>
      <c r="S236" t="str">
        <f>"18:36:43.133"</f>
        <v>18:36:43.133</v>
      </c>
      <c r="T236" t="str">
        <f>"18:36:42.833"</f>
        <v>18:36:42.833</v>
      </c>
      <c r="U236" t="str">
        <f t="shared" si="23"/>
        <v>AAB6EE</v>
      </c>
      <c r="V236">
        <v>0</v>
      </c>
      <c r="W236">
        <v>0</v>
      </c>
      <c r="X236">
        <v>4</v>
      </c>
      <c r="Z236">
        <v>0</v>
      </c>
      <c r="AA236">
        <v>8</v>
      </c>
      <c r="AB236">
        <v>3</v>
      </c>
      <c r="AC236">
        <v>0</v>
      </c>
      <c r="AD236">
        <v>10</v>
      </c>
      <c r="AE236">
        <v>0</v>
      </c>
      <c r="AF236">
        <v>0</v>
      </c>
      <c r="AG236">
        <v>1</v>
      </c>
      <c r="AH236">
        <v>1</v>
      </c>
      <c r="AI236" t="s">
        <v>277</v>
      </c>
      <c r="AJ236">
        <v>35.522640000000003</v>
      </c>
      <c r="AK236" t="s">
        <v>278</v>
      </c>
      <c r="AL236">
        <v>-76.031677999999999</v>
      </c>
      <c r="AM236">
        <v>25</v>
      </c>
      <c r="AN236">
        <v>3425</v>
      </c>
      <c r="AO236" t="s">
        <v>118</v>
      </c>
      <c r="AP236">
        <v>-74</v>
      </c>
      <c r="AQ236">
        <v>-144</v>
      </c>
      <c r="AR236">
        <v>0</v>
      </c>
      <c r="AZ236">
        <v>1200</v>
      </c>
      <c r="BA236">
        <v>1</v>
      </c>
      <c r="BB236" t="str">
        <f t="shared" si="25"/>
        <v xml:space="preserve">N79NX   </v>
      </c>
      <c r="BC236">
        <v>1</v>
      </c>
      <c r="BE236">
        <v>0</v>
      </c>
      <c r="BF236">
        <v>0</v>
      </c>
      <c r="BG236">
        <v>0</v>
      </c>
      <c r="BH236">
        <v>3275</v>
      </c>
      <c r="BI236">
        <v>0</v>
      </c>
      <c r="BJ236">
        <v>0</v>
      </c>
      <c r="BK236">
        <v>0</v>
      </c>
      <c r="BL236">
        <v>0</v>
      </c>
      <c r="BO236">
        <v>0</v>
      </c>
      <c r="BP236">
        <v>0</v>
      </c>
      <c r="BW236" t="str">
        <f>"18:36:43.140"</f>
        <v>18:36:43.140</v>
      </c>
      <c r="BZ236">
        <v>0</v>
      </c>
      <c r="CA236">
        <v>3488</v>
      </c>
      <c r="CB236">
        <v>216</v>
      </c>
      <c r="CC236">
        <v>583.59379999999999</v>
      </c>
      <c r="CD236">
        <v>1</v>
      </c>
      <c r="CE236">
        <v>1</v>
      </c>
      <c r="CF236">
        <v>0</v>
      </c>
      <c r="CG236">
        <v>1</v>
      </c>
      <c r="CH236">
        <v>0</v>
      </c>
      <c r="CI236">
        <v>0</v>
      </c>
      <c r="CJ236">
        <v>0</v>
      </c>
      <c r="CK236">
        <v>2</v>
      </c>
      <c r="CL236">
        <v>0</v>
      </c>
      <c r="CM236">
        <v>2</v>
      </c>
      <c r="CN236">
        <v>0</v>
      </c>
      <c r="CO236">
        <v>7</v>
      </c>
      <c r="CP236" t="s">
        <v>119</v>
      </c>
      <c r="CQ236">
        <v>145</v>
      </c>
      <c r="CR236">
        <v>1</v>
      </c>
      <c r="CW236">
        <v>8885495</v>
      </c>
      <c r="CY236">
        <v>0</v>
      </c>
      <c r="CZ236">
        <v>0</v>
      </c>
      <c r="DA236">
        <v>1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</row>
    <row r="237" spans="1:113" x14ac:dyDescent="0.3">
      <c r="A237" t="str">
        <f>"02/13/2022 18:36:43.370"</f>
        <v>02/13/2022 18:36:43.370</v>
      </c>
      <c r="C237" t="str">
        <f t="shared" si="24"/>
        <v>FFDFD7C0</v>
      </c>
      <c r="D237" t="s">
        <v>113</v>
      </c>
      <c r="E237">
        <v>4</v>
      </c>
      <c r="F237">
        <v>1004</v>
      </c>
      <c r="G237" t="s">
        <v>120</v>
      </c>
      <c r="J237" t="s">
        <v>115</v>
      </c>
      <c r="K237">
        <v>0</v>
      </c>
      <c r="L237">
        <v>3</v>
      </c>
      <c r="M237">
        <v>0</v>
      </c>
      <c r="N237">
        <v>2</v>
      </c>
      <c r="O237">
        <v>1</v>
      </c>
      <c r="P237">
        <v>0</v>
      </c>
      <c r="Q237">
        <v>0</v>
      </c>
      <c r="S237" t="str">
        <f>"18:36:43.133"</f>
        <v>18:36:43.133</v>
      </c>
      <c r="T237" t="str">
        <f>"18:36:42.833"</f>
        <v>18:36:42.833</v>
      </c>
      <c r="U237" t="str">
        <f t="shared" si="23"/>
        <v>AAB6EE</v>
      </c>
      <c r="V237">
        <v>0</v>
      </c>
      <c r="W237">
        <v>0</v>
      </c>
      <c r="X237">
        <v>4</v>
      </c>
      <c r="Z237">
        <v>0</v>
      </c>
      <c r="AA237">
        <v>8</v>
      </c>
      <c r="AB237">
        <v>3</v>
      </c>
      <c r="AC237">
        <v>0</v>
      </c>
      <c r="AD237">
        <v>10</v>
      </c>
      <c r="AE237">
        <v>0</v>
      </c>
      <c r="AF237">
        <v>0</v>
      </c>
      <c r="AG237">
        <v>1</v>
      </c>
      <c r="AH237">
        <v>1</v>
      </c>
      <c r="AI237" t="s">
        <v>277</v>
      </c>
      <c r="AJ237">
        <v>35.522640000000003</v>
      </c>
      <c r="AK237" t="s">
        <v>278</v>
      </c>
      <c r="AL237">
        <v>-76.031677999999999</v>
      </c>
      <c r="AM237">
        <v>25</v>
      </c>
      <c r="AN237">
        <v>3425</v>
      </c>
      <c r="AO237" t="s">
        <v>118</v>
      </c>
      <c r="AP237">
        <v>-74</v>
      </c>
      <c r="AQ237">
        <v>-144</v>
      </c>
      <c r="AR237">
        <v>0</v>
      </c>
      <c r="AZ237">
        <v>1200</v>
      </c>
      <c r="BA237">
        <v>1</v>
      </c>
      <c r="BB237" t="str">
        <f t="shared" si="25"/>
        <v xml:space="preserve">N79NX   </v>
      </c>
      <c r="BC237">
        <v>1</v>
      </c>
      <c r="BE237">
        <v>0</v>
      </c>
      <c r="BF237">
        <v>0</v>
      </c>
      <c r="BG237">
        <v>0</v>
      </c>
      <c r="BH237">
        <v>3275</v>
      </c>
      <c r="BI237">
        <v>0</v>
      </c>
      <c r="BJ237">
        <v>0</v>
      </c>
      <c r="BK237">
        <v>0</v>
      </c>
      <c r="BL237">
        <v>0</v>
      </c>
      <c r="BO237">
        <v>0</v>
      </c>
      <c r="BP237">
        <v>0</v>
      </c>
      <c r="BW237" t="str">
        <f>"18:36:43.140"</f>
        <v>18:36:43.140</v>
      </c>
      <c r="BZ237">
        <v>0</v>
      </c>
      <c r="CA237">
        <v>3488</v>
      </c>
      <c r="CB237">
        <v>216</v>
      </c>
      <c r="CC237">
        <v>583.59379999999999</v>
      </c>
      <c r="CD237">
        <v>1</v>
      </c>
      <c r="CE237">
        <v>1</v>
      </c>
      <c r="CF237">
        <v>0</v>
      </c>
      <c r="CG237">
        <v>1</v>
      </c>
      <c r="CH237">
        <v>0</v>
      </c>
      <c r="CI237">
        <v>0</v>
      </c>
      <c r="CJ237">
        <v>0</v>
      </c>
      <c r="CK237">
        <v>2</v>
      </c>
      <c r="CL237">
        <v>0</v>
      </c>
      <c r="CM237">
        <v>2</v>
      </c>
      <c r="CN237">
        <v>0</v>
      </c>
      <c r="CO237">
        <v>7</v>
      </c>
      <c r="CP237" t="s">
        <v>119</v>
      </c>
      <c r="CQ237">
        <v>145</v>
      </c>
      <c r="CR237">
        <v>1</v>
      </c>
      <c r="CW237">
        <v>8885495</v>
      </c>
      <c r="CY237">
        <v>0</v>
      </c>
      <c r="CZ237">
        <v>0</v>
      </c>
      <c r="DA237">
        <v>1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</row>
    <row r="238" spans="1:113" x14ac:dyDescent="0.3">
      <c r="A238" t="str">
        <f>"02/13/2022 18:36:44.371"</f>
        <v>02/13/2022 18:36:44.371</v>
      </c>
      <c r="C238" t="str">
        <f t="shared" si="24"/>
        <v>FFDFD7C0</v>
      </c>
      <c r="D238" t="s">
        <v>121</v>
      </c>
      <c r="E238">
        <v>2</v>
      </c>
      <c r="H238">
        <v>158</v>
      </c>
      <c r="I238" t="s">
        <v>120</v>
      </c>
      <c r="J238" t="s">
        <v>122</v>
      </c>
      <c r="K238">
        <v>0</v>
      </c>
      <c r="L238">
        <v>3</v>
      </c>
      <c r="M238">
        <v>0</v>
      </c>
      <c r="N238">
        <v>2</v>
      </c>
      <c r="O238">
        <v>1</v>
      </c>
      <c r="P238">
        <v>0</v>
      </c>
      <c r="Q238">
        <v>0</v>
      </c>
      <c r="S238" t="str">
        <f t="shared" ref="S238:T240" si="26">"18:36:44.164"</f>
        <v>18:36:44.164</v>
      </c>
      <c r="T238" t="str">
        <f t="shared" si="26"/>
        <v>18:36:44.164</v>
      </c>
      <c r="U238" t="str">
        <f t="shared" si="23"/>
        <v>AAB6EE</v>
      </c>
      <c r="V238">
        <v>0</v>
      </c>
      <c r="W238">
        <v>0</v>
      </c>
      <c r="X238">
        <v>4</v>
      </c>
      <c r="Z238">
        <v>0</v>
      </c>
      <c r="AA238">
        <v>8</v>
      </c>
      <c r="AB238">
        <v>3</v>
      </c>
      <c r="AC238">
        <v>0</v>
      </c>
      <c r="AD238">
        <v>10</v>
      </c>
      <c r="AE238">
        <v>0</v>
      </c>
      <c r="AF238">
        <v>0</v>
      </c>
      <c r="AG238">
        <v>1</v>
      </c>
      <c r="AH238">
        <v>1</v>
      </c>
      <c r="AI238" t="s">
        <v>279</v>
      </c>
      <c r="AJ238">
        <v>35.521953000000003</v>
      </c>
      <c r="AK238" t="s">
        <v>280</v>
      </c>
      <c r="AL238">
        <v>-76.032084999999995</v>
      </c>
      <c r="AM238">
        <v>25</v>
      </c>
      <c r="AN238">
        <v>3425</v>
      </c>
      <c r="AO238" t="s">
        <v>118</v>
      </c>
      <c r="AP238">
        <v>-75</v>
      </c>
      <c r="AQ238">
        <v>-145</v>
      </c>
      <c r="AR238">
        <v>0</v>
      </c>
      <c r="AZ238">
        <v>1200</v>
      </c>
      <c r="BA238">
        <v>1</v>
      </c>
      <c r="BB238" t="str">
        <f t="shared" si="25"/>
        <v xml:space="preserve">N79NX   </v>
      </c>
      <c r="BC238">
        <v>1</v>
      </c>
      <c r="BE238">
        <v>0</v>
      </c>
      <c r="BF238">
        <v>0</v>
      </c>
      <c r="BG238">
        <v>0</v>
      </c>
      <c r="BH238">
        <v>3275</v>
      </c>
      <c r="BI238">
        <v>0</v>
      </c>
      <c r="BJ238">
        <v>0</v>
      </c>
      <c r="BK238">
        <v>0</v>
      </c>
      <c r="BL238">
        <v>0</v>
      </c>
      <c r="BO238">
        <v>0</v>
      </c>
      <c r="BP238">
        <v>0</v>
      </c>
      <c r="BW238" t="str">
        <f>"18:36:44.170"</f>
        <v>18:36:44.170</v>
      </c>
      <c r="BZ238">
        <v>0</v>
      </c>
      <c r="CA238">
        <v>3488</v>
      </c>
      <c r="CB238">
        <v>216</v>
      </c>
      <c r="CC238">
        <v>583.59379999999999</v>
      </c>
      <c r="CD238">
        <v>1</v>
      </c>
      <c r="CE238">
        <v>1</v>
      </c>
      <c r="CF238">
        <v>0</v>
      </c>
      <c r="CG238">
        <v>1</v>
      </c>
      <c r="CH238">
        <v>0</v>
      </c>
      <c r="CI238">
        <v>0</v>
      </c>
      <c r="CJ238">
        <v>0</v>
      </c>
      <c r="CK238">
        <v>2</v>
      </c>
      <c r="CL238">
        <v>0</v>
      </c>
      <c r="CM238">
        <v>2</v>
      </c>
      <c r="CN238">
        <v>0</v>
      </c>
      <c r="CO238">
        <v>7</v>
      </c>
      <c r="CP238" t="s">
        <v>119</v>
      </c>
      <c r="CQ238">
        <v>145</v>
      </c>
      <c r="CR238">
        <v>1</v>
      </c>
      <c r="CW238">
        <v>8886050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</row>
    <row r="239" spans="1:113" x14ac:dyDescent="0.3">
      <c r="A239" t="str">
        <f>"02/13/2022 18:36:44.371"</f>
        <v>02/13/2022 18:36:44.371</v>
      </c>
      <c r="C239" t="str">
        <f t="shared" si="24"/>
        <v>FFDFD7C0</v>
      </c>
      <c r="D239" t="s">
        <v>113</v>
      </c>
      <c r="E239">
        <v>3</v>
      </c>
      <c r="F239">
        <v>1003</v>
      </c>
      <c r="G239" t="s">
        <v>114</v>
      </c>
      <c r="J239" t="s">
        <v>115</v>
      </c>
      <c r="K239">
        <v>0</v>
      </c>
      <c r="L239">
        <v>3</v>
      </c>
      <c r="M239">
        <v>0</v>
      </c>
      <c r="N239">
        <v>2</v>
      </c>
      <c r="O239">
        <v>1</v>
      </c>
      <c r="P239">
        <v>0</v>
      </c>
      <c r="Q239">
        <v>0</v>
      </c>
      <c r="S239" t="str">
        <f t="shared" si="26"/>
        <v>18:36:44.164</v>
      </c>
      <c r="T239" t="str">
        <f t="shared" si="26"/>
        <v>18:36:44.164</v>
      </c>
      <c r="U239" t="str">
        <f t="shared" si="23"/>
        <v>AAB6EE</v>
      </c>
      <c r="V239">
        <v>0</v>
      </c>
      <c r="W239">
        <v>0</v>
      </c>
      <c r="X239">
        <v>4</v>
      </c>
      <c r="Z239">
        <v>0</v>
      </c>
      <c r="AA239">
        <v>8</v>
      </c>
      <c r="AB239">
        <v>3</v>
      </c>
      <c r="AC239">
        <v>0</v>
      </c>
      <c r="AD239">
        <v>10</v>
      </c>
      <c r="AE239">
        <v>0</v>
      </c>
      <c r="AF239">
        <v>0</v>
      </c>
      <c r="AG239">
        <v>1</v>
      </c>
      <c r="AH239">
        <v>1</v>
      </c>
      <c r="AI239" t="s">
        <v>279</v>
      </c>
      <c r="AJ239">
        <v>35.521953000000003</v>
      </c>
      <c r="AK239" t="s">
        <v>280</v>
      </c>
      <c r="AL239">
        <v>-76.032084999999995</v>
      </c>
      <c r="AM239">
        <v>25</v>
      </c>
      <c r="AN239">
        <v>3425</v>
      </c>
      <c r="AO239" t="s">
        <v>118</v>
      </c>
      <c r="AP239">
        <v>-75</v>
      </c>
      <c r="AQ239">
        <v>-145</v>
      </c>
      <c r="AR239">
        <v>0</v>
      </c>
      <c r="AZ239">
        <v>1200</v>
      </c>
      <c r="BA239">
        <v>1</v>
      </c>
      <c r="BB239" t="str">
        <f t="shared" si="25"/>
        <v xml:space="preserve">N79NX   </v>
      </c>
      <c r="BC239">
        <v>1</v>
      </c>
      <c r="BE239">
        <v>0</v>
      </c>
      <c r="BF239">
        <v>0</v>
      </c>
      <c r="BG239">
        <v>0</v>
      </c>
      <c r="BH239">
        <v>3275</v>
      </c>
      <c r="BI239">
        <v>0</v>
      </c>
      <c r="BJ239">
        <v>0</v>
      </c>
      <c r="BK239">
        <v>0</v>
      </c>
      <c r="BL239">
        <v>0</v>
      </c>
      <c r="BO239">
        <v>0</v>
      </c>
      <c r="BP239">
        <v>0</v>
      </c>
      <c r="BW239" t="str">
        <f>"18:36:44.170"</f>
        <v>18:36:44.170</v>
      </c>
      <c r="BZ239">
        <v>0</v>
      </c>
      <c r="CA239">
        <v>3488</v>
      </c>
      <c r="CB239">
        <v>216</v>
      </c>
      <c r="CC239">
        <v>583.59379999999999</v>
      </c>
      <c r="CD239">
        <v>1</v>
      </c>
      <c r="CE239">
        <v>1</v>
      </c>
      <c r="CF239">
        <v>0</v>
      </c>
      <c r="CG239">
        <v>1</v>
      </c>
      <c r="CH239">
        <v>0</v>
      </c>
      <c r="CI239">
        <v>0</v>
      </c>
      <c r="CJ239">
        <v>0</v>
      </c>
      <c r="CK239">
        <v>2</v>
      </c>
      <c r="CL239">
        <v>0</v>
      </c>
      <c r="CM239">
        <v>2</v>
      </c>
      <c r="CN239">
        <v>0</v>
      </c>
      <c r="CO239">
        <v>7</v>
      </c>
      <c r="CP239" t="s">
        <v>119</v>
      </c>
      <c r="CQ239">
        <v>145</v>
      </c>
      <c r="CR239">
        <v>1</v>
      </c>
      <c r="CW239">
        <v>8886050</v>
      </c>
      <c r="CY239">
        <v>0</v>
      </c>
      <c r="CZ239">
        <v>0</v>
      </c>
      <c r="DA239">
        <v>1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</row>
    <row r="240" spans="1:113" x14ac:dyDescent="0.3">
      <c r="A240" t="str">
        <f>"02/13/2022 18:36:44.371"</f>
        <v>02/13/2022 18:36:44.371</v>
      </c>
      <c r="C240" t="str">
        <f t="shared" si="24"/>
        <v>FFDFD7C0</v>
      </c>
      <c r="D240" t="s">
        <v>113</v>
      </c>
      <c r="E240">
        <v>4</v>
      </c>
      <c r="F240">
        <v>1004</v>
      </c>
      <c r="G240" t="s">
        <v>120</v>
      </c>
      <c r="J240" t="s">
        <v>115</v>
      </c>
      <c r="K240">
        <v>0</v>
      </c>
      <c r="L240">
        <v>3</v>
      </c>
      <c r="M240">
        <v>0</v>
      </c>
      <c r="N240">
        <v>2</v>
      </c>
      <c r="O240">
        <v>1</v>
      </c>
      <c r="P240">
        <v>0</v>
      </c>
      <c r="Q240">
        <v>0</v>
      </c>
      <c r="S240" t="str">
        <f t="shared" si="26"/>
        <v>18:36:44.164</v>
      </c>
      <c r="T240" t="str">
        <f t="shared" si="26"/>
        <v>18:36:44.164</v>
      </c>
      <c r="U240" t="str">
        <f t="shared" si="23"/>
        <v>AAB6EE</v>
      </c>
      <c r="V240">
        <v>0</v>
      </c>
      <c r="W240">
        <v>0</v>
      </c>
      <c r="X240">
        <v>4</v>
      </c>
      <c r="Z240">
        <v>0</v>
      </c>
      <c r="AA240">
        <v>8</v>
      </c>
      <c r="AB240">
        <v>3</v>
      </c>
      <c r="AC240">
        <v>0</v>
      </c>
      <c r="AD240">
        <v>10</v>
      </c>
      <c r="AE240">
        <v>0</v>
      </c>
      <c r="AF240">
        <v>0</v>
      </c>
      <c r="AG240">
        <v>1</v>
      </c>
      <c r="AH240">
        <v>1</v>
      </c>
      <c r="AI240" t="s">
        <v>279</v>
      </c>
      <c r="AJ240">
        <v>35.521953000000003</v>
      </c>
      <c r="AK240" t="s">
        <v>280</v>
      </c>
      <c r="AL240">
        <v>-76.032084999999995</v>
      </c>
      <c r="AM240">
        <v>25</v>
      </c>
      <c r="AN240">
        <v>3425</v>
      </c>
      <c r="AO240" t="s">
        <v>118</v>
      </c>
      <c r="AP240">
        <v>-75</v>
      </c>
      <c r="AQ240">
        <v>-145</v>
      </c>
      <c r="AR240">
        <v>0</v>
      </c>
      <c r="AZ240">
        <v>1200</v>
      </c>
      <c r="BA240">
        <v>1</v>
      </c>
      <c r="BB240" t="str">
        <f t="shared" si="25"/>
        <v xml:space="preserve">N79NX   </v>
      </c>
      <c r="BC240">
        <v>1</v>
      </c>
      <c r="BE240">
        <v>0</v>
      </c>
      <c r="BF240">
        <v>0</v>
      </c>
      <c r="BG240">
        <v>0</v>
      </c>
      <c r="BH240">
        <v>3275</v>
      </c>
      <c r="BI240">
        <v>0</v>
      </c>
      <c r="BJ240">
        <v>0</v>
      </c>
      <c r="BK240">
        <v>0</v>
      </c>
      <c r="BL240">
        <v>0</v>
      </c>
      <c r="BO240">
        <v>0</v>
      </c>
      <c r="BP240">
        <v>0</v>
      </c>
      <c r="BW240" t="str">
        <f>"18:36:44.170"</f>
        <v>18:36:44.170</v>
      </c>
      <c r="BZ240">
        <v>0</v>
      </c>
      <c r="CA240">
        <v>3488</v>
      </c>
      <c r="CB240">
        <v>216</v>
      </c>
      <c r="CC240">
        <v>583.59379999999999</v>
      </c>
      <c r="CD240">
        <v>1</v>
      </c>
      <c r="CE240">
        <v>1</v>
      </c>
      <c r="CF240">
        <v>0</v>
      </c>
      <c r="CG240">
        <v>1</v>
      </c>
      <c r="CH240">
        <v>0</v>
      </c>
      <c r="CI240">
        <v>0</v>
      </c>
      <c r="CJ240">
        <v>0</v>
      </c>
      <c r="CK240">
        <v>2</v>
      </c>
      <c r="CL240">
        <v>0</v>
      </c>
      <c r="CM240">
        <v>2</v>
      </c>
      <c r="CN240">
        <v>0</v>
      </c>
      <c r="CO240">
        <v>7</v>
      </c>
      <c r="CP240" t="s">
        <v>119</v>
      </c>
      <c r="CQ240">
        <v>145</v>
      </c>
      <c r="CR240">
        <v>1</v>
      </c>
      <c r="CW240">
        <v>8886050</v>
      </c>
      <c r="CY240">
        <v>0</v>
      </c>
      <c r="CZ240">
        <v>0</v>
      </c>
      <c r="DA240">
        <v>1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</row>
    <row r="241" spans="1:113" x14ac:dyDescent="0.3">
      <c r="A241" t="str">
        <f>"02/13/2022 18:36:45.343"</f>
        <v>02/13/2022 18:36:45.343</v>
      </c>
      <c r="C241" t="str">
        <f t="shared" si="24"/>
        <v>FFDFD7C0</v>
      </c>
      <c r="D241" t="s">
        <v>121</v>
      </c>
      <c r="E241">
        <v>2</v>
      </c>
      <c r="H241">
        <v>158</v>
      </c>
      <c r="I241" t="s">
        <v>120</v>
      </c>
      <c r="J241" t="s">
        <v>122</v>
      </c>
      <c r="K241">
        <v>0</v>
      </c>
      <c r="L241">
        <v>3</v>
      </c>
      <c r="M241">
        <v>0</v>
      </c>
      <c r="N241">
        <v>2</v>
      </c>
      <c r="O241">
        <v>1</v>
      </c>
      <c r="P241">
        <v>0</v>
      </c>
      <c r="Q241">
        <v>0</v>
      </c>
      <c r="S241" t="str">
        <f>"18:36:45.078"</f>
        <v>18:36:45.078</v>
      </c>
      <c r="T241" t="str">
        <f>"18:36:44.678"</f>
        <v>18:36:44.678</v>
      </c>
      <c r="U241" t="str">
        <f t="shared" si="23"/>
        <v>AAB6EE</v>
      </c>
      <c r="V241">
        <v>0</v>
      </c>
      <c r="W241">
        <v>0</v>
      </c>
      <c r="X241">
        <v>4</v>
      </c>
      <c r="Z241">
        <v>0</v>
      </c>
      <c r="AA241">
        <v>8</v>
      </c>
      <c r="AB241">
        <v>3</v>
      </c>
      <c r="AC241">
        <v>0</v>
      </c>
      <c r="AD241">
        <v>10</v>
      </c>
      <c r="AE241">
        <v>0</v>
      </c>
      <c r="AF241">
        <v>0</v>
      </c>
      <c r="AG241">
        <v>1</v>
      </c>
      <c r="AH241">
        <v>1</v>
      </c>
      <c r="AI241" t="s">
        <v>281</v>
      </c>
      <c r="AJ241">
        <v>35.521352</v>
      </c>
      <c r="AK241" t="s">
        <v>282</v>
      </c>
      <c r="AL241">
        <v>-76.032471999999999</v>
      </c>
      <c r="AM241">
        <v>25</v>
      </c>
      <c r="AN241">
        <v>3425</v>
      </c>
      <c r="AO241" t="s">
        <v>118</v>
      </c>
      <c r="AP241">
        <v>-75</v>
      </c>
      <c r="AQ241">
        <v>-146</v>
      </c>
      <c r="AR241">
        <v>0</v>
      </c>
      <c r="AZ241">
        <v>1200</v>
      </c>
      <c r="BA241">
        <v>1</v>
      </c>
      <c r="BB241" t="str">
        <f t="shared" si="25"/>
        <v xml:space="preserve">N79NX   </v>
      </c>
      <c r="BC241">
        <v>1</v>
      </c>
      <c r="BE241">
        <v>0</v>
      </c>
      <c r="BF241">
        <v>0</v>
      </c>
      <c r="BG241">
        <v>0</v>
      </c>
      <c r="BH241">
        <v>3300</v>
      </c>
      <c r="BI241">
        <v>0</v>
      </c>
      <c r="BJ241">
        <v>0</v>
      </c>
      <c r="BK241">
        <v>0</v>
      </c>
      <c r="BL241">
        <v>0</v>
      </c>
      <c r="BO241">
        <v>0</v>
      </c>
      <c r="BP241">
        <v>0</v>
      </c>
      <c r="BW241" t="str">
        <f>"18:36:45.080"</f>
        <v>18:36:45.080</v>
      </c>
      <c r="BZ241">
        <v>0</v>
      </c>
      <c r="CA241">
        <v>3488</v>
      </c>
      <c r="CB241">
        <v>216</v>
      </c>
      <c r="CC241">
        <v>583.59379999999999</v>
      </c>
      <c r="CD241">
        <v>1</v>
      </c>
      <c r="CE241">
        <v>1</v>
      </c>
      <c r="CF241">
        <v>0</v>
      </c>
      <c r="CG241">
        <v>1</v>
      </c>
      <c r="CH241">
        <v>0</v>
      </c>
      <c r="CI241">
        <v>0</v>
      </c>
      <c r="CJ241">
        <v>0</v>
      </c>
      <c r="CK241">
        <v>2</v>
      </c>
      <c r="CL241">
        <v>0</v>
      </c>
      <c r="CM241">
        <v>2</v>
      </c>
      <c r="CN241">
        <v>0</v>
      </c>
      <c r="CO241">
        <v>7</v>
      </c>
      <c r="CP241" t="s">
        <v>119</v>
      </c>
      <c r="CQ241">
        <v>145</v>
      </c>
      <c r="CR241">
        <v>1</v>
      </c>
      <c r="CW241">
        <v>8886442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</row>
    <row r="242" spans="1:113" x14ac:dyDescent="0.3">
      <c r="A242" t="str">
        <f>"02/13/2022 18:36:45.343"</f>
        <v>02/13/2022 18:36:45.343</v>
      </c>
      <c r="C242" t="str">
        <f t="shared" si="24"/>
        <v>FFDFD7C0</v>
      </c>
      <c r="D242" t="s">
        <v>113</v>
      </c>
      <c r="E242">
        <v>3</v>
      </c>
      <c r="F242">
        <v>1003</v>
      </c>
      <c r="G242" t="s">
        <v>114</v>
      </c>
      <c r="J242" t="s">
        <v>115</v>
      </c>
      <c r="K242">
        <v>0</v>
      </c>
      <c r="L242">
        <v>3</v>
      </c>
      <c r="M242">
        <v>0</v>
      </c>
      <c r="N242">
        <v>2</v>
      </c>
      <c r="O242">
        <v>1</v>
      </c>
      <c r="P242">
        <v>0</v>
      </c>
      <c r="Q242">
        <v>0</v>
      </c>
      <c r="S242" t="str">
        <f>"18:36:45.078"</f>
        <v>18:36:45.078</v>
      </c>
      <c r="T242" t="str">
        <f>"18:36:44.678"</f>
        <v>18:36:44.678</v>
      </c>
      <c r="U242" t="str">
        <f t="shared" si="23"/>
        <v>AAB6EE</v>
      </c>
      <c r="V242">
        <v>0</v>
      </c>
      <c r="W242">
        <v>0</v>
      </c>
      <c r="X242">
        <v>4</v>
      </c>
      <c r="Z242">
        <v>0</v>
      </c>
      <c r="AA242">
        <v>8</v>
      </c>
      <c r="AB242">
        <v>3</v>
      </c>
      <c r="AC242">
        <v>0</v>
      </c>
      <c r="AD242">
        <v>10</v>
      </c>
      <c r="AE242">
        <v>0</v>
      </c>
      <c r="AF242">
        <v>0</v>
      </c>
      <c r="AG242">
        <v>1</v>
      </c>
      <c r="AH242">
        <v>1</v>
      </c>
      <c r="AI242" t="s">
        <v>281</v>
      </c>
      <c r="AJ242">
        <v>35.521352</v>
      </c>
      <c r="AK242" t="s">
        <v>282</v>
      </c>
      <c r="AL242">
        <v>-76.032471999999999</v>
      </c>
      <c r="AM242">
        <v>25</v>
      </c>
      <c r="AN242">
        <v>3425</v>
      </c>
      <c r="AO242" t="s">
        <v>118</v>
      </c>
      <c r="AP242">
        <v>-75</v>
      </c>
      <c r="AQ242">
        <v>-146</v>
      </c>
      <c r="AR242">
        <v>0</v>
      </c>
      <c r="AZ242">
        <v>1200</v>
      </c>
      <c r="BA242">
        <v>1</v>
      </c>
      <c r="BB242" t="str">
        <f t="shared" si="25"/>
        <v xml:space="preserve">N79NX   </v>
      </c>
      <c r="BC242">
        <v>1</v>
      </c>
      <c r="BE242">
        <v>0</v>
      </c>
      <c r="BF242">
        <v>0</v>
      </c>
      <c r="BG242">
        <v>0</v>
      </c>
      <c r="BH242">
        <v>3300</v>
      </c>
      <c r="BI242">
        <v>0</v>
      </c>
      <c r="BJ242">
        <v>0</v>
      </c>
      <c r="BK242">
        <v>0</v>
      </c>
      <c r="BL242">
        <v>0</v>
      </c>
      <c r="BO242">
        <v>0</v>
      </c>
      <c r="BP242">
        <v>0</v>
      </c>
      <c r="BW242" t="str">
        <f>"18:36:45.080"</f>
        <v>18:36:45.080</v>
      </c>
      <c r="BZ242">
        <v>0</v>
      </c>
      <c r="CA242">
        <v>3488</v>
      </c>
      <c r="CB242">
        <v>216</v>
      </c>
      <c r="CC242">
        <v>583.59379999999999</v>
      </c>
      <c r="CD242">
        <v>1</v>
      </c>
      <c r="CE242">
        <v>1</v>
      </c>
      <c r="CF242">
        <v>0</v>
      </c>
      <c r="CG242">
        <v>1</v>
      </c>
      <c r="CH242">
        <v>0</v>
      </c>
      <c r="CI242">
        <v>0</v>
      </c>
      <c r="CJ242">
        <v>0</v>
      </c>
      <c r="CK242">
        <v>2</v>
      </c>
      <c r="CL242">
        <v>0</v>
      </c>
      <c r="CM242">
        <v>2</v>
      </c>
      <c r="CN242">
        <v>0</v>
      </c>
      <c r="CO242">
        <v>7</v>
      </c>
      <c r="CP242" t="s">
        <v>119</v>
      </c>
      <c r="CQ242">
        <v>145</v>
      </c>
      <c r="CR242">
        <v>1</v>
      </c>
      <c r="CW242">
        <v>8886442</v>
      </c>
      <c r="CY242">
        <v>0</v>
      </c>
      <c r="CZ242">
        <v>0</v>
      </c>
      <c r="DA242">
        <v>1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</row>
    <row r="243" spans="1:113" x14ac:dyDescent="0.3">
      <c r="A243" t="str">
        <f>"02/13/2022 18:36:45.343"</f>
        <v>02/13/2022 18:36:45.343</v>
      </c>
      <c r="C243" t="str">
        <f t="shared" si="24"/>
        <v>FFDFD7C0</v>
      </c>
      <c r="D243" t="s">
        <v>113</v>
      </c>
      <c r="E243">
        <v>4</v>
      </c>
      <c r="F243">
        <v>1004</v>
      </c>
      <c r="G243" t="s">
        <v>120</v>
      </c>
      <c r="J243" t="s">
        <v>115</v>
      </c>
      <c r="K243">
        <v>0</v>
      </c>
      <c r="L243">
        <v>3</v>
      </c>
      <c r="M243">
        <v>0</v>
      </c>
      <c r="N243">
        <v>2</v>
      </c>
      <c r="O243">
        <v>1</v>
      </c>
      <c r="P243">
        <v>0</v>
      </c>
      <c r="Q243">
        <v>0</v>
      </c>
      <c r="S243" t="str">
        <f>"18:36:45.078"</f>
        <v>18:36:45.078</v>
      </c>
      <c r="T243" t="str">
        <f>"18:36:44.678"</f>
        <v>18:36:44.678</v>
      </c>
      <c r="U243" t="str">
        <f t="shared" si="23"/>
        <v>AAB6EE</v>
      </c>
      <c r="V243">
        <v>0</v>
      </c>
      <c r="W243">
        <v>0</v>
      </c>
      <c r="X243">
        <v>4</v>
      </c>
      <c r="Z243">
        <v>0</v>
      </c>
      <c r="AA243">
        <v>8</v>
      </c>
      <c r="AB243">
        <v>3</v>
      </c>
      <c r="AC243">
        <v>0</v>
      </c>
      <c r="AD243">
        <v>10</v>
      </c>
      <c r="AE243">
        <v>0</v>
      </c>
      <c r="AF243">
        <v>0</v>
      </c>
      <c r="AG243">
        <v>1</v>
      </c>
      <c r="AH243">
        <v>1</v>
      </c>
      <c r="AI243" t="s">
        <v>281</v>
      </c>
      <c r="AJ243">
        <v>35.521352</v>
      </c>
      <c r="AK243" t="s">
        <v>282</v>
      </c>
      <c r="AL243">
        <v>-76.032471999999999</v>
      </c>
      <c r="AM243">
        <v>25</v>
      </c>
      <c r="AN243">
        <v>3425</v>
      </c>
      <c r="AO243" t="s">
        <v>118</v>
      </c>
      <c r="AP243">
        <v>-75</v>
      </c>
      <c r="AQ243">
        <v>-146</v>
      </c>
      <c r="AR243">
        <v>0</v>
      </c>
      <c r="AZ243">
        <v>1200</v>
      </c>
      <c r="BA243">
        <v>1</v>
      </c>
      <c r="BB243" t="str">
        <f t="shared" si="25"/>
        <v xml:space="preserve">N79NX   </v>
      </c>
      <c r="BC243">
        <v>1</v>
      </c>
      <c r="BE243">
        <v>0</v>
      </c>
      <c r="BF243">
        <v>0</v>
      </c>
      <c r="BG243">
        <v>0</v>
      </c>
      <c r="BH243">
        <v>3300</v>
      </c>
      <c r="BI243">
        <v>0</v>
      </c>
      <c r="BJ243">
        <v>0</v>
      </c>
      <c r="BK243">
        <v>0</v>
      </c>
      <c r="BL243">
        <v>0</v>
      </c>
      <c r="BO243">
        <v>0</v>
      </c>
      <c r="BP243">
        <v>0</v>
      </c>
      <c r="BW243" t="str">
        <f>"18:36:45.080"</f>
        <v>18:36:45.080</v>
      </c>
      <c r="BZ243">
        <v>0</v>
      </c>
      <c r="CA243">
        <v>3488</v>
      </c>
      <c r="CB243">
        <v>216</v>
      </c>
      <c r="CC243">
        <v>583.59379999999999</v>
      </c>
      <c r="CD243">
        <v>1</v>
      </c>
      <c r="CE243">
        <v>1</v>
      </c>
      <c r="CF243">
        <v>0</v>
      </c>
      <c r="CG243">
        <v>1</v>
      </c>
      <c r="CH243">
        <v>0</v>
      </c>
      <c r="CI243">
        <v>0</v>
      </c>
      <c r="CJ243">
        <v>0</v>
      </c>
      <c r="CK243">
        <v>2</v>
      </c>
      <c r="CL243">
        <v>0</v>
      </c>
      <c r="CM243">
        <v>2</v>
      </c>
      <c r="CN243">
        <v>0</v>
      </c>
      <c r="CO243">
        <v>7</v>
      </c>
      <c r="CP243" t="s">
        <v>119</v>
      </c>
      <c r="CQ243">
        <v>145</v>
      </c>
      <c r="CR243">
        <v>1</v>
      </c>
      <c r="CW243">
        <v>8886442</v>
      </c>
      <c r="CY243">
        <v>0</v>
      </c>
      <c r="CZ243">
        <v>0</v>
      </c>
      <c r="DA243">
        <v>1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</row>
    <row r="244" spans="1:113" x14ac:dyDescent="0.3">
      <c r="A244" t="str">
        <f>"02/13/2022 18:36:46.343"</f>
        <v>02/13/2022 18:36:46.343</v>
      </c>
      <c r="C244" t="str">
        <f t="shared" si="24"/>
        <v>FFDFD7C0</v>
      </c>
      <c r="D244" t="s">
        <v>113</v>
      </c>
      <c r="E244">
        <v>3</v>
      </c>
      <c r="F244">
        <v>1003</v>
      </c>
      <c r="G244" t="s">
        <v>114</v>
      </c>
      <c r="J244" t="s">
        <v>115</v>
      </c>
      <c r="K244">
        <v>0</v>
      </c>
      <c r="L244">
        <v>3</v>
      </c>
      <c r="M244">
        <v>0</v>
      </c>
      <c r="N244">
        <v>2</v>
      </c>
      <c r="O244">
        <v>1</v>
      </c>
      <c r="P244">
        <v>0</v>
      </c>
      <c r="Q244">
        <v>0</v>
      </c>
      <c r="S244" t="str">
        <f>"18:36:46.125"</f>
        <v>18:36:46.125</v>
      </c>
      <c r="T244" t="str">
        <f>"18:36:45.825"</f>
        <v>18:36:45.825</v>
      </c>
      <c r="U244" t="str">
        <f t="shared" si="23"/>
        <v>AAB6EE</v>
      </c>
      <c r="V244">
        <v>0</v>
      </c>
      <c r="W244">
        <v>0</v>
      </c>
      <c r="X244">
        <v>4</v>
      </c>
      <c r="Z244">
        <v>0</v>
      </c>
      <c r="AA244">
        <v>8</v>
      </c>
      <c r="AB244">
        <v>3</v>
      </c>
      <c r="AC244">
        <v>0</v>
      </c>
      <c r="AD244">
        <v>10</v>
      </c>
      <c r="AE244">
        <v>0</v>
      </c>
      <c r="AF244">
        <v>0</v>
      </c>
      <c r="AG244">
        <v>1</v>
      </c>
      <c r="AH244">
        <v>1</v>
      </c>
      <c r="AI244" t="s">
        <v>283</v>
      </c>
      <c r="AJ244">
        <v>35.520623000000001</v>
      </c>
      <c r="AK244" t="s">
        <v>284</v>
      </c>
      <c r="AL244">
        <v>-76.032944000000001</v>
      </c>
      <c r="AM244">
        <v>25</v>
      </c>
      <c r="AN244">
        <v>3450</v>
      </c>
      <c r="AO244" t="s">
        <v>118</v>
      </c>
      <c r="AP244">
        <v>-76</v>
      </c>
      <c r="AQ244">
        <v>-147</v>
      </c>
      <c r="AR244">
        <v>64</v>
      </c>
      <c r="AZ244">
        <v>1200</v>
      </c>
      <c r="BA244">
        <v>1</v>
      </c>
      <c r="BB244" t="str">
        <f t="shared" si="25"/>
        <v xml:space="preserve">N79NX   </v>
      </c>
      <c r="BC244">
        <v>1</v>
      </c>
      <c r="BE244">
        <v>0</v>
      </c>
      <c r="BF244">
        <v>0</v>
      </c>
      <c r="BG244">
        <v>0</v>
      </c>
      <c r="BH244">
        <v>3300</v>
      </c>
      <c r="BI244">
        <v>0</v>
      </c>
      <c r="BJ244">
        <v>0</v>
      </c>
      <c r="BK244">
        <v>0</v>
      </c>
      <c r="BL244">
        <v>0</v>
      </c>
      <c r="BO244">
        <v>0</v>
      </c>
      <c r="BP244">
        <v>0</v>
      </c>
      <c r="BW244" t="str">
        <f>"18:36:46.130"</f>
        <v>18:36:46.130</v>
      </c>
      <c r="BZ244">
        <v>0</v>
      </c>
      <c r="CA244">
        <v>3488</v>
      </c>
      <c r="CB244">
        <v>216</v>
      </c>
      <c r="CC244">
        <v>583.59379999999999</v>
      </c>
      <c r="CD244">
        <v>1</v>
      </c>
      <c r="CE244">
        <v>1</v>
      </c>
      <c r="CF244">
        <v>0</v>
      </c>
      <c r="CG244">
        <v>1</v>
      </c>
      <c r="CH244">
        <v>0</v>
      </c>
      <c r="CI244">
        <v>0</v>
      </c>
      <c r="CJ244">
        <v>0</v>
      </c>
      <c r="CK244">
        <v>2</v>
      </c>
      <c r="CL244">
        <v>0</v>
      </c>
      <c r="CM244">
        <v>2</v>
      </c>
      <c r="CN244">
        <v>0</v>
      </c>
      <c r="CO244">
        <v>7</v>
      </c>
      <c r="CP244" t="s">
        <v>119</v>
      </c>
      <c r="CQ244">
        <v>145</v>
      </c>
      <c r="CR244">
        <v>1</v>
      </c>
      <c r="CW244">
        <v>8886967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</row>
    <row r="245" spans="1:113" x14ac:dyDescent="0.3">
      <c r="A245" t="str">
        <f>"02/13/2022 18:36:46.343"</f>
        <v>02/13/2022 18:36:46.343</v>
      </c>
      <c r="C245" t="str">
        <f t="shared" si="24"/>
        <v>FFDFD7C0</v>
      </c>
      <c r="D245" t="s">
        <v>113</v>
      </c>
      <c r="E245">
        <v>4</v>
      </c>
      <c r="F245">
        <v>1004</v>
      </c>
      <c r="G245" t="s">
        <v>120</v>
      </c>
      <c r="J245" t="s">
        <v>115</v>
      </c>
      <c r="K245">
        <v>0</v>
      </c>
      <c r="L245">
        <v>3</v>
      </c>
      <c r="M245">
        <v>0</v>
      </c>
      <c r="N245">
        <v>2</v>
      </c>
      <c r="O245">
        <v>1</v>
      </c>
      <c r="P245">
        <v>0</v>
      </c>
      <c r="Q245">
        <v>0</v>
      </c>
      <c r="S245" t="str">
        <f>"18:36:46.125"</f>
        <v>18:36:46.125</v>
      </c>
      <c r="T245" t="str">
        <f>"18:36:45.825"</f>
        <v>18:36:45.825</v>
      </c>
      <c r="U245" t="str">
        <f t="shared" si="23"/>
        <v>AAB6EE</v>
      </c>
      <c r="V245">
        <v>0</v>
      </c>
      <c r="W245">
        <v>0</v>
      </c>
      <c r="X245">
        <v>4</v>
      </c>
      <c r="Z245">
        <v>0</v>
      </c>
      <c r="AA245">
        <v>8</v>
      </c>
      <c r="AB245">
        <v>3</v>
      </c>
      <c r="AC245">
        <v>0</v>
      </c>
      <c r="AD245">
        <v>10</v>
      </c>
      <c r="AE245">
        <v>0</v>
      </c>
      <c r="AF245">
        <v>0</v>
      </c>
      <c r="AG245">
        <v>1</v>
      </c>
      <c r="AH245">
        <v>1</v>
      </c>
      <c r="AI245" t="s">
        <v>283</v>
      </c>
      <c r="AJ245">
        <v>35.520623000000001</v>
      </c>
      <c r="AK245" t="s">
        <v>284</v>
      </c>
      <c r="AL245">
        <v>-76.032944000000001</v>
      </c>
      <c r="AM245">
        <v>25</v>
      </c>
      <c r="AN245">
        <v>3450</v>
      </c>
      <c r="AO245" t="s">
        <v>118</v>
      </c>
      <c r="AP245">
        <v>-76</v>
      </c>
      <c r="AQ245">
        <v>-147</v>
      </c>
      <c r="AR245">
        <v>64</v>
      </c>
      <c r="AZ245">
        <v>1200</v>
      </c>
      <c r="BA245">
        <v>1</v>
      </c>
      <c r="BB245" t="str">
        <f t="shared" si="25"/>
        <v xml:space="preserve">N79NX   </v>
      </c>
      <c r="BC245">
        <v>1</v>
      </c>
      <c r="BE245">
        <v>0</v>
      </c>
      <c r="BF245">
        <v>0</v>
      </c>
      <c r="BG245">
        <v>0</v>
      </c>
      <c r="BH245">
        <v>3300</v>
      </c>
      <c r="BI245">
        <v>0</v>
      </c>
      <c r="BJ245">
        <v>0</v>
      </c>
      <c r="BK245">
        <v>0</v>
      </c>
      <c r="BL245">
        <v>0</v>
      </c>
      <c r="BO245">
        <v>0</v>
      </c>
      <c r="BP245">
        <v>0</v>
      </c>
      <c r="BW245" t="str">
        <f>"18:36:46.130"</f>
        <v>18:36:46.130</v>
      </c>
      <c r="BZ245">
        <v>0</v>
      </c>
      <c r="CA245">
        <v>3488</v>
      </c>
      <c r="CB245">
        <v>216</v>
      </c>
      <c r="CC245">
        <v>583.59379999999999</v>
      </c>
      <c r="CD245">
        <v>1</v>
      </c>
      <c r="CE245">
        <v>1</v>
      </c>
      <c r="CF245">
        <v>0</v>
      </c>
      <c r="CG245">
        <v>1</v>
      </c>
      <c r="CH245">
        <v>0</v>
      </c>
      <c r="CI245">
        <v>0</v>
      </c>
      <c r="CJ245">
        <v>0</v>
      </c>
      <c r="CK245">
        <v>2</v>
      </c>
      <c r="CL245">
        <v>0</v>
      </c>
      <c r="CM245">
        <v>2</v>
      </c>
      <c r="CN245">
        <v>0</v>
      </c>
      <c r="CO245">
        <v>7</v>
      </c>
      <c r="CP245" t="s">
        <v>119</v>
      </c>
      <c r="CQ245">
        <v>145</v>
      </c>
      <c r="CR245">
        <v>1</v>
      </c>
      <c r="CW245">
        <v>8886967</v>
      </c>
      <c r="CY245">
        <v>0</v>
      </c>
      <c r="CZ245">
        <v>0</v>
      </c>
      <c r="DA245">
        <v>1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</row>
    <row r="246" spans="1:113" x14ac:dyDescent="0.3">
      <c r="A246" t="str">
        <f>"02/13/2022 18:36:46.343"</f>
        <v>02/13/2022 18:36:46.343</v>
      </c>
      <c r="C246" t="str">
        <f t="shared" si="24"/>
        <v>FFDFD7C0</v>
      </c>
      <c r="D246" t="s">
        <v>121</v>
      </c>
      <c r="E246">
        <v>2</v>
      </c>
      <c r="H246">
        <v>158</v>
      </c>
      <c r="I246" t="s">
        <v>120</v>
      </c>
      <c r="J246" t="s">
        <v>122</v>
      </c>
      <c r="K246">
        <v>0</v>
      </c>
      <c r="L246">
        <v>3</v>
      </c>
      <c r="M246">
        <v>0</v>
      </c>
      <c r="N246">
        <v>2</v>
      </c>
      <c r="O246">
        <v>1</v>
      </c>
      <c r="P246">
        <v>0</v>
      </c>
      <c r="Q246">
        <v>0</v>
      </c>
      <c r="S246" t="str">
        <f>"18:36:46.125"</f>
        <v>18:36:46.125</v>
      </c>
      <c r="T246" t="str">
        <f>"18:36:45.825"</f>
        <v>18:36:45.825</v>
      </c>
      <c r="U246" t="str">
        <f t="shared" si="23"/>
        <v>AAB6EE</v>
      </c>
      <c r="V246">
        <v>0</v>
      </c>
      <c r="W246">
        <v>0</v>
      </c>
      <c r="X246">
        <v>4</v>
      </c>
      <c r="Z246">
        <v>0</v>
      </c>
      <c r="AA246">
        <v>8</v>
      </c>
      <c r="AB246">
        <v>3</v>
      </c>
      <c r="AC246">
        <v>0</v>
      </c>
      <c r="AD246">
        <v>10</v>
      </c>
      <c r="AE246">
        <v>0</v>
      </c>
      <c r="AF246">
        <v>0</v>
      </c>
      <c r="AG246">
        <v>1</v>
      </c>
      <c r="AH246">
        <v>1</v>
      </c>
      <c r="AI246" t="s">
        <v>283</v>
      </c>
      <c r="AJ246">
        <v>35.520623000000001</v>
      </c>
      <c r="AK246" t="s">
        <v>284</v>
      </c>
      <c r="AL246">
        <v>-76.032944000000001</v>
      </c>
      <c r="AM246">
        <v>25</v>
      </c>
      <c r="AN246">
        <v>3450</v>
      </c>
      <c r="AO246" t="s">
        <v>118</v>
      </c>
      <c r="AP246">
        <v>-76</v>
      </c>
      <c r="AQ246">
        <v>-147</v>
      </c>
      <c r="AR246">
        <v>64</v>
      </c>
      <c r="AZ246">
        <v>1200</v>
      </c>
      <c r="BA246">
        <v>1</v>
      </c>
      <c r="BB246" t="str">
        <f t="shared" si="25"/>
        <v xml:space="preserve">N79NX   </v>
      </c>
      <c r="BC246">
        <v>1</v>
      </c>
      <c r="BE246">
        <v>0</v>
      </c>
      <c r="BF246">
        <v>0</v>
      </c>
      <c r="BG246">
        <v>0</v>
      </c>
      <c r="BH246">
        <v>3300</v>
      </c>
      <c r="BI246">
        <v>0</v>
      </c>
      <c r="BJ246">
        <v>0</v>
      </c>
      <c r="BK246">
        <v>0</v>
      </c>
      <c r="BL246">
        <v>0</v>
      </c>
      <c r="BO246">
        <v>0</v>
      </c>
      <c r="BP246">
        <v>0</v>
      </c>
      <c r="BW246" t="str">
        <f>"18:36:46.130"</f>
        <v>18:36:46.130</v>
      </c>
      <c r="BZ246">
        <v>0</v>
      </c>
      <c r="CA246">
        <v>3488</v>
      </c>
      <c r="CB246">
        <v>216</v>
      </c>
      <c r="CC246">
        <v>583.59379999999999</v>
      </c>
      <c r="CD246">
        <v>1</v>
      </c>
      <c r="CE246">
        <v>1</v>
      </c>
      <c r="CF246">
        <v>0</v>
      </c>
      <c r="CG246">
        <v>1</v>
      </c>
      <c r="CH246">
        <v>0</v>
      </c>
      <c r="CI246">
        <v>0</v>
      </c>
      <c r="CJ246">
        <v>0</v>
      </c>
      <c r="CK246">
        <v>2</v>
      </c>
      <c r="CL246">
        <v>0</v>
      </c>
      <c r="CM246">
        <v>2</v>
      </c>
      <c r="CN246">
        <v>0</v>
      </c>
      <c r="CO246">
        <v>7</v>
      </c>
      <c r="CP246" t="s">
        <v>119</v>
      </c>
      <c r="CQ246">
        <v>145</v>
      </c>
      <c r="CR246">
        <v>1</v>
      </c>
      <c r="CW246">
        <v>8886967</v>
      </c>
      <c r="CY246">
        <v>0</v>
      </c>
      <c r="CZ246">
        <v>0</v>
      </c>
      <c r="DA246">
        <v>1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</row>
    <row r="247" spans="1:113" x14ac:dyDescent="0.3">
      <c r="A247" t="str">
        <f>"02/13/2022 18:36:47.265"</f>
        <v>02/13/2022 18:36:47.265</v>
      </c>
      <c r="C247" t="str">
        <f t="shared" si="24"/>
        <v>FFDFD7C0</v>
      </c>
      <c r="D247" t="s">
        <v>113</v>
      </c>
      <c r="E247">
        <v>3</v>
      </c>
      <c r="F247">
        <v>1003</v>
      </c>
      <c r="G247" t="s">
        <v>114</v>
      </c>
      <c r="J247" t="s">
        <v>115</v>
      </c>
      <c r="K247">
        <v>0</v>
      </c>
      <c r="L247">
        <v>3</v>
      </c>
      <c r="M247">
        <v>0</v>
      </c>
      <c r="N247">
        <v>2</v>
      </c>
      <c r="O247">
        <v>1</v>
      </c>
      <c r="P247">
        <v>0</v>
      </c>
      <c r="Q247">
        <v>0</v>
      </c>
      <c r="S247" t="str">
        <f>"18:36:47.062"</f>
        <v>18:36:47.062</v>
      </c>
      <c r="T247" t="str">
        <f>"18:36:46.762"</f>
        <v>18:36:46.762</v>
      </c>
      <c r="U247" t="str">
        <f t="shared" si="23"/>
        <v>AAB6EE</v>
      </c>
      <c r="V247">
        <v>0</v>
      </c>
      <c r="W247">
        <v>0</v>
      </c>
      <c r="X247">
        <v>4</v>
      </c>
      <c r="Z247">
        <v>0</v>
      </c>
      <c r="AA247">
        <v>8</v>
      </c>
      <c r="AB247">
        <v>3</v>
      </c>
      <c r="AC247">
        <v>0</v>
      </c>
      <c r="AD247">
        <v>10</v>
      </c>
      <c r="AE247">
        <v>0</v>
      </c>
      <c r="AF247">
        <v>0</v>
      </c>
      <c r="AG247">
        <v>1</v>
      </c>
      <c r="AH247">
        <v>1</v>
      </c>
      <c r="AI247" t="s">
        <v>285</v>
      </c>
      <c r="AJ247">
        <v>35.520000000000003</v>
      </c>
      <c r="AK247" t="s">
        <v>286</v>
      </c>
      <c r="AL247">
        <v>-76.033330000000007</v>
      </c>
      <c r="AM247">
        <v>25</v>
      </c>
      <c r="AN247">
        <v>3450</v>
      </c>
      <c r="AO247" t="s">
        <v>118</v>
      </c>
      <c r="AP247">
        <v>-77</v>
      </c>
      <c r="AQ247">
        <v>-148</v>
      </c>
      <c r="AR247">
        <v>0</v>
      </c>
      <c r="AZ247">
        <v>1200</v>
      </c>
      <c r="BA247">
        <v>1</v>
      </c>
      <c r="BB247" t="str">
        <f t="shared" si="25"/>
        <v xml:space="preserve">N79NX   </v>
      </c>
      <c r="BC247">
        <v>1</v>
      </c>
      <c r="BE247">
        <v>0</v>
      </c>
      <c r="BF247">
        <v>0</v>
      </c>
      <c r="BG247">
        <v>0</v>
      </c>
      <c r="BH247">
        <v>3300</v>
      </c>
      <c r="BI247">
        <v>0</v>
      </c>
      <c r="BJ247">
        <v>0</v>
      </c>
      <c r="BK247">
        <v>0</v>
      </c>
      <c r="BL247">
        <v>0</v>
      </c>
      <c r="BO247">
        <v>0</v>
      </c>
      <c r="BP247">
        <v>0</v>
      </c>
      <c r="BW247" t="str">
        <f>"18:36:47.070"</f>
        <v>18:36:47.070</v>
      </c>
      <c r="BZ247">
        <v>0</v>
      </c>
      <c r="CA247">
        <v>3488</v>
      </c>
      <c r="CB247">
        <v>216</v>
      </c>
      <c r="CC247">
        <v>583.59379999999999</v>
      </c>
      <c r="CD247">
        <v>1</v>
      </c>
      <c r="CE247">
        <v>1</v>
      </c>
      <c r="CF247">
        <v>0</v>
      </c>
      <c r="CG247">
        <v>1</v>
      </c>
      <c r="CH247">
        <v>0</v>
      </c>
      <c r="CI247">
        <v>0</v>
      </c>
      <c r="CJ247">
        <v>0</v>
      </c>
      <c r="CK247">
        <v>2</v>
      </c>
      <c r="CL247">
        <v>0</v>
      </c>
      <c r="CM247">
        <v>2</v>
      </c>
      <c r="CN247">
        <v>0</v>
      </c>
      <c r="CO247">
        <v>7</v>
      </c>
      <c r="CP247" t="s">
        <v>119</v>
      </c>
      <c r="CQ247">
        <v>145</v>
      </c>
      <c r="CR247">
        <v>1</v>
      </c>
      <c r="CW247">
        <v>8887412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</row>
    <row r="248" spans="1:113" x14ac:dyDescent="0.3">
      <c r="A248" t="str">
        <f>"02/13/2022 18:36:47.265"</f>
        <v>02/13/2022 18:36:47.265</v>
      </c>
      <c r="C248" t="str">
        <f t="shared" si="24"/>
        <v>FFDFD7C0</v>
      </c>
      <c r="D248" t="s">
        <v>113</v>
      </c>
      <c r="E248">
        <v>4</v>
      </c>
      <c r="F248">
        <v>1004</v>
      </c>
      <c r="G248" t="s">
        <v>120</v>
      </c>
      <c r="J248" t="s">
        <v>115</v>
      </c>
      <c r="K248">
        <v>0</v>
      </c>
      <c r="L248">
        <v>3</v>
      </c>
      <c r="M248">
        <v>0</v>
      </c>
      <c r="N248">
        <v>2</v>
      </c>
      <c r="O248">
        <v>1</v>
      </c>
      <c r="P248">
        <v>0</v>
      </c>
      <c r="Q248">
        <v>0</v>
      </c>
      <c r="S248" t="str">
        <f>"18:36:47.062"</f>
        <v>18:36:47.062</v>
      </c>
      <c r="T248" t="str">
        <f>"18:36:46.762"</f>
        <v>18:36:46.762</v>
      </c>
      <c r="U248" t="str">
        <f t="shared" si="23"/>
        <v>AAB6EE</v>
      </c>
      <c r="V248">
        <v>0</v>
      </c>
      <c r="W248">
        <v>0</v>
      </c>
      <c r="X248">
        <v>4</v>
      </c>
      <c r="Z248">
        <v>0</v>
      </c>
      <c r="AA248">
        <v>8</v>
      </c>
      <c r="AB248">
        <v>3</v>
      </c>
      <c r="AC248">
        <v>0</v>
      </c>
      <c r="AD248">
        <v>10</v>
      </c>
      <c r="AE248">
        <v>0</v>
      </c>
      <c r="AF248">
        <v>0</v>
      </c>
      <c r="AG248">
        <v>1</v>
      </c>
      <c r="AH248">
        <v>1</v>
      </c>
      <c r="AI248" t="s">
        <v>285</v>
      </c>
      <c r="AJ248">
        <v>35.520000000000003</v>
      </c>
      <c r="AK248" t="s">
        <v>286</v>
      </c>
      <c r="AL248">
        <v>-76.033330000000007</v>
      </c>
      <c r="AM248">
        <v>25</v>
      </c>
      <c r="AN248">
        <v>3450</v>
      </c>
      <c r="AO248" t="s">
        <v>118</v>
      </c>
      <c r="AP248">
        <v>-77</v>
      </c>
      <c r="AQ248">
        <v>-148</v>
      </c>
      <c r="AR248">
        <v>0</v>
      </c>
      <c r="AZ248">
        <v>1200</v>
      </c>
      <c r="BA248">
        <v>1</v>
      </c>
      <c r="BB248" t="str">
        <f t="shared" si="25"/>
        <v xml:space="preserve">N79NX   </v>
      </c>
      <c r="BC248">
        <v>1</v>
      </c>
      <c r="BE248">
        <v>0</v>
      </c>
      <c r="BF248">
        <v>0</v>
      </c>
      <c r="BG248">
        <v>0</v>
      </c>
      <c r="BH248">
        <v>3300</v>
      </c>
      <c r="BI248">
        <v>0</v>
      </c>
      <c r="BJ248">
        <v>0</v>
      </c>
      <c r="BK248">
        <v>0</v>
      </c>
      <c r="BL248">
        <v>0</v>
      </c>
      <c r="BO248">
        <v>0</v>
      </c>
      <c r="BP248">
        <v>0</v>
      </c>
      <c r="BW248" t="str">
        <f>"18:36:47.070"</f>
        <v>18:36:47.070</v>
      </c>
      <c r="BZ248">
        <v>0</v>
      </c>
      <c r="CA248">
        <v>3488</v>
      </c>
      <c r="CB248">
        <v>216</v>
      </c>
      <c r="CC248">
        <v>583.59379999999999</v>
      </c>
      <c r="CD248">
        <v>1</v>
      </c>
      <c r="CE248">
        <v>1</v>
      </c>
      <c r="CF248">
        <v>0</v>
      </c>
      <c r="CG248">
        <v>1</v>
      </c>
      <c r="CH248">
        <v>0</v>
      </c>
      <c r="CI248">
        <v>0</v>
      </c>
      <c r="CJ248">
        <v>0</v>
      </c>
      <c r="CK248">
        <v>2</v>
      </c>
      <c r="CL248">
        <v>0</v>
      </c>
      <c r="CM248">
        <v>2</v>
      </c>
      <c r="CN248">
        <v>0</v>
      </c>
      <c r="CO248">
        <v>7</v>
      </c>
      <c r="CP248" t="s">
        <v>119</v>
      </c>
      <c r="CQ248">
        <v>145</v>
      </c>
      <c r="CR248">
        <v>1</v>
      </c>
      <c r="CW248">
        <v>8887412</v>
      </c>
      <c r="CY248">
        <v>0</v>
      </c>
      <c r="CZ248">
        <v>0</v>
      </c>
      <c r="DA248">
        <v>1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</row>
    <row r="249" spans="1:113" x14ac:dyDescent="0.3">
      <c r="A249" t="str">
        <f>"02/13/2022 18:36:47.265"</f>
        <v>02/13/2022 18:36:47.265</v>
      </c>
      <c r="C249" t="str">
        <f t="shared" si="24"/>
        <v>FFDFD7C0</v>
      </c>
      <c r="D249" t="s">
        <v>121</v>
      </c>
      <c r="E249">
        <v>2</v>
      </c>
      <c r="H249">
        <v>158</v>
      </c>
      <c r="I249" t="s">
        <v>120</v>
      </c>
      <c r="J249" t="s">
        <v>122</v>
      </c>
      <c r="K249">
        <v>0</v>
      </c>
      <c r="L249">
        <v>3</v>
      </c>
      <c r="M249">
        <v>0</v>
      </c>
      <c r="N249">
        <v>2</v>
      </c>
      <c r="O249">
        <v>1</v>
      </c>
      <c r="P249">
        <v>0</v>
      </c>
      <c r="Q249">
        <v>0</v>
      </c>
      <c r="S249" t="str">
        <f>"18:36:47.062"</f>
        <v>18:36:47.062</v>
      </c>
      <c r="T249" t="str">
        <f>"18:36:46.762"</f>
        <v>18:36:46.762</v>
      </c>
      <c r="U249" t="str">
        <f t="shared" si="23"/>
        <v>AAB6EE</v>
      </c>
      <c r="V249">
        <v>0</v>
      </c>
      <c r="W249">
        <v>0</v>
      </c>
      <c r="X249">
        <v>4</v>
      </c>
      <c r="Z249">
        <v>0</v>
      </c>
      <c r="AA249">
        <v>8</v>
      </c>
      <c r="AB249">
        <v>3</v>
      </c>
      <c r="AC249">
        <v>0</v>
      </c>
      <c r="AD249">
        <v>10</v>
      </c>
      <c r="AE249">
        <v>0</v>
      </c>
      <c r="AF249">
        <v>0</v>
      </c>
      <c r="AG249">
        <v>1</v>
      </c>
      <c r="AH249">
        <v>1</v>
      </c>
      <c r="AI249" t="s">
        <v>285</v>
      </c>
      <c r="AJ249">
        <v>35.520000000000003</v>
      </c>
      <c r="AK249" t="s">
        <v>286</v>
      </c>
      <c r="AL249">
        <v>-76.033330000000007</v>
      </c>
      <c r="AM249">
        <v>25</v>
      </c>
      <c r="AN249">
        <v>3450</v>
      </c>
      <c r="AO249" t="s">
        <v>118</v>
      </c>
      <c r="AP249">
        <v>-77</v>
      </c>
      <c r="AQ249">
        <v>-148</v>
      </c>
      <c r="AR249">
        <v>0</v>
      </c>
      <c r="AZ249">
        <v>1200</v>
      </c>
      <c r="BA249">
        <v>1</v>
      </c>
      <c r="BB249" t="str">
        <f t="shared" si="25"/>
        <v xml:space="preserve">N79NX   </v>
      </c>
      <c r="BC249">
        <v>1</v>
      </c>
      <c r="BE249">
        <v>0</v>
      </c>
      <c r="BF249">
        <v>0</v>
      </c>
      <c r="BG249">
        <v>0</v>
      </c>
      <c r="BH249">
        <v>3300</v>
      </c>
      <c r="BI249">
        <v>0</v>
      </c>
      <c r="BJ249">
        <v>0</v>
      </c>
      <c r="BK249">
        <v>0</v>
      </c>
      <c r="BL249">
        <v>0</v>
      </c>
      <c r="BO249">
        <v>0</v>
      </c>
      <c r="BP249">
        <v>0</v>
      </c>
      <c r="BW249" t="str">
        <f>"18:36:47.070"</f>
        <v>18:36:47.070</v>
      </c>
      <c r="BZ249">
        <v>0</v>
      </c>
      <c r="CA249">
        <v>3488</v>
      </c>
      <c r="CB249">
        <v>216</v>
      </c>
      <c r="CC249">
        <v>583.59379999999999</v>
      </c>
      <c r="CD249">
        <v>1</v>
      </c>
      <c r="CE249">
        <v>1</v>
      </c>
      <c r="CF249">
        <v>0</v>
      </c>
      <c r="CG249">
        <v>1</v>
      </c>
      <c r="CH249">
        <v>0</v>
      </c>
      <c r="CI249">
        <v>0</v>
      </c>
      <c r="CJ249">
        <v>0</v>
      </c>
      <c r="CK249">
        <v>2</v>
      </c>
      <c r="CL249">
        <v>0</v>
      </c>
      <c r="CM249">
        <v>2</v>
      </c>
      <c r="CN249">
        <v>0</v>
      </c>
      <c r="CO249">
        <v>7</v>
      </c>
      <c r="CP249" t="s">
        <v>119</v>
      </c>
      <c r="CQ249">
        <v>145</v>
      </c>
      <c r="CR249">
        <v>1</v>
      </c>
      <c r="CW249">
        <v>8887412</v>
      </c>
      <c r="CY249">
        <v>0</v>
      </c>
      <c r="CZ249">
        <v>0</v>
      </c>
      <c r="DA249">
        <v>1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</row>
    <row r="250" spans="1:113" x14ac:dyDescent="0.3">
      <c r="A250" t="str">
        <f>"02/13/2022 18:36:48.234"</f>
        <v>02/13/2022 18:36:48.234</v>
      </c>
      <c r="C250" t="str">
        <f t="shared" si="24"/>
        <v>FFDFD7C0</v>
      </c>
      <c r="D250" t="s">
        <v>121</v>
      </c>
      <c r="E250">
        <v>2</v>
      </c>
      <c r="H250">
        <v>158</v>
      </c>
      <c r="I250" t="s">
        <v>120</v>
      </c>
      <c r="J250" t="s">
        <v>122</v>
      </c>
      <c r="K250">
        <v>0</v>
      </c>
      <c r="L250">
        <v>3</v>
      </c>
      <c r="M250">
        <v>0</v>
      </c>
      <c r="N250">
        <v>2</v>
      </c>
      <c r="O250">
        <v>1</v>
      </c>
      <c r="P250">
        <v>0</v>
      </c>
      <c r="Q250">
        <v>0</v>
      </c>
      <c r="S250" t="str">
        <f t="shared" ref="S250:T252" si="27">"18:36:48.000"</f>
        <v>18:36:48.000</v>
      </c>
      <c r="T250" t="str">
        <f t="shared" si="27"/>
        <v>18:36:48.000</v>
      </c>
      <c r="U250" t="str">
        <f t="shared" si="23"/>
        <v>AAB6EE</v>
      </c>
      <c r="V250">
        <v>0</v>
      </c>
      <c r="W250">
        <v>0</v>
      </c>
      <c r="X250">
        <v>4</v>
      </c>
      <c r="Z250">
        <v>0</v>
      </c>
      <c r="AA250">
        <v>8</v>
      </c>
      <c r="AB250">
        <v>3</v>
      </c>
      <c r="AC250">
        <v>0</v>
      </c>
      <c r="AD250">
        <v>10</v>
      </c>
      <c r="AE250">
        <v>0</v>
      </c>
      <c r="AF250">
        <v>0</v>
      </c>
      <c r="AG250">
        <v>1</v>
      </c>
      <c r="AH250">
        <v>1</v>
      </c>
      <c r="AI250" t="s">
        <v>287</v>
      </c>
      <c r="AJ250">
        <v>35.519399999999997</v>
      </c>
      <c r="AK250" t="s">
        <v>288</v>
      </c>
      <c r="AL250">
        <v>-76.033738</v>
      </c>
      <c r="AM250">
        <v>25</v>
      </c>
      <c r="AN250">
        <v>3450</v>
      </c>
      <c r="AO250" t="s">
        <v>118</v>
      </c>
      <c r="AP250">
        <v>-78</v>
      </c>
      <c r="AQ250">
        <v>-149</v>
      </c>
      <c r="AR250">
        <v>-64</v>
      </c>
      <c r="AZ250">
        <v>1200</v>
      </c>
      <c r="BA250">
        <v>1</v>
      </c>
      <c r="BB250" t="str">
        <f t="shared" si="25"/>
        <v xml:space="preserve">N79NX   </v>
      </c>
      <c r="BC250">
        <v>1</v>
      </c>
      <c r="BE250">
        <v>0</v>
      </c>
      <c r="BF250">
        <v>0</v>
      </c>
      <c r="BG250">
        <v>0</v>
      </c>
      <c r="BH250">
        <v>3300</v>
      </c>
      <c r="BI250">
        <v>0</v>
      </c>
      <c r="BJ250">
        <v>0</v>
      </c>
      <c r="BK250">
        <v>0</v>
      </c>
      <c r="BL250">
        <v>0</v>
      </c>
      <c r="BO250">
        <v>0</v>
      </c>
      <c r="BP250">
        <v>0</v>
      </c>
      <c r="BW250" t="str">
        <f>"18:36:48.000"</f>
        <v>18:36:48.000</v>
      </c>
      <c r="BZ250">
        <v>0</v>
      </c>
      <c r="CA250">
        <v>3488</v>
      </c>
      <c r="CB250">
        <v>216</v>
      </c>
      <c r="CC250">
        <v>583.59379999999999</v>
      </c>
      <c r="CD250">
        <v>1</v>
      </c>
      <c r="CE250">
        <v>1</v>
      </c>
      <c r="CF250">
        <v>0</v>
      </c>
      <c r="CG250">
        <v>1</v>
      </c>
      <c r="CH250">
        <v>0</v>
      </c>
      <c r="CI250">
        <v>0</v>
      </c>
      <c r="CJ250">
        <v>0</v>
      </c>
      <c r="CK250">
        <v>2</v>
      </c>
      <c r="CL250">
        <v>0</v>
      </c>
      <c r="CM250">
        <v>2</v>
      </c>
      <c r="CN250">
        <v>0</v>
      </c>
      <c r="CO250">
        <v>7</v>
      </c>
      <c r="CP250" t="s">
        <v>119</v>
      </c>
      <c r="CQ250">
        <v>145</v>
      </c>
      <c r="CR250">
        <v>1</v>
      </c>
      <c r="CW250">
        <v>8887906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</row>
    <row r="251" spans="1:113" x14ac:dyDescent="0.3">
      <c r="A251" t="str">
        <f>"02/13/2022 18:36:48.249"</f>
        <v>02/13/2022 18:36:48.249</v>
      </c>
      <c r="C251" t="str">
        <f t="shared" si="24"/>
        <v>FFDFD7C0</v>
      </c>
      <c r="D251" t="s">
        <v>113</v>
      </c>
      <c r="E251">
        <v>3</v>
      </c>
      <c r="F251">
        <v>1003</v>
      </c>
      <c r="G251" t="s">
        <v>114</v>
      </c>
      <c r="J251" t="s">
        <v>115</v>
      </c>
      <c r="K251">
        <v>0</v>
      </c>
      <c r="L251">
        <v>3</v>
      </c>
      <c r="M251">
        <v>0</v>
      </c>
      <c r="N251">
        <v>2</v>
      </c>
      <c r="O251">
        <v>1</v>
      </c>
      <c r="P251">
        <v>0</v>
      </c>
      <c r="Q251">
        <v>0</v>
      </c>
      <c r="S251" t="str">
        <f t="shared" si="27"/>
        <v>18:36:48.000</v>
      </c>
      <c r="T251" t="str">
        <f t="shared" si="27"/>
        <v>18:36:48.000</v>
      </c>
      <c r="U251" t="str">
        <f t="shared" si="23"/>
        <v>AAB6EE</v>
      </c>
      <c r="V251">
        <v>0</v>
      </c>
      <c r="W251">
        <v>0</v>
      </c>
      <c r="X251">
        <v>4</v>
      </c>
      <c r="Z251">
        <v>0</v>
      </c>
      <c r="AA251">
        <v>8</v>
      </c>
      <c r="AB251">
        <v>3</v>
      </c>
      <c r="AC251">
        <v>0</v>
      </c>
      <c r="AD251">
        <v>10</v>
      </c>
      <c r="AE251">
        <v>0</v>
      </c>
      <c r="AF251">
        <v>0</v>
      </c>
      <c r="AG251">
        <v>1</v>
      </c>
      <c r="AH251">
        <v>1</v>
      </c>
      <c r="AI251" t="s">
        <v>287</v>
      </c>
      <c r="AJ251">
        <v>35.519399999999997</v>
      </c>
      <c r="AK251" t="s">
        <v>288</v>
      </c>
      <c r="AL251">
        <v>-76.033738</v>
      </c>
      <c r="AM251">
        <v>25</v>
      </c>
      <c r="AN251">
        <v>3450</v>
      </c>
      <c r="AO251" t="s">
        <v>118</v>
      </c>
      <c r="AP251">
        <v>-78</v>
      </c>
      <c r="AQ251">
        <v>-149</v>
      </c>
      <c r="AR251">
        <v>-64</v>
      </c>
      <c r="AZ251">
        <v>1200</v>
      </c>
      <c r="BA251">
        <v>1</v>
      </c>
      <c r="BB251" t="str">
        <f t="shared" si="25"/>
        <v xml:space="preserve">N79NX   </v>
      </c>
      <c r="BC251">
        <v>1</v>
      </c>
      <c r="BE251">
        <v>0</v>
      </c>
      <c r="BF251">
        <v>0</v>
      </c>
      <c r="BG251">
        <v>0</v>
      </c>
      <c r="BH251">
        <v>3300</v>
      </c>
      <c r="BI251">
        <v>0</v>
      </c>
      <c r="BJ251">
        <v>0</v>
      </c>
      <c r="BK251">
        <v>0</v>
      </c>
      <c r="BL251">
        <v>0</v>
      </c>
      <c r="BO251">
        <v>0</v>
      </c>
      <c r="BP251">
        <v>0</v>
      </c>
      <c r="BW251" t="str">
        <f>"18:36:48.000"</f>
        <v>18:36:48.000</v>
      </c>
      <c r="BZ251">
        <v>0</v>
      </c>
      <c r="CA251">
        <v>3488</v>
      </c>
      <c r="CB251">
        <v>216</v>
      </c>
      <c r="CC251">
        <v>583.59379999999999</v>
      </c>
      <c r="CD251">
        <v>1</v>
      </c>
      <c r="CE251">
        <v>1</v>
      </c>
      <c r="CF251">
        <v>0</v>
      </c>
      <c r="CG251">
        <v>1</v>
      </c>
      <c r="CH251">
        <v>0</v>
      </c>
      <c r="CI251">
        <v>0</v>
      </c>
      <c r="CJ251">
        <v>0</v>
      </c>
      <c r="CK251">
        <v>2</v>
      </c>
      <c r="CL251">
        <v>0</v>
      </c>
      <c r="CM251">
        <v>2</v>
      </c>
      <c r="CN251">
        <v>0</v>
      </c>
      <c r="CO251">
        <v>7</v>
      </c>
      <c r="CP251" t="s">
        <v>119</v>
      </c>
      <c r="CQ251">
        <v>145</v>
      </c>
      <c r="CR251">
        <v>1</v>
      </c>
      <c r="CW251">
        <v>8887906</v>
      </c>
      <c r="CY251">
        <v>0</v>
      </c>
      <c r="CZ251">
        <v>0</v>
      </c>
      <c r="DA251">
        <v>1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</row>
    <row r="252" spans="1:113" x14ac:dyDescent="0.3">
      <c r="A252" t="str">
        <f>"02/13/2022 18:36:48.249"</f>
        <v>02/13/2022 18:36:48.249</v>
      </c>
      <c r="C252" t="str">
        <f t="shared" si="24"/>
        <v>FFDFD7C0</v>
      </c>
      <c r="D252" t="s">
        <v>113</v>
      </c>
      <c r="E252">
        <v>4</v>
      </c>
      <c r="F252">
        <v>1004</v>
      </c>
      <c r="G252" t="s">
        <v>120</v>
      </c>
      <c r="J252" t="s">
        <v>115</v>
      </c>
      <c r="K252">
        <v>0</v>
      </c>
      <c r="L252">
        <v>3</v>
      </c>
      <c r="M252">
        <v>0</v>
      </c>
      <c r="N252">
        <v>2</v>
      </c>
      <c r="O252">
        <v>1</v>
      </c>
      <c r="P252">
        <v>0</v>
      </c>
      <c r="Q252">
        <v>0</v>
      </c>
      <c r="S252" t="str">
        <f t="shared" si="27"/>
        <v>18:36:48.000</v>
      </c>
      <c r="T252" t="str">
        <f t="shared" si="27"/>
        <v>18:36:48.000</v>
      </c>
      <c r="U252" t="str">
        <f t="shared" si="23"/>
        <v>AAB6EE</v>
      </c>
      <c r="V252">
        <v>0</v>
      </c>
      <c r="W252">
        <v>0</v>
      </c>
      <c r="X252">
        <v>4</v>
      </c>
      <c r="Z252">
        <v>0</v>
      </c>
      <c r="AA252">
        <v>8</v>
      </c>
      <c r="AB252">
        <v>3</v>
      </c>
      <c r="AC252">
        <v>0</v>
      </c>
      <c r="AD252">
        <v>10</v>
      </c>
      <c r="AE252">
        <v>0</v>
      </c>
      <c r="AF252">
        <v>0</v>
      </c>
      <c r="AG252">
        <v>1</v>
      </c>
      <c r="AH252">
        <v>1</v>
      </c>
      <c r="AI252" t="s">
        <v>287</v>
      </c>
      <c r="AJ252">
        <v>35.519399999999997</v>
      </c>
      <c r="AK252" t="s">
        <v>288</v>
      </c>
      <c r="AL252">
        <v>-76.033738</v>
      </c>
      <c r="AM252">
        <v>25</v>
      </c>
      <c r="AN252">
        <v>3450</v>
      </c>
      <c r="AO252" t="s">
        <v>118</v>
      </c>
      <c r="AP252">
        <v>-78</v>
      </c>
      <c r="AQ252">
        <v>-149</v>
      </c>
      <c r="AR252">
        <v>-64</v>
      </c>
      <c r="AZ252">
        <v>1200</v>
      </c>
      <c r="BA252">
        <v>1</v>
      </c>
      <c r="BB252" t="str">
        <f t="shared" si="25"/>
        <v xml:space="preserve">N79NX   </v>
      </c>
      <c r="BC252">
        <v>1</v>
      </c>
      <c r="BE252">
        <v>0</v>
      </c>
      <c r="BF252">
        <v>0</v>
      </c>
      <c r="BG252">
        <v>0</v>
      </c>
      <c r="BH252">
        <v>3300</v>
      </c>
      <c r="BI252">
        <v>0</v>
      </c>
      <c r="BJ252">
        <v>0</v>
      </c>
      <c r="BK252">
        <v>0</v>
      </c>
      <c r="BL252">
        <v>0</v>
      </c>
      <c r="BO252">
        <v>0</v>
      </c>
      <c r="BP252">
        <v>0</v>
      </c>
      <c r="BW252" t="str">
        <f>"18:36:48.000"</f>
        <v>18:36:48.000</v>
      </c>
      <c r="BZ252">
        <v>0</v>
      </c>
      <c r="CA252">
        <v>3488</v>
      </c>
      <c r="CB252">
        <v>216</v>
      </c>
      <c r="CC252">
        <v>583.59379999999999</v>
      </c>
      <c r="CD252">
        <v>1</v>
      </c>
      <c r="CE252">
        <v>1</v>
      </c>
      <c r="CF252">
        <v>0</v>
      </c>
      <c r="CG252">
        <v>1</v>
      </c>
      <c r="CH252">
        <v>0</v>
      </c>
      <c r="CI252">
        <v>0</v>
      </c>
      <c r="CJ252">
        <v>0</v>
      </c>
      <c r="CK252">
        <v>2</v>
      </c>
      <c r="CL252">
        <v>0</v>
      </c>
      <c r="CM252">
        <v>2</v>
      </c>
      <c r="CN252">
        <v>0</v>
      </c>
      <c r="CO252">
        <v>7</v>
      </c>
      <c r="CP252" t="s">
        <v>119</v>
      </c>
      <c r="CQ252">
        <v>145</v>
      </c>
      <c r="CR252">
        <v>1</v>
      </c>
      <c r="CW252">
        <v>8887906</v>
      </c>
      <c r="CY252">
        <v>0</v>
      </c>
      <c r="CZ252">
        <v>0</v>
      </c>
      <c r="DA252">
        <v>1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</row>
    <row r="253" spans="1:113" x14ac:dyDescent="0.3">
      <c r="A253" t="str">
        <f>"02/13/2022 18:36:49.109"</f>
        <v>02/13/2022 18:36:49.109</v>
      </c>
      <c r="C253" t="str">
        <f t="shared" si="24"/>
        <v>FFDFD7C0</v>
      </c>
      <c r="D253" t="s">
        <v>113</v>
      </c>
      <c r="E253">
        <v>3</v>
      </c>
      <c r="F253">
        <v>1003</v>
      </c>
      <c r="G253" t="s">
        <v>114</v>
      </c>
      <c r="J253" t="s">
        <v>115</v>
      </c>
      <c r="K253">
        <v>0</v>
      </c>
      <c r="L253">
        <v>3</v>
      </c>
      <c r="M253">
        <v>0</v>
      </c>
      <c r="N253">
        <v>2</v>
      </c>
      <c r="O253">
        <v>1</v>
      </c>
      <c r="P253">
        <v>0</v>
      </c>
      <c r="Q253">
        <v>0</v>
      </c>
      <c r="S253" t="str">
        <f>"18:36:48.906"</f>
        <v>18:36:48.906</v>
      </c>
      <c r="T253" t="str">
        <f>"18:36:48.506"</f>
        <v>18:36:48.506</v>
      </c>
      <c r="U253" t="str">
        <f t="shared" si="23"/>
        <v>AAB6EE</v>
      </c>
      <c r="V253">
        <v>0</v>
      </c>
      <c r="W253">
        <v>0</v>
      </c>
      <c r="X253">
        <v>4</v>
      </c>
      <c r="Z253">
        <v>0</v>
      </c>
      <c r="AA253">
        <v>8</v>
      </c>
      <c r="AB253">
        <v>3</v>
      </c>
      <c r="AC253">
        <v>0</v>
      </c>
      <c r="AD253">
        <v>10</v>
      </c>
      <c r="AE253">
        <v>0</v>
      </c>
      <c r="AF253">
        <v>0</v>
      </c>
      <c r="AG253">
        <v>1</v>
      </c>
      <c r="AH253">
        <v>1</v>
      </c>
      <c r="AI253" t="s">
        <v>289</v>
      </c>
      <c r="AJ253">
        <v>35.51867</v>
      </c>
      <c r="AK253" t="s">
        <v>290</v>
      </c>
      <c r="AL253">
        <v>-76.034210000000002</v>
      </c>
      <c r="AM253">
        <v>25</v>
      </c>
      <c r="AN253">
        <v>3450</v>
      </c>
      <c r="AO253" t="s">
        <v>118</v>
      </c>
      <c r="AP253">
        <v>-78</v>
      </c>
      <c r="AQ253">
        <v>-150</v>
      </c>
      <c r="AR253">
        <v>-64</v>
      </c>
      <c r="AZ253">
        <v>1200</v>
      </c>
      <c r="BA253">
        <v>1</v>
      </c>
      <c r="BB253" t="str">
        <f t="shared" si="25"/>
        <v xml:space="preserve">N79NX   </v>
      </c>
      <c r="BC253">
        <v>1</v>
      </c>
      <c r="BE253">
        <v>0</v>
      </c>
      <c r="BF253">
        <v>0</v>
      </c>
      <c r="BG253">
        <v>0</v>
      </c>
      <c r="BH253">
        <v>3300</v>
      </c>
      <c r="BI253">
        <v>0</v>
      </c>
      <c r="BJ253">
        <v>0</v>
      </c>
      <c r="BK253">
        <v>0</v>
      </c>
      <c r="BL253">
        <v>0</v>
      </c>
      <c r="BO253">
        <v>0</v>
      </c>
      <c r="BP253">
        <v>0</v>
      </c>
      <c r="BW253" t="str">
        <f>"18:36:48.910"</f>
        <v>18:36:48.910</v>
      </c>
      <c r="BZ253">
        <v>0</v>
      </c>
      <c r="CA253">
        <v>3488</v>
      </c>
      <c r="CB253">
        <v>216</v>
      </c>
      <c r="CC253">
        <v>583.59379999999999</v>
      </c>
      <c r="CD253">
        <v>1</v>
      </c>
      <c r="CE253">
        <v>1</v>
      </c>
      <c r="CF253">
        <v>0</v>
      </c>
      <c r="CG253">
        <v>1</v>
      </c>
      <c r="CH253">
        <v>0</v>
      </c>
      <c r="CI253">
        <v>0</v>
      </c>
      <c r="CJ253">
        <v>0</v>
      </c>
      <c r="CK253">
        <v>2</v>
      </c>
      <c r="CL253">
        <v>0</v>
      </c>
      <c r="CM253">
        <v>2</v>
      </c>
      <c r="CN253">
        <v>0</v>
      </c>
      <c r="CO253">
        <v>7</v>
      </c>
      <c r="CP253" t="s">
        <v>119</v>
      </c>
      <c r="CQ253">
        <v>145</v>
      </c>
      <c r="CR253">
        <v>1</v>
      </c>
      <c r="CW253">
        <v>8888377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</row>
    <row r="254" spans="1:113" x14ac:dyDescent="0.3">
      <c r="A254" t="str">
        <f>"02/13/2022 18:36:49.109"</f>
        <v>02/13/2022 18:36:49.109</v>
      </c>
      <c r="C254" t="str">
        <f t="shared" si="24"/>
        <v>FFDFD7C0</v>
      </c>
      <c r="D254" t="s">
        <v>113</v>
      </c>
      <c r="E254">
        <v>4</v>
      </c>
      <c r="F254">
        <v>1004</v>
      </c>
      <c r="G254" t="s">
        <v>120</v>
      </c>
      <c r="J254" t="s">
        <v>115</v>
      </c>
      <c r="K254">
        <v>0</v>
      </c>
      <c r="L254">
        <v>3</v>
      </c>
      <c r="M254">
        <v>0</v>
      </c>
      <c r="N254">
        <v>2</v>
      </c>
      <c r="O254">
        <v>1</v>
      </c>
      <c r="P254">
        <v>0</v>
      </c>
      <c r="Q254">
        <v>0</v>
      </c>
      <c r="S254" t="str">
        <f>"18:36:48.906"</f>
        <v>18:36:48.906</v>
      </c>
      <c r="T254" t="str">
        <f>"18:36:48.506"</f>
        <v>18:36:48.506</v>
      </c>
      <c r="U254" t="str">
        <f t="shared" si="23"/>
        <v>AAB6EE</v>
      </c>
      <c r="V254">
        <v>0</v>
      </c>
      <c r="W254">
        <v>0</v>
      </c>
      <c r="X254">
        <v>4</v>
      </c>
      <c r="Z254">
        <v>0</v>
      </c>
      <c r="AA254">
        <v>8</v>
      </c>
      <c r="AB254">
        <v>3</v>
      </c>
      <c r="AC254">
        <v>0</v>
      </c>
      <c r="AD254">
        <v>10</v>
      </c>
      <c r="AE254">
        <v>0</v>
      </c>
      <c r="AF254">
        <v>0</v>
      </c>
      <c r="AG254">
        <v>1</v>
      </c>
      <c r="AH254">
        <v>1</v>
      </c>
      <c r="AI254" t="s">
        <v>289</v>
      </c>
      <c r="AJ254">
        <v>35.51867</v>
      </c>
      <c r="AK254" t="s">
        <v>290</v>
      </c>
      <c r="AL254">
        <v>-76.034210000000002</v>
      </c>
      <c r="AM254">
        <v>25</v>
      </c>
      <c r="AN254">
        <v>3450</v>
      </c>
      <c r="AO254" t="s">
        <v>118</v>
      </c>
      <c r="AP254">
        <v>-78</v>
      </c>
      <c r="AQ254">
        <v>-150</v>
      </c>
      <c r="AR254">
        <v>-64</v>
      </c>
      <c r="AZ254">
        <v>1200</v>
      </c>
      <c r="BA254">
        <v>1</v>
      </c>
      <c r="BB254" t="str">
        <f t="shared" si="25"/>
        <v xml:space="preserve">N79NX   </v>
      </c>
      <c r="BC254">
        <v>1</v>
      </c>
      <c r="BE254">
        <v>0</v>
      </c>
      <c r="BF254">
        <v>0</v>
      </c>
      <c r="BG254">
        <v>0</v>
      </c>
      <c r="BH254">
        <v>3300</v>
      </c>
      <c r="BI254">
        <v>0</v>
      </c>
      <c r="BJ254">
        <v>0</v>
      </c>
      <c r="BK254">
        <v>0</v>
      </c>
      <c r="BL254">
        <v>0</v>
      </c>
      <c r="BO254">
        <v>0</v>
      </c>
      <c r="BP254">
        <v>0</v>
      </c>
      <c r="BW254" t="str">
        <f>"18:36:48.910"</f>
        <v>18:36:48.910</v>
      </c>
      <c r="BZ254">
        <v>0</v>
      </c>
      <c r="CA254">
        <v>3488</v>
      </c>
      <c r="CB254">
        <v>216</v>
      </c>
      <c r="CC254">
        <v>583.59379999999999</v>
      </c>
      <c r="CD254">
        <v>1</v>
      </c>
      <c r="CE254">
        <v>1</v>
      </c>
      <c r="CF254">
        <v>0</v>
      </c>
      <c r="CG254">
        <v>1</v>
      </c>
      <c r="CH254">
        <v>0</v>
      </c>
      <c r="CI254">
        <v>0</v>
      </c>
      <c r="CJ254">
        <v>0</v>
      </c>
      <c r="CK254">
        <v>2</v>
      </c>
      <c r="CL254">
        <v>0</v>
      </c>
      <c r="CM254">
        <v>2</v>
      </c>
      <c r="CN254">
        <v>0</v>
      </c>
      <c r="CO254">
        <v>7</v>
      </c>
      <c r="CP254" t="s">
        <v>119</v>
      </c>
      <c r="CQ254">
        <v>145</v>
      </c>
      <c r="CR254">
        <v>1</v>
      </c>
      <c r="CW254">
        <v>8888377</v>
      </c>
      <c r="CY254">
        <v>0</v>
      </c>
      <c r="CZ254">
        <v>0</v>
      </c>
      <c r="DA254">
        <v>1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</row>
    <row r="255" spans="1:113" x14ac:dyDescent="0.3">
      <c r="A255" t="str">
        <f>"02/13/2022 18:36:49.124"</f>
        <v>02/13/2022 18:36:49.124</v>
      </c>
      <c r="C255" t="str">
        <f t="shared" si="24"/>
        <v>FFDFD7C0</v>
      </c>
      <c r="D255" t="s">
        <v>121</v>
      </c>
      <c r="E255">
        <v>2</v>
      </c>
      <c r="H255">
        <v>158</v>
      </c>
      <c r="I255" t="s">
        <v>120</v>
      </c>
      <c r="J255" t="s">
        <v>122</v>
      </c>
      <c r="K255">
        <v>0</v>
      </c>
      <c r="L255">
        <v>3</v>
      </c>
      <c r="M255">
        <v>0</v>
      </c>
      <c r="N255">
        <v>2</v>
      </c>
      <c r="O255">
        <v>1</v>
      </c>
      <c r="P255">
        <v>0</v>
      </c>
      <c r="Q255">
        <v>0</v>
      </c>
      <c r="S255" t="str">
        <f>"18:36:48.906"</f>
        <v>18:36:48.906</v>
      </c>
      <c r="T255" t="str">
        <f>"18:36:48.506"</f>
        <v>18:36:48.506</v>
      </c>
      <c r="U255" t="str">
        <f t="shared" si="23"/>
        <v>AAB6EE</v>
      </c>
      <c r="V255">
        <v>0</v>
      </c>
      <c r="W255">
        <v>0</v>
      </c>
      <c r="X255">
        <v>4</v>
      </c>
      <c r="Z255">
        <v>0</v>
      </c>
      <c r="AA255">
        <v>8</v>
      </c>
      <c r="AB255">
        <v>3</v>
      </c>
      <c r="AC255">
        <v>0</v>
      </c>
      <c r="AD255">
        <v>10</v>
      </c>
      <c r="AE255">
        <v>0</v>
      </c>
      <c r="AF255">
        <v>0</v>
      </c>
      <c r="AG255">
        <v>1</v>
      </c>
      <c r="AH255">
        <v>1</v>
      </c>
      <c r="AI255" t="s">
        <v>289</v>
      </c>
      <c r="AJ255">
        <v>35.51867</v>
      </c>
      <c r="AK255" t="s">
        <v>290</v>
      </c>
      <c r="AL255">
        <v>-76.034210000000002</v>
      </c>
      <c r="AM255">
        <v>25</v>
      </c>
      <c r="AN255">
        <v>3450</v>
      </c>
      <c r="AO255" t="s">
        <v>118</v>
      </c>
      <c r="AP255">
        <v>-78</v>
      </c>
      <c r="AQ255">
        <v>-150</v>
      </c>
      <c r="AR255">
        <v>-64</v>
      </c>
      <c r="AZ255">
        <v>1200</v>
      </c>
      <c r="BA255">
        <v>1</v>
      </c>
      <c r="BB255" t="str">
        <f t="shared" si="25"/>
        <v xml:space="preserve">N79NX   </v>
      </c>
      <c r="BC255">
        <v>1</v>
      </c>
      <c r="BE255">
        <v>0</v>
      </c>
      <c r="BF255">
        <v>0</v>
      </c>
      <c r="BG255">
        <v>0</v>
      </c>
      <c r="BH255">
        <v>3300</v>
      </c>
      <c r="BI255">
        <v>0</v>
      </c>
      <c r="BJ255">
        <v>0</v>
      </c>
      <c r="BK255">
        <v>0</v>
      </c>
      <c r="BL255">
        <v>0</v>
      </c>
      <c r="BO255">
        <v>0</v>
      </c>
      <c r="BP255">
        <v>0</v>
      </c>
      <c r="BW255" t="str">
        <f>"18:36:48.910"</f>
        <v>18:36:48.910</v>
      </c>
      <c r="BZ255">
        <v>0</v>
      </c>
      <c r="CA255">
        <v>3488</v>
      </c>
      <c r="CB255">
        <v>216</v>
      </c>
      <c r="CC255">
        <v>583.59379999999999</v>
      </c>
      <c r="CD255">
        <v>1</v>
      </c>
      <c r="CE255">
        <v>1</v>
      </c>
      <c r="CF255">
        <v>0</v>
      </c>
      <c r="CG255">
        <v>1</v>
      </c>
      <c r="CH255">
        <v>0</v>
      </c>
      <c r="CI255">
        <v>0</v>
      </c>
      <c r="CJ255">
        <v>0</v>
      </c>
      <c r="CK255">
        <v>2</v>
      </c>
      <c r="CL255">
        <v>0</v>
      </c>
      <c r="CM255">
        <v>2</v>
      </c>
      <c r="CN255">
        <v>0</v>
      </c>
      <c r="CO255">
        <v>7</v>
      </c>
      <c r="CP255" t="s">
        <v>119</v>
      </c>
      <c r="CQ255">
        <v>145</v>
      </c>
      <c r="CR255">
        <v>1</v>
      </c>
      <c r="CW255">
        <v>8888377</v>
      </c>
      <c r="CY255">
        <v>0</v>
      </c>
      <c r="CZ255">
        <v>0</v>
      </c>
      <c r="DA255">
        <v>1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</row>
    <row r="256" spans="1:113" x14ac:dyDescent="0.3">
      <c r="A256" t="str">
        <f>"02/13/2022 18:36:50.283"</f>
        <v>02/13/2022 18:36:50.283</v>
      </c>
      <c r="C256" t="str">
        <f t="shared" si="24"/>
        <v>FFDFD7C0</v>
      </c>
      <c r="D256" t="s">
        <v>113</v>
      </c>
      <c r="E256">
        <v>4</v>
      </c>
      <c r="F256">
        <v>1004</v>
      </c>
      <c r="G256" t="s">
        <v>120</v>
      </c>
      <c r="J256" t="s">
        <v>115</v>
      </c>
      <c r="K256">
        <v>0</v>
      </c>
      <c r="L256">
        <v>3</v>
      </c>
      <c r="M256">
        <v>0</v>
      </c>
      <c r="N256">
        <v>2</v>
      </c>
      <c r="O256">
        <v>1</v>
      </c>
      <c r="P256">
        <v>0</v>
      </c>
      <c r="Q256">
        <v>0</v>
      </c>
      <c r="S256" t="str">
        <f>"18:36:50.055"</f>
        <v>18:36:50.055</v>
      </c>
      <c r="T256" t="str">
        <f>"18:36:49.955"</f>
        <v>18:36:49.955</v>
      </c>
      <c r="U256" t="str">
        <f t="shared" si="23"/>
        <v>AAB6EE</v>
      </c>
      <c r="V256">
        <v>0</v>
      </c>
      <c r="W256">
        <v>0</v>
      </c>
      <c r="X256">
        <v>4</v>
      </c>
      <c r="Z256">
        <v>0</v>
      </c>
      <c r="AA256">
        <v>8</v>
      </c>
      <c r="AB256">
        <v>3</v>
      </c>
      <c r="AC256">
        <v>0</v>
      </c>
      <c r="AD256">
        <v>10</v>
      </c>
      <c r="AE256">
        <v>0</v>
      </c>
      <c r="AF256">
        <v>0</v>
      </c>
      <c r="AG256">
        <v>1</v>
      </c>
      <c r="AH256">
        <v>1</v>
      </c>
      <c r="AI256" t="s">
        <v>291</v>
      </c>
      <c r="AJ256">
        <v>35.517918999999999</v>
      </c>
      <c r="AK256" t="s">
        <v>292</v>
      </c>
      <c r="AL256">
        <v>-76.034682000000004</v>
      </c>
      <c r="AM256">
        <v>25</v>
      </c>
      <c r="AN256">
        <v>3450</v>
      </c>
      <c r="AO256" t="s">
        <v>118</v>
      </c>
      <c r="AP256">
        <v>-79</v>
      </c>
      <c r="AQ256">
        <v>-151</v>
      </c>
      <c r="AR256">
        <v>-64</v>
      </c>
      <c r="AZ256">
        <v>1200</v>
      </c>
      <c r="BA256">
        <v>1</v>
      </c>
      <c r="BB256" t="str">
        <f t="shared" si="25"/>
        <v xml:space="preserve">N79NX   </v>
      </c>
      <c r="BC256">
        <v>1</v>
      </c>
      <c r="BE256">
        <v>0</v>
      </c>
      <c r="BF256">
        <v>0</v>
      </c>
      <c r="BG256">
        <v>0</v>
      </c>
      <c r="BH256">
        <v>3300</v>
      </c>
      <c r="BI256">
        <v>0</v>
      </c>
      <c r="BJ256">
        <v>0</v>
      </c>
      <c r="BK256">
        <v>0</v>
      </c>
      <c r="BL256">
        <v>0</v>
      </c>
      <c r="BO256">
        <v>0</v>
      </c>
      <c r="BP256">
        <v>0</v>
      </c>
      <c r="BW256" t="str">
        <f>"18:36:50.060"</f>
        <v>18:36:50.060</v>
      </c>
      <c r="BZ256">
        <v>0</v>
      </c>
      <c r="CA256">
        <v>3488</v>
      </c>
      <c r="CB256">
        <v>216</v>
      </c>
      <c r="CC256">
        <v>583.59379999999999</v>
      </c>
      <c r="CD256">
        <v>1</v>
      </c>
      <c r="CE256">
        <v>1</v>
      </c>
      <c r="CF256">
        <v>0</v>
      </c>
      <c r="CG256">
        <v>1</v>
      </c>
      <c r="CH256">
        <v>0</v>
      </c>
      <c r="CI256">
        <v>0</v>
      </c>
      <c r="CJ256">
        <v>0</v>
      </c>
      <c r="CK256">
        <v>2</v>
      </c>
      <c r="CL256">
        <v>0</v>
      </c>
      <c r="CM256">
        <v>2</v>
      </c>
      <c r="CN256">
        <v>0</v>
      </c>
      <c r="CO256">
        <v>7</v>
      </c>
      <c r="CP256" t="s">
        <v>119</v>
      </c>
      <c r="CQ256">
        <v>145</v>
      </c>
      <c r="CR256">
        <v>1</v>
      </c>
      <c r="CW256">
        <v>8888856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</row>
    <row r="257" spans="1:113" x14ac:dyDescent="0.3">
      <c r="A257" t="str">
        <f>"02/13/2022 18:36:50.283"</f>
        <v>02/13/2022 18:36:50.283</v>
      </c>
      <c r="C257" t="str">
        <f t="shared" si="24"/>
        <v>FFDFD7C0</v>
      </c>
      <c r="D257" t="s">
        <v>113</v>
      </c>
      <c r="E257">
        <v>3</v>
      </c>
      <c r="F257">
        <v>1003</v>
      </c>
      <c r="G257" t="s">
        <v>114</v>
      </c>
      <c r="J257" t="s">
        <v>115</v>
      </c>
      <c r="K257">
        <v>0</v>
      </c>
      <c r="L257">
        <v>3</v>
      </c>
      <c r="M257">
        <v>0</v>
      </c>
      <c r="N257">
        <v>2</v>
      </c>
      <c r="O257">
        <v>1</v>
      </c>
      <c r="P257">
        <v>0</v>
      </c>
      <c r="Q257">
        <v>0</v>
      </c>
      <c r="S257" t="str">
        <f>"18:36:50.055"</f>
        <v>18:36:50.055</v>
      </c>
      <c r="T257" t="str">
        <f>"18:36:49.955"</f>
        <v>18:36:49.955</v>
      </c>
      <c r="U257" t="str">
        <f t="shared" si="23"/>
        <v>AAB6EE</v>
      </c>
      <c r="V257">
        <v>0</v>
      </c>
      <c r="W257">
        <v>0</v>
      </c>
      <c r="X257">
        <v>4</v>
      </c>
      <c r="Z257">
        <v>0</v>
      </c>
      <c r="AA257">
        <v>8</v>
      </c>
      <c r="AB257">
        <v>3</v>
      </c>
      <c r="AC257">
        <v>0</v>
      </c>
      <c r="AD257">
        <v>10</v>
      </c>
      <c r="AE257">
        <v>0</v>
      </c>
      <c r="AF257">
        <v>0</v>
      </c>
      <c r="AG257">
        <v>1</v>
      </c>
      <c r="AH257">
        <v>1</v>
      </c>
      <c r="AI257" t="s">
        <v>291</v>
      </c>
      <c r="AJ257">
        <v>35.517918999999999</v>
      </c>
      <c r="AK257" t="s">
        <v>292</v>
      </c>
      <c r="AL257">
        <v>-76.034682000000004</v>
      </c>
      <c r="AM257">
        <v>25</v>
      </c>
      <c r="AN257">
        <v>3450</v>
      </c>
      <c r="AO257" t="s">
        <v>118</v>
      </c>
      <c r="AP257">
        <v>-79</v>
      </c>
      <c r="AQ257">
        <v>-151</v>
      </c>
      <c r="AR257">
        <v>-64</v>
      </c>
      <c r="AZ257">
        <v>1200</v>
      </c>
      <c r="BA257">
        <v>1</v>
      </c>
      <c r="BB257" t="str">
        <f t="shared" si="25"/>
        <v xml:space="preserve">N79NX   </v>
      </c>
      <c r="BC257">
        <v>1</v>
      </c>
      <c r="BE257">
        <v>0</v>
      </c>
      <c r="BF257">
        <v>0</v>
      </c>
      <c r="BG257">
        <v>0</v>
      </c>
      <c r="BH257">
        <v>3300</v>
      </c>
      <c r="BI257">
        <v>0</v>
      </c>
      <c r="BJ257">
        <v>0</v>
      </c>
      <c r="BK257">
        <v>0</v>
      </c>
      <c r="BL257">
        <v>0</v>
      </c>
      <c r="BO257">
        <v>0</v>
      </c>
      <c r="BP257">
        <v>0</v>
      </c>
      <c r="BW257" t="str">
        <f>"18:36:50.060"</f>
        <v>18:36:50.060</v>
      </c>
      <c r="BZ257">
        <v>0</v>
      </c>
      <c r="CA257">
        <v>3488</v>
      </c>
      <c r="CB257">
        <v>216</v>
      </c>
      <c r="CC257">
        <v>583.59379999999999</v>
      </c>
      <c r="CD257">
        <v>1</v>
      </c>
      <c r="CE257">
        <v>1</v>
      </c>
      <c r="CF257">
        <v>0</v>
      </c>
      <c r="CG257">
        <v>1</v>
      </c>
      <c r="CH257">
        <v>0</v>
      </c>
      <c r="CI257">
        <v>0</v>
      </c>
      <c r="CJ257">
        <v>0</v>
      </c>
      <c r="CK257">
        <v>2</v>
      </c>
      <c r="CL257">
        <v>0</v>
      </c>
      <c r="CM257">
        <v>2</v>
      </c>
      <c r="CN257">
        <v>0</v>
      </c>
      <c r="CO257">
        <v>7</v>
      </c>
      <c r="CP257" t="s">
        <v>119</v>
      </c>
      <c r="CQ257">
        <v>145</v>
      </c>
      <c r="CR257">
        <v>1</v>
      </c>
      <c r="CW257">
        <v>8888856</v>
      </c>
      <c r="CY257">
        <v>0</v>
      </c>
      <c r="CZ257">
        <v>0</v>
      </c>
      <c r="DA257">
        <v>1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</row>
    <row r="258" spans="1:113" x14ac:dyDescent="0.3">
      <c r="A258" t="str">
        <f>"02/13/2022 18:36:50.283"</f>
        <v>02/13/2022 18:36:50.283</v>
      </c>
      <c r="C258" t="str">
        <f t="shared" si="24"/>
        <v>FFDFD7C0</v>
      </c>
      <c r="D258" t="s">
        <v>121</v>
      </c>
      <c r="E258">
        <v>2</v>
      </c>
      <c r="H258">
        <v>158</v>
      </c>
      <c r="I258" t="s">
        <v>120</v>
      </c>
      <c r="J258" t="s">
        <v>122</v>
      </c>
      <c r="K258">
        <v>0</v>
      </c>
      <c r="L258">
        <v>3</v>
      </c>
      <c r="M258">
        <v>0</v>
      </c>
      <c r="N258">
        <v>2</v>
      </c>
      <c r="O258">
        <v>1</v>
      </c>
      <c r="P258">
        <v>0</v>
      </c>
      <c r="Q258">
        <v>0</v>
      </c>
      <c r="S258" t="str">
        <f>"18:36:50.055"</f>
        <v>18:36:50.055</v>
      </c>
      <c r="T258" t="str">
        <f>"18:36:49.955"</f>
        <v>18:36:49.955</v>
      </c>
      <c r="U258" t="str">
        <f t="shared" ref="U258:U321" si="28">"AAB6EE"</f>
        <v>AAB6EE</v>
      </c>
      <c r="V258">
        <v>0</v>
      </c>
      <c r="W258">
        <v>0</v>
      </c>
      <c r="X258">
        <v>4</v>
      </c>
      <c r="Z258">
        <v>0</v>
      </c>
      <c r="AA258">
        <v>8</v>
      </c>
      <c r="AB258">
        <v>3</v>
      </c>
      <c r="AC258">
        <v>0</v>
      </c>
      <c r="AD258">
        <v>10</v>
      </c>
      <c r="AE258">
        <v>0</v>
      </c>
      <c r="AF258">
        <v>0</v>
      </c>
      <c r="AG258">
        <v>1</v>
      </c>
      <c r="AH258">
        <v>1</v>
      </c>
      <c r="AI258" t="s">
        <v>291</v>
      </c>
      <c r="AJ258">
        <v>35.517918999999999</v>
      </c>
      <c r="AK258" t="s">
        <v>292</v>
      </c>
      <c r="AL258">
        <v>-76.034682000000004</v>
      </c>
      <c r="AM258">
        <v>25</v>
      </c>
      <c r="AN258">
        <v>3450</v>
      </c>
      <c r="AO258" t="s">
        <v>118</v>
      </c>
      <c r="AP258">
        <v>-79</v>
      </c>
      <c r="AQ258">
        <v>-151</v>
      </c>
      <c r="AR258">
        <v>-64</v>
      </c>
      <c r="AZ258">
        <v>1200</v>
      </c>
      <c r="BA258">
        <v>1</v>
      </c>
      <c r="BB258" t="str">
        <f t="shared" si="25"/>
        <v xml:space="preserve">N79NX   </v>
      </c>
      <c r="BC258">
        <v>1</v>
      </c>
      <c r="BE258">
        <v>0</v>
      </c>
      <c r="BF258">
        <v>0</v>
      </c>
      <c r="BG258">
        <v>0</v>
      </c>
      <c r="BH258">
        <v>3300</v>
      </c>
      <c r="BI258">
        <v>0</v>
      </c>
      <c r="BJ258">
        <v>0</v>
      </c>
      <c r="BK258">
        <v>0</v>
      </c>
      <c r="BL258">
        <v>0</v>
      </c>
      <c r="BO258">
        <v>0</v>
      </c>
      <c r="BP258">
        <v>0</v>
      </c>
      <c r="BW258" t="str">
        <f>"18:36:50.060"</f>
        <v>18:36:50.060</v>
      </c>
      <c r="BZ258">
        <v>0</v>
      </c>
      <c r="CA258">
        <v>3488</v>
      </c>
      <c r="CB258">
        <v>216</v>
      </c>
      <c r="CC258">
        <v>583.59379999999999</v>
      </c>
      <c r="CD258">
        <v>1</v>
      </c>
      <c r="CE258">
        <v>1</v>
      </c>
      <c r="CF258">
        <v>0</v>
      </c>
      <c r="CG258">
        <v>1</v>
      </c>
      <c r="CH258">
        <v>0</v>
      </c>
      <c r="CI258">
        <v>0</v>
      </c>
      <c r="CJ258">
        <v>0</v>
      </c>
      <c r="CK258">
        <v>2</v>
      </c>
      <c r="CL258">
        <v>0</v>
      </c>
      <c r="CM258">
        <v>2</v>
      </c>
      <c r="CN258">
        <v>0</v>
      </c>
      <c r="CO258">
        <v>7</v>
      </c>
      <c r="CP258" t="s">
        <v>119</v>
      </c>
      <c r="CQ258">
        <v>145</v>
      </c>
      <c r="CR258">
        <v>1</v>
      </c>
      <c r="CW258">
        <v>8888856</v>
      </c>
      <c r="CY258">
        <v>0</v>
      </c>
      <c r="CZ258">
        <v>0</v>
      </c>
      <c r="DA258">
        <v>1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</row>
    <row r="259" spans="1:113" x14ac:dyDescent="0.3">
      <c r="A259" t="str">
        <f>"02/13/2022 18:36:51.268"</f>
        <v>02/13/2022 18:36:51.268</v>
      </c>
      <c r="C259" t="str">
        <f t="shared" si="24"/>
        <v>FFDFD7C0</v>
      </c>
      <c r="D259" t="s">
        <v>113</v>
      </c>
      <c r="E259">
        <v>4</v>
      </c>
      <c r="F259">
        <v>1004</v>
      </c>
      <c r="G259" t="s">
        <v>120</v>
      </c>
      <c r="J259" t="s">
        <v>115</v>
      </c>
      <c r="K259">
        <v>0</v>
      </c>
      <c r="L259">
        <v>3</v>
      </c>
      <c r="M259">
        <v>0</v>
      </c>
      <c r="N259">
        <v>2</v>
      </c>
      <c r="O259">
        <v>1</v>
      </c>
      <c r="P259">
        <v>0</v>
      </c>
      <c r="Q259">
        <v>0</v>
      </c>
      <c r="S259" t="str">
        <f>"18:36:51.062"</f>
        <v>18:36:51.062</v>
      </c>
      <c r="T259" t="str">
        <f>"18:36:50.863"</f>
        <v>18:36:50.863</v>
      </c>
      <c r="U259" t="str">
        <f t="shared" si="28"/>
        <v>AAB6EE</v>
      </c>
      <c r="V259">
        <v>0</v>
      </c>
      <c r="W259">
        <v>0</v>
      </c>
      <c r="X259">
        <v>4</v>
      </c>
      <c r="Z259">
        <v>0</v>
      </c>
      <c r="AA259">
        <v>8</v>
      </c>
      <c r="AB259">
        <v>3</v>
      </c>
      <c r="AC259">
        <v>0</v>
      </c>
      <c r="AD259">
        <v>10</v>
      </c>
      <c r="AE259">
        <v>0</v>
      </c>
      <c r="AF259">
        <v>0</v>
      </c>
      <c r="AG259">
        <v>1</v>
      </c>
      <c r="AH259">
        <v>1</v>
      </c>
      <c r="AI259" t="s">
        <v>293</v>
      </c>
      <c r="AJ259">
        <v>35.517211000000003</v>
      </c>
      <c r="AK259" t="s">
        <v>294</v>
      </c>
      <c r="AL259">
        <v>-76.035154000000006</v>
      </c>
      <c r="AM259">
        <v>25</v>
      </c>
      <c r="AN259">
        <v>3450</v>
      </c>
      <c r="AO259" t="s">
        <v>118</v>
      </c>
      <c r="AP259">
        <v>-80</v>
      </c>
      <c r="AQ259">
        <v>-153</v>
      </c>
      <c r="AR259">
        <v>-64</v>
      </c>
      <c r="AZ259">
        <v>1200</v>
      </c>
      <c r="BA259">
        <v>1</v>
      </c>
      <c r="BB259" t="str">
        <f t="shared" si="25"/>
        <v xml:space="preserve">N79NX   </v>
      </c>
      <c r="BC259">
        <v>1</v>
      </c>
      <c r="BE259">
        <v>0</v>
      </c>
      <c r="BF259">
        <v>0</v>
      </c>
      <c r="BG259">
        <v>0</v>
      </c>
      <c r="BH259">
        <v>3300</v>
      </c>
      <c r="BI259">
        <v>0</v>
      </c>
      <c r="BJ259">
        <v>0</v>
      </c>
      <c r="BK259">
        <v>0</v>
      </c>
      <c r="BL259">
        <v>0</v>
      </c>
      <c r="BO259">
        <v>0</v>
      </c>
      <c r="BP259">
        <v>0</v>
      </c>
      <c r="BW259" t="str">
        <f>"18:36:51.070"</f>
        <v>18:36:51.070</v>
      </c>
      <c r="BZ259">
        <v>0</v>
      </c>
      <c r="CA259">
        <v>3488</v>
      </c>
      <c r="CB259">
        <v>216</v>
      </c>
      <c r="CC259">
        <v>583.59379999999999</v>
      </c>
      <c r="CD259">
        <v>1</v>
      </c>
      <c r="CE259">
        <v>1</v>
      </c>
      <c r="CF259">
        <v>0</v>
      </c>
      <c r="CG259">
        <v>1</v>
      </c>
      <c r="CH259">
        <v>0</v>
      </c>
      <c r="CI259">
        <v>0</v>
      </c>
      <c r="CJ259">
        <v>0</v>
      </c>
      <c r="CK259">
        <v>2</v>
      </c>
      <c r="CL259">
        <v>0</v>
      </c>
      <c r="CM259">
        <v>2</v>
      </c>
      <c r="CN259">
        <v>0</v>
      </c>
      <c r="CO259">
        <v>7</v>
      </c>
      <c r="CP259" t="s">
        <v>119</v>
      </c>
      <c r="CQ259">
        <v>145</v>
      </c>
      <c r="CR259">
        <v>1</v>
      </c>
      <c r="CW259">
        <v>8889365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</row>
    <row r="260" spans="1:113" x14ac:dyDescent="0.3">
      <c r="A260" t="str">
        <f>"02/13/2022 18:36:51.268"</f>
        <v>02/13/2022 18:36:51.268</v>
      </c>
      <c r="C260" t="str">
        <f t="shared" si="24"/>
        <v>FFDFD7C0</v>
      </c>
      <c r="D260" t="s">
        <v>113</v>
      </c>
      <c r="E260">
        <v>3</v>
      </c>
      <c r="F260">
        <v>1003</v>
      </c>
      <c r="G260" t="s">
        <v>114</v>
      </c>
      <c r="J260" t="s">
        <v>115</v>
      </c>
      <c r="K260">
        <v>0</v>
      </c>
      <c r="L260">
        <v>3</v>
      </c>
      <c r="M260">
        <v>0</v>
      </c>
      <c r="N260">
        <v>2</v>
      </c>
      <c r="O260">
        <v>1</v>
      </c>
      <c r="P260">
        <v>0</v>
      </c>
      <c r="Q260">
        <v>0</v>
      </c>
      <c r="S260" t="str">
        <f>"18:36:51.062"</f>
        <v>18:36:51.062</v>
      </c>
      <c r="T260" t="str">
        <f>"18:36:50.863"</f>
        <v>18:36:50.863</v>
      </c>
      <c r="U260" t="str">
        <f t="shared" si="28"/>
        <v>AAB6EE</v>
      </c>
      <c r="V260">
        <v>0</v>
      </c>
      <c r="W260">
        <v>0</v>
      </c>
      <c r="X260">
        <v>4</v>
      </c>
      <c r="Z260">
        <v>0</v>
      </c>
      <c r="AA260">
        <v>8</v>
      </c>
      <c r="AB260">
        <v>3</v>
      </c>
      <c r="AC260">
        <v>0</v>
      </c>
      <c r="AD260">
        <v>10</v>
      </c>
      <c r="AE260">
        <v>0</v>
      </c>
      <c r="AF260">
        <v>0</v>
      </c>
      <c r="AG260">
        <v>1</v>
      </c>
      <c r="AH260">
        <v>1</v>
      </c>
      <c r="AI260" t="s">
        <v>293</v>
      </c>
      <c r="AJ260">
        <v>35.517211000000003</v>
      </c>
      <c r="AK260" t="s">
        <v>294</v>
      </c>
      <c r="AL260">
        <v>-76.035154000000006</v>
      </c>
      <c r="AM260">
        <v>25</v>
      </c>
      <c r="AN260">
        <v>3450</v>
      </c>
      <c r="AO260" t="s">
        <v>118</v>
      </c>
      <c r="AP260">
        <v>-80</v>
      </c>
      <c r="AQ260">
        <v>-153</v>
      </c>
      <c r="AR260">
        <v>-64</v>
      </c>
      <c r="AZ260">
        <v>1200</v>
      </c>
      <c r="BA260">
        <v>1</v>
      </c>
      <c r="BB260" t="str">
        <f t="shared" si="25"/>
        <v xml:space="preserve">N79NX   </v>
      </c>
      <c r="BC260">
        <v>1</v>
      </c>
      <c r="BE260">
        <v>0</v>
      </c>
      <c r="BF260">
        <v>0</v>
      </c>
      <c r="BG260">
        <v>0</v>
      </c>
      <c r="BH260">
        <v>3300</v>
      </c>
      <c r="BI260">
        <v>0</v>
      </c>
      <c r="BJ260">
        <v>0</v>
      </c>
      <c r="BK260">
        <v>0</v>
      </c>
      <c r="BL260">
        <v>0</v>
      </c>
      <c r="BO260">
        <v>0</v>
      </c>
      <c r="BP260">
        <v>0</v>
      </c>
      <c r="BW260" t="str">
        <f>"18:36:51.070"</f>
        <v>18:36:51.070</v>
      </c>
      <c r="BZ260">
        <v>0</v>
      </c>
      <c r="CA260">
        <v>3488</v>
      </c>
      <c r="CB260">
        <v>216</v>
      </c>
      <c r="CC260">
        <v>583.59379999999999</v>
      </c>
      <c r="CD260">
        <v>1</v>
      </c>
      <c r="CE260">
        <v>1</v>
      </c>
      <c r="CF260">
        <v>0</v>
      </c>
      <c r="CG260">
        <v>1</v>
      </c>
      <c r="CH260">
        <v>0</v>
      </c>
      <c r="CI260">
        <v>0</v>
      </c>
      <c r="CJ260">
        <v>0</v>
      </c>
      <c r="CK260">
        <v>2</v>
      </c>
      <c r="CL260">
        <v>0</v>
      </c>
      <c r="CM260">
        <v>2</v>
      </c>
      <c r="CN260">
        <v>0</v>
      </c>
      <c r="CO260">
        <v>7</v>
      </c>
      <c r="CP260" t="s">
        <v>119</v>
      </c>
      <c r="CQ260">
        <v>145</v>
      </c>
      <c r="CR260">
        <v>1</v>
      </c>
      <c r="CW260">
        <v>8889365</v>
      </c>
      <c r="CY260">
        <v>0</v>
      </c>
      <c r="CZ260">
        <v>0</v>
      </c>
      <c r="DA260">
        <v>1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</row>
    <row r="261" spans="1:113" x14ac:dyDescent="0.3">
      <c r="A261" t="str">
        <f>"02/13/2022 18:36:51.315"</f>
        <v>02/13/2022 18:36:51.315</v>
      </c>
      <c r="C261" t="str">
        <f t="shared" ref="C261:C324" si="29">"FFDFD7C0"</f>
        <v>FFDFD7C0</v>
      </c>
      <c r="D261" t="s">
        <v>121</v>
      </c>
      <c r="E261">
        <v>2</v>
      </c>
      <c r="H261">
        <v>158</v>
      </c>
      <c r="I261" t="s">
        <v>120</v>
      </c>
      <c r="J261" t="s">
        <v>122</v>
      </c>
      <c r="K261">
        <v>0</v>
      </c>
      <c r="L261">
        <v>3</v>
      </c>
      <c r="M261">
        <v>0</v>
      </c>
      <c r="N261">
        <v>2</v>
      </c>
      <c r="O261">
        <v>1</v>
      </c>
      <c r="P261">
        <v>0</v>
      </c>
      <c r="Q261">
        <v>0</v>
      </c>
      <c r="S261" t="str">
        <f>"18:36:51.062"</f>
        <v>18:36:51.062</v>
      </c>
      <c r="T261" t="str">
        <f>"18:36:50.863"</f>
        <v>18:36:50.863</v>
      </c>
      <c r="U261" t="str">
        <f t="shared" si="28"/>
        <v>AAB6EE</v>
      </c>
      <c r="V261">
        <v>0</v>
      </c>
      <c r="W261">
        <v>0</v>
      </c>
      <c r="X261">
        <v>4</v>
      </c>
      <c r="Z261">
        <v>0</v>
      </c>
      <c r="AA261">
        <v>8</v>
      </c>
      <c r="AB261">
        <v>3</v>
      </c>
      <c r="AC261">
        <v>0</v>
      </c>
      <c r="AD261">
        <v>10</v>
      </c>
      <c r="AE261">
        <v>0</v>
      </c>
      <c r="AF261">
        <v>0</v>
      </c>
      <c r="AG261">
        <v>1</v>
      </c>
      <c r="AH261">
        <v>1</v>
      </c>
      <c r="AI261" t="s">
        <v>293</v>
      </c>
      <c r="AJ261">
        <v>35.517211000000003</v>
      </c>
      <c r="AK261" t="s">
        <v>294</v>
      </c>
      <c r="AL261">
        <v>-76.035154000000006</v>
      </c>
      <c r="AM261">
        <v>25</v>
      </c>
      <c r="AN261">
        <v>3450</v>
      </c>
      <c r="AO261" t="s">
        <v>118</v>
      </c>
      <c r="AP261">
        <v>-80</v>
      </c>
      <c r="AQ261">
        <v>-153</v>
      </c>
      <c r="AR261">
        <v>-64</v>
      </c>
      <c r="AZ261">
        <v>1200</v>
      </c>
      <c r="BA261">
        <v>1</v>
      </c>
      <c r="BB261" t="str">
        <f t="shared" ref="BB261:BB324" si="30">"N79NX   "</f>
        <v xml:space="preserve">N79NX   </v>
      </c>
      <c r="BC261">
        <v>1</v>
      </c>
      <c r="BE261">
        <v>0</v>
      </c>
      <c r="BF261">
        <v>0</v>
      </c>
      <c r="BG261">
        <v>0</v>
      </c>
      <c r="BH261">
        <v>3300</v>
      </c>
      <c r="BI261">
        <v>0</v>
      </c>
      <c r="BJ261">
        <v>0</v>
      </c>
      <c r="BK261">
        <v>0</v>
      </c>
      <c r="BL261">
        <v>0</v>
      </c>
      <c r="BO261">
        <v>0</v>
      </c>
      <c r="BP261">
        <v>0</v>
      </c>
      <c r="BW261" t="str">
        <f>"18:36:51.070"</f>
        <v>18:36:51.070</v>
      </c>
      <c r="BZ261">
        <v>0</v>
      </c>
      <c r="CA261">
        <v>3488</v>
      </c>
      <c r="CB261">
        <v>216</v>
      </c>
      <c r="CC261">
        <v>583.59379999999999</v>
      </c>
      <c r="CD261">
        <v>1</v>
      </c>
      <c r="CE261">
        <v>1</v>
      </c>
      <c r="CF261">
        <v>0</v>
      </c>
      <c r="CG261">
        <v>1</v>
      </c>
      <c r="CH261">
        <v>0</v>
      </c>
      <c r="CI261">
        <v>0</v>
      </c>
      <c r="CJ261">
        <v>0</v>
      </c>
      <c r="CK261">
        <v>2</v>
      </c>
      <c r="CL261">
        <v>0</v>
      </c>
      <c r="CM261">
        <v>2</v>
      </c>
      <c r="CN261">
        <v>0</v>
      </c>
      <c r="CO261">
        <v>7</v>
      </c>
      <c r="CP261" t="s">
        <v>119</v>
      </c>
      <c r="CQ261">
        <v>145</v>
      </c>
      <c r="CR261">
        <v>1</v>
      </c>
      <c r="CW261">
        <v>8889365</v>
      </c>
      <c r="CY261">
        <v>0</v>
      </c>
      <c r="CZ261">
        <v>0</v>
      </c>
      <c r="DA261">
        <v>1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</row>
    <row r="262" spans="1:113" x14ac:dyDescent="0.3">
      <c r="A262" t="str">
        <f>"02/13/2022 18:36:52.456"</f>
        <v>02/13/2022 18:36:52.456</v>
      </c>
      <c r="C262" t="str">
        <f t="shared" si="29"/>
        <v>FFDFD7C0</v>
      </c>
      <c r="D262" t="s">
        <v>113</v>
      </c>
      <c r="E262">
        <v>3</v>
      </c>
      <c r="F262">
        <v>1003</v>
      </c>
      <c r="G262" t="s">
        <v>114</v>
      </c>
      <c r="J262" t="s">
        <v>115</v>
      </c>
      <c r="K262">
        <v>0</v>
      </c>
      <c r="L262">
        <v>3</v>
      </c>
      <c r="M262">
        <v>0</v>
      </c>
      <c r="N262">
        <v>2</v>
      </c>
      <c r="O262">
        <v>1</v>
      </c>
      <c r="P262">
        <v>0</v>
      </c>
      <c r="Q262">
        <v>0</v>
      </c>
      <c r="S262" t="str">
        <f>"18:36:52.227"</f>
        <v>18:36:52.227</v>
      </c>
      <c r="T262" t="str">
        <f>"18:36:51.927"</f>
        <v>18:36:51.927</v>
      </c>
      <c r="U262" t="str">
        <f t="shared" si="28"/>
        <v>AAB6EE</v>
      </c>
      <c r="V262">
        <v>0</v>
      </c>
      <c r="W262">
        <v>0</v>
      </c>
      <c r="X262">
        <v>4</v>
      </c>
      <c r="Z262">
        <v>0</v>
      </c>
      <c r="AA262">
        <v>8</v>
      </c>
      <c r="AB262">
        <v>3</v>
      </c>
      <c r="AC262">
        <v>0</v>
      </c>
      <c r="AD262">
        <v>10</v>
      </c>
      <c r="AE262">
        <v>0</v>
      </c>
      <c r="AF262">
        <v>0</v>
      </c>
      <c r="AG262">
        <v>1</v>
      </c>
      <c r="AH262">
        <v>1</v>
      </c>
      <c r="AI262" t="s">
        <v>295</v>
      </c>
      <c r="AJ262">
        <v>35.516331000000001</v>
      </c>
      <c r="AK262" t="s">
        <v>296</v>
      </c>
      <c r="AL262">
        <v>-76.035668999999999</v>
      </c>
      <c r="AM262">
        <v>25</v>
      </c>
      <c r="AN262">
        <v>3450</v>
      </c>
      <c r="AO262" t="s">
        <v>118</v>
      </c>
      <c r="AP262">
        <v>-80</v>
      </c>
      <c r="AQ262">
        <v>-154</v>
      </c>
      <c r="AR262">
        <v>-64</v>
      </c>
      <c r="AZ262">
        <v>1200</v>
      </c>
      <c r="BA262">
        <v>1</v>
      </c>
      <c r="BB262" t="str">
        <f t="shared" si="30"/>
        <v xml:space="preserve">N79NX   </v>
      </c>
      <c r="BC262">
        <v>1</v>
      </c>
      <c r="BE262">
        <v>0</v>
      </c>
      <c r="BF262">
        <v>0</v>
      </c>
      <c r="BG262">
        <v>0</v>
      </c>
      <c r="BH262">
        <v>3300</v>
      </c>
      <c r="BI262">
        <v>0</v>
      </c>
      <c r="BJ262">
        <v>0</v>
      </c>
      <c r="BK262">
        <v>0</v>
      </c>
      <c r="BL262">
        <v>0</v>
      </c>
      <c r="BO262">
        <v>0</v>
      </c>
      <c r="BP262">
        <v>0</v>
      </c>
      <c r="BW262" t="str">
        <f>"18:36:52.230"</f>
        <v>18:36:52.230</v>
      </c>
      <c r="BZ262">
        <v>0</v>
      </c>
      <c r="CA262">
        <v>3488</v>
      </c>
      <c r="CB262">
        <v>216</v>
      </c>
      <c r="CC262">
        <v>583.59379999999999</v>
      </c>
      <c r="CD262">
        <v>1</v>
      </c>
      <c r="CE262">
        <v>1</v>
      </c>
      <c r="CF262">
        <v>0</v>
      </c>
      <c r="CG262">
        <v>1</v>
      </c>
      <c r="CH262">
        <v>0</v>
      </c>
      <c r="CI262">
        <v>0</v>
      </c>
      <c r="CJ262">
        <v>0</v>
      </c>
      <c r="CK262">
        <v>2</v>
      </c>
      <c r="CL262">
        <v>0</v>
      </c>
      <c r="CM262">
        <v>2</v>
      </c>
      <c r="CN262">
        <v>0</v>
      </c>
      <c r="CO262">
        <v>7</v>
      </c>
      <c r="CP262" t="s">
        <v>119</v>
      </c>
      <c r="CQ262">
        <v>145</v>
      </c>
      <c r="CR262">
        <v>1</v>
      </c>
      <c r="CW262">
        <v>8889946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</row>
    <row r="263" spans="1:113" x14ac:dyDescent="0.3">
      <c r="A263" t="str">
        <f>"02/13/2022 18:36:52.456"</f>
        <v>02/13/2022 18:36:52.456</v>
      </c>
      <c r="C263" t="str">
        <f t="shared" si="29"/>
        <v>FFDFD7C0</v>
      </c>
      <c r="D263" t="s">
        <v>113</v>
      </c>
      <c r="E263">
        <v>4</v>
      </c>
      <c r="F263">
        <v>1004</v>
      </c>
      <c r="G263" t="s">
        <v>120</v>
      </c>
      <c r="J263" t="s">
        <v>115</v>
      </c>
      <c r="K263">
        <v>0</v>
      </c>
      <c r="L263">
        <v>3</v>
      </c>
      <c r="M263">
        <v>0</v>
      </c>
      <c r="N263">
        <v>2</v>
      </c>
      <c r="O263">
        <v>1</v>
      </c>
      <c r="P263">
        <v>0</v>
      </c>
      <c r="Q263">
        <v>0</v>
      </c>
      <c r="S263" t="str">
        <f>"18:36:52.227"</f>
        <v>18:36:52.227</v>
      </c>
      <c r="T263" t="str">
        <f>"18:36:51.927"</f>
        <v>18:36:51.927</v>
      </c>
      <c r="U263" t="str">
        <f t="shared" si="28"/>
        <v>AAB6EE</v>
      </c>
      <c r="V263">
        <v>0</v>
      </c>
      <c r="W263">
        <v>0</v>
      </c>
      <c r="X263">
        <v>4</v>
      </c>
      <c r="Z263">
        <v>0</v>
      </c>
      <c r="AA263">
        <v>8</v>
      </c>
      <c r="AB263">
        <v>3</v>
      </c>
      <c r="AC263">
        <v>0</v>
      </c>
      <c r="AD263">
        <v>10</v>
      </c>
      <c r="AE263">
        <v>0</v>
      </c>
      <c r="AF263">
        <v>0</v>
      </c>
      <c r="AG263">
        <v>1</v>
      </c>
      <c r="AH263">
        <v>1</v>
      </c>
      <c r="AI263" t="s">
        <v>295</v>
      </c>
      <c r="AJ263">
        <v>35.516331000000001</v>
      </c>
      <c r="AK263" t="s">
        <v>296</v>
      </c>
      <c r="AL263">
        <v>-76.035668999999999</v>
      </c>
      <c r="AM263">
        <v>25</v>
      </c>
      <c r="AN263">
        <v>3450</v>
      </c>
      <c r="AO263" t="s">
        <v>118</v>
      </c>
      <c r="AP263">
        <v>-80</v>
      </c>
      <c r="AQ263">
        <v>-154</v>
      </c>
      <c r="AR263">
        <v>-64</v>
      </c>
      <c r="AZ263">
        <v>1200</v>
      </c>
      <c r="BA263">
        <v>1</v>
      </c>
      <c r="BB263" t="str">
        <f t="shared" si="30"/>
        <v xml:space="preserve">N79NX   </v>
      </c>
      <c r="BC263">
        <v>1</v>
      </c>
      <c r="BE263">
        <v>0</v>
      </c>
      <c r="BF263">
        <v>0</v>
      </c>
      <c r="BG263">
        <v>0</v>
      </c>
      <c r="BH263">
        <v>3300</v>
      </c>
      <c r="BI263">
        <v>0</v>
      </c>
      <c r="BJ263">
        <v>0</v>
      </c>
      <c r="BK263">
        <v>0</v>
      </c>
      <c r="BL263">
        <v>0</v>
      </c>
      <c r="BO263">
        <v>0</v>
      </c>
      <c r="BP263">
        <v>0</v>
      </c>
      <c r="BW263" t="str">
        <f>"18:36:52.230"</f>
        <v>18:36:52.230</v>
      </c>
      <c r="BZ263">
        <v>0</v>
      </c>
      <c r="CA263">
        <v>3488</v>
      </c>
      <c r="CB263">
        <v>216</v>
      </c>
      <c r="CC263">
        <v>583.59379999999999</v>
      </c>
      <c r="CD263">
        <v>1</v>
      </c>
      <c r="CE263">
        <v>1</v>
      </c>
      <c r="CF263">
        <v>0</v>
      </c>
      <c r="CG263">
        <v>1</v>
      </c>
      <c r="CH263">
        <v>0</v>
      </c>
      <c r="CI263">
        <v>0</v>
      </c>
      <c r="CJ263">
        <v>0</v>
      </c>
      <c r="CK263">
        <v>2</v>
      </c>
      <c r="CL263">
        <v>0</v>
      </c>
      <c r="CM263">
        <v>2</v>
      </c>
      <c r="CN263">
        <v>0</v>
      </c>
      <c r="CO263">
        <v>7</v>
      </c>
      <c r="CP263" t="s">
        <v>119</v>
      </c>
      <c r="CQ263">
        <v>145</v>
      </c>
      <c r="CR263">
        <v>1</v>
      </c>
      <c r="CW263">
        <v>8889946</v>
      </c>
      <c r="CY263">
        <v>0</v>
      </c>
      <c r="CZ263">
        <v>0</v>
      </c>
      <c r="DA263">
        <v>1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</row>
    <row r="264" spans="1:113" x14ac:dyDescent="0.3">
      <c r="A264" t="str">
        <f>"02/13/2022 18:36:52.471"</f>
        <v>02/13/2022 18:36:52.471</v>
      </c>
      <c r="C264" t="str">
        <f t="shared" si="29"/>
        <v>FFDFD7C0</v>
      </c>
      <c r="D264" t="s">
        <v>121</v>
      </c>
      <c r="E264">
        <v>2</v>
      </c>
      <c r="H264">
        <v>158</v>
      </c>
      <c r="I264" t="s">
        <v>120</v>
      </c>
      <c r="J264" t="s">
        <v>122</v>
      </c>
      <c r="K264">
        <v>0</v>
      </c>
      <c r="L264">
        <v>3</v>
      </c>
      <c r="M264">
        <v>0</v>
      </c>
      <c r="N264">
        <v>2</v>
      </c>
      <c r="O264">
        <v>1</v>
      </c>
      <c r="P264">
        <v>0</v>
      </c>
      <c r="Q264">
        <v>0</v>
      </c>
      <c r="S264" t="str">
        <f>"18:36:52.227"</f>
        <v>18:36:52.227</v>
      </c>
      <c r="T264" t="str">
        <f>"18:36:51.927"</f>
        <v>18:36:51.927</v>
      </c>
      <c r="U264" t="str">
        <f t="shared" si="28"/>
        <v>AAB6EE</v>
      </c>
      <c r="V264">
        <v>0</v>
      </c>
      <c r="W264">
        <v>0</v>
      </c>
      <c r="X264">
        <v>4</v>
      </c>
      <c r="Z264">
        <v>0</v>
      </c>
      <c r="AA264">
        <v>8</v>
      </c>
      <c r="AB264">
        <v>3</v>
      </c>
      <c r="AC264">
        <v>0</v>
      </c>
      <c r="AD264">
        <v>10</v>
      </c>
      <c r="AE264">
        <v>0</v>
      </c>
      <c r="AF264">
        <v>0</v>
      </c>
      <c r="AG264">
        <v>1</v>
      </c>
      <c r="AH264">
        <v>1</v>
      </c>
      <c r="AI264" t="s">
        <v>295</v>
      </c>
      <c r="AJ264">
        <v>35.516331000000001</v>
      </c>
      <c r="AK264" t="s">
        <v>296</v>
      </c>
      <c r="AL264">
        <v>-76.035668999999999</v>
      </c>
      <c r="AM264">
        <v>25</v>
      </c>
      <c r="AN264">
        <v>3450</v>
      </c>
      <c r="AO264" t="s">
        <v>118</v>
      </c>
      <c r="AP264">
        <v>-80</v>
      </c>
      <c r="AQ264">
        <v>-154</v>
      </c>
      <c r="AR264">
        <v>-64</v>
      </c>
      <c r="AZ264">
        <v>1200</v>
      </c>
      <c r="BA264">
        <v>1</v>
      </c>
      <c r="BB264" t="str">
        <f t="shared" si="30"/>
        <v xml:space="preserve">N79NX   </v>
      </c>
      <c r="BC264">
        <v>1</v>
      </c>
      <c r="BE264">
        <v>0</v>
      </c>
      <c r="BF264">
        <v>0</v>
      </c>
      <c r="BG264">
        <v>0</v>
      </c>
      <c r="BH264">
        <v>3300</v>
      </c>
      <c r="BI264">
        <v>0</v>
      </c>
      <c r="BJ264">
        <v>0</v>
      </c>
      <c r="BK264">
        <v>0</v>
      </c>
      <c r="BL264">
        <v>0</v>
      </c>
      <c r="BO264">
        <v>0</v>
      </c>
      <c r="BP264">
        <v>0</v>
      </c>
      <c r="BW264" t="str">
        <f>"18:36:52.230"</f>
        <v>18:36:52.230</v>
      </c>
      <c r="BZ264">
        <v>0</v>
      </c>
      <c r="CA264">
        <v>3488</v>
      </c>
      <c r="CB264">
        <v>216</v>
      </c>
      <c r="CC264">
        <v>583.59379999999999</v>
      </c>
      <c r="CD264">
        <v>1</v>
      </c>
      <c r="CE264">
        <v>1</v>
      </c>
      <c r="CF264">
        <v>0</v>
      </c>
      <c r="CG264">
        <v>1</v>
      </c>
      <c r="CH264">
        <v>0</v>
      </c>
      <c r="CI264">
        <v>0</v>
      </c>
      <c r="CJ264">
        <v>0</v>
      </c>
      <c r="CK264">
        <v>2</v>
      </c>
      <c r="CL264">
        <v>0</v>
      </c>
      <c r="CM264">
        <v>2</v>
      </c>
      <c r="CN264">
        <v>0</v>
      </c>
      <c r="CO264">
        <v>7</v>
      </c>
      <c r="CP264" t="s">
        <v>119</v>
      </c>
      <c r="CQ264">
        <v>145</v>
      </c>
      <c r="CR264">
        <v>1</v>
      </c>
      <c r="CW264">
        <v>8889946</v>
      </c>
      <c r="CY264">
        <v>0</v>
      </c>
      <c r="CZ264">
        <v>0</v>
      </c>
      <c r="DA264">
        <v>1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</row>
    <row r="265" spans="1:113" x14ac:dyDescent="0.3">
      <c r="A265" t="str">
        <f>"02/13/2022 18:36:53.503"</f>
        <v>02/13/2022 18:36:53.503</v>
      </c>
      <c r="C265" t="str">
        <f t="shared" si="29"/>
        <v>FFDFD7C0</v>
      </c>
      <c r="D265" t="s">
        <v>113</v>
      </c>
      <c r="E265">
        <v>3</v>
      </c>
      <c r="F265">
        <v>1003</v>
      </c>
      <c r="G265" t="s">
        <v>114</v>
      </c>
      <c r="J265" t="s">
        <v>115</v>
      </c>
      <c r="K265">
        <v>0</v>
      </c>
      <c r="L265">
        <v>3</v>
      </c>
      <c r="M265">
        <v>0</v>
      </c>
      <c r="N265">
        <v>2</v>
      </c>
      <c r="O265">
        <v>1</v>
      </c>
      <c r="P265">
        <v>0</v>
      </c>
      <c r="Q265">
        <v>0</v>
      </c>
      <c r="S265" t="str">
        <f t="shared" ref="S265:T267" si="31">"18:36:53.305"</f>
        <v>18:36:53.305</v>
      </c>
      <c r="T265" t="str">
        <f t="shared" si="31"/>
        <v>18:36:53.305</v>
      </c>
      <c r="U265" t="str">
        <f t="shared" si="28"/>
        <v>AAB6EE</v>
      </c>
      <c r="V265">
        <v>0</v>
      </c>
      <c r="W265">
        <v>0</v>
      </c>
      <c r="X265">
        <v>4</v>
      </c>
      <c r="Z265">
        <v>0</v>
      </c>
      <c r="AA265">
        <v>8</v>
      </c>
      <c r="AB265">
        <v>3</v>
      </c>
      <c r="AC265">
        <v>0</v>
      </c>
      <c r="AD265">
        <v>10</v>
      </c>
      <c r="AE265">
        <v>0</v>
      </c>
      <c r="AF265">
        <v>0</v>
      </c>
      <c r="AG265">
        <v>1</v>
      </c>
      <c r="AH265">
        <v>1</v>
      </c>
      <c r="AI265" t="s">
        <v>297</v>
      </c>
      <c r="AJ265">
        <v>35.515559000000003</v>
      </c>
      <c r="AK265" t="s">
        <v>298</v>
      </c>
      <c r="AL265">
        <v>-76.036204999999995</v>
      </c>
      <c r="AM265">
        <v>25</v>
      </c>
      <c r="AN265">
        <v>3450</v>
      </c>
      <c r="AO265" t="s">
        <v>118</v>
      </c>
      <c r="AP265">
        <v>-81</v>
      </c>
      <c r="AQ265">
        <v>-155</v>
      </c>
      <c r="AR265">
        <v>-64</v>
      </c>
      <c r="AZ265">
        <v>1200</v>
      </c>
      <c r="BA265">
        <v>1</v>
      </c>
      <c r="BB265" t="str">
        <f t="shared" si="30"/>
        <v xml:space="preserve">N79NX   </v>
      </c>
      <c r="BC265">
        <v>1</v>
      </c>
      <c r="BE265">
        <v>0</v>
      </c>
      <c r="BF265">
        <v>0</v>
      </c>
      <c r="BG265">
        <v>0</v>
      </c>
      <c r="BH265">
        <v>3300</v>
      </c>
      <c r="BI265">
        <v>0</v>
      </c>
      <c r="BJ265">
        <v>0</v>
      </c>
      <c r="BK265">
        <v>0</v>
      </c>
      <c r="BL265">
        <v>0</v>
      </c>
      <c r="BO265">
        <v>0</v>
      </c>
      <c r="BP265">
        <v>0</v>
      </c>
      <c r="BW265" t="str">
        <f>"18:36:53.310"</f>
        <v>18:36:53.310</v>
      </c>
      <c r="BZ265">
        <v>0</v>
      </c>
      <c r="CA265">
        <v>3488</v>
      </c>
      <c r="CB265">
        <v>216</v>
      </c>
      <c r="CC265">
        <v>583.59379999999999</v>
      </c>
      <c r="CD265">
        <v>1</v>
      </c>
      <c r="CE265">
        <v>1</v>
      </c>
      <c r="CF265">
        <v>0</v>
      </c>
      <c r="CG265">
        <v>1</v>
      </c>
      <c r="CH265">
        <v>0</v>
      </c>
      <c r="CI265">
        <v>0</v>
      </c>
      <c r="CJ265">
        <v>0</v>
      </c>
      <c r="CK265">
        <v>2</v>
      </c>
      <c r="CL265">
        <v>0</v>
      </c>
      <c r="CM265">
        <v>2</v>
      </c>
      <c r="CN265">
        <v>0</v>
      </c>
      <c r="CO265">
        <v>7</v>
      </c>
      <c r="CP265" t="s">
        <v>119</v>
      </c>
      <c r="CQ265">
        <v>145</v>
      </c>
      <c r="CR265">
        <v>1</v>
      </c>
      <c r="CW265">
        <v>8890498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</row>
    <row r="266" spans="1:113" x14ac:dyDescent="0.3">
      <c r="A266" t="str">
        <f>"02/13/2022 18:36:53.503"</f>
        <v>02/13/2022 18:36:53.503</v>
      </c>
      <c r="C266" t="str">
        <f t="shared" si="29"/>
        <v>FFDFD7C0</v>
      </c>
      <c r="D266" t="s">
        <v>113</v>
      </c>
      <c r="E266">
        <v>4</v>
      </c>
      <c r="F266">
        <v>1004</v>
      </c>
      <c r="G266" t="s">
        <v>120</v>
      </c>
      <c r="J266" t="s">
        <v>115</v>
      </c>
      <c r="K266">
        <v>0</v>
      </c>
      <c r="L266">
        <v>3</v>
      </c>
      <c r="M266">
        <v>0</v>
      </c>
      <c r="N266">
        <v>2</v>
      </c>
      <c r="O266">
        <v>1</v>
      </c>
      <c r="P266">
        <v>0</v>
      </c>
      <c r="Q266">
        <v>0</v>
      </c>
      <c r="S266" t="str">
        <f t="shared" si="31"/>
        <v>18:36:53.305</v>
      </c>
      <c r="T266" t="str">
        <f t="shared" si="31"/>
        <v>18:36:53.305</v>
      </c>
      <c r="U266" t="str">
        <f t="shared" si="28"/>
        <v>AAB6EE</v>
      </c>
      <c r="V266">
        <v>0</v>
      </c>
      <c r="W266">
        <v>0</v>
      </c>
      <c r="X266">
        <v>4</v>
      </c>
      <c r="Z266">
        <v>0</v>
      </c>
      <c r="AA266">
        <v>8</v>
      </c>
      <c r="AB266">
        <v>3</v>
      </c>
      <c r="AC266">
        <v>0</v>
      </c>
      <c r="AD266">
        <v>10</v>
      </c>
      <c r="AE266">
        <v>0</v>
      </c>
      <c r="AF266">
        <v>0</v>
      </c>
      <c r="AG266">
        <v>1</v>
      </c>
      <c r="AH266">
        <v>1</v>
      </c>
      <c r="AI266" t="s">
        <v>297</v>
      </c>
      <c r="AJ266">
        <v>35.515559000000003</v>
      </c>
      <c r="AK266" t="s">
        <v>298</v>
      </c>
      <c r="AL266">
        <v>-76.036204999999995</v>
      </c>
      <c r="AM266">
        <v>25</v>
      </c>
      <c r="AN266">
        <v>3450</v>
      </c>
      <c r="AO266" t="s">
        <v>118</v>
      </c>
      <c r="AP266">
        <v>-81</v>
      </c>
      <c r="AQ266">
        <v>-155</v>
      </c>
      <c r="AR266">
        <v>-64</v>
      </c>
      <c r="AZ266">
        <v>1200</v>
      </c>
      <c r="BA266">
        <v>1</v>
      </c>
      <c r="BB266" t="str">
        <f t="shared" si="30"/>
        <v xml:space="preserve">N79NX   </v>
      </c>
      <c r="BC266">
        <v>1</v>
      </c>
      <c r="BE266">
        <v>0</v>
      </c>
      <c r="BF266">
        <v>0</v>
      </c>
      <c r="BG266">
        <v>0</v>
      </c>
      <c r="BH266">
        <v>3300</v>
      </c>
      <c r="BI266">
        <v>0</v>
      </c>
      <c r="BJ266">
        <v>0</v>
      </c>
      <c r="BK266">
        <v>0</v>
      </c>
      <c r="BL266">
        <v>0</v>
      </c>
      <c r="BO266">
        <v>0</v>
      </c>
      <c r="BP266">
        <v>0</v>
      </c>
      <c r="BW266" t="str">
        <f>"18:36:53.310"</f>
        <v>18:36:53.310</v>
      </c>
      <c r="BZ266">
        <v>0</v>
      </c>
      <c r="CA266">
        <v>3488</v>
      </c>
      <c r="CB266">
        <v>216</v>
      </c>
      <c r="CC266">
        <v>583.59379999999999</v>
      </c>
      <c r="CD266">
        <v>1</v>
      </c>
      <c r="CE266">
        <v>1</v>
      </c>
      <c r="CF266">
        <v>0</v>
      </c>
      <c r="CG266">
        <v>1</v>
      </c>
      <c r="CH266">
        <v>0</v>
      </c>
      <c r="CI266">
        <v>0</v>
      </c>
      <c r="CJ266">
        <v>0</v>
      </c>
      <c r="CK266">
        <v>2</v>
      </c>
      <c r="CL266">
        <v>0</v>
      </c>
      <c r="CM266">
        <v>2</v>
      </c>
      <c r="CN266">
        <v>0</v>
      </c>
      <c r="CO266">
        <v>7</v>
      </c>
      <c r="CP266" t="s">
        <v>119</v>
      </c>
      <c r="CQ266">
        <v>145</v>
      </c>
      <c r="CR266">
        <v>1</v>
      </c>
      <c r="CW266">
        <v>8890498</v>
      </c>
      <c r="CY266">
        <v>0</v>
      </c>
      <c r="CZ266">
        <v>0</v>
      </c>
      <c r="DA266">
        <v>1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</row>
    <row r="267" spans="1:113" x14ac:dyDescent="0.3">
      <c r="A267" t="str">
        <f>"02/13/2022 18:36:53.628"</f>
        <v>02/13/2022 18:36:53.628</v>
      </c>
      <c r="C267" t="str">
        <f t="shared" si="29"/>
        <v>FFDFD7C0</v>
      </c>
      <c r="D267" t="s">
        <v>121</v>
      </c>
      <c r="E267">
        <v>2</v>
      </c>
      <c r="H267">
        <v>158</v>
      </c>
      <c r="I267" t="s">
        <v>120</v>
      </c>
      <c r="J267" t="s">
        <v>122</v>
      </c>
      <c r="K267">
        <v>0</v>
      </c>
      <c r="L267">
        <v>3</v>
      </c>
      <c r="M267">
        <v>0</v>
      </c>
      <c r="N267">
        <v>2</v>
      </c>
      <c r="O267">
        <v>1</v>
      </c>
      <c r="P267">
        <v>0</v>
      </c>
      <c r="Q267">
        <v>0</v>
      </c>
      <c r="S267" t="str">
        <f t="shared" si="31"/>
        <v>18:36:53.305</v>
      </c>
      <c r="T267" t="str">
        <f t="shared" si="31"/>
        <v>18:36:53.305</v>
      </c>
      <c r="U267" t="str">
        <f t="shared" si="28"/>
        <v>AAB6EE</v>
      </c>
      <c r="V267">
        <v>0</v>
      </c>
      <c r="W267">
        <v>0</v>
      </c>
      <c r="X267">
        <v>4</v>
      </c>
      <c r="Z267">
        <v>0</v>
      </c>
      <c r="AA267">
        <v>8</v>
      </c>
      <c r="AB267">
        <v>3</v>
      </c>
      <c r="AC267">
        <v>0</v>
      </c>
      <c r="AD267">
        <v>10</v>
      </c>
      <c r="AE267">
        <v>0</v>
      </c>
      <c r="AF267">
        <v>0</v>
      </c>
      <c r="AG267">
        <v>1</v>
      </c>
      <c r="AH267">
        <v>1</v>
      </c>
      <c r="AI267" t="s">
        <v>297</v>
      </c>
      <c r="AJ267">
        <v>35.515559000000003</v>
      </c>
      <c r="AK267" t="s">
        <v>298</v>
      </c>
      <c r="AL267">
        <v>-76.036204999999995</v>
      </c>
      <c r="AM267">
        <v>25</v>
      </c>
      <c r="AN267">
        <v>3450</v>
      </c>
      <c r="AO267" t="s">
        <v>118</v>
      </c>
      <c r="AP267">
        <v>-81</v>
      </c>
      <c r="AQ267">
        <v>-155</v>
      </c>
      <c r="AR267">
        <v>-64</v>
      </c>
      <c r="AZ267">
        <v>1200</v>
      </c>
      <c r="BA267">
        <v>1</v>
      </c>
      <c r="BB267" t="str">
        <f t="shared" si="30"/>
        <v xml:space="preserve">N79NX   </v>
      </c>
      <c r="BC267">
        <v>1</v>
      </c>
      <c r="BE267">
        <v>0</v>
      </c>
      <c r="BF267">
        <v>0</v>
      </c>
      <c r="BG267">
        <v>0</v>
      </c>
      <c r="BH267">
        <v>3300</v>
      </c>
      <c r="BI267">
        <v>0</v>
      </c>
      <c r="BJ267">
        <v>0</v>
      </c>
      <c r="BK267">
        <v>0</v>
      </c>
      <c r="BL267">
        <v>0</v>
      </c>
      <c r="BO267">
        <v>0</v>
      </c>
      <c r="BP267">
        <v>0</v>
      </c>
      <c r="BW267" t="str">
        <f>"18:36:53.310"</f>
        <v>18:36:53.310</v>
      </c>
      <c r="BZ267">
        <v>0</v>
      </c>
      <c r="CA267">
        <v>3488</v>
      </c>
      <c r="CB267">
        <v>216</v>
      </c>
      <c r="CC267">
        <v>583.59379999999999</v>
      </c>
      <c r="CD267">
        <v>1</v>
      </c>
      <c r="CE267">
        <v>1</v>
      </c>
      <c r="CF267">
        <v>0</v>
      </c>
      <c r="CG267">
        <v>1</v>
      </c>
      <c r="CH267">
        <v>0</v>
      </c>
      <c r="CI267">
        <v>0</v>
      </c>
      <c r="CJ267">
        <v>0</v>
      </c>
      <c r="CK267">
        <v>2</v>
      </c>
      <c r="CL267">
        <v>0</v>
      </c>
      <c r="CM267">
        <v>2</v>
      </c>
      <c r="CN267">
        <v>0</v>
      </c>
      <c r="CO267">
        <v>7</v>
      </c>
      <c r="CP267" t="s">
        <v>119</v>
      </c>
      <c r="CQ267">
        <v>145</v>
      </c>
      <c r="CR267">
        <v>1</v>
      </c>
      <c r="CW267">
        <v>8890498</v>
      </c>
      <c r="CY267">
        <v>0</v>
      </c>
      <c r="CZ267">
        <v>0</v>
      </c>
      <c r="DA267">
        <v>1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</row>
    <row r="268" spans="1:113" x14ac:dyDescent="0.3">
      <c r="A268" t="str">
        <f>"02/13/2022 18:36:54.473"</f>
        <v>02/13/2022 18:36:54.473</v>
      </c>
      <c r="C268" t="str">
        <f t="shared" si="29"/>
        <v>FFDFD7C0</v>
      </c>
      <c r="D268" t="s">
        <v>113</v>
      </c>
      <c r="E268">
        <v>3</v>
      </c>
      <c r="F268">
        <v>1003</v>
      </c>
      <c r="G268" t="s">
        <v>114</v>
      </c>
      <c r="J268" t="s">
        <v>115</v>
      </c>
      <c r="K268">
        <v>0</v>
      </c>
      <c r="L268">
        <v>3</v>
      </c>
      <c r="M268">
        <v>0</v>
      </c>
      <c r="N268">
        <v>2</v>
      </c>
      <c r="O268">
        <v>1</v>
      </c>
      <c r="P268">
        <v>0</v>
      </c>
      <c r="Q268">
        <v>0</v>
      </c>
      <c r="S268" t="str">
        <f>"18:36:54.227"</f>
        <v>18:36:54.227</v>
      </c>
      <c r="T268" t="str">
        <f>"18:36:53.827"</f>
        <v>18:36:53.827</v>
      </c>
      <c r="U268" t="str">
        <f t="shared" si="28"/>
        <v>AAB6EE</v>
      </c>
      <c r="V268">
        <v>0</v>
      </c>
      <c r="W268">
        <v>0</v>
      </c>
      <c r="X268">
        <v>4</v>
      </c>
      <c r="Z268">
        <v>0</v>
      </c>
      <c r="AA268">
        <v>8</v>
      </c>
      <c r="AB268">
        <v>3</v>
      </c>
      <c r="AC268">
        <v>0</v>
      </c>
      <c r="AD268">
        <v>10</v>
      </c>
      <c r="AE268">
        <v>0</v>
      </c>
      <c r="AF268">
        <v>0</v>
      </c>
      <c r="AG268">
        <v>1</v>
      </c>
      <c r="AH268">
        <v>1</v>
      </c>
      <c r="AI268" t="s">
        <v>299</v>
      </c>
      <c r="AJ268">
        <v>35.514935999999999</v>
      </c>
      <c r="AK268" t="s">
        <v>300</v>
      </c>
      <c r="AL268">
        <v>-76.036613000000003</v>
      </c>
      <c r="AM268">
        <v>25</v>
      </c>
      <c r="AN268">
        <v>3450</v>
      </c>
      <c r="AO268" t="s">
        <v>118</v>
      </c>
      <c r="AP268">
        <v>-82</v>
      </c>
      <c r="AQ268">
        <v>-155</v>
      </c>
      <c r="AR268">
        <v>-64</v>
      </c>
      <c r="AZ268">
        <v>1200</v>
      </c>
      <c r="BA268">
        <v>1</v>
      </c>
      <c r="BB268" t="str">
        <f t="shared" si="30"/>
        <v xml:space="preserve">N79NX   </v>
      </c>
      <c r="BC268">
        <v>1</v>
      </c>
      <c r="BE268">
        <v>0</v>
      </c>
      <c r="BF268">
        <v>0</v>
      </c>
      <c r="BG268">
        <v>0</v>
      </c>
      <c r="BH268">
        <v>3300</v>
      </c>
      <c r="BI268">
        <v>0</v>
      </c>
      <c r="BJ268">
        <v>0</v>
      </c>
      <c r="BK268">
        <v>0</v>
      </c>
      <c r="BL268">
        <v>0</v>
      </c>
      <c r="BO268">
        <v>0</v>
      </c>
      <c r="BP268">
        <v>0</v>
      </c>
      <c r="BW268" t="str">
        <f>"18:36:54.230"</f>
        <v>18:36:54.230</v>
      </c>
      <c r="BZ268">
        <v>0</v>
      </c>
      <c r="CA268">
        <v>3488</v>
      </c>
      <c r="CB268">
        <v>216</v>
      </c>
      <c r="CC268">
        <v>583.59379999999999</v>
      </c>
      <c r="CD268">
        <v>1</v>
      </c>
      <c r="CE268">
        <v>1</v>
      </c>
      <c r="CF268">
        <v>0</v>
      </c>
      <c r="CG268">
        <v>1</v>
      </c>
      <c r="CH268">
        <v>0</v>
      </c>
      <c r="CI268">
        <v>0</v>
      </c>
      <c r="CJ268">
        <v>0</v>
      </c>
      <c r="CK268">
        <v>2</v>
      </c>
      <c r="CL268">
        <v>0</v>
      </c>
      <c r="CM268">
        <v>2</v>
      </c>
      <c r="CN268">
        <v>0</v>
      </c>
      <c r="CO268">
        <v>7</v>
      </c>
      <c r="CP268" t="s">
        <v>119</v>
      </c>
      <c r="CQ268">
        <v>145</v>
      </c>
      <c r="CR268">
        <v>1</v>
      </c>
      <c r="CW268">
        <v>8890938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</row>
    <row r="269" spans="1:113" x14ac:dyDescent="0.3">
      <c r="A269" t="str">
        <f>"02/13/2022 18:36:54.473"</f>
        <v>02/13/2022 18:36:54.473</v>
      </c>
      <c r="C269" t="str">
        <f t="shared" si="29"/>
        <v>FFDFD7C0</v>
      </c>
      <c r="D269" t="s">
        <v>113</v>
      </c>
      <c r="E269">
        <v>4</v>
      </c>
      <c r="F269">
        <v>1004</v>
      </c>
      <c r="G269" t="s">
        <v>120</v>
      </c>
      <c r="J269" t="s">
        <v>115</v>
      </c>
      <c r="K269">
        <v>0</v>
      </c>
      <c r="L269">
        <v>3</v>
      </c>
      <c r="M269">
        <v>0</v>
      </c>
      <c r="N269">
        <v>2</v>
      </c>
      <c r="O269">
        <v>1</v>
      </c>
      <c r="P269">
        <v>0</v>
      </c>
      <c r="Q269">
        <v>0</v>
      </c>
      <c r="S269" t="str">
        <f>"18:36:54.227"</f>
        <v>18:36:54.227</v>
      </c>
      <c r="T269" t="str">
        <f>"18:36:53.827"</f>
        <v>18:36:53.827</v>
      </c>
      <c r="U269" t="str">
        <f t="shared" si="28"/>
        <v>AAB6EE</v>
      </c>
      <c r="V269">
        <v>0</v>
      </c>
      <c r="W269">
        <v>0</v>
      </c>
      <c r="X269">
        <v>4</v>
      </c>
      <c r="Z269">
        <v>0</v>
      </c>
      <c r="AA269">
        <v>8</v>
      </c>
      <c r="AB269">
        <v>3</v>
      </c>
      <c r="AC269">
        <v>0</v>
      </c>
      <c r="AD269">
        <v>10</v>
      </c>
      <c r="AE269">
        <v>0</v>
      </c>
      <c r="AF269">
        <v>0</v>
      </c>
      <c r="AG269">
        <v>1</v>
      </c>
      <c r="AH269">
        <v>1</v>
      </c>
      <c r="AI269" t="s">
        <v>299</v>
      </c>
      <c r="AJ269">
        <v>35.514935999999999</v>
      </c>
      <c r="AK269" t="s">
        <v>300</v>
      </c>
      <c r="AL269">
        <v>-76.036613000000003</v>
      </c>
      <c r="AM269">
        <v>25</v>
      </c>
      <c r="AN269">
        <v>3450</v>
      </c>
      <c r="AO269" t="s">
        <v>118</v>
      </c>
      <c r="AP269">
        <v>-82</v>
      </c>
      <c r="AQ269">
        <v>-155</v>
      </c>
      <c r="AR269">
        <v>-64</v>
      </c>
      <c r="AZ269">
        <v>1200</v>
      </c>
      <c r="BA269">
        <v>1</v>
      </c>
      <c r="BB269" t="str">
        <f t="shared" si="30"/>
        <v xml:space="preserve">N79NX   </v>
      </c>
      <c r="BC269">
        <v>1</v>
      </c>
      <c r="BE269">
        <v>0</v>
      </c>
      <c r="BF269">
        <v>0</v>
      </c>
      <c r="BG269">
        <v>0</v>
      </c>
      <c r="BH269">
        <v>3300</v>
      </c>
      <c r="BI269">
        <v>0</v>
      </c>
      <c r="BJ269">
        <v>0</v>
      </c>
      <c r="BK269">
        <v>0</v>
      </c>
      <c r="BL269">
        <v>0</v>
      </c>
      <c r="BO269">
        <v>0</v>
      </c>
      <c r="BP269">
        <v>0</v>
      </c>
      <c r="BW269" t="str">
        <f>"18:36:54.230"</f>
        <v>18:36:54.230</v>
      </c>
      <c r="BZ269">
        <v>0</v>
      </c>
      <c r="CA269">
        <v>3488</v>
      </c>
      <c r="CB269">
        <v>216</v>
      </c>
      <c r="CC269">
        <v>583.59379999999999</v>
      </c>
      <c r="CD269">
        <v>1</v>
      </c>
      <c r="CE269">
        <v>1</v>
      </c>
      <c r="CF269">
        <v>0</v>
      </c>
      <c r="CG269">
        <v>1</v>
      </c>
      <c r="CH269">
        <v>0</v>
      </c>
      <c r="CI269">
        <v>0</v>
      </c>
      <c r="CJ269">
        <v>0</v>
      </c>
      <c r="CK269">
        <v>2</v>
      </c>
      <c r="CL269">
        <v>0</v>
      </c>
      <c r="CM269">
        <v>2</v>
      </c>
      <c r="CN269">
        <v>0</v>
      </c>
      <c r="CO269">
        <v>7</v>
      </c>
      <c r="CP269" t="s">
        <v>119</v>
      </c>
      <c r="CQ269">
        <v>145</v>
      </c>
      <c r="CR269">
        <v>1</v>
      </c>
      <c r="CW269">
        <v>8890938</v>
      </c>
      <c r="CY269">
        <v>0</v>
      </c>
      <c r="CZ269">
        <v>0</v>
      </c>
      <c r="DA269">
        <v>1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</row>
    <row r="270" spans="1:113" x14ac:dyDescent="0.3">
      <c r="A270" t="str">
        <f>"02/13/2022 18:36:54.473"</f>
        <v>02/13/2022 18:36:54.473</v>
      </c>
      <c r="C270" t="str">
        <f t="shared" si="29"/>
        <v>FFDFD7C0</v>
      </c>
      <c r="D270" t="s">
        <v>121</v>
      </c>
      <c r="E270">
        <v>2</v>
      </c>
      <c r="H270">
        <v>158</v>
      </c>
      <c r="I270" t="s">
        <v>120</v>
      </c>
      <c r="J270" t="s">
        <v>122</v>
      </c>
      <c r="K270">
        <v>0</v>
      </c>
      <c r="L270">
        <v>3</v>
      </c>
      <c r="M270">
        <v>0</v>
      </c>
      <c r="N270">
        <v>2</v>
      </c>
      <c r="O270">
        <v>1</v>
      </c>
      <c r="P270">
        <v>0</v>
      </c>
      <c r="Q270">
        <v>0</v>
      </c>
      <c r="S270" t="str">
        <f>"18:36:54.227"</f>
        <v>18:36:54.227</v>
      </c>
      <c r="T270" t="str">
        <f>"18:36:53.827"</f>
        <v>18:36:53.827</v>
      </c>
      <c r="U270" t="str">
        <f t="shared" si="28"/>
        <v>AAB6EE</v>
      </c>
      <c r="V270">
        <v>0</v>
      </c>
      <c r="W270">
        <v>0</v>
      </c>
      <c r="X270">
        <v>4</v>
      </c>
      <c r="Z270">
        <v>0</v>
      </c>
      <c r="AA270">
        <v>8</v>
      </c>
      <c r="AB270">
        <v>3</v>
      </c>
      <c r="AC270">
        <v>0</v>
      </c>
      <c r="AD270">
        <v>10</v>
      </c>
      <c r="AE270">
        <v>0</v>
      </c>
      <c r="AF270">
        <v>0</v>
      </c>
      <c r="AG270">
        <v>1</v>
      </c>
      <c r="AH270">
        <v>1</v>
      </c>
      <c r="AI270" t="s">
        <v>299</v>
      </c>
      <c r="AJ270">
        <v>35.514935999999999</v>
      </c>
      <c r="AK270" t="s">
        <v>300</v>
      </c>
      <c r="AL270">
        <v>-76.036613000000003</v>
      </c>
      <c r="AM270">
        <v>25</v>
      </c>
      <c r="AN270">
        <v>3450</v>
      </c>
      <c r="AO270" t="s">
        <v>118</v>
      </c>
      <c r="AP270">
        <v>-82</v>
      </c>
      <c r="AQ270">
        <v>-155</v>
      </c>
      <c r="AR270">
        <v>-64</v>
      </c>
      <c r="AZ270">
        <v>1200</v>
      </c>
      <c r="BA270">
        <v>1</v>
      </c>
      <c r="BB270" t="str">
        <f t="shared" si="30"/>
        <v xml:space="preserve">N79NX   </v>
      </c>
      <c r="BC270">
        <v>1</v>
      </c>
      <c r="BE270">
        <v>0</v>
      </c>
      <c r="BF270">
        <v>0</v>
      </c>
      <c r="BG270">
        <v>0</v>
      </c>
      <c r="BH270">
        <v>3300</v>
      </c>
      <c r="BI270">
        <v>0</v>
      </c>
      <c r="BJ270">
        <v>0</v>
      </c>
      <c r="BK270">
        <v>0</v>
      </c>
      <c r="BL270">
        <v>0</v>
      </c>
      <c r="BO270">
        <v>0</v>
      </c>
      <c r="BP270">
        <v>0</v>
      </c>
      <c r="BW270" t="str">
        <f>"18:36:54.230"</f>
        <v>18:36:54.230</v>
      </c>
      <c r="BZ270">
        <v>0</v>
      </c>
      <c r="CA270">
        <v>3488</v>
      </c>
      <c r="CB270">
        <v>216</v>
      </c>
      <c r="CC270">
        <v>583.59379999999999</v>
      </c>
      <c r="CD270">
        <v>1</v>
      </c>
      <c r="CE270">
        <v>1</v>
      </c>
      <c r="CF270">
        <v>0</v>
      </c>
      <c r="CG270">
        <v>1</v>
      </c>
      <c r="CH270">
        <v>0</v>
      </c>
      <c r="CI270">
        <v>0</v>
      </c>
      <c r="CJ270">
        <v>0</v>
      </c>
      <c r="CK270">
        <v>2</v>
      </c>
      <c r="CL270">
        <v>0</v>
      </c>
      <c r="CM270">
        <v>2</v>
      </c>
      <c r="CN270">
        <v>0</v>
      </c>
      <c r="CO270">
        <v>7</v>
      </c>
      <c r="CP270" t="s">
        <v>119</v>
      </c>
      <c r="CQ270">
        <v>145</v>
      </c>
      <c r="CR270">
        <v>1</v>
      </c>
      <c r="CW270">
        <v>8890938</v>
      </c>
      <c r="CY270">
        <v>0</v>
      </c>
      <c r="CZ270">
        <v>0</v>
      </c>
      <c r="DA270">
        <v>1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</row>
    <row r="271" spans="1:113" x14ac:dyDescent="0.3">
      <c r="A271" t="str">
        <f>"02/13/2022 18:36:55.491"</f>
        <v>02/13/2022 18:36:55.491</v>
      </c>
      <c r="C271" t="str">
        <f t="shared" si="29"/>
        <v>FFDFD7C0</v>
      </c>
      <c r="D271" t="s">
        <v>113</v>
      </c>
      <c r="E271">
        <v>3</v>
      </c>
      <c r="F271">
        <v>1003</v>
      </c>
      <c r="G271" t="s">
        <v>114</v>
      </c>
      <c r="J271" t="s">
        <v>115</v>
      </c>
      <c r="K271">
        <v>0</v>
      </c>
      <c r="L271">
        <v>3</v>
      </c>
      <c r="M271">
        <v>0</v>
      </c>
      <c r="N271">
        <v>2</v>
      </c>
      <c r="O271">
        <v>1</v>
      </c>
      <c r="P271">
        <v>0</v>
      </c>
      <c r="Q271">
        <v>0</v>
      </c>
      <c r="S271" t="str">
        <f>"18:36:55.164"</f>
        <v>18:36:55.164</v>
      </c>
      <c r="T271" t="str">
        <f>"18:36:54.864"</f>
        <v>18:36:54.864</v>
      </c>
      <c r="U271" t="str">
        <f t="shared" si="28"/>
        <v>AAB6EE</v>
      </c>
      <c r="V271">
        <v>0</v>
      </c>
      <c r="W271">
        <v>0</v>
      </c>
      <c r="X271">
        <v>4</v>
      </c>
      <c r="Z271">
        <v>0</v>
      </c>
      <c r="AA271">
        <v>8</v>
      </c>
      <c r="AB271">
        <v>3</v>
      </c>
      <c r="AC271">
        <v>0</v>
      </c>
      <c r="AD271">
        <v>10</v>
      </c>
      <c r="AE271">
        <v>0</v>
      </c>
      <c r="AF271">
        <v>0</v>
      </c>
      <c r="AG271">
        <v>1</v>
      </c>
      <c r="AH271">
        <v>1</v>
      </c>
      <c r="AI271" t="s">
        <v>301</v>
      </c>
      <c r="AJ271">
        <v>35.514271000000001</v>
      </c>
      <c r="AK271" t="s">
        <v>302</v>
      </c>
      <c r="AL271">
        <v>-76.036998999999994</v>
      </c>
      <c r="AM271">
        <v>25</v>
      </c>
      <c r="AN271">
        <v>3450</v>
      </c>
      <c r="AO271" t="s">
        <v>118</v>
      </c>
      <c r="AP271">
        <v>-82</v>
      </c>
      <c r="AQ271">
        <v>-157</v>
      </c>
      <c r="AR271">
        <v>-128</v>
      </c>
      <c r="AZ271">
        <v>1200</v>
      </c>
      <c r="BA271">
        <v>1</v>
      </c>
      <c r="BB271" t="str">
        <f t="shared" si="30"/>
        <v xml:space="preserve">N79NX   </v>
      </c>
      <c r="BC271">
        <v>1</v>
      </c>
      <c r="BE271">
        <v>0</v>
      </c>
      <c r="BF271">
        <v>0</v>
      </c>
      <c r="BG271">
        <v>0</v>
      </c>
      <c r="BH271">
        <v>3300</v>
      </c>
      <c r="BI271">
        <v>0</v>
      </c>
      <c r="BJ271">
        <v>0</v>
      </c>
      <c r="BK271">
        <v>0</v>
      </c>
      <c r="BL271">
        <v>0</v>
      </c>
      <c r="BO271">
        <v>0</v>
      </c>
      <c r="BP271">
        <v>0</v>
      </c>
      <c r="BW271" t="str">
        <f>"18:36:55.170"</f>
        <v>18:36:55.170</v>
      </c>
      <c r="BZ271">
        <v>0</v>
      </c>
      <c r="CA271">
        <v>3488</v>
      </c>
      <c r="CB271">
        <v>216</v>
      </c>
      <c r="CC271">
        <v>583.59379999999999</v>
      </c>
      <c r="CD271">
        <v>1</v>
      </c>
      <c r="CE271">
        <v>1</v>
      </c>
      <c r="CF271">
        <v>0</v>
      </c>
      <c r="CG271">
        <v>1</v>
      </c>
      <c r="CH271">
        <v>0</v>
      </c>
      <c r="CI271">
        <v>0</v>
      </c>
      <c r="CJ271">
        <v>0</v>
      </c>
      <c r="CK271">
        <v>2</v>
      </c>
      <c r="CL271">
        <v>0</v>
      </c>
      <c r="CM271">
        <v>2</v>
      </c>
      <c r="CN271">
        <v>0</v>
      </c>
      <c r="CO271">
        <v>6</v>
      </c>
      <c r="CP271" t="s">
        <v>119</v>
      </c>
      <c r="CQ271">
        <v>145</v>
      </c>
      <c r="CR271">
        <v>1</v>
      </c>
      <c r="CW271">
        <v>8891363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</row>
    <row r="272" spans="1:113" x14ac:dyDescent="0.3">
      <c r="A272" t="str">
        <f>"02/13/2022 18:36:55.491"</f>
        <v>02/13/2022 18:36:55.491</v>
      </c>
      <c r="C272" t="str">
        <f t="shared" si="29"/>
        <v>FFDFD7C0</v>
      </c>
      <c r="D272" t="s">
        <v>113</v>
      </c>
      <c r="E272">
        <v>4</v>
      </c>
      <c r="F272">
        <v>1004</v>
      </c>
      <c r="G272" t="s">
        <v>120</v>
      </c>
      <c r="J272" t="s">
        <v>115</v>
      </c>
      <c r="K272">
        <v>0</v>
      </c>
      <c r="L272">
        <v>3</v>
      </c>
      <c r="M272">
        <v>0</v>
      </c>
      <c r="N272">
        <v>2</v>
      </c>
      <c r="O272">
        <v>1</v>
      </c>
      <c r="P272">
        <v>0</v>
      </c>
      <c r="Q272">
        <v>0</v>
      </c>
      <c r="S272" t="str">
        <f>"18:36:55.164"</f>
        <v>18:36:55.164</v>
      </c>
      <c r="T272" t="str">
        <f>"18:36:54.864"</f>
        <v>18:36:54.864</v>
      </c>
      <c r="U272" t="str">
        <f t="shared" si="28"/>
        <v>AAB6EE</v>
      </c>
      <c r="V272">
        <v>0</v>
      </c>
      <c r="W272">
        <v>0</v>
      </c>
      <c r="X272">
        <v>4</v>
      </c>
      <c r="Z272">
        <v>0</v>
      </c>
      <c r="AA272">
        <v>8</v>
      </c>
      <c r="AB272">
        <v>3</v>
      </c>
      <c r="AC272">
        <v>0</v>
      </c>
      <c r="AD272">
        <v>10</v>
      </c>
      <c r="AE272">
        <v>0</v>
      </c>
      <c r="AF272">
        <v>0</v>
      </c>
      <c r="AG272">
        <v>1</v>
      </c>
      <c r="AH272">
        <v>1</v>
      </c>
      <c r="AI272" t="s">
        <v>301</v>
      </c>
      <c r="AJ272">
        <v>35.514271000000001</v>
      </c>
      <c r="AK272" t="s">
        <v>302</v>
      </c>
      <c r="AL272">
        <v>-76.036998999999994</v>
      </c>
      <c r="AM272">
        <v>25</v>
      </c>
      <c r="AN272">
        <v>3450</v>
      </c>
      <c r="AO272" t="s">
        <v>118</v>
      </c>
      <c r="AP272">
        <v>-82</v>
      </c>
      <c r="AQ272">
        <v>-157</v>
      </c>
      <c r="AR272">
        <v>-128</v>
      </c>
      <c r="AZ272">
        <v>1200</v>
      </c>
      <c r="BA272">
        <v>1</v>
      </c>
      <c r="BB272" t="str">
        <f t="shared" si="30"/>
        <v xml:space="preserve">N79NX   </v>
      </c>
      <c r="BC272">
        <v>1</v>
      </c>
      <c r="BE272">
        <v>0</v>
      </c>
      <c r="BF272">
        <v>0</v>
      </c>
      <c r="BG272">
        <v>0</v>
      </c>
      <c r="BH272">
        <v>3300</v>
      </c>
      <c r="BI272">
        <v>0</v>
      </c>
      <c r="BJ272">
        <v>0</v>
      </c>
      <c r="BK272">
        <v>0</v>
      </c>
      <c r="BL272">
        <v>0</v>
      </c>
      <c r="BO272">
        <v>0</v>
      </c>
      <c r="BP272">
        <v>0</v>
      </c>
      <c r="BW272" t="str">
        <f>"18:36:55.170"</f>
        <v>18:36:55.170</v>
      </c>
      <c r="BZ272">
        <v>0</v>
      </c>
      <c r="CA272">
        <v>3488</v>
      </c>
      <c r="CB272">
        <v>216</v>
      </c>
      <c r="CC272">
        <v>583.59379999999999</v>
      </c>
      <c r="CD272">
        <v>1</v>
      </c>
      <c r="CE272">
        <v>1</v>
      </c>
      <c r="CF272">
        <v>0</v>
      </c>
      <c r="CG272">
        <v>1</v>
      </c>
      <c r="CH272">
        <v>0</v>
      </c>
      <c r="CI272">
        <v>0</v>
      </c>
      <c r="CJ272">
        <v>0</v>
      </c>
      <c r="CK272">
        <v>2</v>
      </c>
      <c r="CL272">
        <v>0</v>
      </c>
      <c r="CM272">
        <v>2</v>
      </c>
      <c r="CN272">
        <v>0</v>
      </c>
      <c r="CO272">
        <v>6</v>
      </c>
      <c r="CP272" t="s">
        <v>119</v>
      </c>
      <c r="CQ272">
        <v>145</v>
      </c>
      <c r="CR272">
        <v>1</v>
      </c>
      <c r="CW272">
        <v>8891363</v>
      </c>
      <c r="CY272">
        <v>0</v>
      </c>
      <c r="CZ272">
        <v>0</v>
      </c>
      <c r="DA272">
        <v>1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</row>
    <row r="273" spans="1:113" x14ac:dyDescent="0.3">
      <c r="A273" t="str">
        <f>"02/13/2022 18:36:55.491"</f>
        <v>02/13/2022 18:36:55.491</v>
      </c>
      <c r="C273" t="str">
        <f t="shared" si="29"/>
        <v>FFDFD7C0</v>
      </c>
      <c r="D273" t="s">
        <v>121</v>
      </c>
      <c r="E273">
        <v>2</v>
      </c>
      <c r="H273">
        <v>158</v>
      </c>
      <c r="I273" t="s">
        <v>120</v>
      </c>
      <c r="J273" t="s">
        <v>122</v>
      </c>
      <c r="K273">
        <v>0</v>
      </c>
      <c r="L273">
        <v>3</v>
      </c>
      <c r="M273">
        <v>0</v>
      </c>
      <c r="N273">
        <v>2</v>
      </c>
      <c r="O273">
        <v>1</v>
      </c>
      <c r="P273">
        <v>0</v>
      </c>
      <c r="Q273">
        <v>0</v>
      </c>
      <c r="S273" t="str">
        <f>"18:36:55.164"</f>
        <v>18:36:55.164</v>
      </c>
      <c r="T273" t="str">
        <f>"18:36:54.864"</f>
        <v>18:36:54.864</v>
      </c>
      <c r="U273" t="str">
        <f t="shared" si="28"/>
        <v>AAB6EE</v>
      </c>
      <c r="V273">
        <v>0</v>
      </c>
      <c r="W273">
        <v>0</v>
      </c>
      <c r="X273">
        <v>4</v>
      </c>
      <c r="Z273">
        <v>0</v>
      </c>
      <c r="AA273">
        <v>8</v>
      </c>
      <c r="AB273">
        <v>3</v>
      </c>
      <c r="AC273">
        <v>0</v>
      </c>
      <c r="AD273">
        <v>10</v>
      </c>
      <c r="AE273">
        <v>0</v>
      </c>
      <c r="AF273">
        <v>0</v>
      </c>
      <c r="AG273">
        <v>1</v>
      </c>
      <c r="AH273">
        <v>1</v>
      </c>
      <c r="AI273" t="s">
        <v>301</v>
      </c>
      <c r="AJ273">
        <v>35.514271000000001</v>
      </c>
      <c r="AK273" t="s">
        <v>302</v>
      </c>
      <c r="AL273">
        <v>-76.036998999999994</v>
      </c>
      <c r="AM273">
        <v>25</v>
      </c>
      <c r="AN273">
        <v>3450</v>
      </c>
      <c r="AO273" t="s">
        <v>118</v>
      </c>
      <c r="AP273">
        <v>-82</v>
      </c>
      <c r="AQ273">
        <v>-157</v>
      </c>
      <c r="AR273">
        <v>-128</v>
      </c>
      <c r="AZ273">
        <v>1200</v>
      </c>
      <c r="BA273">
        <v>1</v>
      </c>
      <c r="BB273" t="str">
        <f t="shared" si="30"/>
        <v xml:space="preserve">N79NX   </v>
      </c>
      <c r="BC273">
        <v>1</v>
      </c>
      <c r="BE273">
        <v>0</v>
      </c>
      <c r="BF273">
        <v>0</v>
      </c>
      <c r="BG273">
        <v>0</v>
      </c>
      <c r="BH273">
        <v>3300</v>
      </c>
      <c r="BI273">
        <v>0</v>
      </c>
      <c r="BJ273">
        <v>0</v>
      </c>
      <c r="BK273">
        <v>0</v>
      </c>
      <c r="BL273">
        <v>0</v>
      </c>
      <c r="BO273">
        <v>0</v>
      </c>
      <c r="BP273">
        <v>0</v>
      </c>
      <c r="BW273" t="str">
        <f>"18:36:55.170"</f>
        <v>18:36:55.170</v>
      </c>
      <c r="BZ273">
        <v>0</v>
      </c>
      <c r="CA273">
        <v>3488</v>
      </c>
      <c r="CB273">
        <v>216</v>
      </c>
      <c r="CC273">
        <v>583.59379999999999</v>
      </c>
      <c r="CD273">
        <v>1</v>
      </c>
      <c r="CE273">
        <v>1</v>
      </c>
      <c r="CF273">
        <v>0</v>
      </c>
      <c r="CG273">
        <v>1</v>
      </c>
      <c r="CH273">
        <v>0</v>
      </c>
      <c r="CI273">
        <v>0</v>
      </c>
      <c r="CJ273">
        <v>0</v>
      </c>
      <c r="CK273">
        <v>2</v>
      </c>
      <c r="CL273">
        <v>0</v>
      </c>
      <c r="CM273">
        <v>2</v>
      </c>
      <c r="CN273">
        <v>0</v>
      </c>
      <c r="CO273">
        <v>6</v>
      </c>
      <c r="CP273" t="s">
        <v>119</v>
      </c>
      <c r="CQ273">
        <v>145</v>
      </c>
      <c r="CR273">
        <v>1</v>
      </c>
      <c r="CW273">
        <v>8891363</v>
      </c>
      <c r="CY273">
        <v>0</v>
      </c>
      <c r="CZ273">
        <v>0</v>
      </c>
      <c r="DA273">
        <v>1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</row>
    <row r="274" spans="1:113" x14ac:dyDescent="0.3">
      <c r="A274" t="str">
        <f>"02/13/2022 18:36:56.491"</f>
        <v>02/13/2022 18:36:56.491</v>
      </c>
      <c r="C274" t="str">
        <f t="shared" si="29"/>
        <v>FFDFD7C0</v>
      </c>
      <c r="D274" t="s">
        <v>121</v>
      </c>
      <c r="E274">
        <v>2</v>
      </c>
      <c r="H274">
        <v>158</v>
      </c>
      <c r="I274" t="s">
        <v>120</v>
      </c>
      <c r="J274" t="s">
        <v>122</v>
      </c>
      <c r="K274">
        <v>0</v>
      </c>
      <c r="L274">
        <v>3</v>
      </c>
      <c r="M274">
        <v>0</v>
      </c>
      <c r="N274">
        <v>2</v>
      </c>
      <c r="O274">
        <v>1</v>
      </c>
      <c r="P274">
        <v>0</v>
      </c>
      <c r="Q274">
        <v>0</v>
      </c>
      <c r="S274" t="str">
        <f>"18:36:56.078"</f>
        <v>18:36:56.078</v>
      </c>
      <c r="T274" t="str">
        <f>"18:36:55.878"</f>
        <v>18:36:55.878</v>
      </c>
      <c r="U274" t="str">
        <f t="shared" si="28"/>
        <v>AAB6EE</v>
      </c>
      <c r="V274">
        <v>0</v>
      </c>
      <c r="W274">
        <v>0</v>
      </c>
      <c r="X274">
        <v>4</v>
      </c>
      <c r="Z274">
        <v>0</v>
      </c>
      <c r="AA274">
        <v>8</v>
      </c>
      <c r="AB274">
        <v>3</v>
      </c>
      <c r="AC274">
        <v>0</v>
      </c>
      <c r="AD274">
        <v>10</v>
      </c>
      <c r="AE274">
        <v>0</v>
      </c>
      <c r="AF274">
        <v>0</v>
      </c>
      <c r="AG274">
        <v>1</v>
      </c>
      <c r="AH274">
        <v>1</v>
      </c>
      <c r="AI274" t="s">
        <v>303</v>
      </c>
      <c r="AJ274">
        <v>35.513584999999999</v>
      </c>
      <c r="AK274" t="s">
        <v>304</v>
      </c>
      <c r="AL274">
        <v>-76.037428000000006</v>
      </c>
      <c r="AM274">
        <v>25</v>
      </c>
      <c r="AN274">
        <v>3450</v>
      </c>
      <c r="AO274" t="s">
        <v>118</v>
      </c>
      <c r="AP274">
        <v>-83</v>
      </c>
      <c r="AQ274">
        <v>-157</v>
      </c>
      <c r="AR274">
        <v>-128</v>
      </c>
      <c r="AZ274">
        <v>1200</v>
      </c>
      <c r="BA274">
        <v>1</v>
      </c>
      <c r="BB274" t="str">
        <f t="shared" si="30"/>
        <v xml:space="preserve">N79NX   </v>
      </c>
      <c r="BC274">
        <v>1</v>
      </c>
      <c r="BE274">
        <v>0</v>
      </c>
      <c r="BF274">
        <v>0</v>
      </c>
      <c r="BG274">
        <v>0</v>
      </c>
      <c r="BH274">
        <v>3300</v>
      </c>
      <c r="BI274">
        <v>0</v>
      </c>
      <c r="BJ274">
        <v>0</v>
      </c>
      <c r="BK274">
        <v>0</v>
      </c>
      <c r="BL274">
        <v>0</v>
      </c>
      <c r="BO274">
        <v>0</v>
      </c>
      <c r="BP274">
        <v>0</v>
      </c>
      <c r="BW274" t="str">
        <f>"18:36:56.080"</f>
        <v>18:36:56.080</v>
      </c>
      <c r="BZ274">
        <v>0</v>
      </c>
      <c r="CA274">
        <v>3488</v>
      </c>
      <c r="CB274">
        <v>216</v>
      </c>
      <c r="CC274">
        <v>583.59379999999999</v>
      </c>
      <c r="CD274">
        <v>1</v>
      </c>
      <c r="CE274">
        <v>1</v>
      </c>
      <c r="CF274">
        <v>0</v>
      </c>
      <c r="CG274">
        <v>1</v>
      </c>
      <c r="CH274">
        <v>0</v>
      </c>
      <c r="CI274">
        <v>0</v>
      </c>
      <c r="CJ274">
        <v>0</v>
      </c>
      <c r="CK274">
        <v>2</v>
      </c>
      <c r="CL274">
        <v>0</v>
      </c>
      <c r="CM274">
        <v>2</v>
      </c>
      <c r="CN274">
        <v>0</v>
      </c>
      <c r="CO274">
        <v>7</v>
      </c>
      <c r="CP274" t="s">
        <v>119</v>
      </c>
      <c r="CQ274">
        <v>145</v>
      </c>
      <c r="CR274">
        <v>1</v>
      </c>
      <c r="CW274">
        <v>8891813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</row>
    <row r="275" spans="1:113" x14ac:dyDescent="0.3">
      <c r="A275" t="str">
        <f>"02/13/2022 18:36:56.491"</f>
        <v>02/13/2022 18:36:56.491</v>
      </c>
      <c r="C275" t="str">
        <f t="shared" si="29"/>
        <v>FFDFD7C0</v>
      </c>
      <c r="D275" t="s">
        <v>113</v>
      </c>
      <c r="E275">
        <v>3</v>
      </c>
      <c r="F275">
        <v>1003</v>
      </c>
      <c r="G275" t="s">
        <v>114</v>
      </c>
      <c r="J275" t="s">
        <v>115</v>
      </c>
      <c r="K275">
        <v>0</v>
      </c>
      <c r="L275">
        <v>3</v>
      </c>
      <c r="M275">
        <v>0</v>
      </c>
      <c r="N275">
        <v>2</v>
      </c>
      <c r="O275">
        <v>1</v>
      </c>
      <c r="P275">
        <v>0</v>
      </c>
      <c r="Q275">
        <v>0</v>
      </c>
      <c r="S275" t="str">
        <f>"18:36:56.078"</f>
        <v>18:36:56.078</v>
      </c>
      <c r="T275" t="str">
        <f>"18:36:55.878"</f>
        <v>18:36:55.878</v>
      </c>
      <c r="U275" t="str">
        <f t="shared" si="28"/>
        <v>AAB6EE</v>
      </c>
      <c r="V275">
        <v>0</v>
      </c>
      <c r="W275">
        <v>0</v>
      </c>
      <c r="X275">
        <v>4</v>
      </c>
      <c r="Z275">
        <v>0</v>
      </c>
      <c r="AA275">
        <v>8</v>
      </c>
      <c r="AB275">
        <v>3</v>
      </c>
      <c r="AC275">
        <v>0</v>
      </c>
      <c r="AD275">
        <v>10</v>
      </c>
      <c r="AE275">
        <v>0</v>
      </c>
      <c r="AF275">
        <v>0</v>
      </c>
      <c r="AG275">
        <v>1</v>
      </c>
      <c r="AH275">
        <v>1</v>
      </c>
      <c r="AI275" t="s">
        <v>303</v>
      </c>
      <c r="AJ275">
        <v>35.513584999999999</v>
      </c>
      <c r="AK275" t="s">
        <v>304</v>
      </c>
      <c r="AL275">
        <v>-76.037428000000006</v>
      </c>
      <c r="AM275">
        <v>25</v>
      </c>
      <c r="AN275">
        <v>3450</v>
      </c>
      <c r="AO275" t="s">
        <v>118</v>
      </c>
      <c r="AP275">
        <v>-83</v>
      </c>
      <c r="AQ275">
        <v>-157</v>
      </c>
      <c r="AR275">
        <v>-128</v>
      </c>
      <c r="AZ275">
        <v>1200</v>
      </c>
      <c r="BA275">
        <v>1</v>
      </c>
      <c r="BB275" t="str">
        <f t="shared" si="30"/>
        <v xml:space="preserve">N79NX   </v>
      </c>
      <c r="BC275">
        <v>1</v>
      </c>
      <c r="BE275">
        <v>0</v>
      </c>
      <c r="BF275">
        <v>0</v>
      </c>
      <c r="BG275">
        <v>0</v>
      </c>
      <c r="BH275">
        <v>3300</v>
      </c>
      <c r="BI275">
        <v>0</v>
      </c>
      <c r="BJ275">
        <v>0</v>
      </c>
      <c r="BK275">
        <v>0</v>
      </c>
      <c r="BL275">
        <v>0</v>
      </c>
      <c r="BO275">
        <v>0</v>
      </c>
      <c r="BP275">
        <v>0</v>
      </c>
      <c r="BW275" t="str">
        <f>"18:36:56.080"</f>
        <v>18:36:56.080</v>
      </c>
      <c r="BZ275">
        <v>0</v>
      </c>
      <c r="CA275">
        <v>3488</v>
      </c>
      <c r="CB275">
        <v>216</v>
      </c>
      <c r="CC275">
        <v>583.59379999999999</v>
      </c>
      <c r="CD275">
        <v>1</v>
      </c>
      <c r="CE275">
        <v>1</v>
      </c>
      <c r="CF275">
        <v>0</v>
      </c>
      <c r="CG275">
        <v>1</v>
      </c>
      <c r="CH275">
        <v>0</v>
      </c>
      <c r="CI275">
        <v>0</v>
      </c>
      <c r="CJ275">
        <v>0</v>
      </c>
      <c r="CK275">
        <v>2</v>
      </c>
      <c r="CL275">
        <v>0</v>
      </c>
      <c r="CM275">
        <v>2</v>
      </c>
      <c r="CN275">
        <v>0</v>
      </c>
      <c r="CO275">
        <v>7</v>
      </c>
      <c r="CP275" t="s">
        <v>119</v>
      </c>
      <c r="CQ275">
        <v>145</v>
      </c>
      <c r="CR275">
        <v>1</v>
      </c>
      <c r="CW275">
        <v>8891813</v>
      </c>
      <c r="CY275">
        <v>0</v>
      </c>
      <c r="CZ275">
        <v>0</v>
      </c>
      <c r="DA275">
        <v>1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</row>
    <row r="276" spans="1:113" x14ac:dyDescent="0.3">
      <c r="A276" t="str">
        <f>"02/13/2022 18:36:56.491"</f>
        <v>02/13/2022 18:36:56.491</v>
      </c>
      <c r="C276" t="str">
        <f t="shared" si="29"/>
        <v>FFDFD7C0</v>
      </c>
      <c r="D276" t="s">
        <v>113</v>
      </c>
      <c r="E276">
        <v>4</v>
      </c>
      <c r="F276">
        <v>1004</v>
      </c>
      <c r="G276" t="s">
        <v>120</v>
      </c>
      <c r="J276" t="s">
        <v>115</v>
      </c>
      <c r="K276">
        <v>0</v>
      </c>
      <c r="L276">
        <v>3</v>
      </c>
      <c r="M276">
        <v>0</v>
      </c>
      <c r="N276">
        <v>2</v>
      </c>
      <c r="O276">
        <v>1</v>
      </c>
      <c r="P276">
        <v>0</v>
      </c>
      <c r="Q276">
        <v>0</v>
      </c>
      <c r="S276" t="str">
        <f>"18:36:56.078"</f>
        <v>18:36:56.078</v>
      </c>
      <c r="T276" t="str">
        <f>"18:36:55.878"</f>
        <v>18:36:55.878</v>
      </c>
      <c r="U276" t="str">
        <f t="shared" si="28"/>
        <v>AAB6EE</v>
      </c>
      <c r="V276">
        <v>0</v>
      </c>
      <c r="W276">
        <v>0</v>
      </c>
      <c r="X276">
        <v>4</v>
      </c>
      <c r="Z276">
        <v>0</v>
      </c>
      <c r="AA276">
        <v>8</v>
      </c>
      <c r="AB276">
        <v>3</v>
      </c>
      <c r="AC276">
        <v>0</v>
      </c>
      <c r="AD276">
        <v>10</v>
      </c>
      <c r="AE276">
        <v>0</v>
      </c>
      <c r="AF276">
        <v>0</v>
      </c>
      <c r="AG276">
        <v>1</v>
      </c>
      <c r="AH276">
        <v>1</v>
      </c>
      <c r="AI276" t="s">
        <v>303</v>
      </c>
      <c r="AJ276">
        <v>35.513584999999999</v>
      </c>
      <c r="AK276" t="s">
        <v>304</v>
      </c>
      <c r="AL276">
        <v>-76.037428000000006</v>
      </c>
      <c r="AM276">
        <v>25</v>
      </c>
      <c r="AN276">
        <v>3450</v>
      </c>
      <c r="AO276" t="s">
        <v>118</v>
      </c>
      <c r="AP276">
        <v>-83</v>
      </c>
      <c r="AQ276">
        <v>-157</v>
      </c>
      <c r="AR276">
        <v>-128</v>
      </c>
      <c r="AZ276">
        <v>1200</v>
      </c>
      <c r="BA276">
        <v>1</v>
      </c>
      <c r="BB276" t="str">
        <f t="shared" si="30"/>
        <v xml:space="preserve">N79NX   </v>
      </c>
      <c r="BC276">
        <v>1</v>
      </c>
      <c r="BE276">
        <v>0</v>
      </c>
      <c r="BF276">
        <v>0</v>
      </c>
      <c r="BG276">
        <v>0</v>
      </c>
      <c r="BH276">
        <v>3300</v>
      </c>
      <c r="BI276">
        <v>0</v>
      </c>
      <c r="BJ276">
        <v>0</v>
      </c>
      <c r="BK276">
        <v>0</v>
      </c>
      <c r="BL276">
        <v>0</v>
      </c>
      <c r="BO276">
        <v>0</v>
      </c>
      <c r="BP276">
        <v>0</v>
      </c>
      <c r="BW276" t="str">
        <f>"18:36:56.080"</f>
        <v>18:36:56.080</v>
      </c>
      <c r="BZ276">
        <v>0</v>
      </c>
      <c r="CA276">
        <v>3488</v>
      </c>
      <c r="CB276">
        <v>216</v>
      </c>
      <c r="CC276">
        <v>583.59379999999999</v>
      </c>
      <c r="CD276">
        <v>1</v>
      </c>
      <c r="CE276">
        <v>1</v>
      </c>
      <c r="CF276">
        <v>0</v>
      </c>
      <c r="CG276">
        <v>1</v>
      </c>
      <c r="CH276">
        <v>0</v>
      </c>
      <c r="CI276">
        <v>0</v>
      </c>
      <c r="CJ276">
        <v>0</v>
      </c>
      <c r="CK276">
        <v>2</v>
      </c>
      <c r="CL276">
        <v>0</v>
      </c>
      <c r="CM276">
        <v>2</v>
      </c>
      <c r="CN276">
        <v>0</v>
      </c>
      <c r="CO276">
        <v>7</v>
      </c>
      <c r="CP276" t="s">
        <v>119</v>
      </c>
      <c r="CQ276">
        <v>145</v>
      </c>
      <c r="CR276">
        <v>1</v>
      </c>
      <c r="CW276">
        <v>8891813</v>
      </c>
      <c r="CY276">
        <v>0</v>
      </c>
      <c r="CZ276">
        <v>0</v>
      </c>
      <c r="DA276">
        <v>1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</row>
    <row r="277" spans="1:113" x14ac:dyDescent="0.3">
      <c r="A277" t="str">
        <f>"02/13/2022 18:36:57.538"</f>
        <v>02/13/2022 18:36:57.538</v>
      </c>
      <c r="C277" t="str">
        <f t="shared" si="29"/>
        <v>FFDFD7C0</v>
      </c>
      <c r="D277" t="s">
        <v>121</v>
      </c>
      <c r="E277">
        <v>2</v>
      </c>
      <c r="H277">
        <v>158</v>
      </c>
      <c r="I277" t="s">
        <v>120</v>
      </c>
      <c r="J277" t="s">
        <v>122</v>
      </c>
      <c r="K277">
        <v>0</v>
      </c>
      <c r="L277">
        <v>3</v>
      </c>
      <c r="M277">
        <v>0</v>
      </c>
      <c r="N277">
        <v>2</v>
      </c>
      <c r="O277">
        <v>1</v>
      </c>
      <c r="P277">
        <v>0</v>
      </c>
      <c r="Q277">
        <v>0</v>
      </c>
      <c r="S277" t="str">
        <f>"18:36:57.125"</f>
        <v>18:36:57.125</v>
      </c>
      <c r="T277" t="str">
        <f>"18:36:56.725"</f>
        <v>18:36:56.725</v>
      </c>
      <c r="U277" t="str">
        <f t="shared" si="28"/>
        <v>AAB6EE</v>
      </c>
      <c r="V277">
        <v>0</v>
      </c>
      <c r="W277">
        <v>0</v>
      </c>
      <c r="X277">
        <v>4</v>
      </c>
      <c r="Z277">
        <v>0</v>
      </c>
      <c r="AA277">
        <v>8</v>
      </c>
      <c r="AB277">
        <v>3</v>
      </c>
      <c r="AC277">
        <v>0</v>
      </c>
      <c r="AD277">
        <v>10</v>
      </c>
      <c r="AE277">
        <v>0</v>
      </c>
      <c r="AF277">
        <v>0</v>
      </c>
      <c r="AG277">
        <v>1</v>
      </c>
      <c r="AH277">
        <v>1</v>
      </c>
      <c r="AI277" t="s">
        <v>305</v>
      </c>
      <c r="AJ277">
        <v>35.512811999999997</v>
      </c>
      <c r="AK277" t="s">
        <v>306</v>
      </c>
      <c r="AL277">
        <v>-76.037986000000004</v>
      </c>
      <c r="AM277">
        <v>25</v>
      </c>
      <c r="AN277">
        <v>3450</v>
      </c>
      <c r="AO277" t="s">
        <v>118</v>
      </c>
      <c r="AP277">
        <v>-83</v>
      </c>
      <c r="AQ277">
        <v>-158</v>
      </c>
      <c r="AR277">
        <v>-128</v>
      </c>
      <c r="AZ277">
        <v>1200</v>
      </c>
      <c r="BA277">
        <v>1</v>
      </c>
      <c r="BB277" t="str">
        <f t="shared" si="30"/>
        <v xml:space="preserve">N79NX   </v>
      </c>
      <c r="BC277">
        <v>1</v>
      </c>
      <c r="BE277">
        <v>0</v>
      </c>
      <c r="BF277">
        <v>0</v>
      </c>
      <c r="BG277">
        <v>0</v>
      </c>
      <c r="BH277">
        <v>3300</v>
      </c>
      <c r="BI277">
        <v>0</v>
      </c>
      <c r="BJ277">
        <v>0</v>
      </c>
      <c r="BK277">
        <v>0</v>
      </c>
      <c r="BL277">
        <v>0</v>
      </c>
      <c r="BO277">
        <v>0</v>
      </c>
      <c r="BP277">
        <v>0</v>
      </c>
      <c r="BW277" t="str">
        <f>"18:36:57.130"</f>
        <v>18:36:57.130</v>
      </c>
      <c r="BZ277">
        <v>0</v>
      </c>
      <c r="CA277">
        <v>3488</v>
      </c>
      <c r="CB277">
        <v>216</v>
      </c>
      <c r="CC277">
        <v>583.59379999999999</v>
      </c>
      <c r="CD277">
        <v>1</v>
      </c>
      <c r="CE277">
        <v>1</v>
      </c>
      <c r="CF277">
        <v>0</v>
      </c>
      <c r="CG277">
        <v>1</v>
      </c>
      <c r="CH277">
        <v>0</v>
      </c>
      <c r="CI277">
        <v>0</v>
      </c>
      <c r="CJ277">
        <v>0</v>
      </c>
      <c r="CK277">
        <v>2</v>
      </c>
      <c r="CL277">
        <v>0</v>
      </c>
      <c r="CM277">
        <v>2</v>
      </c>
      <c r="CN277">
        <v>0</v>
      </c>
      <c r="CO277">
        <v>6</v>
      </c>
      <c r="CP277" t="s">
        <v>119</v>
      </c>
      <c r="CQ277">
        <v>145</v>
      </c>
      <c r="CR277">
        <v>1</v>
      </c>
      <c r="CW277">
        <v>8892338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</row>
    <row r="278" spans="1:113" x14ac:dyDescent="0.3">
      <c r="A278" t="str">
        <f>"02/13/2022 18:36:57.538"</f>
        <v>02/13/2022 18:36:57.538</v>
      </c>
      <c r="C278" t="str">
        <f t="shared" si="29"/>
        <v>FFDFD7C0</v>
      </c>
      <c r="D278" t="s">
        <v>113</v>
      </c>
      <c r="E278">
        <v>3</v>
      </c>
      <c r="F278">
        <v>1003</v>
      </c>
      <c r="G278" t="s">
        <v>114</v>
      </c>
      <c r="J278" t="s">
        <v>115</v>
      </c>
      <c r="K278">
        <v>0</v>
      </c>
      <c r="L278">
        <v>3</v>
      </c>
      <c r="M278">
        <v>0</v>
      </c>
      <c r="N278">
        <v>2</v>
      </c>
      <c r="O278">
        <v>1</v>
      </c>
      <c r="P278">
        <v>0</v>
      </c>
      <c r="Q278">
        <v>0</v>
      </c>
      <c r="S278" t="str">
        <f>"18:36:57.125"</f>
        <v>18:36:57.125</v>
      </c>
      <c r="T278" t="str">
        <f>"18:36:56.725"</f>
        <v>18:36:56.725</v>
      </c>
      <c r="U278" t="str">
        <f t="shared" si="28"/>
        <v>AAB6EE</v>
      </c>
      <c r="V278">
        <v>0</v>
      </c>
      <c r="W278">
        <v>0</v>
      </c>
      <c r="X278">
        <v>4</v>
      </c>
      <c r="Z278">
        <v>0</v>
      </c>
      <c r="AA278">
        <v>8</v>
      </c>
      <c r="AB278">
        <v>3</v>
      </c>
      <c r="AC278">
        <v>0</v>
      </c>
      <c r="AD278">
        <v>10</v>
      </c>
      <c r="AE278">
        <v>0</v>
      </c>
      <c r="AF278">
        <v>0</v>
      </c>
      <c r="AG278">
        <v>1</v>
      </c>
      <c r="AH278">
        <v>1</v>
      </c>
      <c r="AI278" t="s">
        <v>305</v>
      </c>
      <c r="AJ278">
        <v>35.512811999999997</v>
      </c>
      <c r="AK278" t="s">
        <v>306</v>
      </c>
      <c r="AL278">
        <v>-76.037986000000004</v>
      </c>
      <c r="AM278">
        <v>25</v>
      </c>
      <c r="AN278">
        <v>3450</v>
      </c>
      <c r="AO278" t="s">
        <v>118</v>
      </c>
      <c r="AP278">
        <v>-83</v>
      </c>
      <c r="AQ278">
        <v>-158</v>
      </c>
      <c r="AR278">
        <v>-128</v>
      </c>
      <c r="AZ278">
        <v>1200</v>
      </c>
      <c r="BA278">
        <v>1</v>
      </c>
      <c r="BB278" t="str">
        <f t="shared" si="30"/>
        <v xml:space="preserve">N79NX   </v>
      </c>
      <c r="BC278">
        <v>1</v>
      </c>
      <c r="BE278">
        <v>0</v>
      </c>
      <c r="BF278">
        <v>0</v>
      </c>
      <c r="BG278">
        <v>0</v>
      </c>
      <c r="BH278">
        <v>3300</v>
      </c>
      <c r="BI278">
        <v>0</v>
      </c>
      <c r="BJ278">
        <v>0</v>
      </c>
      <c r="BK278">
        <v>0</v>
      </c>
      <c r="BL278">
        <v>0</v>
      </c>
      <c r="BO278">
        <v>0</v>
      </c>
      <c r="BP278">
        <v>0</v>
      </c>
      <c r="BW278" t="str">
        <f>"18:36:57.130"</f>
        <v>18:36:57.130</v>
      </c>
      <c r="BZ278">
        <v>0</v>
      </c>
      <c r="CA278">
        <v>3488</v>
      </c>
      <c r="CB278">
        <v>216</v>
      </c>
      <c r="CC278">
        <v>583.59379999999999</v>
      </c>
      <c r="CD278">
        <v>1</v>
      </c>
      <c r="CE278">
        <v>1</v>
      </c>
      <c r="CF278">
        <v>0</v>
      </c>
      <c r="CG278">
        <v>1</v>
      </c>
      <c r="CH278">
        <v>0</v>
      </c>
      <c r="CI278">
        <v>0</v>
      </c>
      <c r="CJ278">
        <v>0</v>
      </c>
      <c r="CK278">
        <v>2</v>
      </c>
      <c r="CL278">
        <v>0</v>
      </c>
      <c r="CM278">
        <v>2</v>
      </c>
      <c r="CN278">
        <v>0</v>
      </c>
      <c r="CO278">
        <v>6</v>
      </c>
      <c r="CP278" t="s">
        <v>119</v>
      </c>
      <c r="CQ278">
        <v>145</v>
      </c>
      <c r="CR278">
        <v>1</v>
      </c>
      <c r="CW278">
        <v>8892338</v>
      </c>
      <c r="CY278">
        <v>0</v>
      </c>
      <c r="CZ278">
        <v>0</v>
      </c>
      <c r="DA278">
        <v>1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</row>
    <row r="279" spans="1:113" x14ac:dyDescent="0.3">
      <c r="A279" t="str">
        <f>"02/13/2022 18:36:57.538"</f>
        <v>02/13/2022 18:36:57.538</v>
      </c>
      <c r="C279" t="str">
        <f t="shared" si="29"/>
        <v>FFDFD7C0</v>
      </c>
      <c r="D279" t="s">
        <v>113</v>
      </c>
      <c r="E279">
        <v>4</v>
      </c>
      <c r="F279">
        <v>1004</v>
      </c>
      <c r="G279" t="s">
        <v>120</v>
      </c>
      <c r="J279" t="s">
        <v>115</v>
      </c>
      <c r="K279">
        <v>0</v>
      </c>
      <c r="L279">
        <v>3</v>
      </c>
      <c r="M279">
        <v>0</v>
      </c>
      <c r="N279">
        <v>2</v>
      </c>
      <c r="O279">
        <v>1</v>
      </c>
      <c r="P279">
        <v>0</v>
      </c>
      <c r="Q279">
        <v>0</v>
      </c>
      <c r="S279" t="str">
        <f>"18:36:57.125"</f>
        <v>18:36:57.125</v>
      </c>
      <c r="T279" t="str">
        <f>"18:36:56.725"</f>
        <v>18:36:56.725</v>
      </c>
      <c r="U279" t="str">
        <f t="shared" si="28"/>
        <v>AAB6EE</v>
      </c>
      <c r="V279">
        <v>0</v>
      </c>
      <c r="W279">
        <v>0</v>
      </c>
      <c r="X279">
        <v>4</v>
      </c>
      <c r="Z279">
        <v>0</v>
      </c>
      <c r="AA279">
        <v>8</v>
      </c>
      <c r="AB279">
        <v>3</v>
      </c>
      <c r="AC279">
        <v>0</v>
      </c>
      <c r="AD279">
        <v>10</v>
      </c>
      <c r="AE279">
        <v>0</v>
      </c>
      <c r="AF279">
        <v>0</v>
      </c>
      <c r="AG279">
        <v>1</v>
      </c>
      <c r="AH279">
        <v>1</v>
      </c>
      <c r="AI279" t="s">
        <v>305</v>
      </c>
      <c r="AJ279">
        <v>35.512811999999997</v>
      </c>
      <c r="AK279" t="s">
        <v>306</v>
      </c>
      <c r="AL279">
        <v>-76.037986000000004</v>
      </c>
      <c r="AM279">
        <v>25</v>
      </c>
      <c r="AN279">
        <v>3450</v>
      </c>
      <c r="AO279" t="s">
        <v>118</v>
      </c>
      <c r="AP279">
        <v>-83</v>
      </c>
      <c r="AQ279">
        <v>-158</v>
      </c>
      <c r="AR279">
        <v>-128</v>
      </c>
      <c r="AZ279">
        <v>1200</v>
      </c>
      <c r="BA279">
        <v>1</v>
      </c>
      <c r="BB279" t="str">
        <f t="shared" si="30"/>
        <v xml:space="preserve">N79NX   </v>
      </c>
      <c r="BC279">
        <v>1</v>
      </c>
      <c r="BE279">
        <v>0</v>
      </c>
      <c r="BF279">
        <v>0</v>
      </c>
      <c r="BG279">
        <v>0</v>
      </c>
      <c r="BH279">
        <v>3300</v>
      </c>
      <c r="BI279">
        <v>0</v>
      </c>
      <c r="BJ279">
        <v>0</v>
      </c>
      <c r="BK279">
        <v>0</v>
      </c>
      <c r="BL279">
        <v>0</v>
      </c>
      <c r="BO279">
        <v>0</v>
      </c>
      <c r="BP279">
        <v>0</v>
      </c>
      <c r="BW279" t="str">
        <f>"18:36:57.130"</f>
        <v>18:36:57.130</v>
      </c>
      <c r="BZ279">
        <v>0</v>
      </c>
      <c r="CA279">
        <v>3488</v>
      </c>
      <c r="CB279">
        <v>216</v>
      </c>
      <c r="CC279">
        <v>583.59379999999999</v>
      </c>
      <c r="CD279">
        <v>1</v>
      </c>
      <c r="CE279">
        <v>1</v>
      </c>
      <c r="CF279">
        <v>0</v>
      </c>
      <c r="CG279">
        <v>1</v>
      </c>
      <c r="CH279">
        <v>0</v>
      </c>
      <c r="CI279">
        <v>0</v>
      </c>
      <c r="CJ279">
        <v>0</v>
      </c>
      <c r="CK279">
        <v>2</v>
      </c>
      <c r="CL279">
        <v>0</v>
      </c>
      <c r="CM279">
        <v>2</v>
      </c>
      <c r="CN279">
        <v>0</v>
      </c>
      <c r="CO279">
        <v>6</v>
      </c>
      <c r="CP279" t="s">
        <v>119</v>
      </c>
      <c r="CQ279">
        <v>145</v>
      </c>
      <c r="CR279">
        <v>1</v>
      </c>
      <c r="CW279">
        <v>8892338</v>
      </c>
      <c r="CY279">
        <v>0</v>
      </c>
      <c r="CZ279">
        <v>0</v>
      </c>
      <c r="DA279">
        <v>1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</row>
    <row r="280" spans="1:113" x14ac:dyDescent="0.3">
      <c r="A280" t="str">
        <f>"02/13/2022 18:36:58.303"</f>
        <v>02/13/2022 18:36:58.303</v>
      </c>
      <c r="C280" t="str">
        <f t="shared" si="29"/>
        <v>FFDFD7C0</v>
      </c>
      <c r="D280" t="s">
        <v>121</v>
      </c>
      <c r="E280">
        <v>2</v>
      </c>
      <c r="H280">
        <v>158</v>
      </c>
      <c r="I280" t="s">
        <v>120</v>
      </c>
      <c r="J280" t="s">
        <v>122</v>
      </c>
      <c r="K280">
        <v>0</v>
      </c>
      <c r="L280">
        <v>3</v>
      </c>
      <c r="M280">
        <v>0</v>
      </c>
      <c r="N280">
        <v>2</v>
      </c>
      <c r="O280">
        <v>1</v>
      </c>
      <c r="P280">
        <v>0</v>
      </c>
      <c r="Q280">
        <v>0</v>
      </c>
      <c r="S280" t="str">
        <f>"18:36:58.055"</f>
        <v>18:36:58.055</v>
      </c>
      <c r="T280" t="str">
        <f>"18:36:57.755"</f>
        <v>18:36:57.755</v>
      </c>
      <c r="U280" t="str">
        <f t="shared" si="28"/>
        <v>AAB6EE</v>
      </c>
      <c r="V280">
        <v>0</v>
      </c>
      <c r="W280">
        <v>0</v>
      </c>
      <c r="X280">
        <v>4</v>
      </c>
      <c r="Z280">
        <v>0</v>
      </c>
      <c r="AA280">
        <v>8</v>
      </c>
      <c r="AB280">
        <v>3</v>
      </c>
      <c r="AC280">
        <v>0</v>
      </c>
      <c r="AD280">
        <v>10</v>
      </c>
      <c r="AE280">
        <v>0</v>
      </c>
      <c r="AF280">
        <v>0</v>
      </c>
      <c r="AG280">
        <v>1</v>
      </c>
      <c r="AH280">
        <v>1</v>
      </c>
      <c r="AI280" t="s">
        <v>307</v>
      </c>
      <c r="AJ280">
        <v>35.512146999999999</v>
      </c>
      <c r="AK280" t="s">
        <v>308</v>
      </c>
      <c r="AL280">
        <v>-76.038373000000007</v>
      </c>
      <c r="AM280">
        <v>25</v>
      </c>
      <c r="AN280">
        <v>3450</v>
      </c>
      <c r="AO280" t="s">
        <v>118</v>
      </c>
      <c r="AP280">
        <v>-84</v>
      </c>
      <c r="AQ280">
        <v>-159</v>
      </c>
      <c r="AR280">
        <v>-64</v>
      </c>
      <c r="AZ280">
        <v>1200</v>
      </c>
      <c r="BA280">
        <v>1</v>
      </c>
      <c r="BB280" t="str">
        <f t="shared" si="30"/>
        <v xml:space="preserve">N79NX   </v>
      </c>
      <c r="BC280">
        <v>1</v>
      </c>
      <c r="BE280">
        <v>0</v>
      </c>
      <c r="BF280">
        <v>0</v>
      </c>
      <c r="BG280">
        <v>0</v>
      </c>
      <c r="BH280">
        <v>3300</v>
      </c>
      <c r="BI280">
        <v>0</v>
      </c>
      <c r="BJ280">
        <v>0</v>
      </c>
      <c r="BK280">
        <v>0</v>
      </c>
      <c r="BL280">
        <v>0</v>
      </c>
      <c r="BO280">
        <v>0</v>
      </c>
      <c r="BP280">
        <v>0</v>
      </c>
      <c r="BW280" t="str">
        <f>"18:36:58.060"</f>
        <v>18:36:58.060</v>
      </c>
      <c r="BZ280">
        <v>0</v>
      </c>
      <c r="CA280">
        <v>3488</v>
      </c>
      <c r="CB280">
        <v>216</v>
      </c>
      <c r="CC280">
        <v>583.59379999999999</v>
      </c>
      <c r="CD280">
        <v>1</v>
      </c>
      <c r="CE280">
        <v>1</v>
      </c>
      <c r="CF280">
        <v>0</v>
      </c>
      <c r="CG280">
        <v>1</v>
      </c>
      <c r="CH280">
        <v>0</v>
      </c>
      <c r="CI280">
        <v>0</v>
      </c>
      <c r="CJ280">
        <v>0</v>
      </c>
      <c r="CK280">
        <v>2</v>
      </c>
      <c r="CL280">
        <v>0</v>
      </c>
      <c r="CM280">
        <v>2</v>
      </c>
      <c r="CN280">
        <v>0</v>
      </c>
      <c r="CO280">
        <v>6</v>
      </c>
      <c r="CP280" t="s">
        <v>119</v>
      </c>
      <c r="CQ280">
        <v>145</v>
      </c>
      <c r="CR280">
        <v>1</v>
      </c>
      <c r="CW280">
        <v>8892827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</row>
    <row r="281" spans="1:113" x14ac:dyDescent="0.3">
      <c r="A281" t="str">
        <f>"02/13/2022 18:36:58.303"</f>
        <v>02/13/2022 18:36:58.303</v>
      </c>
      <c r="C281" t="str">
        <f t="shared" si="29"/>
        <v>FFDFD7C0</v>
      </c>
      <c r="D281" t="s">
        <v>113</v>
      </c>
      <c r="E281">
        <v>3</v>
      </c>
      <c r="F281">
        <v>1003</v>
      </c>
      <c r="G281" t="s">
        <v>114</v>
      </c>
      <c r="J281" t="s">
        <v>115</v>
      </c>
      <c r="K281">
        <v>0</v>
      </c>
      <c r="L281">
        <v>3</v>
      </c>
      <c r="M281">
        <v>0</v>
      </c>
      <c r="N281">
        <v>2</v>
      </c>
      <c r="O281">
        <v>1</v>
      </c>
      <c r="P281">
        <v>0</v>
      </c>
      <c r="Q281">
        <v>0</v>
      </c>
      <c r="S281" t="str">
        <f>"18:36:58.055"</f>
        <v>18:36:58.055</v>
      </c>
      <c r="T281" t="str">
        <f>"18:36:57.755"</f>
        <v>18:36:57.755</v>
      </c>
      <c r="U281" t="str">
        <f t="shared" si="28"/>
        <v>AAB6EE</v>
      </c>
      <c r="V281">
        <v>0</v>
      </c>
      <c r="W281">
        <v>0</v>
      </c>
      <c r="X281">
        <v>4</v>
      </c>
      <c r="Z281">
        <v>0</v>
      </c>
      <c r="AA281">
        <v>8</v>
      </c>
      <c r="AB281">
        <v>3</v>
      </c>
      <c r="AC281">
        <v>0</v>
      </c>
      <c r="AD281">
        <v>10</v>
      </c>
      <c r="AE281">
        <v>0</v>
      </c>
      <c r="AF281">
        <v>0</v>
      </c>
      <c r="AG281">
        <v>1</v>
      </c>
      <c r="AH281">
        <v>1</v>
      </c>
      <c r="AI281" t="s">
        <v>307</v>
      </c>
      <c r="AJ281">
        <v>35.512146999999999</v>
      </c>
      <c r="AK281" t="s">
        <v>308</v>
      </c>
      <c r="AL281">
        <v>-76.038373000000007</v>
      </c>
      <c r="AM281">
        <v>25</v>
      </c>
      <c r="AN281">
        <v>3450</v>
      </c>
      <c r="AO281" t="s">
        <v>118</v>
      </c>
      <c r="AP281">
        <v>-84</v>
      </c>
      <c r="AQ281">
        <v>-159</v>
      </c>
      <c r="AR281">
        <v>-64</v>
      </c>
      <c r="AZ281">
        <v>1200</v>
      </c>
      <c r="BA281">
        <v>1</v>
      </c>
      <c r="BB281" t="str">
        <f t="shared" si="30"/>
        <v xml:space="preserve">N79NX   </v>
      </c>
      <c r="BC281">
        <v>1</v>
      </c>
      <c r="BE281">
        <v>0</v>
      </c>
      <c r="BF281">
        <v>0</v>
      </c>
      <c r="BG281">
        <v>0</v>
      </c>
      <c r="BH281">
        <v>3300</v>
      </c>
      <c r="BI281">
        <v>0</v>
      </c>
      <c r="BJ281">
        <v>0</v>
      </c>
      <c r="BK281">
        <v>0</v>
      </c>
      <c r="BL281">
        <v>0</v>
      </c>
      <c r="BO281">
        <v>0</v>
      </c>
      <c r="BP281">
        <v>0</v>
      </c>
      <c r="BW281" t="str">
        <f>"18:36:58.060"</f>
        <v>18:36:58.060</v>
      </c>
      <c r="BZ281">
        <v>0</v>
      </c>
      <c r="CA281">
        <v>3488</v>
      </c>
      <c r="CB281">
        <v>216</v>
      </c>
      <c r="CC281">
        <v>583.59379999999999</v>
      </c>
      <c r="CD281">
        <v>1</v>
      </c>
      <c r="CE281">
        <v>1</v>
      </c>
      <c r="CF281">
        <v>0</v>
      </c>
      <c r="CG281">
        <v>1</v>
      </c>
      <c r="CH281">
        <v>0</v>
      </c>
      <c r="CI281">
        <v>0</v>
      </c>
      <c r="CJ281">
        <v>0</v>
      </c>
      <c r="CK281">
        <v>2</v>
      </c>
      <c r="CL281">
        <v>0</v>
      </c>
      <c r="CM281">
        <v>2</v>
      </c>
      <c r="CN281">
        <v>0</v>
      </c>
      <c r="CO281">
        <v>6</v>
      </c>
      <c r="CP281" t="s">
        <v>119</v>
      </c>
      <c r="CQ281">
        <v>145</v>
      </c>
      <c r="CR281">
        <v>1</v>
      </c>
      <c r="CW281">
        <v>8892827</v>
      </c>
      <c r="CY281">
        <v>0</v>
      </c>
      <c r="CZ281">
        <v>0</v>
      </c>
      <c r="DA281">
        <v>1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</row>
    <row r="282" spans="1:113" x14ac:dyDescent="0.3">
      <c r="A282" t="str">
        <f>"02/13/2022 18:36:58.303"</f>
        <v>02/13/2022 18:36:58.303</v>
      </c>
      <c r="C282" t="str">
        <f t="shared" si="29"/>
        <v>FFDFD7C0</v>
      </c>
      <c r="D282" t="s">
        <v>113</v>
      </c>
      <c r="E282">
        <v>4</v>
      </c>
      <c r="F282">
        <v>1004</v>
      </c>
      <c r="G282" t="s">
        <v>120</v>
      </c>
      <c r="J282" t="s">
        <v>115</v>
      </c>
      <c r="K282">
        <v>0</v>
      </c>
      <c r="L282">
        <v>3</v>
      </c>
      <c r="M282">
        <v>0</v>
      </c>
      <c r="N282">
        <v>2</v>
      </c>
      <c r="O282">
        <v>1</v>
      </c>
      <c r="P282">
        <v>0</v>
      </c>
      <c r="Q282">
        <v>0</v>
      </c>
      <c r="S282" t="str">
        <f>"18:36:58.055"</f>
        <v>18:36:58.055</v>
      </c>
      <c r="T282" t="str">
        <f>"18:36:57.755"</f>
        <v>18:36:57.755</v>
      </c>
      <c r="U282" t="str">
        <f t="shared" si="28"/>
        <v>AAB6EE</v>
      </c>
      <c r="V282">
        <v>0</v>
      </c>
      <c r="W282">
        <v>0</v>
      </c>
      <c r="X282">
        <v>4</v>
      </c>
      <c r="Z282">
        <v>0</v>
      </c>
      <c r="AA282">
        <v>8</v>
      </c>
      <c r="AB282">
        <v>3</v>
      </c>
      <c r="AC282">
        <v>0</v>
      </c>
      <c r="AD282">
        <v>10</v>
      </c>
      <c r="AE282">
        <v>0</v>
      </c>
      <c r="AF282">
        <v>0</v>
      </c>
      <c r="AG282">
        <v>1</v>
      </c>
      <c r="AH282">
        <v>1</v>
      </c>
      <c r="AI282" t="s">
        <v>307</v>
      </c>
      <c r="AJ282">
        <v>35.512146999999999</v>
      </c>
      <c r="AK282" t="s">
        <v>308</v>
      </c>
      <c r="AL282">
        <v>-76.038373000000007</v>
      </c>
      <c r="AM282">
        <v>25</v>
      </c>
      <c r="AN282">
        <v>3450</v>
      </c>
      <c r="AO282" t="s">
        <v>118</v>
      </c>
      <c r="AP282">
        <v>-84</v>
      </c>
      <c r="AQ282">
        <v>-159</v>
      </c>
      <c r="AR282">
        <v>-64</v>
      </c>
      <c r="AZ282">
        <v>1200</v>
      </c>
      <c r="BA282">
        <v>1</v>
      </c>
      <c r="BB282" t="str">
        <f t="shared" si="30"/>
        <v xml:space="preserve">N79NX   </v>
      </c>
      <c r="BC282">
        <v>1</v>
      </c>
      <c r="BE282">
        <v>0</v>
      </c>
      <c r="BF282">
        <v>0</v>
      </c>
      <c r="BG282">
        <v>0</v>
      </c>
      <c r="BH282">
        <v>3300</v>
      </c>
      <c r="BI282">
        <v>0</v>
      </c>
      <c r="BJ282">
        <v>0</v>
      </c>
      <c r="BK282">
        <v>0</v>
      </c>
      <c r="BL282">
        <v>0</v>
      </c>
      <c r="BO282">
        <v>0</v>
      </c>
      <c r="BP282">
        <v>0</v>
      </c>
      <c r="BW282" t="str">
        <f>"18:36:58.060"</f>
        <v>18:36:58.060</v>
      </c>
      <c r="BZ282">
        <v>0</v>
      </c>
      <c r="CA282">
        <v>3488</v>
      </c>
      <c r="CB282">
        <v>216</v>
      </c>
      <c r="CC282">
        <v>583.59379999999999</v>
      </c>
      <c r="CD282">
        <v>1</v>
      </c>
      <c r="CE282">
        <v>1</v>
      </c>
      <c r="CF282">
        <v>0</v>
      </c>
      <c r="CG282">
        <v>1</v>
      </c>
      <c r="CH282">
        <v>0</v>
      </c>
      <c r="CI282">
        <v>0</v>
      </c>
      <c r="CJ282">
        <v>0</v>
      </c>
      <c r="CK282">
        <v>2</v>
      </c>
      <c r="CL282">
        <v>0</v>
      </c>
      <c r="CM282">
        <v>2</v>
      </c>
      <c r="CN282">
        <v>0</v>
      </c>
      <c r="CO282">
        <v>6</v>
      </c>
      <c r="CP282" t="s">
        <v>119</v>
      </c>
      <c r="CQ282">
        <v>145</v>
      </c>
      <c r="CR282">
        <v>1</v>
      </c>
      <c r="CW282">
        <v>8892827</v>
      </c>
      <c r="CY282">
        <v>0</v>
      </c>
      <c r="CZ282">
        <v>0</v>
      </c>
      <c r="DA282">
        <v>1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</row>
    <row r="283" spans="1:113" x14ac:dyDescent="0.3">
      <c r="A283" t="str">
        <f>"02/13/2022 18:36:59.368"</f>
        <v>02/13/2022 18:36:59.368</v>
      </c>
      <c r="C283" t="str">
        <f t="shared" si="29"/>
        <v>FFDFD7C0</v>
      </c>
      <c r="D283" t="s">
        <v>121</v>
      </c>
      <c r="E283">
        <v>2</v>
      </c>
      <c r="H283">
        <v>158</v>
      </c>
      <c r="I283" t="s">
        <v>120</v>
      </c>
      <c r="J283" t="s">
        <v>122</v>
      </c>
      <c r="K283">
        <v>0</v>
      </c>
      <c r="L283">
        <v>3</v>
      </c>
      <c r="M283">
        <v>0</v>
      </c>
      <c r="N283">
        <v>2</v>
      </c>
      <c r="O283">
        <v>1</v>
      </c>
      <c r="P283">
        <v>0</v>
      </c>
      <c r="Q283">
        <v>0</v>
      </c>
      <c r="S283" t="str">
        <f>"18:36:59.000"</f>
        <v>18:36:59.000</v>
      </c>
      <c r="T283" t="str">
        <f>"18:36:58.700"</f>
        <v>18:36:58.700</v>
      </c>
      <c r="U283" t="str">
        <f t="shared" si="28"/>
        <v>AAB6EE</v>
      </c>
      <c r="V283">
        <v>0</v>
      </c>
      <c r="W283">
        <v>0</v>
      </c>
      <c r="X283">
        <v>4</v>
      </c>
      <c r="Z283">
        <v>0</v>
      </c>
      <c r="AA283">
        <v>8</v>
      </c>
      <c r="AB283">
        <v>3</v>
      </c>
      <c r="AC283">
        <v>0</v>
      </c>
      <c r="AD283">
        <v>10</v>
      </c>
      <c r="AE283">
        <v>0</v>
      </c>
      <c r="AF283">
        <v>0</v>
      </c>
      <c r="AG283">
        <v>1</v>
      </c>
      <c r="AH283">
        <v>1</v>
      </c>
      <c r="AI283" t="s">
        <v>309</v>
      </c>
      <c r="AJ283">
        <v>35.511482000000001</v>
      </c>
      <c r="AK283" t="s">
        <v>310</v>
      </c>
      <c r="AL283">
        <v>-76.038844999999995</v>
      </c>
      <c r="AM283">
        <v>25</v>
      </c>
      <c r="AN283">
        <v>3450</v>
      </c>
      <c r="AO283" t="s">
        <v>118</v>
      </c>
      <c r="AP283">
        <v>-85</v>
      </c>
      <c r="AQ283">
        <v>-160</v>
      </c>
      <c r="AR283">
        <v>-64</v>
      </c>
      <c r="AZ283">
        <v>1200</v>
      </c>
      <c r="BA283">
        <v>1</v>
      </c>
      <c r="BB283" t="str">
        <f t="shared" si="30"/>
        <v xml:space="preserve">N79NX   </v>
      </c>
      <c r="BC283">
        <v>1</v>
      </c>
      <c r="BE283">
        <v>0</v>
      </c>
      <c r="BF283">
        <v>0</v>
      </c>
      <c r="BG283">
        <v>0</v>
      </c>
      <c r="BH283">
        <v>3300</v>
      </c>
      <c r="BI283">
        <v>0</v>
      </c>
      <c r="BJ283">
        <v>0</v>
      </c>
      <c r="BK283">
        <v>0</v>
      </c>
      <c r="BL283">
        <v>0</v>
      </c>
      <c r="BO283">
        <v>0</v>
      </c>
      <c r="BP283">
        <v>0</v>
      </c>
      <c r="BW283" t="str">
        <f>"18:36:59.000"</f>
        <v>18:36:59.000</v>
      </c>
      <c r="BZ283">
        <v>0</v>
      </c>
      <c r="CA283">
        <v>3488</v>
      </c>
      <c r="CB283">
        <v>216</v>
      </c>
      <c r="CC283">
        <v>583.59379999999999</v>
      </c>
      <c r="CD283">
        <v>1</v>
      </c>
      <c r="CE283">
        <v>1</v>
      </c>
      <c r="CF283">
        <v>0</v>
      </c>
      <c r="CG283">
        <v>1</v>
      </c>
      <c r="CH283">
        <v>0</v>
      </c>
      <c r="CI283">
        <v>0</v>
      </c>
      <c r="CJ283">
        <v>0</v>
      </c>
      <c r="CK283">
        <v>2</v>
      </c>
      <c r="CL283">
        <v>0</v>
      </c>
      <c r="CM283">
        <v>2</v>
      </c>
      <c r="CN283">
        <v>0</v>
      </c>
      <c r="CO283">
        <v>6</v>
      </c>
      <c r="CP283" t="s">
        <v>119</v>
      </c>
      <c r="CQ283">
        <v>145</v>
      </c>
      <c r="CR283">
        <v>1</v>
      </c>
      <c r="CW283">
        <v>8893233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</row>
    <row r="284" spans="1:113" x14ac:dyDescent="0.3">
      <c r="A284" t="str">
        <f>"02/13/2022 18:37:00.151"</f>
        <v>02/13/2022 18:37:00.151</v>
      </c>
      <c r="C284" t="str">
        <f t="shared" si="29"/>
        <v>FFDFD7C0</v>
      </c>
      <c r="D284" t="s">
        <v>121</v>
      </c>
      <c r="E284">
        <v>2</v>
      </c>
      <c r="H284">
        <v>158</v>
      </c>
      <c r="I284" t="s">
        <v>120</v>
      </c>
      <c r="J284" t="s">
        <v>122</v>
      </c>
      <c r="K284">
        <v>0</v>
      </c>
      <c r="L284">
        <v>3</v>
      </c>
      <c r="M284">
        <v>0</v>
      </c>
      <c r="N284">
        <v>2</v>
      </c>
      <c r="O284">
        <v>1</v>
      </c>
      <c r="P284">
        <v>0</v>
      </c>
      <c r="Q284">
        <v>0</v>
      </c>
      <c r="S284" t="str">
        <f>"18:36:59.828"</f>
        <v>18:36:59.828</v>
      </c>
      <c r="T284" t="str">
        <f>"18:36:59.628"</f>
        <v>18:36:59.628</v>
      </c>
      <c r="U284" t="str">
        <f t="shared" si="28"/>
        <v>AAB6EE</v>
      </c>
      <c r="V284">
        <v>0</v>
      </c>
      <c r="W284">
        <v>0</v>
      </c>
      <c r="X284">
        <v>4</v>
      </c>
      <c r="Z284">
        <v>0</v>
      </c>
      <c r="AA284">
        <v>8</v>
      </c>
      <c r="AB284">
        <v>3</v>
      </c>
      <c r="AC284">
        <v>0</v>
      </c>
      <c r="AD284">
        <v>10</v>
      </c>
      <c r="AE284">
        <v>0</v>
      </c>
      <c r="AF284">
        <v>0</v>
      </c>
      <c r="AG284">
        <v>1</v>
      </c>
      <c r="AH284">
        <v>1</v>
      </c>
      <c r="AI284" t="s">
        <v>311</v>
      </c>
      <c r="AJ284">
        <v>35.510795000000002</v>
      </c>
      <c r="AK284" t="s">
        <v>312</v>
      </c>
      <c r="AL284">
        <v>-76.039231000000001</v>
      </c>
      <c r="AM284">
        <v>25</v>
      </c>
      <c r="AN284">
        <v>3450</v>
      </c>
      <c r="AO284" t="s">
        <v>118</v>
      </c>
      <c r="AP284">
        <v>-85</v>
      </c>
      <c r="AQ284">
        <v>-161</v>
      </c>
      <c r="AR284">
        <v>-64</v>
      </c>
      <c r="AZ284">
        <v>1200</v>
      </c>
      <c r="BA284">
        <v>1</v>
      </c>
      <c r="BB284" t="str">
        <f t="shared" si="30"/>
        <v xml:space="preserve">N79NX   </v>
      </c>
      <c r="BC284">
        <v>1</v>
      </c>
      <c r="BE284">
        <v>0</v>
      </c>
      <c r="BF284">
        <v>0</v>
      </c>
      <c r="BG284">
        <v>0</v>
      </c>
      <c r="BH284">
        <v>3300</v>
      </c>
      <c r="BI284">
        <v>0</v>
      </c>
      <c r="BJ284">
        <v>0</v>
      </c>
      <c r="BK284">
        <v>0</v>
      </c>
      <c r="BL284">
        <v>0</v>
      </c>
      <c r="BO284">
        <v>0</v>
      </c>
      <c r="BP284">
        <v>0</v>
      </c>
      <c r="BW284" t="str">
        <f>"18:36:59.830"</f>
        <v>18:36:59.830</v>
      </c>
      <c r="BZ284">
        <v>0</v>
      </c>
      <c r="CA284">
        <v>3488</v>
      </c>
      <c r="CB284">
        <v>216</v>
      </c>
      <c r="CC284">
        <v>583.59379999999999</v>
      </c>
      <c r="CD284">
        <v>1</v>
      </c>
      <c r="CE284">
        <v>1</v>
      </c>
      <c r="CF284">
        <v>0</v>
      </c>
      <c r="CG284">
        <v>1</v>
      </c>
      <c r="CH284">
        <v>0</v>
      </c>
      <c r="CI284">
        <v>0</v>
      </c>
      <c r="CJ284">
        <v>0</v>
      </c>
      <c r="CK284">
        <v>2</v>
      </c>
      <c r="CL284">
        <v>0</v>
      </c>
      <c r="CM284">
        <v>2</v>
      </c>
      <c r="CN284">
        <v>0</v>
      </c>
      <c r="CO284">
        <v>6</v>
      </c>
      <c r="CP284" t="s">
        <v>119</v>
      </c>
      <c r="CQ284">
        <v>145</v>
      </c>
      <c r="CR284">
        <v>1</v>
      </c>
      <c r="CW284">
        <v>8893603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</row>
    <row r="285" spans="1:113" x14ac:dyDescent="0.3">
      <c r="A285" t="str">
        <f>"02/13/2022 18:37:00.151"</f>
        <v>02/13/2022 18:37:00.151</v>
      </c>
      <c r="C285" t="str">
        <f t="shared" si="29"/>
        <v>FFDFD7C0</v>
      </c>
      <c r="D285" t="s">
        <v>113</v>
      </c>
      <c r="E285">
        <v>3</v>
      </c>
      <c r="F285">
        <v>1003</v>
      </c>
      <c r="G285" t="s">
        <v>114</v>
      </c>
      <c r="J285" t="s">
        <v>115</v>
      </c>
      <c r="K285">
        <v>0</v>
      </c>
      <c r="L285">
        <v>3</v>
      </c>
      <c r="M285">
        <v>0</v>
      </c>
      <c r="N285">
        <v>2</v>
      </c>
      <c r="O285">
        <v>1</v>
      </c>
      <c r="P285">
        <v>0</v>
      </c>
      <c r="Q285">
        <v>0</v>
      </c>
      <c r="S285" t="str">
        <f>"18:36:59.828"</f>
        <v>18:36:59.828</v>
      </c>
      <c r="T285" t="str">
        <f>"18:36:59.628"</f>
        <v>18:36:59.628</v>
      </c>
      <c r="U285" t="str">
        <f t="shared" si="28"/>
        <v>AAB6EE</v>
      </c>
      <c r="V285">
        <v>0</v>
      </c>
      <c r="W285">
        <v>0</v>
      </c>
      <c r="X285">
        <v>4</v>
      </c>
      <c r="Z285">
        <v>0</v>
      </c>
      <c r="AA285">
        <v>8</v>
      </c>
      <c r="AB285">
        <v>3</v>
      </c>
      <c r="AC285">
        <v>0</v>
      </c>
      <c r="AD285">
        <v>10</v>
      </c>
      <c r="AE285">
        <v>0</v>
      </c>
      <c r="AF285">
        <v>0</v>
      </c>
      <c r="AG285">
        <v>1</v>
      </c>
      <c r="AH285">
        <v>1</v>
      </c>
      <c r="AI285" t="s">
        <v>311</v>
      </c>
      <c r="AJ285">
        <v>35.510795000000002</v>
      </c>
      <c r="AK285" t="s">
        <v>312</v>
      </c>
      <c r="AL285">
        <v>-76.039231000000001</v>
      </c>
      <c r="AM285">
        <v>25</v>
      </c>
      <c r="AN285">
        <v>3450</v>
      </c>
      <c r="AO285" t="s">
        <v>118</v>
      </c>
      <c r="AP285">
        <v>-85</v>
      </c>
      <c r="AQ285">
        <v>-161</v>
      </c>
      <c r="AR285">
        <v>-64</v>
      </c>
      <c r="AZ285">
        <v>1200</v>
      </c>
      <c r="BA285">
        <v>1</v>
      </c>
      <c r="BB285" t="str">
        <f t="shared" si="30"/>
        <v xml:space="preserve">N79NX   </v>
      </c>
      <c r="BC285">
        <v>1</v>
      </c>
      <c r="BE285">
        <v>0</v>
      </c>
      <c r="BF285">
        <v>0</v>
      </c>
      <c r="BG285">
        <v>0</v>
      </c>
      <c r="BH285">
        <v>3300</v>
      </c>
      <c r="BI285">
        <v>0</v>
      </c>
      <c r="BJ285">
        <v>0</v>
      </c>
      <c r="BK285">
        <v>0</v>
      </c>
      <c r="BL285">
        <v>0</v>
      </c>
      <c r="BO285">
        <v>0</v>
      </c>
      <c r="BP285">
        <v>0</v>
      </c>
      <c r="BW285" t="str">
        <f>"18:36:59.830"</f>
        <v>18:36:59.830</v>
      </c>
      <c r="BZ285">
        <v>0</v>
      </c>
      <c r="CA285">
        <v>3488</v>
      </c>
      <c r="CB285">
        <v>216</v>
      </c>
      <c r="CC285">
        <v>583.59379999999999</v>
      </c>
      <c r="CD285">
        <v>1</v>
      </c>
      <c r="CE285">
        <v>1</v>
      </c>
      <c r="CF285">
        <v>0</v>
      </c>
      <c r="CG285">
        <v>1</v>
      </c>
      <c r="CH285">
        <v>0</v>
      </c>
      <c r="CI285">
        <v>0</v>
      </c>
      <c r="CJ285">
        <v>0</v>
      </c>
      <c r="CK285">
        <v>2</v>
      </c>
      <c r="CL285">
        <v>0</v>
      </c>
      <c r="CM285">
        <v>2</v>
      </c>
      <c r="CN285">
        <v>0</v>
      </c>
      <c r="CO285">
        <v>6</v>
      </c>
      <c r="CP285" t="s">
        <v>119</v>
      </c>
      <c r="CQ285">
        <v>145</v>
      </c>
      <c r="CR285">
        <v>1</v>
      </c>
      <c r="CW285">
        <v>8893603</v>
      </c>
      <c r="CY285">
        <v>0</v>
      </c>
      <c r="CZ285">
        <v>0</v>
      </c>
      <c r="DA285">
        <v>1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</row>
    <row r="286" spans="1:113" x14ac:dyDescent="0.3">
      <c r="A286" t="str">
        <f>"02/13/2022 18:37:00.151"</f>
        <v>02/13/2022 18:37:00.151</v>
      </c>
      <c r="C286" t="str">
        <f t="shared" si="29"/>
        <v>FFDFD7C0</v>
      </c>
      <c r="D286" t="s">
        <v>113</v>
      </c>
      <c r="E286">
        <v>4</v>
      </c>
      <c r="F286">
        <v>1004</v>
      </c>
      <c r="G286" t="s">
        <v>120</v>
      </c>
      <c r="J286" t="s">
        <v>115</v>
      </c>
      <c r="K286">
        <v>0</v>
      </c>
      <c r="L286">
        <v>3</v>
      </c>
      <c r="M286">
        <v>0</v>
      </c>
      <c r="N286">
        <v>2</v>
      </c>
      <c r="O286">
        <v>1</v>
      </c>
      <c r="P286">
        <v>0</v>
      </c>
      <c r="Q286">
        <v>0</v>
      </c>
      <c r="S286" t="str">
        <f>"18:36:59.828"</f>
        <v>18:36:59.828</v>
      </c>
      <c r="T286" t="str">
        <f>"18:36:59.628"</f>
        <v>18:36:59.628</v>
      </c>
      <c r="U286" t="str">
        <f t="shared" si="28"/>
        <v>AAB6EE</v>
      </c>
      <c r="V286">
        <v>0</v>
      </c>
      <c r="W286">
        <v>0</v>
      </c>
      <c r="X286">
        <v>4</v>
      </c>
      <c r="Z286">
        <v>0</v>
      </c>
      <c r="AA286">
        <v>8</v>
      </c>
      <c r="AB286">
        <v>3</v>
      </c>
      <c r="AC286">
        <v>0</v>
      </c>
      <c r="AD286">
        <v>10</v>
      </c>
      <c r="AE286">
        <v>0</v>
      </c>
      <c r="AF286">
        <v>0</v>
      </c>
      <c r="AG286">
        <v>1</v>
      </c>
      <c r="AH286">
        <v>1</v>
      </c>
      <c r="AI286" t="s">
        <v>311</v>
      </c>
      <c r="AJ286">
        <v>35.510795000000002</v>
      </c>
      <c r="AK286" t="s">
        <v>312</v>
      </c>
      <c r="AL286">
        <v>-76.039231000000001</v>
      </c>
      <c r="AM286">
        <v>25</v>
      </c>
      <c r="AN286">
        <v>3450</v>
      </c>
      <c r="AO286" t="s">
        <v>118</v>
      </c>
      <c r="AP286">
        <v>-85</v>
      </c>
      <c r="AQ286">
        <v>-161</v>
      </c>
      <c r="AR286">
        <v>-64</v>
      </c>
      <c r="AZ286">
        <v>1200</v>
      </c>
      <c r="BA286">
        <v>1</v>
      </c>
      <c r="BB286" t="str">
        <f t="shared" si="30"/>
        <v xml:space="preserve">N79NX   </v>
      </c>
      <c r="BC286">
        <v>1</v>
      </c>
      <c r="BE286">
        <v>0</v>
      </c>
      <c r="BF286">
        <v>0</v>
      </c>
      <c r="BG286">
        <v>0</v>
      </c>
      <c r="BH286">
        <v>3300</v>
      </c>
      <c r="BI286">
        <v>0</v>
      </c>
      <c r="BJ286">
        <v>0</v>
      </c>
      <c r="BK286">
        <v>0</v>
      </c>
      <c r="BL286">
        <v>0</v>
      </c>
      <c r="BO286">
        <v>0</v>
      </c>
      <c r="BP286">
        <v>0</v>
      </c>
      <c r="BW286" t="str">
        <f>"18:36:59.830"</f>
        <v>18:36:59.830</v>
      </c>
      <c r="BZ286">
        <v>0</v>
      </c>
      <c r="CA286">
        <v>3488</v>
      </c>
      <c r="CB286">
        <v>216</v>
      </c>
      <c r="CC286">
        <v>583.59379999999999</v>
      </c>
      <c r="CD286">
        <v>1</v>
      </c>
      <c r="CE286">
        <v>1</v>
      </c>
      <c r="CF286">
        <v>0</v>
      </c>
      <c r="CG286">
        <v>1</v>
      </c>
      <c r="CH286">
        <v>0</v>
      </c>
      <c r="CI286">
        <v>0</v>
      </c>
      <c r="CJ286">
        <v>0</v>
      </c>
      <c r="CK286">
        <v>2</v>
      </c>
      <c r="CL286">
        <v>0</v>
      </c>
      <c r="CM286">
        <v>2</v>
      </c>
      <c r="CN286">
        <v>0</v>
      </c>
      <c r="CO286">
        <v>6</v>
      </c>
      <c r="CP286" t="s">
        <v>119</v>
      </c>
      <c r="CQ286">
        <v>145</v>
      </c>
      <c r="CR286">
        <v>1</v>
      </c>
      <c r="CW286">
        <v>8893603</v>
      </c>
      <c r="CY286">
        <v>0</v>
      </c>
      <c r="CZ286">
        <v>0</v>
      </c>
      <c r="DA286">
        <v>1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</row>
    <row r="287" spans="1:113" x14ac:dyDescent="0.3">
      <c r="A287" t="str">
        <f>"02/13/2022 18:37:01.144"</f>
        <v>02/13/2022 18:37:01.144</v>
      </c>
      <c r="C287" t="str">
        <f t="shared" si="29"/>
        <v>FFDFD7C0</v>
      </c>
      <c r="D287" t="s">
        <v>121</v>
      </c>
      <c r="E287">
        <v>2</v>
      </c>
      <c r="H287">
        <v>158</v>
      </c>
      <c r="I287" t="s">
        <v>120</v>
      </c>
      <c r="J287" t="s">
        <v>122</v>
      </c>
      <c r="K287">
        <v>0</v>
      </c>
      <c r="L287">
        <v>3</v>
      </c>
      <c r="M287">
        <v>0</v>
      </c>
      <c r="N287">
        <v>2</v>
      </c>
      <c r="O287">
        <v>1</v>
      </c>
      <c r="P287">
        <v>0</v>
      </c>
      <c r="Q287">
        <v>0</v>
      </c>
      <c r="S287" t="str">
        <f>"18:37:00.875"</f>
        <v>18:37:00.875</v>
      </c>
      <c r="T287" t="str">
        <f>"18:37:00.475"</f>
        <v>18:37:00.475</v>
      </c>
      <c r="U287" t="str">
        <f t="shared" si="28"/>
        <v>AAB6EE</v>
      </c>
      <c r="V287">
        <v>0</v>
      </c>
      <c r="W287">
        <v>0</v>
      </c>
      <c r="X287">
        <v>4</v>
      </c>
      <c r="Z287">
        <v>0</v>
      </c>
      <c r="AA287">
        <v>8</v>
      </c>
      <c r="AB287">
        <v>3</v>
      </c>
      <c r="AC287">
        <v>0</v>
      </c>
      <c r="AD287">
        <v>10</v>
      </c>
      <c r="AE287">
        <v>0</v>
      </c>
      <c r="AF287">
        <v>0</v>
      </c>
      <c r="AG287">
        <v>1</v>
      </c>
      <c r="AH287">
        <v>1</v>
      </c>
      <c r="AI287" t="s">
        <v>313</v>
      </c>
      <c r="AJ287">
        <v>35.510044000000001</v>
      </c>
      <c r="AK287" t="s">
        <v>314</v>
      </c>
      <c r="AL287">
        <v>-76.039766999999998</v>
      </c>
      <c r="AM287">
        <v>25</v>
      </c>
      <c r="AN287">
        <v>3450</v>
      </c>
      <c r="AO287" t="s">
        <v>118</v>
      </c>
      <c r="AP287">
        <v>-86</v>
      </c>
      <c r="AQ287">
        <v>-162</v>
      </c>
      <c r="AR287">
        <v>-64</v>
      </c>
      <c r="AZ287">
        <v>1200</v>
      </c>
      <c r="BA287">
        <v>1</v>
      </c>
      <c r="BB287" t="str">
        <f t="shared" si="30"/>
        <v xml:space="preserve">N79NX   </v>
      </c>
      <c r="BC287">
        <v>1</v>
      </c>
      <c r="BE287">
        <v>0</v>
      </c>
      <c r="BF287">
        <v>0</v>
      </c>
      <c r="BG287">
        <v>0</v>
      </c>
      <c r="BH287">
        <v>3300</v>
      </c>
      <c r="BI287">
        <v>0</v>
      </c>
      <c r="BJ287">
        <v>0</v>
      </c>
      <c r="BK287">
        <v>0</v>
      </c>
      <c r="BL287">
        <v>0</v>
      </c>
      <c r="BO287">
        <v>0</v>
      </c>
      <c r="BP287">
        <v>0</v>
      </c>
      <c r="BW287" t="str">
        <f>"18:37:00.880"</f>
        <v>18:37:00.880</v>
      </c>
      <c r="BZ287">
        <v>0</v>
      </c>
      <c r="CA287">
        <v>3488</v>
      </c>
      <c r="CB287">
        <v>216</v>
      </c>
      <c r="CC287">
        <v>583.59379999999999</v>
      </c>
      <c r="CD287">
        <v>1</v>
      </c>
      <c r="CE287">
        <v>1</v>
      </c>
      <c r="CF287">
        <v>0</v>
      </c>
      <c r="CG287">
        <v>1</v>
      </c>
      <c r="CH287">
        <v>0</v>
      </c>
      <c r="CI287">
        <v>0</v>
      </c>
      <c r="CJ287">
        <v>0</v>
      </c>
      <c r="CK287">
        <v>2</v>
      </c>
      <c r="CL287">
        <v>0</v>
      </c>
      <c r="CM287">
        <v>2</v>
      </c>
      <c r="CN287">
        <v>0</v>
      </c>
      <c r="CO287">
        <v>6</v>
      </c>
      <c r="CP287" t="s">
        <v>119</v>
      </c>
      <c r="CQ287">
        <v>145</v>
      </c>
      <c r="CR287">
        <v>1</v>
      </c>
      <c r="CW287">
        <v>8894105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</row>
    <row r="288" spans="1:113" x14ac:dyDescent="0.3">
      <c r="A288" t="str">
        <f>"02/13/2022 18:37:01.144"</f>
        <v>02/13/2022 18:37:01.144</v>
      </c>
      <c r="C288" t="str">
        <f t="shared" si="29"/>
        <v>FFDFD7C0</v>
      </c>
      <c r="D288" t="s">
        <v>113</v>
      </c>
      <c r="E288">
        <v>3</v>
      </c>
      <c r="F288">
        <v>1003</v>
      </c>
      <c r="G288" t="s">
        <v>114</v>
      </c>
      <c r="J288" t="s">
        <v>115</v>
      </c>
      <c r="K288">
        <v>0</v>
      </c>
      <c r="L288">
        <v>3</v>
      </c>
      <c r="M288">
        <v>0</v>
      </c>
      <c r="N288">
        <v>2</v>
      </c>
      <c r="O288">
        <v>1</v>
      </c>
      <c r="P288">
        <v>0</v>
      </c>
      <c r="Q288">
        <v>0</v>
      </c>
      <c r="S288" t="str">
        <f>"18:37:00.875"</f>
        <v>18:37:00.875</v>
      </c>
      <c r="T288" t="str">
        <f>"18:37:00.475"</f>
        <v>18:37:00.475</v>
      </c>
      <c r="U288" t="str">
        <f t="shared" si="28"/>
        <v>AAB6EE</v>
      </c>
      <c r="V288">
        <v>0</v>
      </c>
      <c r="W288">
        <v>0</v>
      </c>
      <c r="X288">
        <v>4</v>
      </c>
      <c r="Z288">
        <v>0</v>
      </c>
      <c r="AA288">
        <v>8</v>
      </c>
      <c r="AB288">
        <v>3</v>
      </c>
      <c r="AC288">
        <v>0</v>
      </c>
      <c r="AD288">
        <v>10</v>
      </c>
      <c r="AE288">
        <v>0</v>
      </c>
      <c r="AF288">
        <v>0</v>
      </c>
      <c r="AG288">
        <v>1</v>
      </c>
      <c r="AH288">
        <v>1</v>
      </c>
      <c r="AI288" t="s">
        <v>313</v>
      </c>
      <c r="AJ288">
        <v>35.510044000000001</v>
      </c>
      <c r="AK288" t="s">
        <v>314</v>
      </c>
      <c r="AL288">
        <v>-76.039766999999998</v>
      </c>
      <c r="AM288">
        <v>25</v>
      </c>
      <c r="AN288">
        <v>3450</v>
      </c>
      <c r="AO288" t="s">
        <v>118</v>
      </c>
      <c r="AP288">
        <v>-86</v>
      </c>
      <c r="AQ288">
        <v>-162</v>
      </c>
      <c r="AR288">
        <v>-64</v>
      </c>
      <c r="AZ288">
        <v>1200</v>
      </c>
      <c r="BA288">
        <v>1</v>
      </c>
      <c r="BB288" t="str">
        <f t="shared" si="30"/>
        <v xml:space="preserve">N79NX   </v>
      </c>
      <c r="BC288">
        <v>1</v>
      </c>
      <c r="BE288">
        <v>0</v>
      </c>
      <c r="BF288">
        <v>0</v>
      </c>
      <c r="BG288">
        <v>0</v>
      </c>
      <c r="BH288">
        <v>3300</v>
      </c>
      <c r="BI288">
        <v>0</v>
      </c>
      <c r="BJ288">
        <v>0</v>
      </c>
      <c r="BK288">
        <v>0</v>
      </c>
      <c r="BL288">
        <v>0</v>
      </c>
      <c r="BO288">
        <v>0</v>
      </c>
      <c r="BP288">
        <v>0</v>
      </c>
      <c r="BW288" t="str">
        <f>"18:37:00.880"</f>
        <v>18:37:00.880</v>
      </c>
      <c r="BZ288">
        <v>0</v>
      </c>
      <c r="CA288">
        <v>3488</v>
      </c>
      <c r="CB288">
        <v>216</v>
      </c>
      <c r="CC288">
        <v>583.59379999999999</v>
      </c>
      <c r="CD288">
        <v>1</v>
      </c>
      <c r="CE288">
        <v>1</v>
      </c>
      <c r="CF288">
        <v>0</v>
      </c>
      <c r="CG288">
        <v>1</v>
      </c>
      <c r="CH288">
        <v>0</v>
      </c>
      <c r="CI288">
        <v>0</v>
      </c>
      <c r="CJ288">
        <v>0</v>
      </c>
      <c r="CK288">
        <v>2</v>
      </c>
      <c r="CL288">
        <v>0</v>
      </c>
      <c r="CM288">
        <v>2</v>
      </c>
      <c r="CN288">
        <v>0</v>
      </c>
      <c r="CO288">
        <v>6</v>
      </c>
      <c r="CP288" t="s">
        <v>119</v>
      </c>
      <c r="CQ288">
        <v>145</v>
      </c>
      <c r="CR288">
        <v>1</v>
      </c>
      <c r="CW288">
        <v>8894105</v>
      </c>
      <c r="CY288">
        <v>0</v>
      </c>
      <c r="CZ288">
        <v>0</v>
      </c>
      <c r="DA288">
        <v>1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</row>
    <row r="289" spans="1:113" x14ac:dyDescent="0.3">
      <c r="A289" t="str">
        <f>"02/13/2022 18:37:01.144"</f>
        <v>02/13/2022 18:37:01.144</v>
      </c>
      <c r="C289" t="str">
        <f t="shared" si="29"/>
        <v>FFDFD7C0</v>
      </c>
      <c r="D289" t="s">
        <v>113</v>
      </c>
      <c r="E289">
        <v>4</v>
      </c>
      <c r="F289">
        <v>1004</v>
      </c>
      <c r="G289" t="s">
        <v>120</v>
      </c>
      <c r="J289" t="s">
        <v>115</v>
      </c>
      <c r="K289">
        <v>0</v>
      </c>
      <c r="L289">
        <v>3</v>
      </c>
      <c r="M289">
        <v>0</v>
      </c>
      <c r="N289">
        <v>2</v>
      </c>
      <c r="O289">
        <v>1</v>
      </c>
      <c r="P289">
        <v>0</v>
      </c>
      <c r="Q289">
        <v>0</v>
      </c>
      <c r="S289" t="str">
        <f>"18:37:00.875"</f>
        <v>18:37:00.875</v>
      </c>
      <c r="T289" t="str">
        <f>"18:37:00.475"</f>
        <v>18:37:00.475</v>
      </c>
      <c r="U289" t="str">
        <f t="shared" si="28"/>
        <v>AAB6EE</v>
      </c>
      <c r="V289">
        <v>0</v>
      </c>
      <c r="W289">
        <v>0</v>
      </c>
      <c r="X289">
        <v>4</v>
      </c>
      <c r="Z289">
        <v>0</v>
      </c>
      <c r="AA289">
        <v>8</v>
      </c>
      <c r="AB289">
        <v>3</v>
      </c>
      <c r="AC289">
        <v>0</v>
      </c>
      <c r="AD289">
        <v>10</v>
      </c>
      <c r="AE289">
        <v>0</v>
      </c>
      <c r="AF289">
        <v>0</v>
      </c>
      <c r="AG289">
        <v>1</v>
      </c>
      <c r="AH289">
        <v>1</v>
      </c>
      <c r="AI289" t="s">
        <v>313</v>
      </c>
      <c r="AJ289">
        <v>35.510044000000001</v>
      </c>
      <c r="AK289" t="s">
        <v>314</v>
      </c>
      <c r="AL289">
        <v>-76.039766999999998</v>
      </c>
      <c r="AM289">
        <v>25</v>
      </c>
      <c r="AN289">
        <v>3450</v>
      </c>
      <c r="AO289" t="s">
        <v>118</v>
      </c>
      <c r="AP289">
        <v>-86</v>
      </c>
      <c r="AQ289">
        <v>-162</v>
      </c>
      <c r="AR289">
        <v>-64</v>
      </c>
      <c r="AZ289">
        <v>1200</v>
      </c>
      <c r="BA289">
        <v>1</v>
      </c>
      <c r="BB289" t="str">
        <f t="shared" si="30"/>
        <v xml:space="preserve">N79NX   </v>
      </c>
      <c r="BC289">
        <v>1</v>
      </c>
      <c r="BE289">
        <v>0</v>
      </c>
      <c r="BF289">
        <v>0</v>
      </c>
      <c r="BG289">
        <v>0</v>
      </c>
      <c r="BH289">
        <v>3300</v>
      </c>
      <c r="BI289">
        <v>0</v>
      </c>
      <c r="BJ289">
        <v>0</v>
      </c>
      <c r="BK289">
        <v>0</v>
      </c>
      <c r="BL289">
        <v>0</v>
      </c>
      <c r="BO289">
        <v>0</v>
      </c>
      <c r="BP289">
        <v>0</v>
      </c>
      <c r="BW289" t="str">
        <f>"18:37:00.880"</f>
        <v>18:37:00.880</v>
      </c>
      <c r="BZ289">
        <v>0</v>
      </c>
      <c r="CA289">
        <v>3488</v>
      </c>
      <c r="CB289">
        <v>216</v>
      </c>
      <c r="CC289">
        <v>583.59379999999999</v>
      </c>
      <c r="CD289">
        <v>1</v>
      </c>
      <c r="CE289">
        <v>1</v>
      </c>
      <c r="CF289">
        <v>0</v>
      </c>
      <c r="CG289">
        <v>1</v>
      </c>
      <c r="CH289">
        <v>0</v>
      </c>
      <c r="CI289">
        <v>0</v>
      </c>
      <c r="CJ289">
        <v>0</v>
      </c>
      <c r="CK289">
        <v>2</v>
      </c>
      <c r="CL289">
        <v>0</v>
      </c>
      <c r="CM289">
        <v>2</v>
      </c>
      <c r="CN289">
        <v>0</v>
      </c>
      <c r="CO289">
        <v>6</v>
      </c>
      <c r="CP289" t="s">
        <v>119</v>
      </c>
      <c r="CQ289">
        <v>145</v>
      </c>
      <c r="CR289">
        <v>1</v>
      </c>
      <c r="CW289">
        <v>8894105</v>
      </c>
      <c r="CY289">
        <v>0</v>
      </c>
      <c r="CZ289">
        <v>0</v>
      </c>
      <c r="DA289">
        <v>1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</row>
    <row r="290" spans="1:113" x14ac:dyDescent="0.3">
      <c r="A290" t="str">
        <f>"02/13/2022 18:37:02.270"</f>
        <v>02/13/2022 18:37:02.270</v>
      </c>
      <c r="C290" t="str">
        <f t="shared" si="29"/>
        <v>FFDFD7C0</v>
      </c>
      <c r="D290" t="s">
        <v>121</v>
      </c>
      <c r="E290">
        <v>2</v>
      </c>
      <c r="H290">
        <v>158</v>
      </c>
      <c r="I290" t="s">
        <v>120</v>
      </c>
      <c r="J290" t="s">
        <v>122</v>
      </c>
      <c r="K290">
        <v>0</v>
      </c>
      <c r="L290">
        <v>3</v>
      </c>
      <c r="M290">
        <v>0</v>
      </c>
      <c r="N290">
        <v>2</v>
      </c>
      <c r="O290">
        <v>1</v>
      </c>
      <c r="P290">
        <v>0</v>
      </c>
      <c r="Q290">
        <v>0</v>
      </c>
      <c r="S290" t="str">
        <f>"18:37:01.953"</f>
        <v>18:37:01.953</v>
      </c>
      <c r="T290" t="str">
        <f>"18:37:01.553"</f>
        <v>18:37:01.553</v>
      </c>
      <c r="U290" t="str">
        <f t="shared" si="28"/>
        <v>AAB6EE</v>
      </c>
      <c r="V290">
        <v>0</v>
      </c>
      <c r="W290">
        <v>0</v>
      </c>
      <c r="X290">
        <v>4</v>
      </c>
      <c r="Z290">
        <v>0</v>
      </c>
      <c r="AA290">
        <v>8</v>
      </c>
      <c r="AB290">
        <v>3</v>
      </c>
      <c r="AC290">
        <v>0</v>
      </c>
      <c r="AD290">
        <v>10</v>
      </c>
      <c r="AE290">
        <v>0</v>
      </c>
      <c r="AF290">
        <v>0</v>
      </c>
      <c r="AG290">
        <v>1</v>
      </c>
      <c r="AH290">
        <v>1</v>
      </c>
      <c r="AI290" t="s">
        <v>315</v>
      </c>
      <c r="AJ290">
        <v>35.509228999999998</v>
      </c>
      <c r="AK290" t="s">
        <v>316</v>
      </c>
      <c r="AL290">
        <v>-76.040261000000001</v>
      </c>
      <c r="AM290">
        <v>25</v>
      </c>
      <c r="AN290">
        <v>3450</v>
      </c>
      <c r="AO290" t="s">
        <v>118</v>
      </c>
      <c r="AP290">
        <v>-86</v>
      </c>
      <c r="AQ290">
        <v>-162</v>
      </c>
      <c r="AR290">
        <v>-128</v>
      </c>
      <c r="AZ290">
        <v>1200</v>
      </c>
      <c r="BA290">
        <v>1</v>
      </c>
      <c r="BB290" t="str">
        <f t="shared" si="30"/>
        <v xml:space="preserve">N79NX   </v>
      </c>
      <c r="BC290">
        <v>1</v>
      </c>
      <c r="BE290">
        <v>0</v>
      </c>
      <c r="BF290">
        <v>0</v>
      </c>
      <c r="BG290">
        <v>0</v>
      </c>
      <c r="BH290">
        <v>3325</v>
      </c>
      <c r="BI290">
        <v>0</v>
      </c>
      <c r="BJ290">
        <v>0</v>
      </c>
      <c r="BK290">
        <v>0</v>
      </c>
      <c r="BL290">
        <v>0</v>
      </c>
      <c r="BO290">
        <v>0</v>
      </c>
      <c r="BP290">
        <v>0</v>
      </c>
      <c r="BW290" t="str">
        <f>"18:37:01.960"</f>
        <v>18:37:01.960</v>
      </c>
      <c r="BZ290">
        <v>0</v>
      </c>
      <c r="CA290">
        <v>3488</v>
      </c>
      <c r="CB290">
        <v>216</v>
      </c>
      <c r="CC290">
        <v>583.59379999999999</v>
      </c>
      <c r="CD290">
        <v>1</v>
      </c>
      <c r="CE290">
        <v>1</v>
      </c>
      <c r="CF290">
        <v>0</v>
      </c>
      <c r="CG290">
        <v>1</v>
      </c>
      <c r="CH290">
        <v>0</v>
      </c>
      <c r="CI290">
        <v>0</v>
      </c>
      <c r="CJ290">
        <v>0</v>
      </c>
      <c r="CK290">
        <v>2</v>
      </c>
      <c r="CL290">
        <v>0</v>
      </c>
      <c r="CM290">
        <v>2</v>
      </c>
      <c r="CN290">
        <v>0</v>
      </c>
      <c r="CO290">
        <v>6</v>
      </c>
      <c r="CP290" t="s">
        <v>119</v>
      </c>
      <c r="CQ290">
        <v>145</v>
      </c>
      <c r="CR290">
        <v>1</v>
      </c>
      <c r="CW290">
        <v>8894644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</row>
    <row r="291" spans="1:113" x14ac:dyDescent="0.3">
      <c r="A291" t="str">
        <f>"02/13/2022 18:37:02.270"</f>
        <v>02/13/2022 18:37:02.270</v>
      </c>
      <c r="C291" t="str">
        <f t="shared" si="29"/>
        <v>FFDFD7C0</v>
      </c>
      <c r="D291" t="s">
        <v>113</v>
      </c>
      <c r="E291">
        <v>4</v>
      </c>
      <c r="F291">
        <v>1004</v>
      </c>
      <c r="G291" t="s">
        <v>120</v>
      </c>
      <c r="J291" t="s">
        <v>115</v>
      </c>
      <c r="K291">
        <v>0</v>
      </c>
      <c r="L291">
        <v>3</v>
      </c>
      <c r="M291">
        <v>0</v>
      </c>
      <c r="N291">
        <v>2</v>
      </c>
      <c r="O291">
        <v>1</v>
      </c>
      <c r="P291">
        <v>0</v>
      </c>
      <c r="Q291">
        <v>0</v>
      </c>
      <c r="S291" t="str">
        <f>"18:37:01.953"</f>
        <v>18:37:01.953</v>
      </c>
      <c r="T291" t="str">
        <f>"18:37:01.553"</f>
        <v>18:37:01.553</v>
      </c>
      <c r="U291" t="str">
        <f t="shared" si="28"/>
        <v>AAB6EE</v>
      </c>
      <c r="V291">
        <v>0</v>
      </c>
      <c r="W291">
        <v>0</v>
      </c>
      <c r="X291">
        <v>4</v>
      </c>
      <c r="Z291">
        <v>0</v>
      </c>
      <c r="AA291">
        <v>8</v>
      </c>
      <c r="AB291">
        <v>3</v>
      </c>
      <c r="AC291">
        <v>0</v>
      </c>
      <c r="AD291">
        <v>10</v>
      </c>
      <c r="AE291">
        <v>0</v>
      </c>
      <c r="AF291">
        <v>0</v>
      </c>
      <c r="AG291">
        <v>1</v>
      </c>
      <c r="AH291">
        <v>1</v>
      </c>
      <c r="AI291" t="s">
        <v>315</v>
      </c>
      <c r="AJ291">
        <v>35.509228999999998</v>
      </c>
      <c r="AK291" t="s">
        <v>316</v>
      </c>
      <c r="AL291">
        <v>-76.040261000000001</v>
      </c>
      <c r="AM291">
        <v>25</v>
      </c>
      <c r="AN291">
        <v>3450</v>
      </c>
      <c r="AO291" t="s">
        <v>118</v>
      </c>
      <c r="AP291">
        <v>-86</v>
      </c>
      <c r="AQ291">
        <v>-162</v>
      </c>
      <c r="AR291">
        <v>-128</v>
      </c>
      <c r="AZ291">
        <v>1200</v>
      </c>
      <c r="BA291">
        <v>1</v>
      </c>
      <c r="BB291" t="str">
        <f t="shared" si="30"/>
        <v xml:space="preserve">N79NX   </v>
      </c>
      <c r="BC291">
        <v>1</v>
      </c>
      <c r="BE291">
        <v>0</v>
      </c>
      <c r="BF291">
        <v>0</v>
      </c>
      <c r="BG291">
        <v>0</v>
      </c>
      <c r="BH291">
        <v>3325</v>
      </c>
      <c r="BI291">
        <v>0</v>
      </c>
      <c r="BJ291">
        <v>0</v>
      </c>
      <c r="BK291">
        <v>0</v>
      </c>
      <c r="BL291">
        <v>0</v>
      </c>
      <c r="BO291">
        <v>0</v>
      </c>
      <c r="BP291">
        <v>0</v>
      </c>
      <c r="BW291" t="str">
        <f>"18:37:01.960"</f>
        <v>18:37:01.960</v>
      </c>
      <c r="BZ291">
        <v>0</v>
      </c>
      <c r="CA291">
        <v>3488</v>
      </c>
      <c r="CB291">
        <v>216</v>
      </c>
      <c r="CC291">
        <v>583.59379999999999</v>
      </c>
      <c r="CD291">
        <v>1</v>
      </c>
      <c r="CE291">
        <v>1</v>
      </c>
      <c r="CF291">
        <v>0</v>
      </c>
      <c r="CG291">
        <v>1</v>
      </c>
      <c r="CH291">
        <v>0</v>
      </c>
      <c r="CI291">
        <v>0</v>
      </c>
      <c r="CJ291">
        <v>0</v>
      </c>
      <c r="CK291">
        <v>2</v>
      </c>
      <c r="CL291">
        <v>0</v>
      </c>
      <c r="CM291">
        <v>2</v>
      </c>
      <c r="CN291">
        <v>0</v>
      </c>
      <c r="CO291">
        <v>6</v>
      </c>
      <c r="CP291" t="s">
        <v>119</v>
      </c>
      <c r="CQ291">
        <v>145</v>
      </c>
      <c r="CR291">
        <v>1</v>
      </c>
      <c r="CW291">
        <v>8894644</v>
      </c>
      <c r="CY291">
        <v>0</v>
      </c>
      <c r="CZ291">
        <v>0</v>
      </c>
      <c r="DA291">
        <v>1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</row>
    <row r="292" spans="1:113" x14ac:dyDescent="0.3">
      <c r="A292" t="str">
        <f>"02/13/2022 18:37:02.270"</f>
        <v>02/13/2022 18:37:02.270</v>
      </c>
      <c r="C292" t="str">
        <f t="shared" si="29"/>
        <v>FFDFD7C0</v>
      </c>
      <c r="D292" t="s">
        <v>113</v>
      </c>
      <c r="E292">
        <v>3</v>
      </c>
      <c r="F292">
        <v>1003</v>
      </c>
      <c r="G292" t="s">
        <v>114</v>
      </c>
      <c r="J292" t="s">
        <v>115</v>
      </c>
      <c r="K292">
        <v>0</v>
      </c>
      <c r="L292">
        <v>3</v>
      </c>
      <c r="M292">
        <v>0</v>
      </c>
      <c r="N292">
        <v>2</v>
      </c>
      <c r="O292">
        <v>1</v>
      </c>
      <c r="P292">
        <v>0</v>
      </c>
      <c r="Q292">
        <v>0</v>
      </c>
      <c r="S292" t="str">
        <f>"18:37:01.953"</f>
        <v>18:37:01.953</v>
      </c>
      <c r="T292" t="str">
        <f>"18:37:01.553"</f>
        <v>18:37:01.553</v>
      </c>
      <c r="U292" t="str">
        <f t="shared" si="28"/>
        <v>AAB6EE</v>
      </c>
      <c r="V292">
        <v>0</v>
      </c>
      <c r="W292">
        <v>0</v>
      </c>
      <c r="X292">
        <v>4</v>
      </c>
      <c r="Z292">
        <v>0</v>
      </c>
      <c r="AA292">
        <v>8</v>
      </c>
      <c r="AB292">
        <v>3</v>
      </c>
      <c r="AC292">
        <v>0</v>
      </c>
      <c r="AD292">
        <v>10</v>
      </c>
      <c r="AE292">
        <v>0</v>
      </c>
      <c r="AF292">
        <v>0</v>
      </c>
      <c r="AG292">
        <v>1</v>
      </c>
      <c r="AH292">
        <v>1</v>
      </c>
      <c r="AI292" t="s">
        <v>315</v>
      </c>
      <c r="AJ292">
        <v>35.509228999999998</v>
      </c>
      <c r="AK292" t="s">
        <v>316</v>
      </c>
      <c r="AL292">
        <v>-76.040261000000001</v>
      </c>
      <c r="AM292">
        <v>25</v>
      </c>
      <c r="AN292">
        <v>3450</v>
      </c>
      <c r="AO292" t="s">
        <v>118</v>
      </c>
      <c r="AP292">
        <v>-86</v>
      </c>
      <c r="AQ292">
        <v>-162</v>
      </c>
      <c r="AR292">
        <v>-128</v>
      </c>
      <c r="AZ292">
        <v>1200</v>
      </c>
      <c r="BA292">
        <v>1</v>
      </c>
      <c r="BB292" t="str">
        <f t="shared" si="30"/>
        <v xml:space="preserve">N79NX   </v>
      </c>
      <c r="BC292">
        <v>1</v>
      </c>
      <c r="BE292">
        <v>0</v>
      </c>
      <c r="BF292">
        <v>0</v>
      </c>
      <c r="BG292">
        <v>0</v>
      </c>
      <c r="BH292">
        <v>3325</v>
      </c>
      <c r="BI292">
        <v>0</v>
      </c>
      <c r="BJ292">
        <v>0</v>
      </c>
      <c r="BK292">
        <v>0</v>
      </c>
      <c r="BL292">
        <v>0</v>
      </c>
      <c r="BO292">
        <v>0</v>
      </c>
      <c r="BP292">
        <v>0</v>
      </c>
      <c r="BW292" t="str">
        <f>"18:37:01.960"</f>
        <v>18:37:01.960</v>
      </c>
      <c r="BZ292">
        <v>0</v>
      </c>
      <c r="CA292">
        <v>3488</v>
      </c>
      <c r="CB292">
        <v>216</v>
      </c>
      <c r="CC292">
        <v>583.59379999999999</v>
      </c>
      <c r="CD292">
        <v>1</v>
      </c>
      <c r="CE292">
        <v>1</v>
      </c>
      <c r="CF292">
        <v>0</v>
      </c>
      <c r="CG292">
        <v>1</v>
      </c>
      <c r="CH292">
        <v>0</v>
      </c>
      <c r="CI292">
        <v>0</v>
      </c>
      <c r="CJ292">
        <v>0</v>
      </c>
      <c r="CK292">
        <v>2</v>
      </c>
      <c r="CL292">
        <v>0</v>
      </c>
      <c r="CM292">
        <v>2</v>
      </c>
      <c r="CN292">
        <v>0</v>
      </c>
      <c r="CO292">
        <v>6</v>
      </c>
      <c r="CP292" t="s">
        <v>119</v>
      </c>
      <c r="CQ292">
        <v>145</v>
      </c>
      <c r="CR292">
        <v>1</v>
      </c>
      <c r="CW292">
        <v>8894644</v>
      </c>
      <c r="CY292">
        <v>0</v>
      </c>
      <c r="CZ292">
        <v>0</v>
      </c>
      <c r="DA292">
        <v>1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</row>
    <row r="293" spans="1:113" x14ac:dyDescent="0.3">
      <c r="A293" t="str">
        <f>"02/13/2022 18:37:03.348"</f>
        <v>02/13/2022 18:37:03.348</v>
      </c>
      <c r="C293" t="str">
        <f t="shared" si="29"/>
        <v>FFDFD7C0</v>
      </c>
      <c r="D293" t="s">
        <v>121</v>
      </c>
      <c r="E293">
        <v>2</v>
      </c>
      <c r="H293">
        <v>158</v>
      </c>
      <c r="I293" t="s">
        <v>120</v>
      </c>
      <c r="J293" t="s">
        <v>122</v>
      </c>
      <c r="K293">
        <v>0</v>
      </c>
      <c r="L293">
        <v>3</v>
      </c>
      <c r="M293">
        <v>0</v>
      </c>
      <c r="N293">
        <v>2</v>
      </c>
      <c r="O293">
        <v>1</v>
      </c>
      <c r="P293">
        <v>0</v>
      </c>
      <c r="Q293">
        <v>0</v>
      </c>
      <c r="S293" t="str">
        <f>"18:37:03.078"</f>
        <v>18:37:03.078</v>
      </c>
      <c r="T293" t="str">
        <f>"18:37:02.678"</f>
        <v>18:37:02.678</v>
      </c>
      <c r="U293" t="str">
        <f t="shared" si="28"/>
        <v>AAB6EE</v>
      </c>
      <c r="V293">
        <v>0</v>
      </c>
      <c r="W293">
        <v>0</v>
      </c>
      <c r="X293">
        <v>4</v>
      </c>
      <c r="Z293">
        <v>0</v>
      </c>
      <c r="AA293">
        <v>8</v>
      </c>
      <c r="AB293">
        <v>3</v>
      </c>
      <c r="AC293">
        <v>0</v>
      </c>
      <c r="AD293">
        <v>10</v>
      </c>
      <c r="AE293">
        <v>0</v>
      </c>
      <c r="AF293">
        <v>0</v>
      </c>
      <c r="AG293">
        <v>1</v>
      </c>
      <c r="AH293">
        <v>1</v>
      </c>
      <c r="AI293" t="s">
        <v>317</v>
      </c>
      <c r="AJ293">
        <v>35.508369999999999</v>
      </c>
      <c r="AK293" t="s">
        <v>318</v>
      </c>
      <c r="AL293">
        <v>-76.040818999999999</v>
      </c>
      <c r="AM293">
        <v>25</v>
      </c>
      <c r="AN293">
        <v>3450</v>
      </c>
      <c r="AO293" t="s">
        <v>118</v>
      </c>
      <c r="AP293">
        <v>-87</v>
      </c>
      <c r="AQ293">
        <v>-163</v>
      </c>
      <c r="AR293">
        <v>-64</v>
      </c>
      <c r="AZ293">
        <v>1200</v>
      </c>
      <c r="BA293">
        <v>1</v>
      </c>
      <c r="BB293" t="str">
        <f t="shared" si="30"/>
        <v xml:space="preserve">N79NX   </v>
      </c>
      <c r="BC293">
        <v>1</v>
      </c>
      <c r="BE293">
        <v>0</v>
      </c>
      <c r="BF293">
        <v>0</v>
      </c>
      <c r="BG293">
        <v>0</v>
      </c>
      <c r="BH293">
        <v>3325</v>
      </c>
      <c r="BI293">
        <v>0</v>
      </c>
      <c r="BJ293">
        <v>0</v>
      </c>
      <c r="BK293">
        <v>0</v>
      </c>
      <c r="BL293">
        <v>0</v>
      </c>
      <c r="BO293">
        <v>0</v>
      </c>
      <c r="BP293">
        <v>0</v>
      </c>
      <c r="BW293" t="str">
        <f>"18:37:03.080"</f>
        <v>18:37:03.080</v>
      </c>
      <c r="BZ293">
        <v>0</v>
      </c>
      <c r="CA293">
        <v>3488</v>
      </c>
      <c r="CB293">
        <v>216</v>
      </c>
      <c r="CC293">
        <v>583.59379999999999</v>
      </c>
      <c r="CD293">
        <v>1</v>
      </c>
      <c r="CE293">
        <v>1</v>
      </c>
      <c r="CF293">
        <v>0</v>
      </c>
      <c r="CG293">
        <v>1</v>
      </c>
      <c r="CH293">
        <v>0</v>
      </c>
      <c r="CI293">
        <v>0</v>
      </c>
      <c r="CJ293">
        <v>0</v>
      </c>
      <c r="CK293">
        <v>2</v>
      </c>
      <c r="CL293">
        <v>0</v>
      </c>
      <c r="CM293">
        <v>2</v>
      </c>
      <c r="CN293">
        <v>0</v>
      </c>
      <c r="CO293">
        <v>6</v>
      </c>
      <c r="CP293" t="s">
        <v>119</v>
      </c>
      <c r="CQ293">
        <v>145</v>
      </c>
      <c r="CR293">
        <v>1</v>
      </c>
      <c r="CW293">
        <v>8895210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</row>
    <row r="294" spans="1:113" x14ac:dyDescent="0.3">
      <c r="A294" t="str">
        <f>"02/13/2022 18:37:03.348"</f>
        <v>02/13/2022 18:37:03.348</v>
      </c>
      <c r="C294" t="str">
        <f t="shared" si="29"/>
        <v>FFDFD7C0</v>
      </c>
      <c r="D294" t="s">
        <v>113</v>
      </c>
      <c r="E294">
        <v>3</v>
      </c>
      <c r="F294">
        <v>1003</v>
      </c>
      <c r="G294" t="s">
        <v>114</v>
      </c>
      <c r="J294" t="s">
        <v>115</v>
      </c>
      <c r="K294">
        <v>0</v>
      </c>
      <c r="L294">
        <v>3</v>
      </c>
      <c r="M294">
        <v>0</v>
      </c>
      <c r="N294">
        <v>2</v>
      </c>
      <c r="O294">
        <v>1</v>
      </c>
      <c r="P294">
        <v>0</v>
      </c>
      <c r="Q294">
        <v>0</v>
      </c>
      <c r="S294" t="str">
        <f>"18:37:03.078"</f>
        <v>18:37:03.078</v>
      </c>
      <c r="T294" t="str">
        <f>"18:37:02.678"</f>
        <v>18:37:02.678</v>
      </c>
      <c r="U294" t="str">
        <f t="shared" si="28"/>
        <v>AAB6EE</v>
      </c>
      <c r="V294">
        <v>0</v>
      </c>
      <c r="W294">
        <v>0</v>
      </c>
      <c r="X294">
        <v>4</v>
      </c>
      <c r="Z294">
        <v>0</v>
      </c>
      <c r="AA294">
        <v>8</v>
      </c>
      <c r="AB294">
        <v>3</v>
      </c>
      <c r="AC294">
        <v>0</v>
      </c>
      <c r="AD294">
        <v>10</v>
      </c>
      <c r="AE294">
        <v>0</v>
      </c>
      <c r="AF294">
        <v>0</v>
      </c>
      <c r="AG294">
        <v>1</v>
      </c>
      <c r="AH294">
        <v>1</v>
      </c>
      <c r="AI294" t="s">
        <v>317</v>
      </c>
      <c r="AJ294">
        <v>35.508369999999999</v>
      </c>
      <c r="AK294" t="s">
        <v>318</v>
      </c>
      <c r="AL294">
        <v>-76.040818999999999</v>
      </c>
      <c r="AM294">
        <v>25</v>
      </c>
      <c r="AN294">
        <v>3450</v>
      </c>
      <c r="AO294" t="s">
        <v>118</v>
      </c>
      <c r="AP294">
        <v>-87</v>
      </c>
      <c r="AQ294">
        <v>-163</v>
      </c>
      <c r="AR294">
        <v>-64</v>
      </c>
      <c r="AZ294">
        <v>1200</v>
      </c>
      <c r="BA294">
        <v>1</v>
      </c>
      <c r="BB294" t="str">
        <f t="shared" si="30"/>
        <v xml:space="preserve">N79NX   </v>
      </c>
      <c r="BC294">
        <v>1</v>
      </c>
      <c r="BE294">
        <v>0</v>
      </c>
      <c r="BF294">
        <v>0</v>
      </c>
      <c r="BG294">
        <v>0</v>
      </c>
      <c r="BH294">
        <v>3325</v>
      </c>
      <c r="BI294">
        <v>0</v>
      </c>
      <c r="BJ294">
        <v>0</v>
      </c>
      <c r="BK294">
        <v>0</v>
      </c>
      <c r="BL294">
        <v>0</v>
      </c>
      <c r="BO294">
        <v>0</v>
      </c>
      <c r="BP294">
        <v>0</v>
      </c>
      <c r="BW294" t="str">
        <f>"18:37:03.080"</f>
        <v>18:37:03.080</v>
      </c>
      <c r="BZ294">
        <v>0</v>
      </c>
      <c r="CA294">
        <v>3488</v>
      </c>
      <c r="CB294">
        <v>216</v>
      </c>
      <c r="CC294">
        <v>583.59379999999999</v>
      </c>
      <c r="CD294">
        <v>1</v>
      </c>
      <c r="CE294">
        <v>1</v>
      </c>
      <c r="CF294">
        <v>0</v>
      </c>
      <c r="CG294">
        <v>1</v>
      </c>
      <c r="CH294">
        <v>0</v>
      </c>
      <c r="CI294">
        <v>0</v>
      </c>
      <c r="CJ294">
        <v>0</v>
      </c>
      <c r="CK294">
        <v>2</v>
      </c>
      <c r="CL294">
        <v>0</v>
      </c>
      <c r="CM294">
        <v>2</v>
      </c>
      <c r="CN294">
        <v>0</v>
      </c>
      <c r="CO294">
        <v>6</v>
      </c>
      <c r="CP294" t="s">
        <v>119</v>
      </c>
      <c r="CQ294">
        <v>145</v>
      </c>
      <c r="CR294">
        <v>1</v>
      </c>
      <c r="CW294">
        <v>8895210</v>
      </c>
      <c r="CY294">
        <v>0</v>
      </c>
      <c r="CZ294">
        <v>0</v>
      </c>
      <c r="DA294">
        <v>1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</row>
    <row r="295" spans="1:113" x14ac:dyDescent="0.3">
      <c r="A295" t="str">
        <f>"02/13/2022 18:37:03.348"</f>
        <v>02/13/2022 18:37:03.348</v>
      </c>
      <c r="C295" t="str">
        <f t="shared" si="29"/>
        <v>FFDFD7C0</v>
      </c>
      <c r="D295" t="s">
        <v>113</v>
      </c>
      <c r="E295">
        <v>4</v>
      </c>
      <c r="F295">
        <v>1004</v>
      </c>
      <c r="G295" t="s">
        <v>120</v>
      </c>
      <c r="J295" t="s">
        <v>115</v>
      </c>
      <c r="K295">
        <v>0</v>
      </c>
      <c r="L295">
        <v>3</v>
      </c>
      <c r="M295">
        <v>0</v>
      </c>
      <c r="N295">
        <v>2</v>
      </c>
      <c r="O295">
        <v>1</v>
      </c>
      <c r="P295">
        <v>0</v>
      </c>
      <c r="Q295">
        <v>0</v>
      </c>
      <c r="S295" t="str">
        <f>"18:37:03.078"</f>
        <v>18:37:03.078</v>
      </c>
      <c r="T295" t="str">
        <f>"18:37:02.678"</f>
        <v>18:37:02.678</v>
      </c>
      <c r="U295" t="str">
        <f t="shared" si="28"/>
        <v>AAB6EE</v>
      </c>
      <c r="V295">
        <v>0</v>
      </c>
      <c r="W295">
        <v>0</v>
      </c>
      <c r="X295">
        <v>4</v>
      </c>
      <c r="Z295">
        <v>0</v>
      </c>
      <c r="AA295">
        <v>8</v>
      </c>
      <c r="AB295">
        <v>3</v>
      </c>
      <c r="AC295">
        <v>0</v>
      </c>
      <c r="AD295">
        <v>10</v>
      </c>
      <c r="AE295">
        <v>0</v>
      </c>
      <c r="AF295">
        <v>0</v>
      </c>
      <c r="AG295">
        <v>1</v>
      </c>
      <c r="AH295">
        <v>1</v>
      </c>
      <c r="AI295" t="s">
        <v>317</v>
      </c>
      <c r="AJ295">
        <v>35.508369999999999</v>
      </c>
      <c r="AK295" t="s">
        <v>318</v>
      </c>
      <c r="AL295">
        <v>-76.040818999999999</v>
      </c>
      <c r="AM295">
        <v>25</v>
      </c>
      <c r="AN295">
        <v>3450</v>
      </c>
      <c r="AO295" t="s">
        <v>118</v>
      </c>
      <c r="AP295">
        <v>-87</v>
      </c>
      <c r="AQ295">
        <v>-163</v>
      </c>
      <c r="AR295">
        <v>-64</v>
      </c>
      <c r="AZ295">
        <v>1200</v>
      </c>
      <c r="BA295">
        <v>1</v>
      </c>
      <c r="BB295" t="str">
        <f t="shared" si="30"/>
        <v xml:space="preserve">N79NX   </v>
      </c>
      <c r="BC295">
        <v>1</v>
      </c>
      <c r="BE295">
        <v>0</v>
      </c>
      <c r="BF295">
        <v>0</v>
      </c>
      <c r="BG295">
        <v>0</v>
      </c>
      <c r="BH295">
        <v>3325</v>
      </c>
      <c r="BI295">
        <v>0</v>
      </c>
      <c r="BJ295">
        <v>0</v>
      </c>
      <c r="BK295">
        <v>0</v>
      </c>
      <c r="BL295">
        <v>0</v>
      </c>
      <c r="BO295">
        <v>0</v>
      </c>
      <c r="BP295">
        <v>0</v>
      </c>
      <c r="BW295" t="str">
        <f>"18:37:03.080"</f>
        <v>18:37:03.080</v>
      </c>
      <c r="BZ295">
        <v>0</v>
      </c>
      <c r="CA295">
        <v>3488</v>
      </c>
      <c r="CB295">
        <v>216</v>
      </c>
      <c r="CC295">
        <v>583.59379999999999</v>
      </c>
      <c r="CD295">
        <v>1</v>
      </c>
      <c r="CE295">
        <v>1</v>
      </c>
      <c r="CF295">
        <v>0</v>
      </c>
      <c r="CG295">
        <v>1</v>
      </c>
      <c r="CH295">
        <v>0</v>
      </c>
      <c r="CI295">
        <v>0</v>
      </c>
      <c r="CJ295">
        <v>0</v>
      </c>
      <c r="CK295">
        <v>2</v>
      </c>
      <c r="CL295">
        <v>0</v>
      </c>
      <c r="CM295">
        <v>2</v>
      </c>
      <c r="CN295">
        <v>0</v>
      </c>
      <c r="CO295">
        <v>6</v>
      </c>
      <c r="CP295" t="s">
        <v>119</v>
      </c>
      <c r="CQ295">
        <v>145</v>
      </c>
      <c r="CR295">
        <v>1</v>
      </c>
      <c r="CW295">
        <v>8895210</v>
      </c>
      <c r="CY295">
        <v>0</v>
      </c>
      <c r="CZ295">
        <v>0</v>
      </c>
      <c r="DA295">
        <v>1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</row>
    <row r="296" spans="1:113" x14ac:dyDescent="0.3">
      <c r="A296" t="str">
        <f>"02/13/2022 18:37:04.427"</f>
        <v>02/13/2022 18:37:04.427</v>
      </c>
      <c r="C296" t="str">
        <f t="shared" si="29"/>
        <v>FFDFD7C0</v>
      </c>
      <c r="D296" t="s">
        <v>113</v>
      </c>
      <c r="E296">
        <v>3</v>
      </c>
      <c r="F296">
        <v>1003</v>
      </c>
      <c r="G296" t="s">
        <v>114</v>
      </c>
      <c r="J296" t="s">
        <v>115</v>
      </c>
      <c r="K296">
        <v>0</v>
      </c>
      <c r="L296">
        <v>3</v>
      </c>
      <c r="M296">
        <v>0</v>
      </c>
      <c r="N296">
        <v>2</v>
      </c>
      <c r="O296">
        <v>1</v>
      </c>
      <c r="P296">
        <v>0</v>
      </c>
      <c r="Q296">
        <v>0</v>
      </c>
      <c r="S296" t="str">
        <f>"18:37:04.203"</f>
        <v>18:37:04.203</v>
      </c>
      <c r="T296" t="str">
        <f>"18:37:03.703"</f>
        <v>18:37:03.703</v>
      </c>
      <c r="U296" t="str">
        <f t="shared" si="28"/>
        <v>AAB6EE</v>
      </c>
      <c r="V296">
        <v>0</v>
      </c>
      <c r="W296">
        <v>0</v>
      </c>
      <c r="X296">
        <v>4</v>
      </c>
      <c r="Z296">
        <v>0</v>
      </c>
      <c r="AA296">
        <v>8</v>
      </c>
      <c r="AB296">
        <v>3</v>
      </c>
      <c r="AC296">
        <v>0</v>
      </c>
      <c r="AD296">
        <v>10</v>
      </c>
      <c r="AE296">
        <v>0</v>
      </c>
      <c r="AF296">
        <v>0</v>
      </c>
      <c r="AG296">
        <v>1</v>
      </c>
      <c r="AH296">
        <v>1</v>
      </c>
      <c r="AI296" t="s">
        <v>319</v>
      </c>
      <c r="AJ296">
        <v>35.507491000000002</v>
      </c>
      <c r="AK296" t="s">
        <v>320</v>
      </c>
      <c r="AL296">
        <v>-76.041398000000001</v>
      </c>
      <c r="AM296">
        <v>25</v>
      </c>
      <c r="AN296">
        <v>3450</v>
      </c>
      <c r="AO296" t="s">
        <v>118</v>
      </c>
      <c r="AP296">
        <v>-87</v>
      </c>
      <c r="AQ296">
        <v>-164</v>
      </c>
      <c r="AR296">
        <v>-64</v>
      </c>
      <c r="AZ296">
        <v>1200</v>
      </c>
      <c r="BA296">
        <v>1</v>
      </c>
      <c r="BB296" t="str">
        <f t="shared" si="30"/>
        <v xml:space="preserve">N79NX   </v>
      </c>
      <c r="BC296">
        <v>1</v>
      </c>
      <c r="BE296">
        <v>0</v>
      </c>
      <c r="BF296">
        <v>0</v>
      </c>
      <c r="BG296">
        <v>0</v>
      </c>
      <c r="BH296">
        <v>3300</v>
      </c>
      <c r="BI296">
        <v>0</v>
      </c>
      <c r="BJ296">
        <v>0</v>
      </c>
      <c r="BK296">
        <v>0</v>
      </c>
      <c r="BL296">
        <v>0</v>
      </c>
      <c r="BO296">
        <v>0</v>
      </c>
      <c r="BP296">
        <v>0</v>
      </c>
      <c r="BW296" t="str">
        <f>"18:37:04.210"</f>
        <v>18:37:04.210</v>
      </c>
      <c r="BZ296">
        <v>0</v>
      </c>
      <c r="CA296">
        <v>3488</v>
      </c>
      <c r="CB296">
        <v>216</v>
      </c>
      <c r="CC296">
        <v>583.59379999999999</v>
      </c>
      <c r="CD296">
        <v>1</v>
      </c>
      <c r="CE296">
        <v>1</v>
      </c>
      <c r="CF296">
        <v>0</v>
      </c>
      <c r="CG296">
        <v>1</v>
      </c>
      <c r="CH296">
        <v>0</v>
      </c>
      <c r="CI296">
        <v>0</v>
      </c>
      <c r="CJ296">
        <v>0</v>
      </c>
      <c r="CK296">
        <v>2</v>
      </c>
      <c r="CL296">
        <v>0</v>
      </c>
      <c r="CM296">
        <v>2</v>
      </c>
      <c r="CN296">
        <v>0</v>
      </c>
      <c r="CO296">
        <v>6</v>
      </c>
      <c r="CP296" t="s">
        <v>119</v>
      </c>
      <c r="CQ296">
        <v>145</v>
      </c>
      <c r="CR296">
        <v>1</v>
      </c>
      <c r="CW296">
        <v>8895683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</row>
    <row r="297" spans="1:113" x14ac:dyDescent="0.3">
      <c r="A297" t="str">
        <f>"02/13/2022 18:37:04.427"</f>
        <v>02/13/2022 18:37:04.427</v>
      </c>
      <c r="C297" t="str">
        <f t="shared" si="29"/>
        <v>FFDFD7C0</v>
      </c>
      <c r="D297" t="s">
        <v>113</v>
      </c>
      <c r="E297">
        <v>4</v>
      </c>
      <c r="F297">
        <v>1004</v>
      </c>
      <c r="G297" t="s">
        <v>120</v>
      </c>
      <c r="J297" t="s">
        <v>115</v>
      </c>
      <c r="K297">
        <v>0</v>
      </c>
      <c r="L297">
        <v>3</v>
      </c>
      <c r="M297">
        <v>0</v>
      </c>
      <c r="N297">
        <v>2</v>
      </c>
      <c r="O297">
        <v>1</v>
      </c>
      <c r="P297">
        <v>0</v>
      </c>
      <c r="Q297">
        <v>0</v>
      </c>
      <c r="S297" t="str">
        <f>"18:37:04.203"</f>
        <v>18:37:04.203</v>
      </c>
      <c r="T297" t="str">
        <f>"18:37:03.703"</f>
        <v>18:37:03.703</v>
      </c>
      <c r="U297" t="str">
        <f t="shared" si="28"/>
        <v>AAB6EE</v>
      </c>
      <c r="V297">
        <v>0</v>
      </c>
      <c r="W297">
        <v>0</v>
      </c>
      <c r="X297">
        <v>4</v>
      </c>
      <c r="Z297">
        <v>0</v>
      </c>
      <c r="AA297">
        <v>8</v>
      </c>
      <c r="AB297">
        <v>3</v>
      </c>
      <c r="AC297">
        <v>0</v>
      </c>
      <c r="AD297">
        <v>10</v>
      </c>
      <c r="AE297">
        <v>0</v>
      </c>
      <c r="AF297">
        <v>0</v>
      </c>
      <c r="AG297">
        <v>1</v>
      </c>
      <c r="AH297">
        <v>1</v>
      </c>
      <c r="AI297" t="s">
        <v>319</v>
      </c>
      <c r="AJ297">
        <v>35.507491000000002</v>
      </c>
      <c r="AK297" t="s">
        <v>320</v>
      </c>
      <c r="AL297">
        <v>-76.041398000000001</v>
      </c>
      <c r="AM297">
        <v>25</v>
      </c>
      <c r="AN297">
        <v>3450</v>
      </c>
      <c r="AO297" t="s">
        <v>118</v>
      </c>
      <c r="AP297">
        <v>-87</v>
      </c>
      <c r="AQ297">
        <v>-164</v>
      </c>
      <c r="AR297">
        <v>-64</v>
      </c>
      <c r="AZ297">
        <v>1200</v>
      </c>
      <c r="BA297">
        <v>1</v>
      </c>
      <c r="BB297" t="str">
        <f t="shared" si="30"/>
        <v xml:space="preserve">N79NX   </v>
      </c>
      <c r="BC297">
        <v>1</v>
      </c>
      <c r="BE297">
        <v>0</v>
      </c>
      <c r="BF297">
        <v>0</v>
      </c>
      <c r="BG297">
        <v>0</v>
      </c>
      <c r="BH297">
        <v>3300</v>
      </c>
      <c r="BI297">
        <v>0</v>
      </c>
      <c r="BJ297">
        <v>0</v>
      </c>
      <c r="BK297">
        <v>0</v>
      </c>
      <c r="BL297">
        <v>0</v>
      </c>
      <c r="BO297">
        <v>0</v>
      </c>
      <c r="BP297">
        <v>0</v>
      </c>
      <c r="BW297" t="str">
        <f>"18:37:04.210"</f>
        <v>18:37:04.210</v>
      </c>
      <c r="BZ297">
        <v>0</v>
      </c>
      <c r="CA297">
        <v>3488</v>
      </c>
      <c r="CB297">
        <v>216</v>
      </c>
      <c r="CC297">
        <v>583.59379999999999</v>
      </c>
      <c r="CD297">
        <v>1</v>
      </c>
      <c r="CE297">
        <v>1</v>
      </c>
      <c r="CF297">
        <v>0</v>
      </c>
      <c r="CG297">
        <v>1</v>
      </c>
      <c r="CH297">
        <v>0</v>
      </c>
      <c r="CI297">
        <v>0</v>
      </c>
      <c r="CJ297">
        <v>0</v>
      </c>
      <c r="CK297">
        <v>2</v>
      </c>
      <c r="CL297">
        <v>0</v>
      </c>
      <c r="CM297">
        <v>2</v>
      </c>
      <c r="CN297">
        <v>0</v>
      </c>
      <c r="CO297">
        <v>6</v>
      </c>
      <c r="CP297" t="s">
        <v>119</v>
      </c>
      <c r="CQ297">
        <v>145</v>
      </c>
      <c r="CR297">
        <v>1</v>
      </c>
      <c r="CW297">
        <v>8895683</v>
      </c>
      <c r="CY297">
        <v>0</v>
      </c>
      <c r="CZ297">
        <v>0</v>
      </c>
      <c r="DA297">
        <v>1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</row>
    <row r="298" spans="1:113" x14ac:dyDescent="0.3">
      <c r="A298" t="str">
        <f>"02/13/2022 18:37:04.427"</f>
        <v>02/13/2022 18:37:04.427</v>
      </c>
      <c r="C298" t="str">
        <f t="shared" si="29"/>
        <v>FFDFD7C0</v>
      </c>
      <c r="D298" t="s">
        <v>121</v>
      </c>
      <c r="E298">
        <v>2</v>
      </c>
      <c r="H298">
        <v>158</v>
      </c>
      <c r="I298" t="s">
        <v>120</v>
      </c>
      <c r="J298" t="s">
        <v>122</v>
      </c>
      <c r="K298">
        <v>0</v>
      </c>
      <c r="L298">
        <v>3</v>
      </c>
      <c r="M298">
        <v>0</v>
      </c>
      <c r="N298">
        <v>2</v>
      </c>
      <c r="O298">
        <v>1</v>
      </c>
      <c r="P298">
        <v>0</v>
      </c>
      <c r="Q298">
        <v>0</v>
      </c>
      <c r="S298" t="str">
        <f>"18:37:04.203"</f>
        <v>18:37:04.203</v>
      </c>
      <c r="T298" t="str">
        <f>"18:37:03.703"</f>
        <v>18:37:03.703</v>
      </c>
      <c r="U298" t="str">
        <f t="shared" si="28"/>
        <v>AAB6EE</v>
      </c>
      <c r="V298">
        <v>0</v>
      </c>
      <c r="W298">
        <v>0</v>
      </c>
      <c r="X298">
        <v>4</v>
      </c>
      <c r="Z298">
        <v>0</v>
      </c>
      <c r="AA298">
        <v>8</v>
      </c>
      <c r="AB298">
        <v>3</v>
      </c>
      <c r="AC298">
        <v>0</v>
      </c>
      <c r="AD298">
        <v>10</v>
      </c>
      <c r="AE298">
        <v>0</v>
      </c>
      <c r="AF298">
        <v>0</v>
      </c>
      <c r="AG298">
        <v>1</v>
      </c>
      <c r="AH298">
        <v>1</v>
      </c>
      <c r="AI298" t="s">
        <v>319</v>
      </c>
      <c r="AJ298">
        <v>35.507491000000002</v>
      </c>
      <c r="AK298" t="s">
        <v>320</v>
      </c>
      <c r="AL298">
        <v>-76.041398000000001</v>
      </c>
      <c r="AM298">
        <v>25</v>
      </c>
      <c r="AN298">
        <v>3450</v>
      </c>
      <c r="AO298" t="s">
        <v>118</v>
      </c>
      <c r="AP298">
        <v>-87</v>
      </c>
      <c r="AQ298">
        <v>-164</v>
      </c>
      <c r="AR298">
        <v>-64</v>
      </c>
      <c r="AZ298">
        <v>1200</v>
      </c>
      <c r="BA298">
        <v>1</v>
      </c>
      <c r="BB298" t="str">
        <f t="shared" si="30"/>
        <v xml:space="preserve">N79NX   </v>
      </c>
      <c r="BC298">
        <v>1</v>
      </c>
      <c r="BE298">
        <v>0</v>
      </c>
      <c r="BF298">
        <v>0</v>
      </c>
      <c r="BG298">
        <v>0</v>
      </c>
      <c r="BH298">
        <v>3300</v>
      </c>
      <c r="BI298">
        <v>0</v>
      </c>
      <c r="BJ298">
        <v>0</v>
      </c>
      <c r="BK298">
        <v>0</v>
      </c>
      <c r="BL298">
        <v>0</v>
      </c>
      <c r="BO298">
        <v>0</v>
      </c>
      <c r="BP298">
        <v>0</v>
      </c>
      <c r="BW298" t="str">
        <f>"18:37:04.210"</f>
        <v>18:37:04.210</v>
      </c>
      <c r="BZ298">
        <v>0</v>
      </c>
      <c r="CA298">
        <v>3488</v>
      </c>
      <c r="CB298">
        <v>216</v>
      </c>
      <c r="CC298">
        <v>583.59379999999999</v>
      </c>
      <c r="CD298">
        <v>1</v>
      </c>
      <c r="CE298">
        <v>1</v>
      </c>
      <c r="CF298">
        <v>0</v>
      </c>
      <c r="CG298">
        <v>1</v>
      </c>
      <c r="CH298">
        <v>0</v>
      </c>
      <c r="CI298">
        <v>0</v>
      </c>
      <c r="CJ298">
        <v>0</v>
      </c>
      <c r="CK298">
        <v>2</v>
      </c>
      <c r="CL298">
        <v>0</v>
      </c>
      <c r="CM298">
        <v>2</v>
      </c>
      <c r="CN298">
        <v>0</v>
      </c>
      <c r="CO298">
        <v>6</v>
      </c>
      <c r="CP298" t="s">
        <v>119</v>
      </c>
      <c r="CQ298">
        <v>145</v>
      </c>
      <c r="CR298">
        <v>1</v>
      </c>
      <c r="CW298">
        <v>8895683</v>
      </c>
      <c r="CY298">
        <v>0</v>
      </c>
      <c r="CZ298">
        <v>0</v>
      </c>
      <c r="DA298">
        <v>1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</row>
    <row r="299" spans="1:113" x14ac:dyDescent="0.3">
      <c r="A299" t="str">
        <f>"02/13/2022 18:37:05.414"</f>
        <v>02/13/2022 18:37:05.414</v>
      </c>
      <c r="C299" t="str">
        <f t="shared" si="29"/>
        <v>FFDFD7C0</v>
      </c>
      <c r="D299" t="s">
        <v>113</v>
      </c>
      <c r="E299">
        <v>4</v>
      </c>
      <c r="F299">
        <v>1004</v>
      </c>
      <c r="G299" t="s">
        <v>120</v>
      </c>
      <c r="J299" t="s">
        <v>115</v>
      </c>
      <c r="K299">
        <v>0</v>
      </c>
      <c r="L299">
        <v>3</v>
      </c>
      <c r="M299">
        <v>0</v>
      </c>
      <c r="N299">
        <v>2</v>
      </c>
      <c r="O299">
        <v>1</v>
      </c>
      <c r="P299">
        <v>0</v>
      </c>
      <c r="Q299">
        <v>0</v>
      </c>
      <c r="S299" t="str">
        <f t="shared" ref="S299:T301" si="32">"18:37:05.195"</f>
        <v>18:37:05.195</v>
      </c>
      <c r="T299" t="str">
        <f t="shared" si="32"/>
        <v>18:37:05.195</v>
      </c>
      <c r="U299" t="str">
        <f t="shared" si="28"/>
        <v>AAB6EE</v>
      </c>
      <c r="V299">
        <v>0</v>
      </c>
      <c r="W299">
        <v>0</v>
      </c>
      <c r="X299">
        <v>4</v>
      </c>
      <c r="Z299">
        <v>0</v>
      </c>
      <c r="AA299">
        <v>8</v>
      </c>
      <c r="AB299">
        <v>3</v>
      </c>
      <c r="AC299">
        <v>0</v>
      </c>
      <c r="AD299">
        <v>10</v>
      </c>
      <c r="AE299">
        <v>0</v>
      </c>
      <c r="AF299">
        <v>0</v>
      </c>
      <c r="AG299">
        <v>1</v>
      </c>
      <c r="AH299">
        <v>1</v>
      </c>
      <c r="AI299" t="s">
        <v>321</v>
      </c>
      <c r="AJ299">
        <v>35.506760999999997</v>
      </c>
      <c r="AK299" t="s">
        <v>322</v>
      </c>
      <c r="AL299">
        <v>-76.041870000000003</v>
      </c>
      <c r="AM299">
        <v>25</v>
      </c>
      <c r="AN299">
        <v>3450</v>
      </c>
      <c r="AO299" t="s">
        <v>118</v>
      </c>
      <c r="AP299">
        <v>-88</v>
      </c>
      <c r="AQ299">
        <v>-166</v>
      </c>
      <c r="AR299">
        <v>-64</v>
      </c>
      <c r="AZ299">
        <v>1200</v>
      </c>
      <c r="BA299">
        <v>1</v>
      </c>
      <c r="BB299" t="str">
        <f t="shared" si="30"/>
        <v xml:space="preserve">N79NX   </v>
      </c>
      <c r="BC299">
        <v>1</v>
      </c>
      <c r="BE299">
        <v>0</v>
      </c>
      <c r="BF299">
        <v>0</v>
      </c>
      <c r="BG299">
        <v>0</v>
      </c>
      <c r="BH299">
        <v>3300</v>
      </c>
      <c r="BI299">
        <v>0</v>
      </c>
      <c r="BJ299">
        <v>0</v>
      </c>
      <c r="BK299">
        <v>0</v>
      </c>
      <c r="BL299">
        <v>0</v>
      </c>
      <c r="BO299">
        <v>0</v>
      </c>
      <c r="BP299">
        <v>0</v>
      </c>
      <c r="BW299" t="str">
        <f>"18:37:05.200"</f>
        <v>18:37:05.200</v>
      </c>
      <c r="BZ299">
        <v>0</v>
      </c>
      <c r="CA299">
        <v>3488</v>
      </c>
      <c r="CB299">
        <v>216</v>
      </c>
      <c r="CC299">
        <v>583.59379999999999</v>
      </c>
      <c r="CD299">
        <v>1</v>
      </c>
      <c r="CE299">
        <v>1</v>
      </c>
      <c r="CF299">
        <v>0</v>
      </c>
      <c r="CG299">
        <v>1</v>
      </c>
      <c r="CH299">
        <v>0</v>
      </c>
      <c r="CI299">
        <v>0</v>
      </c>
      <c r="CJ299">
        <v>0</v>
      </c>
      <c r="CK299">
        <v>2</v>
      </c>
      <c r="CL299">
        <v>0</v>
      </c>
      <c r="CM299">
        <v>2</v>
      </c>
      <c r="CN299">
        <v>0</v>
      </c>
      <c r="CO299">
        <v>6</v>
      </c>
      <c r="CP299" t="s">
        <v>119</v>
      </c>
      <c r="CQ299">
        <v>145</v>
      </c>
      <c r="CR299">
        <v>1</v>
      </c>
      <c r="CW299">
        <v>8896173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</row>
    <row r="300" spans="1:113" x14ac:dyDescent="0.3">
      <c r="A300" t="str">
        <f>"02/13/2022 18:37:05.414"</f>
        <v>02/13/2022 18:37:05.414</v>
      </c>
      <c r="C300" t="str">
        <f t="shared" si="29"/>
        <v>FFDFD7C0</v>
      </c>
      <c r="D300" t="s">
        <v>121</v>
      </c>
      <c r="E300">
        <v>2</v>
      </c>
      <c r="H300">
        <v>158</v>
      </c>
      <c r="I300" t="s">
        <v>120</v>
      </c>
      <c r="J300" t="s">
        <v>122</v>
      </c>
      <c r="K300">
        <v>0</v>
      </c>
      <c r="L300">
        <v>3</v>
      </c>
      <c r="M300">
        <v>0</v>
      </c>
      <c r="N300">
        <v>2</v>
      </c>
      <c r="O300">
        <v>1</v>
      </c>
      <c r="P300">
        <v>0</v>
      </c>
      <c r="Q300">
        <v>0</v>
      </c>
      <c r="S300" t="str">
        <f t="shared" si="32"/>
        <v>18:37:05.195</v>
      </c>
      <c r="T300" t="str">
        <f t="shared" si="32"/>
        <v>18:37:05.195</v>
      </c>
      <c r="U300" t="str">
        <f t="shared" si="28"/>
        <v>AAB6EE</v>
      </c>
      <c r="V300">
        <v>0</v>
      </c>
      <c r="W300">
        <v>0</v>
      </c>
      <c r="X300">
        <v>4</v>
      </c>
      <c r="Z300">
        <v>0</v>
      </c>
      <c r="AA300">
        <v>8</v>
      </c>
      <c r="AB300">
        <v>3</v>
      </c>
      <c r="AC300">
        <v>0</v>
      </c>
      <c r="AD300">
        <v>10</v>
      </c>
      <c r="AE300">
        <v>0</v>
      </c>
      <c r="AF300">
        <v>0</v>
      </c>
      <c r="AG300">
        <v>1</v>
      </c>
      <c r="AH300">
        <v>1</v>
      </c>
      <c r="AI300" t="s">
        <v>321</v>
      </c>
      <c r="AJ300">
        <v>35.506760999999997</v>
      </c>
      <c r="AK300" t="s">
        <v>322</v>
      </c>
      <c r="AL300">
        <v>-76.041870000000003</v>
      </c>
      <c r="AM300">
        <v>25</v>
      </c>
      <c r="AN300">
        <v>3450</v>
      </c>
      <c r="AO300" t="s">
        <v>118</v>
      </c>
      <c r="AP300">
        <v>-88</v>
      </c>
      <c r="AQ300">
        <v>-166</v>
      </c>
      <c r="AR300">
        <v>-64</v>
      </c>
      <c r="AZ300">
        <v>1200</v>
      </c>
      <c r="BA300">
        <v>1</v>
      </c>
      <c r="BB300" t="str">
        <f t="shared" si="30"/>
        <v xml:space="preserve">N79NX   </v>
      </c>
      <c r="BC300">
        <v>1</v>
      </c>
      <c r="BE300">
        <v>0</v>
      </c>
      <c r="BF300">
        <v>0</v>
      </c>
      <c r="BG300">
        <v>0</v>
      </c>
      <c r="BH300">
        <v>3300</v>
      </c>
      <c r="BI300">
        <v>0</v>
      </c>
      <c r="BJ300">
        <v>0</v>
      </c>
      <c r="BK300">
        <v>0</v>
      </c>
      <c r="BL300">
        <v>0</v>
      </c>
      <c r="BO300">
        <v>0</v>
      </c>
      <c r="BP300">
        <v>0</v>
      </c>
      <c r="BW300" t="str">
        <f>"18:37:05.200"</f>
        <v>18:37:05.200</v>
      </c>
      <c r="BZ300">
        <v>0</v>
      </c>
      <c r="CA300">
        <v>3488</v>
      </c>
      <c r="CB300">
        <v>216</v>
      </c>
      <c r="CC300">
        <v>583.59379999999999</v>
      </c>
      <c r="CD300">
        <v>1</v>
      </c>
      <c r="CE300">
        <v>1</v>
      </c>
      <c r="CF300">
        <v>0</v>
      </c>
      <c r="CG300">
        <v>1</v>
      </c>
      <c r="CH300">
        <v>0</v>
      </c>
      <c r="CI300">
        <v>0</v>
      </c>
      <c r="CJ300">
        <v>0</v>
      </c>
      <c r="CK300">
        <v>2</v>
      </c>
      <c r="CL300">
        <v>0</v>
      </c>
      <c r="CM300">
        <v>2</v>
      </c>
      <c r="CN300">
        <v>0</v>
      </c>
      <c r="CO300">
        <v>6</v>
      </c>
      <c r="CP300" t="s">
        <v>119</v>
      </c>
      <c r="CQ300">
        <v>145</v>
      </c>
      <c r="CR300">
        <v>1</v>
      </c>
      <c r="CW300">
        <v>8896173</v>
      </c>
      <c r="CY300">
        <v>0</v>
      </c>
      <c r="CZ300">
        <v>0</v>
      </c>
      <c r="DA300">
        <v>1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</row>
    <row r="301" spans="1:113" x14ac:dyDescent="0.3">
      <c r="A301" t="str">
        <f>"02/13/2022 18:37:05.414"</f>
        <v>02/13/2022 18:37:05.414</v>
      </c>
      <c r="C301" t="str">
        <f t="shared" si="29"/>
        <v>FFDFD7C0</v>
      </c>
      <c r="D301" t="s">
        <v>113</v>
      </c>
      <c r="E301">
        <v>3</v>
      </c>
      <c r="F301">
        <v>1003</v>
      </c>
      <c r="G301" t="s">
        <v>114</v>
      </c>
      <c r="J301" t="s">
        <v>115</v>
      </c>
      <c r="K301">
        <v>0</v>
      </c>
      <c r="L301">
        <v>3</v>
      </c>
      <c r="M301">
        <v>0</v>
      </c>
      <c r="N301">
        <v>2</v>
      </c>
      <c r="O301">
        <v>1</v>
      </c>
      <c r="P301">
        <v>0</v>
      </c>
      <c r="Q301">
        <v>0</v>
      </c>
      <c r="S301" t="str">
        <f t="shared" si="32"/>
        <v>18:37:05.195</v>
      </c>
      <c r="T301" t="str">
        <f t="shared" si="32"/>
        <v>18:37:05.195</v>
      </c>
      <c r="U301" t="str">
        <f t="shared" si="28"/>
        <v>AAB6EE</v>
      </c>
      <c r="V301">
        <v>0</v>
      </c>
      <c r="W301">
        <v>0</v>
      </c>
      <c r="X301">
        <v>4</v>
      </c>
      <c r="Z301">
        <v>0</v>
      </c>
      <c r="AA301">
        <v>8</v>
      </c>
      <c r="AB301">
        <v>3</v>
      </c>
      <c r="AC301">
        <v>0</v>
      </c>
      <c r="AD301">
        <v>10</v>
      </c>
      <c r="AE301">
        <v>0</v>
      </c>
      <c r="AF301">
        <v>0</v>
      </c>
      <c r="AG301">
        <v>1</v>
      </c>
      <c r="AH301">
        <v>1</v>
      </c>
      <c r="AI301" t="s">
        <v>321</v>
      </c>
      <c r="AJ301">
        <v>35.506760999999997</v>
      </c>
      <c r="AK301" t="s">
        <v>322</v>
      </c>
      <c r="AL301">
        <v>-76.041870000000003</v>
      </c>
      <c r="AM301">
        <v>25</v>
      </c>
      <c r="AN301">
        <v>3450</v>
      </c>
      <c r="AO301" t="s">
        <v>118</v>
      </c>
      <c r="AP301">
        <v>-88</v>
      </c>
      <c r="AQ301">
        <v>-166</v>
      </c>
      <c r="AR301">
        <v>-64</v>
      </c>
      <c r="AZ301">
        <v>1200</v>
      </c>
      <c r="BA301">
        <v>1</v>
      </c>
      <c r="BB301" t="str">
        <f t="shared" si="30"/>
        <v xml:space="preserve">N79NX   </v>
      </c>
      <c r="BC301">
        <v>1</v>
      </c>
      <c r="BE301">
        <v>0</v>
      </c>
      <c r="BF301">
        <v>0</v>
      </c>
      <c r="BG301">
        <v>0</v>
      </c>
      <c r="BH301">
        <v>3300</v>
      </c>
      <c r="BI301">
        <v>0</v>
      </c>
      <c r="BJ301">
        <v>0</v>
      </c>
      <c r="BK301">
        <v>0</v>
      </c>
      <c r="BL301">
        <v>0</v>
      </c>
      <c r="BO301">
        <v>0</v>
      </c>
      <c r="BP301">
        <v>0</v>
      </c>
      <c r="BW301" t="str">
        <f>"18:37:05.200"</f>
        <v>18:37:05.200</v>
      </c>
      <c r="BZ301">
        <v>0</v>
      </c>
      <c r="CA301">
        <v>3488</v>
      </c>
      <c r="CB301">
        <v>216</v>
      </c>
      <c r="CC301">
        <v>583.59379999999999</v>
      </c>
      <c r="CD301">
        <v>1</v>
      </c>
      <c r="CE301">
        <v>1</v>
      </c>
      <c r="CF301">
        <v>0</v>
      </c>
      <c r="CG301">
        <v>1</v>
      </c>
      <c r="CH301">
        <v>0</v>
      </c>
      <c r="CI301">
        <v>0</v>
      </c>
      <c r="CJ301">
        <v>0</v>
      </c>
      <c r="CK301">
        <v>2</v>
      </c>
      <c r="CL301">
        <v>0</v>
      </c>
      <c r="CM301">
        <v>2</v>
      </c>
      <c r="CN301">
        <v>0</v>
      </c>
      <c r="CO301">
        <v>6</v>
      </c>
      <c r="CP301" t="s">
        <v>119</v>
      </c>
      <c r="CQ301">
        <v>145</v>
      </c>
      <c r="CR301">
        <v>1</v>
      </c>
      <c r="CW301">
        <v>8896173</v>
      </c>
      <c r="CY301">
        <v>0</v>
      </c>
      <c r="CZ301">
        <v>0</v>
      </c>
      <c r="DA301">
        <v>1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</row>
    <row r="302" spans="1:113" x14ac:dyDescent="0.3">
      <c r="A302" t="str">
        <f>"02/13/2022 18:37:06.398"</f>
        <v>02/13/2022 18:37:06.398</v>
      </c>
      <c r="C302" t="str">
        <f t="shared" si="29"/>
        <v>FFDFD7C0</v>
      </c>
      <c r="D302" t="s">
        <v>113</v>
      </c>
      <c r="E302">
        <v>3</v>
      </c>
      <c r="F302">
        <v>1003</v>
      </c>
      <c r="G302" t="s">
        <v>114</v>
      </c>
      <c r="J302" t="s">
        <v>115</v>
      </c>
      <c r="K302">
        <v>0</v>
      </c>
      <c r="L302">
        <v>3</v>
      </c>
      <c r="M302">
        <v>0</v>
      </c>
      <c r="N302">
        <v>2</v>
      </c>
      <c r="O302">
        <v>1</v>
      </c>
      <c r="P302">
        <v>0</v>
      </c>
      <c r="Q302">
        <v>0</v>
      </c>
      <c r="S302" t="str">
        <f>"18:37:06.125"</f>
        <v>18:37:06.125</v>
      </c>
      <c r="T302" t="str">
        <f>"18:37:05.625"</f>
        <v>18:37:05.625</v>
      </c>
      <c r="U302" t="str">
        <f t="shared" si="28"/>
        <v>AAB6EE</v>
      </c>
      <c r="V302">
        <v>0</v>
      </c>
      <c r="W302">
        <v>0</v>
      </c>
      <c r="X302">
        <v>4</v>
      </c>
      <c r="Z302">
        <v>0</v>
      </c>
      <c r="AA302">
        <v>8</v>
      </c>
      <c r="AB302">
        <v>3</v>
      </c>
      <c r="AC302">
        <v>0</v>
      </c>
      <c r="AD302">
        <v>10</v>
      </c>
      <c r="AE302">
        <v>0</v>
      </c>
      <c r="AF302">
        <v>0</v>
      </c>
      <c r="AG302">
        <v>1</v>
      </c>
      <c r="AH302">
        <v>1</v>
      </c>
      <c r="AI302" t="s">
        <v>323</v>
      </c>
      <c r="AJ302">
        <v>35.506031999999998</v>
      </c>
      <c r="AK302" t="s">
        <v>324</v>
      </c>
      <c r="AL302">
        <v>-76.042321000000001</v>
      </c>
      <c r="AM302">
        <v>25</v>
      </c>
      <c r="AN302">
        <v>3450</v>
      </c>
      <c r="AO302" t="s">
        <v>118</v>
      </c>
      <c r="AP302">
        <v>-88</v>
      </c>
      <c r="AQ302">
        <v>-166</v>
      </c>
      <c r="AR302">
        <v>-64</v>
      </c>
      <c r="AZ302">
        <v>1200</v>
      </c>
      <c r="BA302">
        <v>1</v>
      </c>
      <c r="BB302" t="str">
        <f t="shared" si="30"/>
        <v xml:space="preserve">N79NX   </v>
      </c>
      <c r="BC302">
        <v>1</v>
      </c>
      <c r="BE302">
        <v>0</v>
      </c>
      <c r="BF302">
        <v>0</v>
      </c>
      <c r="BG302">
        <v>0</v>
      </c>
      <c r="BH302">
        <v>3300</v>
      </c>
      <c r="BI302">
        <v>0</v>
      </c>
      <c r="BJ302">
        <v>0</v>
      </c>
      <c r="BK302">
        <v>0</v>
      </c>
      <c r="BL302">
        <v>0</v>
      </c>
      <c r="BO302">
        <v>0</v>
      </c>
      <c r="BP302">
        <v>0</v>
      </c>
      <c r="BW302" t="str">
        <f>"18:37:06.130"</f>
        <v>18:37:06.130</v>
      </c>
      <c r="BZ302">
        <v>0</v>
      </c>
      <c r="CA302">
        <v>3488</v>
      </c>
      <c r="CB302">
        <v>216</v>
      </c>
      <c r="CC302">
        <v>583.59379999999999</v>
      </c>
      <c r="CD302">
        <v>1</v>
      </c>
      <c r="CE302">
        <v>1</v>
      </c>
      <c r="CF302">
        <v>0</v>
      </c>
      <c r="CG302">
        <v>1</v>
      </c>
      <c r="CH302">
        <v>0</v>
      </c>
      <c r="CI302">
        <v>0</v>
      </c>
      <c r="CJ302">
        <v>0</v>
      </c>
      <c r="CK302">
        <v>2</v>
      </c>
      <c r="CL302">
        <v>0</v>
      </c>
      <c r="CM302">
        <v>2</v>
      </c>
      <c r="CN302">
        <v>0</v>
      </c>
      <c r="CO302">
        <v>6</v>
      </c>
      <c r="CP302" t="s">
        <v>119</v>
      </c>
      <c r="CQ302">
        <v>145</v>
      </c>
      <c r="CR302">
        <v>1</v>
      </c>
      <c r="CW302">
        <v>8896641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</row>
    <row r="303" spans="1:113" x14ac:dyDescent="0.3">
      <c r="A303" t="str">
        <f>"02/13/2022 18:37:06.398"</f>
        <v>02/13/2022 18:37:06.398</v>
      </c>
      <c r="C303" t="str">
        <f t="shared" si="29"/>
        <v>FFDFD7C0</v>
      </c>
      <c r="D303" t="s">
        <v>113</v>
      </c>
      <c r="E303">
        <v>4</v>
      </c>
      <c r="F303">
        <v>1004</v>
      </c>
      <c r="G303" t="s">
        <v>120</v>
      </c>
      <c r="J303" t="s">
        <v>115</v>
      </c>
      <c r="K303">
        <v>0</v>
      </c>
      <c r="L303">
        <v>3</v>
      </c>
      <c r="M303">
        <v>0</v>
      </c>
      <c r="N303">
        <v>2</v>
      </c>
      <c r="O303">
        <v>1</v>
      </c>
      <c r="P303">
        <v>0</v>
      </c>
      <c r="Q303">
        <v>0</v>
      </c>
      <c r="S303" t="str">
        <f>"18:37:06.125"</f>
        <v>18:37:06.125</v>
      </c>
      <c r="T303" t="str">
        <f>"18:37:05.625"</f>
        <v>18:37:05.625</v>
      </c>
      <c r="U303" t="str">
        <f t="shared" si="28"/>
        <v>AAB6EE</v>
      </c>
      <c r="V303">
        <v>0</v>
      </c>
      <c r="W303">
        <v>0</v>
      </c>
      <c r="X303">
        <v>4</v>
      </c>
      <c r="Z303">
        <v>0</v>
      </c>
      <c r="AA303">
        <v>8</v>
      </c>
      <c r="AB303">
        <v>3</v>
      </c>
      <c r="AC303">
        <v>0</v>
      </c>
      <c r="AD303">
        <v>10</v>
      </c>
      <c r="AE303">
        <v>0</v>
      </c>
      <c r="AF303">
        <v>0</v>
      </c>
      <c r="AG303">
        <v>1</v>
      </c>
      <c r="AH303">
        <v>1</v>
      </c>
      <c r="AI303" t="s">
        <v>323</v>
      </c>
      <c r="AJ303">
        <v>35.506031999999998</v>
      </c>
      <c r="AK303" t="s">
        <v>324</v>
      </c>
      <c r="AL303">
        <v>-76.042321000000001</v>
      </c>
      <c r="AM303">
        <v>25</v>
      </c>
      <c r="AN303">
        <v>3450</v>
      </c>
      <c r="AO303" t="s">
        <v>118</v>
      </c>
      <c r="AP303">
        <v>-88</v>
      </c>
      <c r="AQ303">
        <v>-166</v>
      </c>
      <c r="AR303">
        <v>-64</v>
      </c>
      <c r="AZ303">
        <v>1200</v>
      </c>
      <c r="BA303">
        <v>1</v>
      </c>
      <c r="BB303" t="str">
        <f t="shared" si="30"/>
        <v xml:space="preserve">N79NX   </v>
      </c>
      <c r="BC303">
        <v>1</v>
      </c>
      <c r="BE303">
        <v>0</v>
      </c>
      <c r="BF303">
        <v>0</v>
      </c>
      <c r="BG303">
        <v>0</v>
      </c>
      <c r="BH303">
        <v>3300</v>
      </c>
      <c r="BI303">
        <v>0</v>
      </c>
      <c r="BJ303">
        <v>0</v>
      </c>
      <c r="BK303">
        <v>0</v>
      </c>
      <c r="BL303">
        <v>0</v>
      </c>
      <c r="BO303">
        <v>0</v>
      </c>
      <c r="BP303">
        <v>0</v>
      </c>
      <c r="BW303" t="str">
        <f>"18:37:06.130"</f>
        <v>18:37:06.130</v>
      </c>
      <c r="BZ303">
        <v>0</v>
      </c>
      <c r="CA303">
        <v>3488</v>
      </c>
      <c r="CB303">
        <v>216</v>
      </c>
      <c r="CC303">
        <v>583.59379999999999</v>
      </c>
      <c r="CD303">
        <v>1</v>
      </c>
      <c r="CE303">
        <v>1</v>
      </c>
      <c r="CF303">
        <v>0</v>
      </c>
      <c r="CG303">
        <v>1</v>
      </c>
      <c r="CH303">
        <v>0</v>
      </c>
      <c r="CI303">
        <v>0</v>
      </c>
      <c r="CJ303">
        <v>0</v>
      </c>
      <c r="CK303">
        <v>2</v>
      </c>
      <c r="CL303">
        <v>0</v>
      </c>
      <c r="CM303">
        <v>2</v>
      </c>
      <c r="CN303">
        <v>0</v>
      </c>
      <c r="CO303">
        <v>6</v>
      </c>
      <c r="CP303" t="s">
        <v>119</v>
      </c>
      <c r="CQ303">
        <v>145</v>
      </c>
      <c r="CR303">
        <v>1</v>
      </c>
      <c r="CW303">
        <v>8896641</v>
      </c>
      <c r="CY303">
        <v>0</v>
      </c>
      <c r="CZ303">
        <v>0</v>
      </c>
      <c r="DA303">
        <v>1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</row>
    <row r="304" spans="1:113" x14ac:dyDescent="0.3">
      <c r="A304" t="str">
        <f>"02/13/2022 18:37:06.398"</f>
        <v>02/13/2022 18:37:06.398</v>
      </c>
      <c r="C304" t="str">
        <f t="shared" si="29"/>
        <v>FFDFD7C0</v>
      </c>
      <c r="D304" t="s">
        <v>121</v>
      </c>
      <c r="E304">
        <v>2</v>
      </c>
      <c r="H304">
        <v>158</v>
      </c>
      <c r="I304" t="s">
        <v>120</v>
      </c>
      <c r="J304" t="s">
        <v>122</v>
      </c>
      <c r="K304">
        <v>0</v>
      </c>
      <c r="L304">
        <v>3</v>
      </c>
      <c r="M304">
        <v>0</v>
      </c>
      <c r="N304">
        <v>2</v>
      </c>
      <c r="O304">
        <v>1</v>
      </c>
      <c r="P304">
        <v>0</v>
      </c>
      <c r="Q304">
        <v>0</v>
      </c>
      <c r="S304" t="str">
        <f>"18:37:06.125"</f>
        <v>18:37:06.125</v>
      </c>
      <c r="T304" t="str">
        <f>"18:37:05.625"</f>
        <v>18:37:05.625</v>
      </c>
      <c r="U304" t="str">
        <f t="shared" si="28"/>
        <v>AAB6EE</v>
      </c>
      <c r="V304">
        <v>0</v>
      </c>
      <c r="W304">
        <v>0</v>
      </c>
      <c r="X304">
        <v>4</v>
      </c>
      <c r="Z304">
        <v>0</v>
      </c>
      <c r="AA304">
        <v>8</v>
      </c>
      <c r="AB304">
        <v>3</v>
      </c>
      <c r="AC304">
        <v>0</v>
      </c>
      <c r="AD304">
        <v>10</v>
      </c>
      <c r="AE304">
        <v>0</v>
      </c>
      <c r="AF304">
        <v>0</v>
      </c>
      <c r="AG304">
        <v>1</v>
      </c>
      <c r="AH304">
        <v>1</v>
      </c>
      <c r="AI304" t="s">
        <v>323</v>
      </c>
      <c r="AJ304">
        <v>35.506031999999998</v>
      </c>
      <c r="AK304" t="s">
        <v>324</v>
      </c>
      <c r="AL304">
        <v>-76.042321000000001</v>
      </c>
      <c r="AM304">
        <v>25</v>
      </c>
      <c r="AN304">
        <v>3450</v>
      </c>
      <c r="AO304" t="s">
        <v>118</v>
      </c>
      <c r="AP304">
        <v>-88</v>
      </c>
      <c r="AQ304">
        <v>-166</v>
      </c>
      <c r="AR304">
        <v>-64</v>
      </c>
      <c r="AZ304">
        <v>1200</v>
      </c>
      <c r="BA304">
        <v>1</v>
      </c>
      <c r="BB304" t="str">
        <f t="shared" si="30"/>
        <v xml:space="preserve">N79NX   </v>
      </c>
      <c r="BC304">
        <v>1</v>
      </c>
      <c r="BE304">
        <v>0</v>
      </c>
      <c r="BF304">
        <v>0</v>
      </c>
      <c r="BG304">
        <v>0</v>
      </c>
      <c r="BH304">
        <v>3300</v>
      </c>
      <c r="BI304">
        <v>0</v>
      </c>
      <c r="BJ304">
        <v>0</v>
      </c>
      <c r="BK304">
        <v>0</v>
      </c>
      <c r="BL304">
        <v>0</v>
      </c>
      <c r="BO304">
        <v>0</v>
      </c>
      <c r="BP304">
        <v>0</v>
      </c>
      <c r="BW304" t="str">
        <f>"18:37:06.130"</f>
        <v>18:37:06.130</v>
      </c>
      <c r="BZ304">
        <v>0</v>
      </c>
      <c r="CA304">
        <v>3488</v>
      </c>
      <c r="CB304">
        <v>216</v>
      </c>
      <c r="CC304">
        <v>583.59379999999999</v>
      </c>
      <c r="CD304">
        <v>1</v>
      </c>
      <c r="CE304">
        <v>1</v>
      </c>
      <c r="CF304">
        <v>0</v>
      </c>
      <c r="CG304">
        <v>1</v>
      </c>
      <c r="CH304">
        <v>0</v>
      </c>
      <c r="CI304">
        <v>0</v>
      </c>
      <c r="CJ304">
        <v>0</v>
      </c>
      <c r="CK304">
        <v>2</v>
      </c>
      <c r="CL304">
        <v>0</v>
      </c>
      <c r="CM304">
        <v>2</v>
      </c>
      <c r="CN304">
        <v>0</v>
      </c>
      <c r="CO304">
        <v>6</v>
      </c>
      <c r="CP304" t="s">
        <v>119</v>
      </c>
      <c r="CQ304">
        <v>145</v>
      </c>
      <c r="CR304">
        <v>1</v>
      </c>
      <c r="CW304">
        <v>8896641</v>
      </c>
      <c r="CY304">
        <v>0</v>
      </c>
      <c r="CZ304">
        <v>0</v>
      </c>
      <c r="DA304">
        <v>1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</row>
    <row r="305" spans="1:113" x14ac:dyDescent="0.3">
      <c r="A305" t="str">
        <f>"02/13/2022 18:37:07.461"</f>
        <v>02/13/2022 18:37:07.461</v>
      </c>
      <c r="C305" t="str">
        <f t="shared" si="29"/>
        <v>FFDFD7C0</v>
      </c>
      <c r="D305" t="s">
        <v>113</v>
      </c>
      <c r="E305">
        <v>4</v>
      </c>
      <c r="F305">
        <v>1004</v>
      </c>
      <c r="G305" t="s">
        <v>120</v>
      </c>
      <c r="J305" t="s">
        <v>115</v>
      </c>
      <c r="K305">
        <v>0</v>
      </c>
      <c r="L305">
        <v>3</v>
      </c>
      <c r="M305">
        <v>0</v>
      </c>
      <c r="N305">
        <v>2</v>
      </c>
      <c r="O305">
        <v>1</v>
      </c>
      <c r="P305">
        <v>0</v>
      </c>
      <c r="Q305">
        <v>0</v>
      </c>
      <c r="S305" t="str">
        <f>"18:37:07.195"</f>
        <v>18:37:07.195</v>
      </c>
      <c r="T305" t="str">
        <f>"18:37:06.795"</f>
        <v>18:37:06.795</v>
      </c>
      <c r="U305" t="str">
        <f t="shared" si="28"/>
        <v>AAB6EE</v>
      </c>
      <c r="V305">
        <v>0</v>
      </c>
      <c r="W305">
        <v>0</v>
      </c>
      <c r="X305">
        <v>4</v>
      </c>
      <c r="Z305">
        <v>0</v>
      </c>
      <c r="AA305">
        <v>8</v>
      </c>
      <c r="AB305">
        <v>3</v>
      </c>
      <c r="AC305">
        <v>0</v>
      </c>
      <c r="AD305">
        <v>10</v>
      </c>
      <c r="AE305">
        <v>0</v>
      </c>
      <c r="AF305">
        <v>0</v>
      </c>
      <c r="AG305">
        <v>1</v>
      </c>
      <c r="AH305">
        <v>1</v>
      </c>
      <c r="AI305" t="s">
        <v>325</v>
      </c>
      <c r="AJ305">
        <v>35.505259000000002</v>
      </c>
      <c r="AK305" t="s">
        <v>326</v>
      </c>
      <c r="AL305">
        <v>-76.042835999999994</v>
      </c>
      <c r="AM305">
        <v>25</v>
      </c>
      <c r="AN305">
        <v>3450</v>
      </c>
      <c r="AO305" t="s">
        <v>118</v>
      </c>
      <c r="AP305">
        <v>-88</v>
      </c>
      <c r="AQ305">
        <v>-167</v>
      </c>
      <c r="AR305">
        <v>-64</v>
      </c>
      <c r="AZ305">
        <v>1200</v>
      </c>
      <c r="BA305">
        <v>1</v>
      </c>
      <c r="BB305" t="str">
        <f t="shared" si="30"/>
        <v xml:space="preserve">N79NX   </v>
      </c>
      <c r="BC305">
        <v>1</v>
      </c>
      <c r="BE305">
        <v>0</v>
      </c>
      <c r="BF305">
        <v>0</v>
      </c>
      <c r="BG305">
        <v>0</v>
      </c>
      <c r="BH305">
        <v>3300</v>
      </c>
      <c r="BI305">
        <v>0</v>
      </c>
      <c r="BJ305">
        <v>0</v>
      </c>
      <c r="BK305">
        <v>0</v>
      </c>
      <c r="BL305">
        <v>0</v>
      </c>
      <c r="BO305">
        <v>0</v>
      </c>
      <c r="BP305">
        <v>0</v>
      </c>
      <c r="BW305" t="str">
        <f>"18:37:07.200"</f>
        <v>18:37:07.200</v>
      </c>
      <c r="BZ305">
        <v>0</v>
      </c>
      <c r="CA305">
        <v>3488</v>
      </c>
      <c r="CB305">
        <v>216</v>
      </c>
      <c r="CC305">
        <v>583.59379999999999</v>
      </c>
      <c r="CD305">
        <v>1</v>
      </c>
      <c r="CE305">
        <v>1</v>
      </c>
      <c r="CF305">
        <v>0</v>
      </c>
      <c r="CG305">
        <v>1</v>
      </c>
      <c r="CH305">
        <v>0</v>
      </c>
      <c r="CI305">
        <v>0</v>
      </c>
      <c r="CJ305">
        <v>0</v>
      </c>
      <c r="CK305">
        <v>2</v>
      </c>
      <c r="CL305">
        <v>0</v>
      </c>
      <c r="CM305">
        <v>2</v>
      </c>
      <c r="CN305">
        <v>0</v>
      </c>
      <c r="CO305">
        <v>7</v>
      </c>
      <c r="CP305" t="s">
        <v>119</v>
      </c>
      <c r="CQ305">
        <v>145</v>
      </c>
      <c r="CR305">
        <v>1</v>
      </c>
      <c r="CW305">
        <v>8897179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</row>
    <row r="306" spans="1:113" x14ac:dyDescent="0.3">
      <c r="A306" t="str">
        <f>"02/13/2022 18:37:07.461"</f>
        <v>02/13/2022 18:37:07.461</v>
      </c>
      <c r="C306" t="str">
        <f t="shared" si="29"/>
        <v>FFDFD7C0</v>
      </c>
      <c r="D306" t="s">
        <v>113</v>
      </c>
      <c r="E306">
        <v>3</v>
      </c>
      <c r="F306">
        <v>1003</v>
      </c>
      <c r="G306" t="s">
        <v>114</v>
      </c>
      <c r="J306" t="s">
        <v>115</v>
      </c>
      <c r="K306">
        <v>0</v>
      </c>
      <c r="L306">
        <v>3</v>
      </c>
      <c r="M306">
        <v>0</v>
      </c>
      <c r="N306">
        <v>2</v>
      </c>
      <c r="O306">
        <v>1</v>
      </c>
      <c r="P306">
        <v>0</v>
      </c>
      <c r="Q306">
        <v>0</v>
      </c>
      <c r="S306" t="str">
        <f>"18:37:07.195"</f>
        <v>18:37:07.195</v>
      </c>
      <c r="T306" t="str">
        <f>"18:37:06.795"</f>
        <v>18:37:06.795</v>
      </c>
      <c r="U306" t="str">
        <f t="shared" si="28"/>
        <v>AAB6EE</v>
      </c>
      <c r="V306">
        <v>0</v>
      </c>
      <c r="W306">
        <v>0</v>
      </c>
      <c r="X306">
        <v>4</v>
      </c>
      <c r="Z306">
        <v>0</v>
      </c>
      <c r="AA306">
        <v>8</v>
      </c>
      <c r="AB306">
        <v>3</v>
      </c>
      <c r="AC306">
        <v>0</v>
      </c>
      <c r="AD306">
        <v>10</v>
      </c>
      <c r="AE306">
        <v>0</v>
      </c>
      <c r="AF306">
        <v>0</v>
      </c>
      <c r="AG306">
        <v>1</v>
      </c>
      <c r="AH306">
        <v>1</v>
      </c>
      <c r="AI306" t="s">
        <v>325</v>
      </c>
      <c r="AJ306">
        <v>35.505259000000002</v>
      </c>
      <c r="AK306" t="s">
        <v>326</v>
      </c>
      <c r="AL306">
        <v>-76.042835999999994</v>
      </c>
      <c r="AM306">
        <v>25</v>
      </c>
      <c r="AN306">
        <v>3450</v>
      </c>
      <c r="AO306" t="s">
        <v>118</v>
      </c>
      <c r="AP306">
        <v>-88</v>
      </c>
      <c r="AQ306">
        <v>-167</v>
      </c>
      <c r="AR306">
        <v>-64</v>
      </c>
      <c r="AZ306">
        <v>1200</v>
      </c>
      <c r="BA306">
        <v>1</v>
      </c>
      <c r="BB306" t="str">
        <f t="shared" si="30"/>
        <v xml:space="preserve">N79NX   </v>
      </c>
      <c r="BC306">
        <v>1</v>
      </c>
      <c r="BE306">
        <v>0</v>
      </c>
      <c r="BF306">
        <v>0</v>
      </c>
      <c r="BG306">
        <v>0</v>
      </c>
      <c r="BH306">
        <v>3300</v>
      </c>
      <c r="BI306">
        <v>0</v>
      </c>
      <c r="BJ306">
        <v>0</v>
      </c>
      <c r="BK306">
        <v>0</v>
      </c>
      <c r="BL306">
        <v>0</v>
      </c>
      <c r="BO306">
        <v>0</v>
      </c>
      <c r="BP306">
        <v>0</v>
      </c>
      <c r="BW306" t="str">
        <f>"18:37:07.200"</f>
        <v>18:37:07.200</v>
      </c>
      <c r="BZ306">
        <v>0</v>
      </c>
      <c r="CA306">
        <v>3488</v>
      </c>
      <c r="CB306">
        <v>216</v>
      </c>
      <c r="CC306">
        <v>583.59379999999999</v>
      </c>
      <c r="CD306">
        <v>1</v>
      </c>
      <c r="CE306">
        <v>1</v>
      </c>
      <c r="CF306">
        <v>0</v>
      </c>
      <c r="CG306">
        <v>1</v>
      </c>
      <c r="CH306">
        <v>0</v>
      </c>
      <c r="CI306">
        <v>0</v>
      </c>
      <c r="CJ306">
        <v>0</v>
      </c>
      <c r="CK306">
        <v>2</v>
      </c>
      <c r="CL306">
        <v>0</v>
      </c>
      <c r="CM306">
        <v>2</v>
      </c>
      <c r="CN306">
        <v>0</v>
      </c>
      <c r="CO306">
        <v>7</v>
      </c>
      <c r="CP306" t="s">
        <v>119</v>
      </c>
      <c r="CQ306">
        <v>145</v>
      </c>
      <c r="CR306">
        <v>1</v>
      </c>
      <c r="CW306">
        <v>8897179</v>
      </c>
      <c r="CY306">
        <v>0</v>
      </c>
      <c r="CZ306">
        <v>0</v>
      </c>
      <c r="DA306">
        <v>1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</row>
    <row r="307" spans="1:113" x14ac:dyDescent="0.3">
      <c r="A307" t="str">
        <f>"02/13/2022 18:37:07.461"</f>
        <v>02/13/2022 18:37:07.461</v>
      </c>
      <c r="C307" t="str">
        <f t="shared" si="29"/>
        <v>FFDFD7C0</v>
      </c>
      <c r="D307" t="s">
        <v>121</v>
      </c>
      <c r="E307">
        <v>2</v>
      </c>
      <c r="H307">
        <v>158</v>
      </c>
      <c r="I307" t="s">
        <v>120</v>
      </c>
      <c r="J307" t="s">
        <v>122</v>
      </c>
      <c r="K307">
        <v>0</v>
      </c>
      <c r="L307">
        <v>3</v>
      </c>
      <c r="M307">
        <v>0</v>
      </c>
      <c r="N307">
        <v>2</v>
      </c>
      <c r="O307">
        <v>1</v>
      </c>
      <c r="P307">
        <v>0</v>
      </c>
      <c r="Q307">
        <v>0</v>
      </c>
      <c r="S307" t="str">
        <f>"18:37:07.195"</f>
        <v>18:37:07.195</v>
      </c>
      <c r="T307" t="str">
        <f>"18:37:06.795"</f>
        <v>18:37:06.795</v>
      </c>
      <c r="U307" t="str">
        <f t="shared" si="28"/>
        <v>AAB6EE</v>
      </c>
      <c r="V307">
        <v>0</v>
      </c>
      <c r="W307">
        <v>0</v>
      </c>
      <c r="X307">
        <v>4</v>
      </c>
      <c r="Z307">
        <v>0</v>
      </c>
      <c r="AA307">
        <v>8</v>
      </c>
      <c r="AB307">
        <v>3</v>
      </c>
      <c r="AC307">
        <v>0</v>
      </c>
      <c r="AD307">
        <v>10</v>
      </c>
      <c r="AE307">
        <v>0</v>
      </c>
      <c r="AF307">
        <v>0</v>
      </c>
      <c r="AG307">
        <v>1</v>
      </c>
      <c r="AH307">
        <v>1</v>
      </c>
      <c r="AI307" t="s">
        <v>325</v>
      </c>
      <c r="AJ307">
        <v>35.505259000000002</v>
      </c>
      <c r="AK307" t="s">
        <v>326</v>
      </c>
      <c r="AL307">
        <v>-76.042835999999994</v>
      </c>
      <c r="AM307">
        <v>25</v>
      </c>
      <c r="AN307">
        <v>3450</v>
      </c>
      <c r="AO307" t="s">
        <v>118</v>
      </c>
      <c r="AP307">
        <v>-88</v>
      </c>
      <c r="AQ307">
        <v>-167</v>
      </c>
      <c r="AR307">
        <v>-64</v>
      </c>
      <c r="AZ307">
        <v>1200</v>
      </c>
      <c r="BA307">
        <v>1</v>
      </c>
      <c r="BB307" t="str">
        <f t="shared" si="30"/>
        <v xml:space="preserve">N79NX   </v>
      </c>
      <c r="BC307">
        <v>1</v>
      </c>
      <c r="BE307">
        <v>0</v>
      </c>
      <c r="BF307">
        <v>0</v>
      </c>
      <c r="BG307">
        <v>0</v>
      </c>
      <c r="BH307">
        <v>3300</v>
      </c>
      <c r="BI307">
        <v>0</v>
      </c>
      <c r="BJ307">
        <v>0</v>
      </c>
      <c r="BK307">
        <v>0</v>
      </c>
      <c r="BL307">
        <v>0</v>
      </c>
      <c r="BO307">
        <v>0</v>
      </c>
      <c r="BP307">
        <v>0</v>
      </c>
      <c r="BW307" t="str">
        <f>"18:37:07.200"</f>
        <v>18:37:07.200</v>
      </c>
      <c r="BZ307">
        <v>0</v>
      </c>
      <c r="CA307">
        <v>3488</v>
      </c>
      <c r="CB307">
        <v>216</v>
      </c>
      <c r="CC307">
        <v>583.59379999999999</v>
      </c>
      <c r="CD307">
        <v>1</v>
      </c>
      <c r="CE307">
        <v>1</v>
      </c>
      <c r="CF307">
        <v>0</v>
      </c>
      <c r="CG307">
        <v>1</v>
      </c>
      <c r="CH307">
        <v>0</v>
      </c>
      <c r="CI307">
        <v>0</v>
      </c>
      <c r="CJ307">
        <v>0</v>
      </c>
      <c r="CK307">
        <v>2</v>
      </c>
      <c r="CL307">
        <v>0</v>
      </c>
      <c r="CM307">
        <v>2</v>
      </c>
      <c r="CN307">
        <v>0</v>
      </c>
      <c r="CO307">
        <v>7</v>
      </c>
      <c r="CP307" t="s">
        <v>119</v>
      </c>
      <c r="CQ307">
        <v>145</v>
      </c>
      <c r="CR307">
        <v>1</v>
      </c>
      <c r="CW307">
        <v>8897179</v>
      </c>
      <c r="CY307">
        <v>0</v>
      </c>
      <c r="CZ307">
        <v>0</v>
      </c>
      <c r="DA307">
        <v>1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</row>
    <row r="308" spans="1:113" x14ac:dyDescent="0.3">
      <c r="A308" t="str">
        <f>"02/13/2022 18:37:08.273"</f>
        <v>02/13/2022 18:37:08.273</v>
      </c>
      <c r="C308" t="str">
        <f t="shared" si="29"/>
        <v>FFDFD7C0</v>
      </c>
      <c r="D308" t="s">
        <v>113</v>
      </c>
      <c r="E308">
        <v>4</v>
      </c>
      <c r="F308">
        <v>1004</v>
      </c>
      <c r="G308" t="s">
        <v>120</v>
      </c>
      <c r="J308" t="s">
        <v>115</v>
      </c>
      <c r="K308">
        <v>0</v>
      </c>
      <c r="L308">
        <v>3</v>
      </c>
      <c r="M308">
        <v>0</v>
      </c>
      <c r="N308">
        <v>2</v>
      </c>
      <c r="O308">
        <v>1</v>
      </c>
      <c r="P308">
        <v>0</v>
      </c>
      <c r="Q308">
        <v>0</v>
      </c>
      <c r="S308" t="str">
        <f>"18:37:08.062"</f>
        <v>18:37:08.062</v>
      </c>
      <c r="T308" t="str">
        <f>"18:37:07.762"</f>
        <v>18:37:07.762</v>
      </c>
      <c r="U308" t="str">
        <f t="shared" si="28"/>
        <v>AAB6EE</v>
      </c>
      <c r="V308">
        <v>0</v>
      </c>
      <c r="W308">
        <v>0</v>
      </c>
      <c r="X308">
        <v>4</v>
      </c>
      <c r="Z308">
        <v>0</v>
      </c>
      <c r="AA308">
        <v>8</v>
      </c>
      <c r="AB308">
        <v>3</v>
      </c>
      <c r="AC308">
        <v>0</v>
      </c>
      <c r="AD308">
        <v>10</v>
      </c>
      <c r="AE308">
        <v>0</v>
      </c>
      <c r="AF308">
        <v>0</v>
      </c>
      <c r="AG308">
        <v>1</v>
      </c>
      <c r="AH308">
        <v>1</v>
      </c>
      <c r="AI308" t="s">
        <v>327</v>
      </c>
      <c r="AJ308">
        <v>35.504550999999999</v>
      </c>
      <c r="AK308" t="s">
        <v>328</v>
      </c>
      <c r="AL308">
        <v>-76.043329</v>
      </c>
      <c r="AM308">
        <v>25</v>
      </c>
      <c r="AN308">
        <v>3450</v>
      </c>
      <c r="AO308" t="s">
        <v>118</v>
      </c>
      <c r="AP308">
        <v>-89</v>
      </c>
      <c r="AQ308">
        <v>-168</v>
      </c>
      <c r="AR308">
        <v>-64</v>
      </c>
      <c r="AZ308">
        <v>1200</v>
      </c>
      <c r="BA308">
        <v>1</v>
      </c>
      <c r="BB308" t="str">
        <f t="shared" si="30"/>
        <v xml:space="preserve">N79NX   </v>
      </c>
      <c r="BC308">
        <v>1</v>
      </c>
      <c r="BE308">
        <v>0</v>
      </c>
      <c r="BF308">
        <v>0</v>
      </c>
      <c r="BG308">
        <v>0</v>
      </c>
      <c r="BH308">
        <v>3300</v>
      </c>
      <c r="BI308">
        <v>0</v>
      </c>
      <c r="BJ308">
        <v>0</v>
      </c>
      <c r="BK308">
        <v>0</v>
      </c>
      <c r="BL308">
        <v>0</v>
      </c>
      <c r="BO308">
        <v>0</v>
      </c>
      <c r="BP308">
        <v>0</v>
      </c>
      <c r="BW308" t="str">
        <f>"18:37:08.070"</f>
        <v>18:37:08.070</v>
      </c>
      <c r="BZ308">
        <v>0</v>
      </c>
      <c r="CA308">
        <v>3488</v>
      </c>
      <c r="CB308">
        <v>216</v>
      </c>
      <c r="CC308">
        <v>583.59379999999999</v>
      </c>
      <c r="CD308">
        <v>1</v>
      </c>
      <c r="CE308">
        <v>1</v>
      </c>
      <c r="CF308">
        <v>0</v>
      </c>
      <c r="CG308">
        <v>1</v>
      </c>
      <c r="CH308">
        <v>0</v>
      </c>
      <c r="CI308">
        <v>0</v>
      </c>
      <c r="CJ308">
        <v>0</v>
      </c>
      <c r="CK308">
        <v>2</v>
      </c>
      <c r="CL308">
        <v>0</v>
      </c>
      <c r="CM308">
        <v>2</v>
      </c>
      <c r="CN308">
        <v>0</v>
      </c>
      <c r="CO308">
        <v>6</v>
      </c>
      <c r="CP308" t="s">
        <v>119</v>
      </c>
      <c r="CQ308">
        <v>145</v>
      </c>
      <c r="CR308">
        <v>1</v>
      </c>
      <c r="CW308">
        <v>8897600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</row>
    <row r="309" spans="1:113" x14ac:dyDescent="0.3">
      <c r="A309" t="str">
        <f>"02/13/2022 18:37:08.320"</f>
        <v>02/13/2022 18:37:08.320</v>
      </c>
      <c r="C309" t="str">
        <f t="shared" si="29"/>
        <v>FFDFD7C0</v>
      </c>
      <c r="D309" t="s">
        <v>113</v>
      </c>
      <c r="E309">
        <v>3</v>
      </c>
      <c r="F309">
        <v>1003</v>
      </c>
      <c r="G309" t="s">
        <v>114</v>
      </c>
      <c r="J309" t="s">
        <v>115</v>
      </c>
      <c r="K309">
        <v>0</v>
      </c>
      <c r="L309">
        <v>3</v>
      </c>
      <c r="M309">
        <v>0</v>
      </c>
      <c r="N309">
        <v>2</v>
      </c>
      <c r="O309">
        <v>1</v>
      </c>
      <c r="P309">
        <v>0</v>
      </c>
      <c r="Q309">
        <v>0</v>
      </c>
      <c r="S309" t="str">
        <f>"18:37:08.062"</f>
        <v>18:37:08.062</v>
      </c>
      <c r="T309" t="str">
        <f>"18:37:07.762"</f>
        <v>18:37:07.762</v>
      </c>
      <c r="U309" t="str">
        <f t="shared" si="28"/>
        <v>AAB6EE</v>
      </c>
      <c r="V309">
        <v>0</v>
      </c>
      <c r="W309">
        <v>0</v>
      </c>
      <c r="X309">
        <v>4</v>
      </c>
      <c r="Z309">
        <v>0</v>
      </c>
      <c r="AA309">
        <v>8</v>
      </c>
      <c r="AB309">
        <v>3</v>
      </c>
      <c r="AC309">
        <v>0</v>
      </c>
      <c r="AD309">
        <v>10</v>
      </c>
      <c r="AE309">
        <v>0</v>
      </c>
      <c r="AF309">
        <v>0</v>
      </c>
      <c r="AG309">
        <v>1</v>
      </c>
      <c r="AH309">
        <v>1</v>
      </c>
      <c r="AI309" t="s">
        <v>327</v>
      </c>
      <c r="AJ309">
        <v>35.504550999999999</v>
      </c>
      <c r="AK309" t="s">
        <v>328</v>
      </c>
      <c r="AL309">
        <v>-76.043329</v>
      </c>
      <c r="AM309">
        <v>25</v>
      </c>
      <c r="AN309">
        <v>3450</v>
      </c>
      <c r="AO309" t="s">
        <v>118</v>
      </c>
      <c r="AP309">
        <v>-89</v>
      </c>
      <c r="AQ309">
        <v>-168</v>
      </c>
      <c r="AR309">
        <v>-64</v>
      </c>
      <c r="AZ309">
        <v>1200</v>
      </c>
      <c r="BA309">
        <v>1</v>
      </c>
      <c r="BB309" t="str">
        <f t="shared" si="30"/>
        <v xml:space="preserve">N79NX   </v>
      </c>
      <c r="BC309">
        <v>1</v>
      </c>
      <c r="BE309">
        <v>0</v>
      </c>
      <c r="BF309">
        <v>0</v>
      </c>
      <c r="BG309">
        <v>0</v>
      </c>
      <c r="BH309">
        <v>3300</v>
      </c>
      <c r="BI309">
        <v>0</v>
      </c>
      <c r="BJ309">
        <v>0</v>
      </c>
      <c r="BK309">
        <v>0</v>
      </c>
      <c r="BL309">
        <v>0</v>
      </c>
      <c r="BO309">
        <v>0</v>
      </c>
      <c r="BP309">
        <v>0</v>
      </c>
      <c r="BW309" t="str">
        <f>"18:37:08.070"</f>
        <v>18:37:08.070</v>
      </c>
      <c r="BZ309">
        <v>0</v>
      </c>
      <c r="CA309">
        <v>3488</v>
      </c>
      <c r="CB309">
        <v>216</v>
      </c>
      <c r="CC309">
        <v>583.59379999999999</v>
      </c>
      <c r="CD309">
        <v>1</v>
      </c>
      <c r="CE309">
        <v>1</v>
      </c>
      <c r="CF309">
        <v>0</v>
      </c>
      <c r="CG309">
        <v>1</v>
      </c>
      <c r="CH309">
        <v>0</v>
      </c>
      <c r="CI309">
        <v>0</v>
      </c>
      <c r="CJ309">
        <v>0</v>
      </c>
      <c r="CK309">
        <v>2</v>
      </c>
      <c r="CL309">
        <v>0</v>
      </c>
      <c r="CM309">
        <v>2</v>
      </c>
      <c r="CN309">
        <v>0</v>
      </c>
      <c r="CO309">
        <v>6</v>
      </c>
      <c r="CP309" t="s">
        <v>119</v>
      </c>
      <c r="CQ309">
        <v>145</v>
      </c>
      <c r="CR309">
        <v>1</v>
      </c>
      <c r="CW309">
        <v>8897600</v>
      </c>
      <c r="CY309">
        <v>0</v>
      </c>
      <c r="CZ309">
        <v>0</v>
      </c>
      <c r="DA309">
        <v>1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</row>
    <row r="310" spans="1:113" x14ac:dyDescent="0.3">
      <c r="A310" t="str">
        <f>"02/13/2022 18:37:08.320"</f>
        <v>02/13/2022 18:37:08.320</v>
      </c>
      <c r="C310" t="str">
        <f t="shared" si="29"/>
        <v>FFDFD7C0</v>
      </c>
      <c r="D310" t="s">
        <v>121</v>
      </c>
      <c r="E310">
        <v>2</v>
      </c>
      <c r="H310">
        <v>158</v>
      </c>
      <c r="I310" t="s">
        <v>120</v>
      </c>
      <c r="J310" t="s">
        <v>122</v>
      </c>
      <c r="K310">
        <v>0</v>
      </c>
      <c r="L310">
        <v>3</v>
      </c>
      <c r="M310">
        <v>0</v>
      </c>
      <c r="N310">
        <v>2</v>
      </c>
      <c r="O310">
        <v>1</v>
      </c>
      <c r="P310">
        <v>0</v>
      </c>
      <c r="Q310">
        <v>0</v>
      </c>
      <c r="S310" t="str">
        <f>"18:37:08.062"</f>
        <v>18:37:08.062</v>
      </c>
      <c r="T310" t="str">
        <f>"18:37:07.762"</f>
        <v>18:37:07.762</v>
      </c>
      <c r="U310" t="str">
        <f t="shared" si="28"/>
        <v>AAB6EE</v>
      </c>
      <c r="V310">
        <v>0</v>
      </c>
      <c r="W310">
        <v>0</v>
      </c>
      <c r="X310">
        <v>4</v>
      </c>
      <c r="Z310">
        <v>0</v>
      </c>
      <c r="AA310">
        <v>8</v>
      </c>
      <c r="AB310">
        <v>3</v>
      </c>
      <c r="AC310">
        <v>0</v>
      </c>
      <c r="AD310">
        <v>10</v>
      </c>
      <c r="AE310">
        <v>0</v>
      </c>
      <c r="AF310">
        <v>0</v>
      </c>
      <c r="AG310">
        <v>1</v>
      </c>
      <c r="AH310">
        <v>1</v>
      </c>
      <c r="AI310" t="s">
        <v>327</v>
      </c>
      <c r="AJ310">
        <v>35.504550999999999</v>
      </c>
      <c r="AK310" t="s">
        <v>328</v>
      </c>
      <c r="AL310">
        <v>-76.043329</v>
      </c>
      <c r="AM310">
        <v>25</v>
      </c>
      <c r="AN310">
        <v>3450</v>
      </c>
      <c r="AO310" t="s">
        <v>118</v>
      </c>
      <c r="AP310">
        <v>-89</v>
      </c>
      <c r="AQ310">
        <v>-168</v>
      </c>
      <c r="AR310">
        <v>-64</v>
      </c>
      <c r="AZ310">
        <v>1200</v>
      </c>
      <c r="BA310">
        <v>1</v>
      </c>
      <c r="BB310" t="str">
        <f t="shared" si="30"/>
        <v xml:space="preserve">N79NX   </v>
      </c>
      <c r="BC310">
        <v>1</v>
      </c>
      <c r="BE310">
        <v>0</v>
      </c>
      <c r="BF310">
        <v>0</v>
      </c>
      <c r="BG310">
        <v>0</v>
      </c>
      <c r="BH310">
        <v>3300</v>
      </c>
      <c r="BI310">
        <v>0</v>
      </c>
      <c r="BJ310">
        <v>0</v>
      </c>
      <c r="BK310">
        <v>0</v>
      </c>
      <c r="BL310">
        <v>0</v>
      </c>
      <c r="BO310">
        <v>0</v>
      </c>
      <c r="BP310">
        <v>0</v>
      </c>
      <c r="BW310" t="str">
        <f>"18:37:08.070"</f>
        <v>18:37:08.070</v>
      </c>
      <c r="BZ310">
        <v>0</v>
      </c>
      <c r="CA310">
        <v>3488</v>
      </c>
      <c r="CB310">
        <v>216</v>
      </c>
      <c r="CC310">
        <v>583.59379999999999</v>
      </c>
      <c r="CD310">
        <v>1</v>
      </c>
      <c r="CE310">
        <v>1</v>
      </c>
      <c r="CF310">
        <v>0</v>
      </c>
      <c r="CG310">
        <v>1</v>
      </c>
      <c r="CH310">
        <v>0</v>
      </c>
      <c r="CI310">
        <v>0</v>
      </c>
      <c r="CJ310">
        <v>0</v>
      </c>
      <c r="CK310">
        <v>2</v>
      </c>
      <c r="CL310">
        <v>0</v>
      </c>
      <c r="CM310">
        <v>2</v>
      </c>
      <c r="CN310">
        <v>0</v>
      </c>
      <c r="CO310">
        <v>6</v>
      </c>
      <c r="CP310" t="s">
        <v>119</v>
      </c>
      <c r="CQ310">
        <v>145</v>
      </c>
      <c r="CR310">
        <v>1</v>
      </c>
      <c r="CW310">
        <v>8897600</v>
      </c>
      <c r="CY310">
        <v>0</v>
      </c>
      <c r="CZ310">
        <v>0</v>
      </c>
      <c r="DA310">
        <v>1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</row>
    <row r="311" spans="1:113" x14ac:dyDescent="0.3">
      <c r="A311" t="str">
        <f>"02/13/2022 18:37:09.305"</f>
        <v>02/13/2022 18:37:09.305</v>
      </c>
      <c r="C311" t="str">
        <f t="shared" si="29"/>
        <v>FFDFD7C0</v>
      </c>
      <c r="D311" t="s">
        <v>121</v>
      </c>
      <c r="E311">
        <v>2</v>
      </c>
      <c r="H311">
        <v>158</v>
      </c>
      <c r="I311" t="s">
        <v>120</v>
      </c>
      <c r="J311" t="s">
        <v>122</v>
      </c>
      <c r="K311">
        <v>0</v>
      </c>
      <c r="L311">
        <v>3</v>
      </c>
      <c r="M311">
        <v>0</v>
      </c>
      <c r="N311">
        <v>2</v>
      </c>
      <c r="O311">
        <v>1</v>
      </c>
      <c r="P311">
        <v>0</v>
      </c>
      <c r="Q311">
        <v>0</v>
      </c>
      <c r="S311" t="str">
        <f t="shared" ref="S311:T313" si="33">"18:37:09.000"</f>
        <v>18:37:09.000</v>
      </c>
      <c r="T311" t="str">
        <f t="shared" si="33"/>
        <v>18:37:09.000</v>
      </c>
      <c r="U311" t="str">
        <f t="shared" si="28"/>
        <v>AAB6EE</v>
      </c>
      <c r="V311">
        <v>0</v>
      </c>
      <c r="W311">
        <v>0</v>
      </c>
      <c r="X311">
        <v>4</v>
      </c>
      <c r="Z311">
        <v>0</v>
      </c>
      <c r="AA311">
        <v>8</v>
      </c>
      <c r="AB311">
        <v>3</v>
      </c>
      <c r="AC311">
        <v>0</v>
      </c>
      <c r="AD311">
        <v>10</v>
      </c>
      <c r="AE311">
        <v>0</v>
      </c>
      <c r="AF311">
        <v>0</v>
      </c>
      <c r="AG311">
        <v>1</v>
      </c>
      <c r="AH311">
        <v>1</v>
      </c>
      <c r="AI311" t="s">
        <v>329</v>
      </c>
      <c r="AJ311">
        <v>35.503821000000002</v>
      </c>
      <c r="AK311" t="s">
        <v>330</v>
      </c>
      <c r="AL311">
        <v>-76.043757999999997</v>
      </c>
      <c r="AM311">
        <v>25</v>
      </c>
      <c r="AN311">
        <v>3450</v>
      </c>
      <c r="AO311" t="s">
        <v>118</v>
      </c>
      <c r="AP311">
        <v>-89</v>
      </c>
      <c r="AQ311">
        <v>-169</v>
      </c>
      <c r="AR311">
        <v>-64</v>
      </c>
      <c r="AZ311">
        <v>1200</v>
      </c>
      <c r="BA311">
        <v>1</v>
      </c>
      <c r="BB311" t="str">
        <f t="shared" si="30"/>
        <v xml:space="preserve">N79NX   </v>
      </c>
      <c r="BC311">
        <v>1</v>
      </c>
      <c r="BE311">
        <v>0</v>
      </c>
      <c r="BF311">
        <v>0</v>
      </c>
      <c r="BG311">
        <v>0</v>
      </c>
      <c r="BH311">
        <v>3300</v>
      </c>
      <c r="BI311">
        <v>0</v>
      </c>
      <c r="BJ311">
        <v>0</v>
      </c>
      <c r="BK311">
        <v>0</v>
      </c>
      <c r="BL311">
        <v>0</v>
      </c>
      <c r="BO311">
        <v>0</v>
      </c>
      <c r="BP311">
        <v>0</v>
      </c>
      <c r="BW311" t="str">
        <f>"18:37:09.000"</f>
        <v>18:37:09.000</v>
      </c>
      <c r="BZ311">
        <v>0</v>
      </c>
      <c r="CA311">
        <v>3488</v>
      </c>
      <c r="CB311">
        <v>216</v>
      </c>
      <c r="CC311">
        <v>583.59379999999999</v>
      </c>
      <c r="CD311">
        <v>1</v>
      </c>
      <c r="CE311">
        <v>1</v>
      </c>
      <c r="CF311">
        <v>0</v>
      </c>
      <c r="CG311">
        <v>1</v>
      </c>
      <c r="CH311">
        <v>0</v>
      </c>
      <c r="CI311">
        <v>0</v>
      </c>
      <c r="CJ311">
        <v>0</v>
      </c>
      <c r="CK311">
        <v>2</v>
      </c>
      <c r="CL311">
        <v>0</v>
      </c>
      <c r="CM311">
        <v>2</v>
      </c>
      <c r="CN311">
        <v>0</v>
      </c>
      <c r="CO311">
        <v>6</v>
      </c>
      <c r="CP311" t="s">
        <v>119</v>
      </c>
      <c r="CQ311">
        <v>145</v>
      </c>
      <c r="CR311">
        <v>1</v>
      </c>
      <c r="CW311">
        <v>8897955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</row>
    <row r="312" spans="1:113" x14ac:dyDescent="0.3">
      <c r="A312" t="str">
        <f>"02/13/2022 18:37:09.305"</f>
        <v>02/13/2022 18:37:09.305</v>
      </c>
      <c r="C312" t="str">
        <f t="shared" si="29"/>
        <v>FFDFD7C0</v>
      </c>
      <c r="D312" t="s">
        <v>113</v>
      </c>
      <c r="E312">
        <v>4</v>
      </c>
      <c r="F312">
        <v>1004</v>
      </c>
      <c r="G312" t="s">
        <v>120</v>
      </c>
      <c r="J312" t="s">
        <v>115</v>
      </c>
      <c r="K312">
        <v>0</v>
      </c>
      <c r="L312">
        <v>3</v>
      </c>
      <c r="M312">
        <v>0</v>
      </c>
      <c r="N312">
        <v>2</v>
      </c>
      <c r="O312">
        <v>1</v>
      </c>
      <c r="P312">
        <v>0</v>
      </c>
      <c r="Q312">
        <v>0</v>
      </c>
      <c r="S312" t="str">
        <f t="shared" si="33"/>
        <v>18:37:09.000</v>
      </c>
      <c r="T312" t="str">
        <f t="shared" si="33"/>
        <v>18:37:09.000</v>
      </c>
      <c r="U312" t="str">
        <f t="shared" si="28"/>
        <v>AAB6EE</v>
      </c>
      <c r="V312">
        <v>0</v>
      </c>
      <c r="W312">
        <v>0</v>
      </c>
      <c r="X312">
        <v>4</v>
      </c>
      <c r="Z312">
        <v>0</v>
      </c>
      <c r="AA312">
        <v>8</v>
      </c>
      <c r="AB312">
        <v>3</v>
      </c>
      <c r="AC312">
        <v>0</v>
      </c>
      <c r="AD312">
        <v>10</v>
      </c>
      <c r="AE312">
        <v>0</v>
      </c>
      <c r="AF312">
        <v>0</v>
      </c>
      <c r="AG312">
        <v>1</v>
      </c>
      <c r="AH312">
        <v>1</v>
      </c>
      <c r="AI312" t="s">
        <v>329</v>
      </c>
      <c r="AJ312">
        <v>35.503821000000002</v>
      </c>
      <c r="AK312" t="s">
        <v>330</v>
      </c>
      <c r="AL312">
        <v>-76.043757999999997</v>
      </c>
      <c r="AM312">
        <v>25</v>
      </c>
      <c r="AN312">
        <v>3450</v>
      </c>
      <c r="AO312" t="s">
        <v>118</v>
      </c>
      <c r="AP312">
        <v>-89</v>
      </c>
      <c r="AQ312">
        <v>-169</v>
      </c>
      <c r="AR312">
        <v>-64</v>
      </c>
      <c r="AZ312">
        <v>1200</v>
      </c>
      <c r="BA312">
        <v>1</v>
      </c>
      <c r="BB312" t="str">
        <f t="shared" si="30"/>
        <v xml:space="preserve">N79NX   </v>
      </c>
      <c r="BC312">
        <v>1</v>
      </c>
      <c r="BE312">
        <v>0</v>
      </c>
      <c r="BF312">
        <v>0</v>
      </c>
      <c r="BG312">
        <v>0</v>
      </c>
      <c r="BH312">
        <v>3300</v>
      </c>
      <c r="BI312">
        <v>0</v>
      </c>
      <c r="BJ312">
        <v>0</v>
      </c>
      <c r="BK312">
        <v>0</v>
      </c>
      <c r="BL312">
        <v>0</v>
      </c>
      <c r="BO312">
        <v>0</v>
      </c>
      <c r="BP312">
        <v>0</v>
      </c>
      <c r="BW312" t="str">
        <f>"18:37:09.000"</f>
        <v>18:37:09.000</v>
      </c>
      <c r="BZ312">
        <v>0</v>
      </c>
      <c r="CA312">
        <v>3488</v>
      </c>
      <c r="CB312">
        <v>216</v>
      </c>
      <c r="CC312">
        <v>583.59379999999999</v>
      </c>
      <c r="CD312">
        <v>1</v>
      </c>
      <c r="CE312">
        <v>1</v>
      </c>
      <c r="CF312">
        <v>0</v>
      </c>
      <c r="CG312">
        <v>1</v>
      </c>
      <c r="CH312">
        <v>0</v>
      </c>
      <c r="CI312">
        <v>0</v>
      </c>
      <c r="CJ312">
        <v>0</v>
      </c>
      <c r="CK312">
        <v>2</v>
      </c>
      <c r="CL312">
        <v>0</v>
      </c>
      <c r="CM312">
        <v>2</v>
      </c>
      <c r="CN312">
        <v>0</v>
      </c>
      <c r="CO312">
        <v>6</v>
      </c>
      <c r="CP312" t="s">
        <v>119</v>
      </c>
      <c r="CQ312">
        <v>145</v>
      </c>
      <c r="CR312">
        <v>1</v>
      </c>
      <c r="CW312">
        <v>8897955</v>
      </c>
      <c r="CY312">
        <v>0</v>
      </c>
      <c r="CZ312">
        <v>0</v>
      </c>
      <c r="DA312">
        <v>1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</row>
    <row r="313" spans="1:113" x14ac:dyDescent="0.3">
      <c r="A313" t="str">
        <f>"02/13/2022 18:37:09.305"</f>
        <v>02/13/2022 18:37:09.305</v>
      </c>
      <c r="C313" t="str">
        <f t="shared" si="29"/>
        <v>FFDFD7C0</v>
      </c>
      <c r="D313" t="s">
        <v>113</v>
      </c>
      <c r="E313">
        <v>3</v>
      </c>
      <c r="F313">
        <v>1003</v>
      </c>
      <c r="G313" t="s">
        <v>114</v>
      </c>
      <c r="J313" t="s">
        <v>115</v>
      </c>
      <c r="K313">
        <v>0</v>
      </c>
      <c r="L313">
        <v>3</v>
      </c>
      <c r="M313">
        <v>0</v>
      </c>
      <c r="N313">
        <v>2</v>
      </c>
      <c r="O313">
        <v>1</v>
      </c>
      <c r="P313">
        <v>0</v>
      </c>
      <c r="Q313">
        <v>0</v>
      </c>
      <c r="S313" t="str">
        <f t="shared" si="33"/>
        <v>18:37:09.000</v>
      </c>
      <c r="T313" t="str">
        <f t="shared" si="33"/>
        <v>18:37:09.000</v>
      </c>
      <c r="U313" t="str">
        <f t="shared" si="28"/>
        <v>AAB6EE</v>
      </c>
      <c r="V313">
        <v>0</v>
      </c>
      <c r="W313">
        <v>0</v>
      </c>
      <c r="X313">
        <v>4</v>
      </c>
      <c r="Z313">
        <v>0</v>
      </c>
      <c r="AA313">
        <v>8</v>
      </c>
      <c r="AB313">
        <v>3</v>
      </c>
      <c r="AC313">
        <v>0</v>
      </c>
      <c r="AD313">
        <v>10</v>
      </c>
      <c r="AE313">
        <v>0</v>
      </c>
      <c r="AF313">
        <v>0</v>
      </c>
      <c r="AG313">
        <v>1</v>
      </c>
      <c r="AH313">
        <v>1</v>
      </c>
      <c r="AI313" t="s">
        <v>329</v>
      </c>
      <c r="AJ313">
        <v>35.503821000000002</v>
      </c>
      <c r="AK313" t="s">
        <v>330</v>
      </c>
      <c r="AL313">
        <v>-76.043757999999997</v>
      </c>
      <c r="AM313">
        <v>25</v>
      </c>
      <c r="AN313">
        <v>3450</v>
      </c>
      <c r="AO313" t="s">
        <v>118</v>
      </c>
      <c r="AP313">
        <v>-89</v>
      </c>
      <c r="AQ313">
        <v>-169</v>
      </c>
      <c r="AR313">
        <v>-64</v>
      </c>
      <c r="AZ313">
        <v>1200</v>
      </c>
      <c r="BA313">
        <v>1</v>
      </c>
      <c r="BB313" t="str">
        <f t="shared" si="30"/>
        <v xml:space="preserve">N79NX   </v>
      </c>
      <c r="BC313">
        <v>1</v>
      </c>
      <c r="BE313">
        <v>0</v>
      </c>
      <c r="BF313">
        <v>0</v>
      </c>
      <c r="BG313">
        <v>0</v>
      </c>
      <c r="BH313">
        <v>3300</v>
      </c>
      <c r="BI313">
        <v>0</v>
      </c>
      <c r="BJ313">
        <v>0</v>
      </c>
      <c r="BK313">
        <v>0</v>
      </c>
      <c r="BL313">
        <v>0</v>
      </c>
      <c r="BO313">
        <v>0</v>
      </c>
      <c r="BP313">
        <v>0</v>
      </c>
      <c r="BW313" t="str">
        <f>"18:37:09.000"</f>
        <v>18:37:09.000</v>
      </c>
      <c r="BZ313">
        <v>0</v>
      </c>
      <c r="CA313">
        <v>3488</v>
      </c>
      <c r="CB313">
        <v>216</v>
      </c>
      <c r="CC313">
        <v>583.59379999999999</v>
      </c>
      <c r="CD313">
        <v>1</v>
      </c>
      <c r="CE313">
        <v>1</v>
      </c>
      <c r="CF313">
        <v>0</v>
      </c>
      <c r="CG313">
        <v>1</v>
      </c>
      <c r="CH313">
        <v>0</v>
      </c>
      <c r="CI313">
        <v>0</v>
      </c>
      <c r="CJ313">
        <v>0</v>
      </c>
      <c r="CK313">
        <v>2</v>
      </c>
      <c r="CL313">
        <v>0</v>
      </c>
      <c r="CM313">
        <v>2</v>
      </c>
      <c r="CN313">
        <v>0</v>
      </c>
      <c r="CO313">
        <v>6</v>
      </c>
      <c r="CP313" t="s">
        <v>119</v>
      </c>
      <c r="CQ313">
        <v>145</v>
      </c>
      <c r="CR313">
        <v>1</v>
      </c>
      <c r="CW313">
        <v>8897955</v>
      </c>
      <c r="CY313">
        <v>0</v>
      </c>
      <c r="CZ313">
        <v>0</v>
      </c>
      <c r="DA313">
        <v>1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</row>
    <row r="314" spans="1:113" x14ac:dyDescent="0.3">
      <c r="A314" t="str">
        <f>"02/13/2022 18:37:10.198"</f>
        <v>02/13/2022 18:37:10.198</v>
      </c>
      <c r="C314" t="str">
        <f t="shared" si="29"/>
        <v>FFDFD7C0</v>
      </c>
      <c r="D314" t="s">
        <v>121</v>
      </c>
      <c r="E314">
        <v>2</v>
      </c>
      <c r="H314">
        <v>158</v>
      </c>
      <c r="I314" t="s">
        <v>120</v>
      </c>
      <c r="J314" t="s">
        <v>122</v>
      </c>
      <c r="K314">
        <v>0</v>
      </c>
      <c r="L314">
        <v>3</v>
      </c>
      <c r="M314">
        <v>0</v>
      </c>
      <c r="N314">
        <v>2</v>
      </c>
      <c r="O314">
        <v>1</v>
      </c>
      <c r="P314">
        <v>0</v>
      </c>
      <c r="Q314">
        <v>0</v>
      </c>
      <c r="S314" t="str">
        <f>"18:37:09.906"</f>
        <v>18:37:09.906</v>
      </c>
      <c r="T314" t="str">
        <f>"18:37:09.506"</f>
        <v>18:37:09.506</v>
      </c>
      <c r="U314" t="str">
        <f t="shared" si="28"/>
        <v>AAB6EE</v>
      </c>
      <c r="V314">
        <v>0</v>
      </c>
      <c r="W314">
        <v>0</v>
      </c>
      <c r="X314">
        <v>4</v>
      </c>
      <c r="Z314">
        <v>0</v>
      </c>
      <c r="AA314">
        <v>8</v>
      </c>
      <c r="AB314">
        <v>3</v>
      </c>
      <c r="AC314">
        <v>0</v>
      </c>
      <c r="AD314">
        <v>10</v>
      </c>
      <c r="AE314">
        <v>0</v>
      </c>
      <c r="AF314">
        <v>0</v>
      </c>
      <c r="AG314">
        <v>1</v>
      </c>
      <c r="AH314">
        <v>1</v>
      </c>
      <c r="AI314" t="s">
        <v>331</v>
      </c>
      <c r="AJ314">
        <v>35.503048999999997</v>
      </c>
      <c r="AK314" t="s">
        <v>332</v>
      </c>
      <c r="AL314">
        <v>-76.044273000000004</v>
      </c>
      <c r="AM314">
        <v>25</v>
      </c>
      <c r="AN314">
        <v>3450</v>
      </c>
      <c r="AO314" t="s">
        <v>118</v>
      </c>
      <c r="AP314">
        <v>-89</v>
      </c>
      <c r="AQ314">
        <v>-169</v>
      </c>
      <c r="AR314">
        <v>-64</v>
      </c>
      <c r="AZ314">
        <v>1200</v>
      </c>
      <c r="BA314">
        <v>1</v>
      </c>
      <c r="BB314" t="str">
        <f t="shared" si="30"/>
        <v xml:space="preserve">N79NX   </v>
      </c>
      <c r="BC314">
        <v>1</v>
      </c>
      <c r="BE314">
        <v>0</v>
      </c>
      <c r="BF314">
        <v>0</v>
      </c>
      <c r="BG314">
        <v>0</v>
      </c>
      <c r="BH314">
        <v>3300</v>
      </c>
      <c r="BI314">
        <v>0</v>
      </c>
      <c r="BJ314">
        <v>0</v>
      </c>
      <c r="BK314">
        <v>0</v>
      </c>
      <c r="BL314">
        <v>0</v>
      </c>
      <c r="BO314">
        <v>0</v>
      </c>
      <c r="BP314">
        <v>0</v>
      </c>
      <c r="BW314" t="str">
        <f>"18:37:09.910"</f>
        <v>18:37:09.910</v>
      </c>
      <c r="BZ314">
        <v>0</v>
      </c>
      <c r="CA314">
        <v>3488</v>
      </c>
      <c r="CB314">
        <v>216</v>
      </c>
      <c r="CC314">
        <v>583.59379999999999</v>
      </c>
      <c r="CD314">
        <v>1</v>
      </c>
      <c r="CE314">
        <v>1</v>
      </c>
      <c r="CF314">
        <v>0</v>
      </c>
      <c r="CG314">
        <v>1</v>
      </c>
      <c r="CH314">
        <v>0</v>
      </c>
      <c r="CI314">
        <v>0</v>
      </c>
      <c r="CJ314">
        <v>0</v>
      </c>
      <c r="CK314">
        <v>2</v>
      </c>
      <c r="CL314">
        <v>0</v>
      </c>
      <c r="CM314">
        <v>2</v>
      </c>
      <c r="CN314">
        <v>0</v>
      </c>
      <c r="CO314">
        <v>6</v>
      </c>
      <c r="CP314" t="s">
        <v>119</v>
      </c>
      <c r="CQ314">
        <v>145</v>
      </c>
      <c r="CR314">
        <v>1</v>
      </c>
      <c r="CW314">
        <v>8898372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</row>
    <row r="315" spans="1:113" x14ac:dyDescent="0.3">
      <c r="A315" t="str">
        <f>"02/13/2022 18:37:10.198"</f>
        <v>02/13/2022 18:37:10.198</v>
      </c>
      <c r="C315" t="str">
        <f t="shared" si="29"/>
        <v>FFDFD7C0</v>
      </c>
      <c r="D315" t="s">
        <v>113</v>
      </c>
      <c r="E315">
        <v>4</v>
      </c>
      <c r="F315">
        <v>1004</v>
      </c>
      <c r="G315" t="s">
        <v>120</v>
      </c>
      <c r="J315" t="s">
        <v>115</v>
      </c>
      <c r="K315">
        <v>0</v>
      </c>
      <c r="L315">
        <v>3</v>
      </c>
      <c r="M315">
        <v>0</v>
      </c>
      <c r="N315">
        <v>2</v>
      </c>
      <c r="O315">
        <v>1</v>
      </c>
      <c r="P315">
        <v>0</v>
      </c>
      <c r="Q315">
        <v>0</v>
      </c>
      <c r="S315" t="str">
        <f>"18:37:09.906"</f>
        <v>18:37:09.906</v>
      </c>
      <c r="T315" t="str">
        <f>"18:37:09.506"</f>
        <v>18:37:09.506</v>
      </c>
      <c r="U315" t="str">
        <f t="shared" si="28"/>
        <v>AAB6EE</v>
      </c>
      <c r="V315">
        <v>0</v>
      </c>
      <c r="W315">
        <v>0</v>
      </c>
      <c r="X315">
        <v>4</v>
      </c>
      <c r="Z315">
        <v>0</v>
      </c>
      <c r="AA315">
        <v>8</v>
      </c>
      <c r="AB315">
        <v>3</v>
      </c>
      <c r="AC315">
        <v>0</v>
      </c>
      <c r="AD315">
        <v>10</v>
      </c>
      <c r="AE315">
        <v>0</v>
      </c>
      <c r="AF315">
        <v>0</v>
      </c>
      <c r="AG315">
        <v>1</v>
      </c>
      <c r="AH315">
        <v>1</v>
      </c>
      <c r="AI315" t="s">
        <v>331</v>
      </c>
      <c r="AJ315">
        <v>35.503048999999997</v>
      </c>
      <c r="AK315" t="s">
        <v>332</v>
      </c>
      <c r="AL315">
        <v>-76.044273000000004</v>
      </c>
      <c r="AM315">
        <v>25</v>
      </c>
      <c r="AN315">
        <v>3450</v>
      </c>
      <c r="AO315" t="s">
        <v>118</v>
      </c>
      <c r="AP315">
        <v>-89</v>
      </c>
      <c r="AQ315">
        <v>-169</v>
      </c>
      <c r="AR315">
        <v>-64</v>
      </c>
      <c r="AZ315">
        <v>1200</v>
      </c>
      <c r="BA315">
        <v>1</v>
      </c>
      <c r="BB315" t="str">
        <f t="shared" si="30"/>
        <v xml:space="preserve">N79NX   </v>
      </c>
      <c r="BC315">
        <v>1</v>
      </c>
      <c r="BE315">
        <v>0</v>
      </c>
      <c r="BF315">
        <v>0</v>
      </c>
      <c r="BG315">
        <v>0</v>
      </c>
      <c r="BH315">
        <v>3300</v>
      </c>
      <c r="BI315">
        <v>0</v>
      </c>
      <c r="BJ315">
        <v>0</v>
      </c>
      <c r="BK315">
        <v>0</v>
      </c>
      <c r="BL315">
        <v>0</v>
      </c>
      <c r="BO315">
        <v>0</v>
      </c>
      <c r="BP315">
        <v>0</v>
      </c>
      <c r="BW315" t="str">
        <f>"18:37:09.910"</f>
        <v>18:37:09.910</v>
      </c>
      <c r="BZ315">
        <v>0</v>
      </c>
      <c r="CA315">
        <v>3488</v>
      </c>
      <c r="CB315">
        <v>216</v>
      </c>
      <c r="CC315">
        <v>583.59379999999999</v>
      </c>
      <c r="CD315">
        <v>1</v>
      </c>
      <c r="CE315">
        <v>1</v>
      </c>
      <c r="CF315">
        <v>0</v>
      </c>
      <c r="CG315">
        <v>1</v>
      </c>
      <c r="CH315">
        <v>0</v>
      </c>
      <c r="CI315">
        <v>0</v>
      </c>
      <c r="CJ315">
        <v>0</v>
      </c>
      <c r="CK315">
        <v>2</v>
      </c>
      <c r="CL315">
        <v>0</v>
      </c>
      <c r="CM315">
        <v>2</v>
      </c>
      <c r="CN315">
        <v>0</v>
      </c>
      <c r="CO315">
        <v>6</v>
      </c>
      <c r="CP315" t="s">
        <v>119</v>
      </c>
      <c r="CQ315">
        <v>145</v>
      </c>
      <c r="CR315">
        <v>1</v>
      </c>
      <c r="CW315">
        <v>8898372</v>
      </c>
      <c r="CY315">
        <v>0</v>
      </c>
      <c r="CZ315">
        <v>0</v>
      </c>
      <c r="DA315">
        <v>1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</row>
    <row r="316" spans="1:113" x14ac:dyDescent="0.3">
      <c r="A316" t="str">
        <f>"02/13/2022 18:37:10.198"</f>
        <v>02/13/2022 18:37:10.198</v>
      </c>
      <c r="C316" t="str">
        <f t="shared" si="29"/>
        <v>FFDFD7C0</v>
      </c>
      <c r="D316" t="s">
        <v>113</v>
      </c>
      <c r="E316">
        <v>3</v>
      </c>
      <c r="F316">
        <v>1003</v>
      </c>
      <c r="G316" t="s">
        <v>114</v>
      </c>
      <c r="J316" t="s">
        <v>115</v>
      </c>
      <c r="K316">
        <v>0</v>
      </c>
      <c r="L316">
        <v>3</v>
      </c>
      <c r="M316">
        <v>0</v>
      </c>
      <c r="N316">
        <v>2</v>
      </c>
      <c r="O316">
        <v>1</v>
      </c>
      <c r="P316">
        <v>0</v>
      </c>
      <c r="Q316">
        <v>0</v>
      </c>
      <c r="S316" t="str">
        <f>"18:37:09.906"</f>
        <v>18:37:09.906</v>
      </c>
      <c r="T316" t="str">
        <f>"18:37:09.506"</f>
        <v>18:37:09.506</v>
      </c>
      <c r="U316" t="str">
        <f t="shared" si="28"/>
        <v>AAB6EE</v>
      </c>
      <c r="V316">
        <v>0</v>
      </c>
      <c r="W316">
        <v>0</v>
      </c>
      <c r="X316">
        <v>4</v>
      </c>
      <c r="Z316">
        <v>0</v>
      </c>
      <c r="AA316">
        <v>8</v>
      </c>
      <c r="AB316">
        <v>3</v>
      </c>
      <c r="AC316">
        <v>0</v>
      </c>
      <c r="AD316">
        <v>10</v>
      </c>
      <c r="AE316">
        <v>0</v>
      </c>
      <c r="AF316">
        <v>0</v>
      </c>
      <c r="AG316">
        <v>1</v>
      </c>
      <c r="AH316">
        <v>1</v>
      </c>
      <c r="AI316" t="s">
        <v>331</v>
      </c>
      <c r="AJ316">
        <v>35.503048999999997</v>
      </c>
      <c r="AK316" t="s">
        <v>332</v>
      </c>
      <c r="AL316">
        <v>-76.044273000000004</v>
      </c>
      <c r="AM316">
        <v>25</v>
      </c>
      <c r="AN316">
        <v>3450</v>
      </c>
      <c r="AO316" t="s">
        <v>118</v>
      </c>
      <c r="AP316">
        <v>-89</v>
      </c>
      <c r="AQ316">
        <v>-169</v>
      </c>
      <c r="AR316">
        <v>-64</v>
      </c>
      <c r="AZ316">
        <v>1200</v>
      </c>
      <c r="BA316">
        <v>1</v>
      </c>
      <c r="BB316" t="str">
        <f t="shared" si="30"/>
        <v xml:space="preserve">N79NX   </v>
      </c>
      <c r="BC316">
        <v>1</v>
      </c>
      <c r="BE316">
        <v>0</v>
      </c>
      <c r="BF316">
        <v>0</v>
      </c>
      <c r="BG316">
        <v>0</v>
      </c>
      <c r="BH316">
        <v>3300</v>
      </c>
      <c r="BI316">
        <v>0</v>
      </c>
      <c r="BJ316">
        <v>0</v>
      </c>
      <c r="BK316">
        <v>0</v>
      </c>
      <c r="BL316">
        <v>0</v>
      </c>
      <c r="BO316">
        <v>0</v>
      </c>
      <c r="BP316">
        <v>0</v>
      </c>
      <c r="BW316" t="str">
        <f>"18:37:09.910"</f>
        <v>18:37:09.910</v>
      </c>
      <c r="BZ316">
        <v>0</v>
      </c>
      <c r="CA316">
        <v>3488</v>
      </c>
      <c r="CB316">
        <v>216</v>
      </c>
      <c r="CC316">
        <v>583.59379999999999</v>
      </c>
      <c r="CD316">
        <v>1</v>
      </c>
      <c r="CE316">
        <v>1</v>
      </c>
      <c r="CF316">
        <v>0</v>
      </c>
      <c r="CG316">
        <v>1</v>
      </c>
      <c r="CH316">
        <v>0</v>
      </c>
      <c r="CI316">
        <v>0</v>
      </c>
      <c r="CJ316">
        <v>0</v>
      </c>
      <c r="CK316">
        <v>2</v>
      </c>
      <c r="CL316">
        <v>0</v>
      </c>
      <c r="CM316">
        <v>2</v>
      </c>
      <c r="CN316">
        <v>0</v>
      </c>
      <c r="CO316">
        <v>6</v>
      </c>
      <c r="CP316" t="s">
        <v>119</v>
      </c>
      <c r="CQ316">
        <v>145</v>
      </c>
      <c r="CR316">
        <v>1</v>
      </c>
      <c r="CW316">
        <v>8898372</v>
      </c>
      <c r="CY316">
        <v>0</v>
      </c>
      <c r="CZ316">
        <v>0</v>
      </c>
      <c r="DA316">
        <v>1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</row>
    <row r="317" spans="1:113" x14ac:dyDescent="0.3">
      <c r="A317" t="str">
        <f>"02/13/2022 18:37:11.340"</f>
        <v>02/13/2022 18:37:11.340</v>
      </c>
      <c r="C317" t="str">
        <f t="shared" si="29"/>
        <v>FFDFD7C0</v>
      </c>
      <c r="D317" t="s">
        <v>121</v>
      </c>
      <c r="E317">
        <v>2</v>
      </c>
      <c r="H317">
        <v>158</v>
      </c>
      <c r="I317" t="s">
        <v>120</v>
      </c>
      <c r="J317" t="s">
        <v>122</v>
      </c>
      <c r="K317">
        <v>0</v>
      </c>
      <c r="L317">
        <v>3</v>
      </c>
      <c r="M317">
        <v>0</v>
      </c>
      <c r="N317">
        <v>2</v>
      </c>
      <c r="O317">
        <v>1</v>
      </c>
      <c r="P317">
        <v>0</v>
      </c>
      <c r="Q317">
        <v>0</v>
      </c>
      <c r="S317" t="str">
        <f>"18:37:11.055"</f>
        <v>18:37:11.055</v>
      </c>
      <c r="T317" t="str">
        <f>"18:37:10.955"</f>
        <v>18:37:10.955</v>
      </c>
      <c r="U317" t="str">
        <f t="shared" si="28"/>
        <v>AAB6EE</v>
      </c>
      <c r="V317">
        <v>0</v>
      </c>
      <c r="W317">
        <v>0</v>
      </c>
      <c r="X317">
        <v>4</v>
      </c>
      <c r="Z317">
        <v>0</v>
      </c>
      <c r="AA317">
        <v>8</v>
      </c>
      <c r="AB317">
        <v>3</v>
      </c>
      <c r="AC317">
        <v>0</v>
      </c>
      <c r="AD317">
        <v>10</v>
      </c>
      <c r="AE317">
        <v>0</v>
      </c>
      <c r="AF317">
        <v>0</v>
      </c>
      <c r="AG317">
        <v>1</v>
      </c>
      <c r="AH317">
        <v>1</v>
      </c>
      <c r="AI317" t="s">
        <v>333</v>
      </c>
      <c r="AJ317">
        <v>35.502169000000002</v>
      </c>
      <c r="AK317" t="s">
        <v>334</v>
      </c>
      <c r="AL317">
        <v>-76.044787999999997</v>
      </c>
      <c r="AM317">
        <v>25</v>
      </c>
      <c r="AN317">
        <v>3450</v>
      </c>
      <c r="AO317" t="s">
        <v>118</v>
      </c>
      <c r="AP317">
        <v>-89</v>
      </c>
      <c r="AQ317">
        <v>-170</v>
      </c>
      <c r="AR317">
        <v>-64</v>
      </c>
      <c r="AZ317">
        <v>1200</v>
      </c>
      <c r="BA317">
        <v>1</v>
      </c>
      <c r="BB317" t="str">
        <f t="shared" si="30"/>
        <v xml:space="preserve">N79NX   </v>
      </c>
      <c r="BC317">
        <v>1</v>
      </c>
      <c r="BE317">
        <v>0</v>
      </c>
      <c r="BF317">
        <v>0</v>
      </c>
      <c r="BG317">
        <v>0</v>
      </c>
      <c r="BH317">
        <v>3300</v>
      </c>
      <c r="BI317">
        <v>0</v>
      </c>
      <c r="BJ317">
        <v>0</v>
      </c>
      <c r="BK317">
        <v>0</v>
      </c>
      <c r="BL317">
        <v>0</v>
      </c>
      <c r="BO317">
        <v>0</v>
      </c>
      <c r="BP317">
        <v>0</v>
      </c>
      <c r="BW317" t="str">
        <f>"18:37:11.060"</f>
        <v>18:37:11.060</v>
      </c>
      <c r="BZ317">
        <v>0</v>
      </c>
      <c r="CA317">
        <v>3488</v>
      </c>
      <c r="CB317">
        <v>216</v>
      </c>
      <c r="CC317">
        <v>583.59379999999999</v>
      </c>
      <c r="CD317">
        <v>1</v>
      </c>
      <c r="CE317">
        <v>1</v>
      </c>
      <c r="CF317">
        <v>0</v>
      </c>
      <c r="CG317">
        <v>1</v>
      </c>
      <c r="CH317">
        <v>0</v>
      </c>
      <c r="CI317">
        <v>0</v>
      </c>
      <c r="CJ317">
        <v>0</v>
      </c>
      <c r="CK317">
        <v>2</v>
      </c>
      <c r="CL317">
        <v>0</v>
      </c>
      <c r="CM317">
        <v>2</v>
      </c>
      <c r="CN317">
        <v>0</v>
      </c>
      <c r="CO317">
        <v>6</v>
      </c>
      <c r="CP317" t="s">
        <v>119</v>
      </c>
      <c r="CQ317">
        <v>145</v>
      </c>
      <c r="CR317">
        <v>1</v>
      </c>
      <c r="CW317">
        <v>8898957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</row>
    <row r="318" spans="1:113" x14ac:dyDescent="0.3">
      <c r="A318" t="str">
        <f>"02/13/2022 18:37:11.340"</f>
        <v>02/13/2022 18:37:11.340</v>
      </c>
      <c r="C318" t="str">
        <f t="shared" si="29"/>
        <v>FFDFD7C0</v>
      </c>
      <c r="D318" t="s">
        <v>113</v>
      </c>
      <c r="E318">
        <v>4</v>
      </c>
      <c r="F318">
        <v>1004</v>
      </c>
      <c r="G318" t="s">
        <v>120</v>
      </c>
      <c r="J318" t="s">
        <v>115</v>
      </c>
      <c r="K318">
        <v>0</v>
      </c>
      <c r="L318">
        <v>3</v>
      </c>
      <c r="M318">
        <v>0</v>
      </c>
      <c r="N318">
        <v>2</v>
      </c>
      <c r="O318">
        <v>1</v>
      </c>
      <c r="P318">
        <v>0</v>
      </c>
      <c r="Q318">
        <v>0</v>
      </c>
      <c r="S318" t="str">
        <f>"18:37:11.055"</f>
        <v>18:37:11.055</v>
      </c>
      <c r="T318" t="str">
        <f>"18:37:10.955"</f>
        <v>18:37:10.955</v>
      </c>
      <c r="U318" t="str">
        <f t="shared" si="28"/>
        <v>AAB6EE</v>
      </c>
      <c r="V318">
        <v>0</v>
      </c>
      <c r="W318">
        <v>0</v>
      </c>
      <c r="X318">
        <v>4</v>
      </c>
      <c r="Z318">
        <v>0</v>
      </c>
      <c r="AA318">
        <v>8</v>
      </c>
      <c r="AB318">
        <v>3</v>
      </c>
      <c r="AC318">
        <v>0</v>
      </c>
      <c r="AD318">
        <v>10</v>
      </c>
      <c r="AE318">
        <v>0</v>
      </c>
      <c r="AF318">
        <v>0</v>
      </c>
      <c r="AG318">
        <v>1</v>
      </c>
      <c r="AH318">
        <v>1</v>
      </c>
      <c r="AI318" t="s">
        <v>333</v>
      </c>
      <c r="AJ318">
        <v>35.502169000000002</v>
      </c>
      <c r="AK318" t="s">
        <v>334</v>
      </c>
      <c r="AL318">
        <v>-76.044787999999997</v>
      </c>
      <c r="AM318">
        <v>25</v>
      </c>
      <c r="AN318">
        <v>3450</v>
      </c>
      <c r="AO318" t="s">
        <v>118</v>
      </c>
      <c r="AP318">
        <v>-89</v>
      </c>
      <c r="AQ318">
        <v>-170</v>
      </c>
      <c r="AR318">
        <v>-64</v>
      </c>
      <c r="AZ318">
        <v>1200</v>
      </c>
      <c r="BA318">
        <v>1</v>
      </c>
      <c r="BB318" t="str">
        <f t="shared" si="30"/>
        <v xml:space="preserve">N79NX   </v>
      </c>
      <c r="BC318">
        <v>1</v>
      </c>
      <c r="BE318">
        <v>0</v>
      </c>
      <c r="BF318">
        <v>0</v>
      </c>
      <c r="BG318">
        <v>0</v>
      </c>
      <c r="BH318">
        <v>3300</v>
      </c>
      <c r="BI318">
        <v>0</v>
      </c>
      <c r="BJ318">
        <v>0</v>
      </c>
      <c r="BK318">
        <v>0</v>
      </c>
      <c r="BL318">
        <v>0</v>
      </c>
      <c r="BO318">
        <v>0</v>
      </c>
      <c r="BP318">
        <v>0</v>
      </c>
      <c r="BW318" t="str">
        <f>"18:37:11.060"</f>
        <v>18:37:11.060</v>
      </c>
      <c r="BZ318">
        <v>0</v>
      </c>
      <c r="CA318">
        <v>3488</v>
      </c>
      <c r="CB318">
        <v>216</v>
      </c>
      <c r="CC318">
        <v>583.59379999999999</v>
      </c>
      <c r="CD318">
        <v>1</v>
      </c>
      <c r="CE318">
        <v>1</v>
      </c>
      <c r="CF318">
        <v>0</v>
      </c>
      <c r="CG318">
        <v>1</v>
      </c>
      <c r="CH318">
        <v>0</v>
      </c>
      <c r="CI318">
        <v>0</v>
      </c>
      <c r="CJ318">
        <v>0</v>
      </c>
      <c r="CK318">
        <v>2</v>
      </c>
      <c r="CL318">
        <v>0</v>
      </c>
      <c r="CM318">
        <v>2</v>
      </c>
      <c r="CN318">
        <v>0</v>
      </c>
      <c r="CO318">
        <v>6</v>
      </c>
      <c r="CP318" t="s">
        <v>119</v>
      </c>
      <c r="CQ318">
        <v>145</v>
      </c>
      <c r="CR318">
        <v>1</v>
      </c>
      <c r="CW318">
        <v>8898957</v>
      </c>
      <c r="CY318">
        <v>0</v>
      </c>
      <c r="CZ318">
        <v>0</v>
      </c>
      <c r="DA318">
        <v>1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</row>
    <row r="319" spans="1:113" x14ac:dyDescent="0.3">
      <c r="A319" t="str">
        <f>"02/13/2022 18:37:11.340"</f>
        <v>02/13/2022 18:37:11.340</v>
      </c>
      <c r="C319" t="str">
        <f t="shared" si="29"/>
        <v>FFDFD7C0</v>
      </c>
      <c r="D319" t="s">
        <v>113</v>
      </c>
      <c r="E319">
        <v>3</v>
      </c>
      <c r="F319">
        <v>1003</v>
      </c>
      <c r="G319" t="s">
        <v>114</v>
      </c>
      <c r="J319" t="s">
        <v>115</v>
      </c>
      <c r="K319">
        <v>0</v>
      </c>
      <c r="L319">
        <v>3</v>
      </c>
      <c r="M319">
        <v>0</v>
      </c>
      <c r="N319">
        <v>2</v>
      </c>
      <c r="O319">
        <v>1</v>
      </c>
      <c r="P319">
        <v>0</v>
      </c>
      <c r="Q319">
        <v>0</v>
      </c>
      <c r="S319" t="str">
        <f>"18:37:11.055"</f>
        <v>18:37:11.055</v>
      </c>
      <c r="T319" t="str">
        <f>"18:37:10.955"</f>
        <v>18:37:10.955</v>
      </c>
      <c r="U319" t="str">
        <f t="shared" si="28"/>
        <v>AAB6EE</v>
      </c>
      <c r="V319">
        <v>0</v>
      </c>
      <c r="W319">
        <v>0</v>
      </c>
      <c r="X319">
        <v>4</v>
      </c>
      <c r="Z319">
        <v>0</v>
      </c>
      <c r="AA319">
        <v>8</v>
      </c>
      <c r="AB319">
        <v>3</v>
      </c>
      <c r="AC319">
        <v>0</v>
      </c>
      <c r="AD319">
        <v>10</v>
      </c>
      <c r="AE319">
        <v>0</v>
      </c>
      <c r="AF319">
        <v>0</v>
      </c>
      <c r="AG319">
        <v>1</v>
      </c>
      <c r="AH319">
        <v>1</v>
      </c>
      <c r="AI319" t="s">
        <v>333</v>
      </c>
      <c r="AJ319">
        <v>35.502169000000002</v>
      </c>
      <c r="AK319" t="s">
        <v>334</v>
      </c>
      <c r="AL319">
        <v>-76.044787999999997</v>
      </c>
      <c r="AM319">
        <v>25</v>
      </c>
      <c r="AN319">
        <v>3450</v>
      </c>
      <c r="AO319" t="s">
        <v>118</v>
      </c>
      <c r="AP319">
        <v>-89</v>
      </c>
      <c r="AQ319">
        <v>-170</v>
      </c>
      <c r="AR319">
        <v>-64</v>
      </c>
      <c r="AZ319">
        <v>1200</v>
      </c>
      <c r="BA319">
        <v>1</v>
      </c>
      <c r="BB319" t="str">
        <f t="shared" si="30"/>
        <v xml:space="preserve">N79NX   </v>
      </c>
      <c r="BC319">
        <v>1</v>
      </c>
      <c r="BE319">
        <v>0</v>
      </c>
      <c r="BF319">
        <v>0</v>
      </c>
      <c r="BG319">
        <v>0</v>
      </c>
      <c r="BH319">
        <v>3300</v>
      </c>
      <c r="BI319">
        <v>0</v>
      </c>
      <c r="BJ319">
        <v>0</v>
      </c>
      <c r="BK319">
        <v>0</v>
      </c>
      <c r="BL319">
        <v>0</v>
      </c>
      <c r="BO319">
        <v>0</v>
      </c>
      <c r="BP319">
        <v>0</v>
      </c>
      <c r="BW319" t="str">
        <f>"18:37:11.060"</f>
        <v>18:37:11.060</v>
      </c>
      <c r="BZ319">
        <v>0</v>
      </c>
      <c r="CA319">
        <v>3488</v>
      </c>
      <c r="CB319">
        <v>216</v>
      </c>
      <c r="CC319">
        <v>583.59379999999999</v>
      </c>
      <c r="CD319">
        <v>1</v>
      </c>
      <c r="CE319">
        <v>1</v>
      </c>
      <c r="CF319">
        <v>0</v>
      </c>
      <c r="CG319">
        <v>1</v>
      </c>
      <c r="CH319">
        <v>0</v>
      </c>
      <c r="CI319">
        <v>0</v>
      </c>
      <c r="CJ319">
        <v>0</v>
      </c>
      <c r="CK319">
        <v>2</v>
      </c>
      <c r="CL319">
        <v>0</v>
      </c>
      <c r="CM319">
        <v>2</v>
      </c>
      <c r="CN319">
        <v>0</v>
      </c>
      <c r="CO319">
        <v>6</v>
      </c>
      <c r="CP319" t="s">
        <v>119</v>
      </c>
      <c r="CQ319">
        <v>145</v>
      </c>
      <c r="CR319">
        <v>1</v>
      </c>
      <c r="CW319">
        <v>8898957</v>
      </c>
      <c r="CY319">
        <v>0</v>
      </c>
      <c r="CZ319">
        <v>0</v>
      </c>
      <c r="DA319">
        <v>1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</row>
    <row r="320" spans="1:113" x14ac:dyDescent="0.3">
      <c r="A320" t="str">
        <f>"02/13/2022 18:37:12.308"</f>
        <v>02/13/2022 18:37:12.308</v>
      </c>
      <c r="C320" t="str">
        <f t="shared" si="29"/>
        <v>FFDFD7C0</v>
      </c>
      <c r="D320" t="s">
        <v>121</v>
      </c>
      <c r="E320">
        <v>2</v>
      </c>
      <c r="H320">
        <v>158</v>
      </c>
      <c r="I320" t="s">
        <v>120</v>
      </c>
      <c r="J320" t="s">
        <v>122</v>
      </c>
      <c r="K320">
        <v>0</v>
      </c>
      <c r="L320">
        <v>3</v>
      </c>
      <c r="M320">
        <v>0</v>
      </c>
      <c r="N320">
        <v>2</v>
      </c>
      <c r="O320">
        <v>1</v>
      </c>
      <c r="P320">
        <v>0</v>
      </c>
      <c r="Q320">
        <v>0</v>
      </c>
      <c r="S320" t="str">
        <f>"18:37:12.062"</f>
        <v>18:37:12.062</v>
      </c>
      <c r="T320" t="str">
        <f>"18:37:11.863"</f>
        <v>18:37:11.863</v>
      </c>
      <c r="U320" t="str">
        <f t="shared" si="28"/>
        <v>AAB6EE</v>
      </c>
      <c r="V320">
        <v>0</v>
      </c>
      <c r="W320">
        <v>0</v>
      </c>
      <c r="X320">
        <v>4</v>
      </c>
      <c r="Z320">
        <v>0</v>
      </c>
      <c r="AA320">
        <v>8</v>
      </c>
      <c r="AB320">
        <v>3</v>
      </c>
      <c r="AC320">
        <v>0</v>
      </c>
      <c r="AD320">
        <v>10</v>
      </c>
      <c r="AE320">
        <v>0</v>
      </c>
      <c r="AF320">
        <v>0</v>
      </c>
      <c r="AG320">
        <v>1</v>
      </c>
      <c r="AH320">
        <v>1</v>
      </c>
      <c r="AI320" t="s">
        <v>335</v>
      </c>
      <c r="AJ320">
        <v>35.501396999999997</v>
      </c>
      <c r="AK320" t="s">
        <v>336</v>
      </c>
      <c r="AL320">
        <v>-76.045325000000005</v>
      </c>
      <c r="AM320">
        <v>25</v>
      </c>
      <c r="AN320">
        <v>3450</v>
      </c>
      <c r="AO320" t="s">
        <v>118</v>
      </c>
      <c r="AP320">
        <v>-90</v>
      </c>
      <c r="AQ320">
        <v>-171</v>
      </c>
      <c r="AR320">
        <v>-64</v>
      </c>
      <c r="AZ320">
        <v>1200</v>
      </c>
      <c r="BA320">
        <v>1</v>
      </c>
      <c r="BB320" t="str">
        <f t="shared" si="30"/>
        <v xml:space="preserve">N79NX   </v>
      </c>
      <c r="BC320">
        <v>1</v>
      </c>
      <c r="BE320">
        <v>0</v>
      </c>
      <c r="BF320">
        <v>0</v>
      </c>
      <c r="BG320">
        <v>0</v>
      </c>
      <c r="BH320">
        <v>3300</v>
      </c>
      <c r="BI320">
        <v>0</v>
      </c>
      <c r="BJ320">
        <v>0</v>
      </c>
      <c r="BK320">
        <v>0</v>
      </c>
      <c r="BL320">
        <v>0</v>
      </c>
      <c r="BO320">
        <v>0</v>
      </c>
      <c r="BP320">
        <v>0</v>
      </c>
      <c r="BW320" t="str">
        <f>"18:37:12.070"</f>
        <v>18:37:12.070</v>
      </c>
      <c r="BZ320">
        <v>0</v>
      </c>
      <c r="CA320">
        <v>3488</v>
      </c>
      <c r="CB320">
        <v>216</v>
      </c>
      <c r="CC320">
        <v>583.59379999999999</v>
      </c>
      <c r="CD320">
        <v>1</v>
      </c>
      <c r="CE320">
        <v>1</v>
      </c>
      <c r="CF320">
        <v>0</v>
      </c>
      <c r="CG320">
        <v>1</v>
      </c>
      <c r="CH320">
        <v>0</v>
      </c>
      <c r="CI320">
        <v>0</v>
      </c>
      <c r="CJ320">
        <v>0</v>
      </c>
      <c r="CK320">
        <v>2</v>
      </c>
      <c r="CL320">
        <v>0</v>
      </c>
      <c r="CM320">
        <v>2</v>
      </c>
      <c r="CN320">
        <v>0</v>
      </c>
      <c r="CO320">
        <v>6</v>
      </c>
      <c r="CP320" t="s">
        <v>119</v>
      </c>
      <c r="CQ320">
        <v>145</v>
      </c>
      <c r="CR320">
        <v>1</v>
      </c>
      <c r="CW320">
        <v>8899417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</row>
    <row r="321" spans="1:113" x14ac:dyDescent="0.3">
      <c r="A321" t="str">
        <f>"02/13/2022 18:37:12.308"</f>
        <v>02/13/2022 18:37:12.308</v>
      </c>
      <c r="C321" t="str">
        <f t="shared" si="29"/>
        <v>FFDFD7C0</v>
      </c>
      <c r="D321" t="s">
        <v>113</v>
      </c>
      <c r="E321">
        <v>4</v>
      </c>
      <c r="F321">
        <v>1004</v>
      </c>
      <c r="G321" t="s">
        <v>120</v>
      </c>
      <c r="J321" t="s">
        <v>115</v>
      </c>
      <c r="K321">
        <v>0</v>
      </c>
      <c r="L321">
        <v>3</v>
      </c>
      <c r="M321">
        <v>0</v>
      </c>
      <c r="N321">
        <v>2</v>
      </c>
      <c r="O321">
        <v>1</v>
      </c>
      <c r="P321">
        <v>0</v>
      </c>
      <c r="Q321">
        <v>0</v>
      </c>
      <c r="S321" t="str">
        <f>"18:37:12.062"</f>
        <v>18:37:12.062</v>
      </c>
      <c r="T321" t="str">
        <f>"18:37:11.863"</f>
        <v>18:37:11.863</v>
      </c>
      <c r="U321" t="str">
        <f t="shared" si="28"/>
        <v>AAB6EE</v>
      </c>
      <c r="V321">
        <v>0</v>
      </c>
      <c r="W321">
        <v>0</v>
      </c>
      <c r="X321">
        <v>4</v>
      </c>
      <c r="Z321">
        <v>0</v>
      </c>
      <c r="AA321">
        <v>8</v>
      </c>
      <c r="AB321">
        <v>3</v>
      </c>
      <c r="AC321">
        <v>0</v>
      </c>
      <c r="AD321">
        <v>10</v>
      </c>
      <c r="AE321">
        <v>0</v>
      </c>
      <c r="AF321">
        <v>0</v>
      </c>
      <c r="AG321">
        <v>1</v>
      </c>
      <c r="AH321">
        <v>1</v>
      </c>
      <c r="AI321" t="s">
        <v>335</v>
      </c>
      <c r="AJ321">
        <v>35.501396999999997</v>
      </c>
      <c r="AK321" t="s">
        <v>336</v>
      </c>
      <c r="AL321">
        <v>-76.045325000000005</v>
      </c>
      <c r="AM321">
        <v>25</v>
      </c>
      <c r="AN321">
        <v>3450</v>
      </c>
      <c r="AO321" t="s">
        <v>118</v>
      </c>
      <c r="AP321">
        <v>-90</v>
      </c>
      <c r="AQ321">
        <v>-171</v>
      </c>
      <c r="AR321">
        <v>-64</v>
      </c>
      <c r="AZ321">
        <v>1200</v>
      </c>
      <c r="BA321">
        <v>1</v>
      </c>
      <c r="BB321" t="str">
        <f t="shared" si="30"/>
        <v xml:space="preserve">N79NX   </v>
      </c>
      <c r="BC321">
        <v>1</v>
      </c>
      <c r="BE321">
        <v>0</v>
      </c>
      <c r="BF321">
        <v>0</v>
      </c>
      <c r="BG321">
        <v>0</v>
      </c>
      <c r="BH321">
        <v>3300</v>
      </c>
      <c r="BI321">
        <v>0</v>
      </c>
      <c r="BJ321">
        <v>0</v>
      </c>
      <c r="BK321">
        <v>0</v>
      </c>
      <c r="BL321">
        <v>0</v>
      </c>
      <c r="BO321">
        <v>0</v>
      </c>
      <c r="BP321">
        <v>0</v>
      </c>
      <c r="BW321" t="str">
        <f>"18:37:12.070"</f>
        <v>18:37:12.070</v>
      </c>
      <c r="BZ321">
        <v>0</v>
      </c>
      <c r="CA321">
        <v>3488</v>
      </c>
      <c r="CB321">
        <v>216</v>
      </c>
      <c r="CC321">
        <v>583.59379999999999</v>
      </c>
      <c r="CD321">
        <v>1</v>
      </c>
      <c r="CE321">
        <v>1</v>
      </c>
      <c r="CF321">
        <v>0</v>
      </c>
      <c r="CG321">
        <v>1</v>
      </c>
      <c r="CH321">
        <v>0</v>
      </c>
      <c r="CI321">
        <v>0</v>
      </c>
      <c r="CJ321">
        <v>0</v>
      </c>
      <c r="CK321">
        <v>2</v>
      </c>
      <c r="CL321">
        <v>0</v>
      </c>
      <c r="CM321">
        <v>2</v>
      </c>
      <c r="CN321">
        <v>0</v>
      </c>
      <c r="CO321">
        <v>6</v>
      </c>
      <c r="CP321" t="s">
        <v>119</v>
      </c>
      <c r="CQ321">
        <v>145</v>
      </c>
      <c r="CR321">
        <v>1</v>
      </c>
      <c r="CW321">
        <v>8899417</v>
      </c>
      <c r="CY321">
        <v>0</v>
      </c>
      <c r="CZ321">
        <v>0</v>
      </c>
      <c r="DA321">
        <v>1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</row>
    <row r="322" spans="1:113" x14ac:dyDescent="0.3">
      <c r="A322" t="str">
        <f>"02/13/2022 18:37:12.308"</f>
        <v>02/13/2022 18:37:12.308</v>
      </c>
      <c r="C322" t="str">
        <f t="shared" si="29"/>
        <v>FFDFD7C0</v>
      </c>
      <c r="D322" t="s">
        <v>113</v>
      </c>
      <c r="E322">
        <v>3</v>
      </c>
      <c r="F322">
        <v>1003</v>
      </c>
      <c r="G322" t="s">
        <v>114</v>
      </c>
      <c r="J322" t="s">
        <v>115</v>
      </c>
      <c r="K322">
        <v>0</v>
      </c>
      <c r="L322">
        <v>3</v>
      </c>
      <c r="M322">
        <v>0</v>
      </c>
      <c r="N322">
        <v>2</v>
      </c>
      <c r="O322">
        <v>1</v>
      </c>
      <c r="P322">
        <v>0</v>
      </c>
      <c r="Q322">
        <v>0</v>
      </c>
      <c r="S322" t="str">
        <f>"18:37:12.062"</f>
        <v>18:37:12.062</v>
      </c>
      <c r="T322" t="str">
        <f>"18:37:11.863"</f>
        <v>18:37:11.863</v>
      </c>
      <c r="U322" t="str">
        <f t="shared" ref="U322:U385" si="34">"AAB6EE"</f>
        <v>AAB6EE</v>
      </c>
      <c r="V322">
        <v>0</v>
      </c>
      <c r="W322">
        <v>0</v>
      </c>
      <c r="X322">
        <v>4</v>
      </c>
      <c r="Z322">
        <v>0</v>
      </c>
      <c r="AA322">
        <v>8</v>
      </c>
      <c r="AB322">
        <v>3</v>
      </c>
      <c r="AC322">
        <v>0</v>
      </c>
      <c r="AD322">
        <v>10</v>
      </c>
      <c r="AE322">
        <v>0</v>
      </c>
      <c r="AF322">
        <v>0</v>
      </c>
      <c r="AG322">
        <v>1</v>
      </c>
      <c r="AH322">
        <v>1</v>
      </c>
      <c r="AI322" t="s">
        <v>335</v>
      </c>
      <c r="AJ322">
        <v>35.501396999999997</v>
      </c>
      <c r="AK322" t="s">
        <v>336</v>
      </c>
      <c r="AL322">
        <v>-76.045325000000005</v>
      </c>
      <c r="AM322">
        <v>25</v>
      </c>
      <c r="AN322">
        <v>3450</v>
      </c>
      <c r="AO322" t="s">
        <v>118</v>
      </c>
      <c r="AP322">
        <v>-90</v>
      </c>
      <c r="AQ322">
        <v>-171</v>
      </c>
      <c r="AR322">
        <v>-64</v>
      </c>
      <c r="AZ322">
        <v>1200</v>
      </c>
      <c r="BA322">
        <v>1</v>
      </c>
      <c r="BB322" t="str">
        <f t="shared" si="30"/>
        <v xml:space="preserve">N79NX   </v>
      </c>
      <c r="BC322">
        <v>1</v>
      </c>
      <c r="BE322">
        <v>0</v>
      </c>
      <c r="BF322">
        <v>0</v>
      </c>
      <c r="BG322">
        <v>0</v>
      </c>
      <c r="BH322">
        <v>3300</v>
      </c>
      <c r="BI322">
        <v>0</v>
      </c>
      <c r="BJ322">
        <v>0</v>
      </c>
      <c r="BK322">
        <v>0</v>
      </c>
      <c r="BL322">
        <v>0</v>
      </c>
      <c r="BO322">
        <v>0</v>
      </c>
      <c r="BP322">
        <v>0</v>
      </c>
      <c r="BW322" t="str">
        <f>"18:37:12.070"</f>
        <v>18:37:12.070</v>
      </c>
      <c r="BZ322">
        <v>0</v>
      </c>
      <c r="CA322">
        <v>3488</v>
      </c>
      <c r="CB322">
        <v>216</v>
      </c>
      <c r="CC322">
        <v>583.59379999999999</v>
      </c>
      <c r="CD322">
        <v>1</v>
      </c>
      <c r="CE322">
        <v>1</v>
      </c>
      <c r="CF322">
        <v>0</v>
      </c>
      <c r="CG322">
        <v>1</v>
      </c>
      <c r="CH322">
        <v>0</v>
      </c>
      <c r="CI322">
        <v>0</v>
      </c>
      <c r="CJ322">
        <v>0</v>
      </c>
      <c r="CK322">
        <v>2</v>
      </c>
      <c r="CL322">
        <v>0</v>
      </c>
      <c r="CM322">
        <v>2</v>
      </c>
      <c r="CN322">
        <v>0</v>
      </c>
      <c r="CO322">
        <v>6</v>
      </c>
      <c r="CP322" t="s">
        <v>119</v>
      </c>
      <c r="CQ322">
        <v>145</v>
      </c>
      <c r="CR322">
        <v>1</v>
      </c>
      <c r="CW322">
        <v>8899417</v>
      </c>
      <c r="CY322">
        <v>0</v>
      </c>
      <c r="CZ322">
        <v>0</v>
      </c>
      <c r="DA322">
        <v>1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</row>
    <row r="323" spans="1:113" x14ac:dyDescent="0.3">
      <c r="A323" t="str">
        <f>"02/13/2022 18:37:13.543"</f>
        <v>02/13/2022 18:37:13.543</v>
      </c>
      <c r="C323" t="str">
        <f t="shared" si="29"/>
        <v>FFDFD7C0</v>
      </c>
      <c r="D323" t="s">
        <v>121</v>
      </c>
      <c r="E323">
        <v>2</v>
      </c>
      <c r="H323">
        <v>158</v>
      </c>
      <c r="I323" t="s">
        <v>120</v>
      </c>
      <c r="J323" t="s">
        <v>122</v>
      </c>
      <c r="K323">
        <v>0</v>
      </c>
      <c r="L323">
        <v>3</v>
      </c>
      <c r="M323">
        <v>0</v>
      </c>
      <c r="N323">
        <v>2</v>
      </c>
      <c r="O323">
        <v>1</v>
      </c>
      <c r="P323">
        <v>0</v>
      </c>
      <c r="Q323">
        <v>0</v>
      </c>
      <c r="S323" t="str">
        <f>"18:37:13.227"</f>
        <v>18:37:13.227</v>
      </c>
      <c r="T323" t="str">
        <f>"18:37:12.927"</f>
        <v>18:37:12.927</v>
      </c>
      <c r="U323" t="str">
        <f t="shared" si="34"/>
        <v>AAB6EE</v>
      </c>
      <c r="V323">
        <v>0</v>
      </c>
      <c r="W323">
        <v>0</v>
      </c>
      <c r="X323">
        <v>4</v>
      </c>
      <c r="Z323">
        <v>0</v>
      </c>
      <c r="AA323">
        <v>8</v>
      </c>
      <c r="AB323">
        <v>3</v>
      </c>
      <c r="AC323">
        <v>0</v>
      </c>
      <c r="AD323">
        <v>10</v>
      </c>
      <c r="AE323">
        <v>0</v>
      </c>
      <c r="AF323">
        <v>0</v>
      </c>
      <c r="AG323">
        <v>1</v>
      </c>
      <c r="AH323">
        <v>1</v>
      </c>
      <c r="AI323" t="s">
        <v>337</v>
      </c>
      <c r="AJ323">
        <v>35.500453</v>
      </c>
      <c r="AK323" t="s">
        <v>338</v>
      </c>
      <c r="AL323">
        <v>-76.045968999999999</v>
      </c>
      <c r="AM323">
        <v>25</v>
      </c>
      <c r="AN323">
        <v>3450</v>
      </c>
      <c r="AO323" t="s">
        <v>118</v>
      </c>
      <c r="AP323">
        <v>-90</v>
      </c>
      <c r="AQ323">
        <v>-172</v>
      </c>
      <c r="AR323">
        <v>-64</v>
      </c>
      <c r="AZ323">
        <v>1200</v>
      </c>
      <c r="BA323">
        <v>1</v>
      </c>
      <c r="BB323" t="str">
        <f t="shared" si="30"/>
        <v xml:space="preserve">N79NX   </v>
      </c>
      <c r="BC323">
        <v>1</v>
      </c>
      <c r="BE323">
        <v>0</v>
      </c>
      <c r="BF323">
        <v>0</v>
      </c>
      <c r="BG323">
        <v>0</v>
      </c>
      <c r="BH323">
        <v>3325</v>
      </c>
      <c r="BI323">
        <v>0</v>
      </c>
      <c r="BJ323">
        <v>0</v>
      </c>
      <c r="BK323">
        <v>0</v>
      </c>
      <c r="BL323">
        <v>0</v>
      </c>
      <c r="BO323">
        <v>0</v>
      </c>
      <c r="BP323">
        <v>0</v>
      </c>
      <c r="BW323" t="str">
        <f>"18:37:13.230"</f>
        <v>18:37:13.230</v>
      </c>
      <c r="BZ323">
        <v>0</v>
      </c>
      <c r="CA323">
        <v>3488</v>
      </c>
      <c r="CB323">
        <v>216</v>
      </c>
      <c r="CC323">
        <v>583.59379999999999</v>
      </c>
      <c r="CD323">
        <v>1</v>
      </c>
      <c r="CE323">
        <v>1</v>
      </c>
      <c r="CF323">
        <v>0</v>
      </c>
      <c r="CG323">
        <v>1</v>
      </c>
      <c r="CH323">
        <v>0</v>
      </c>
      <c r="CI323">
        <v>0</v>
      </c>
      <c r="CJ323">
        <v>0</v>
      </c>
      <c r="CK323">
        <v>2</v>
      </c>
      <c r="CL323">
        <v>0</v>
      </c>
      <c r="CM323">
        <v>2</v>
      </c>
      <c r="CN323">
        <v>0</v>
      </c>
      <c r="CO323">
        <v>6</v>
      </c>
      <c r="CP323" t="s">
        <v>119</v>
      </c>
      <c r="CQ323">
        <v>145</v>
      </c>
      <c r="CR323">
        <v>1</v>
      </c>
      <c r="CW323">
        <v>8899907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</row>
    <row r="324" spans="1:113" x14ac:dyDescent="0.3">
      <c r="A324" t="str">
        <f>"02/13/2022 18:37:13.543"</f>
        <v>02/13/2022 18:37:13.543</v>
      </c>
      <c r="C324" t="str">
        <f t="shared" si="29"/>
        <v>FFDFD7C0</v>
      </c>
      <c r="D324" t="s">
        <v>113</v>
      </c>
      <c r="E324">
        <v>4</v>
      </c>
      <c r="F324">
        <v>1004</v>
      </c>
      <c r="G324" t="s">
        <v>120</v>
      </c>
      <c r="J324" t="s">
        <v>115</v>
      </c>
      <c r="K324">
        <v>0</v>
      </c>
      <c r="L324">
        <v>3</v>
      </c>
      <c r="M324">
        <v>0</v>
      </c>
      <c r="N324">
        <v>2</v>
      </c>
      <c r="O324">
        <v>1</v>
      </c>
      <c r="P324">
        <v>0</v>
      </c>
      <c r="Q324">
        <v>0</v>
      </c>
      <c r="S324" t="str">
        <f>"18:37:13.227"</f>
        <v>18:37:13.227</v>
      </c>
      <c r="T324" t="str">
        <f>"18:37:12.927"</f>
        <v>18:37:12.927</v>
      </c>
      <c r="U324" t="str">
        <f t="shared" si="34"/>
        <v>AAB6EE</v>
      </c>
      <c r="V324">
        <v>0</v>
      </c>
      <c r="W324">
        <v>0</v>
      </c>
      <c r="X324">
        <v>4</v>
      </c>
      <c r="Z324">
        <v>0</v>
      </c>
      <c r="AA324">
        <v>8</v>
      </c>
      <c r="AB324">
        <v>3</v>
      </c>
      <c r="AC324">
        <v>0</v>
      </c>
      <c r="AD324">
        <v>10</v>
      </c>
      <c r="AE324">
        <v>0</v>
      </c>
      <c r="AF324">
        <v>0</v>
      </c>
      <c r="AG324">
        <v>1</v>
      </c>
      <c r="AH324">
        <v>1</v>
      </c>
      <c r="AI324" t="s">
        <v>337</v>
      </c>
      <c r="AJ324">
        <v>35.500453</v>
      </c>
      <c r="AK324" t="s">
        <v>338</v>
      </c>
      <c r="AL324">
        <v>-76.045968999999999</v>
      </c>
      <c r="AM324">
        <v>25</v>
      </c>
      <c r="AN324">
        <v>3450</v>
      </c>
      <c r="AO324" t="s">
        <v>118</v>
      </c>
      <c r="AP324">
        <v>-90</v>
      </c>
      <c r="AQ324">
        <v>-172</v>
      </c>
      <c r="AR324">
        <v>-64</v>
      </c>
      <c r="AZ324">
        <v>1200</v>
      </c>
      <c r="BA324">
        <v>1</v>
      </c>
      <c r="BB324" t="str">
        <f t="shared" si="30"/>
        <v xml:space="preserve">N79NX   </v>
      </c>
      <c r="BC324">
        <v>1</v>
      </c>
      <c r="BE324">
        <v>0</v>
      </c>
      <c r="BF324">
        <v>0</v>
      </c>
      <c r="BG324">
        <v>0</v>
      </c>
      <c r="BH324">
        <v>3325</v>
      </c>
      <c r="BI324">
        <v>0</v>
      </c>
      <c r="BJ324">
        <v>0</v>
      </c>
      <c r="BK324">
        <v>0</v>
      </c>
      <c r="BL324">
        <v>0</v>
      </c>
      <c r="BO324">
        <v>0</v>
      </c>
      <c r="BP324">
        <v>0</v>
      </c>
      <c r="BW324" t="str">
        <f>"18:37:13.230"</f>
        <v>18:37:13.230</v>
      </c>
      <c r="BZ324">
        <v>0</v>
      </c>
      <c r="CA324">
        <v>3488</v>
      </c>
      <c r="CB324">
        <v>216</v>
      </c>
      <c r="CC324">
        <v>583.59379999999999</v>
      </c>
      <c r="CD324">
        <v>1</v>
      </c>
      <c r="CE324">
        <v>1</v>
      </c>
      <c r="CF324">
        <v>0</v>
      </c>
      <c r="CG324">
        <v>1</v>
      </c>
      <c r="CH324">
        <v>0</v>
      </c>
      <c r="CI324">
        <v>0</v>
      </c>
      <c r="CJ324">
        <v>0</v>
      </c>
      <c r="CK324">
        <v>2</v>
      </c>
      <c r="CL324">
        <v>0</v>
      </c>
      <c r="CM324">
        <v>2</v>
      </c>
      <c r="CN324">
        <v>0</v>
      </c>
      <c r="CO324">
        <v>6</v>
      </c>
      <c r="CP324" t="s">
        <v>119</v>
      </c>
      <c r="CQ324">
        <v>145</v>
      </c>
      <c r="CR324">
        <v>1</v>
      </c>
      <c r="CW324">
        <v>8899907</v>
      </c>
      <c r="CY324">
        <v>0</v>
      </c>
      <c r="CZ324">
        <v>0</v>
      </c>
      <c r="DA324">
        <v>1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</row>
    <row r="325" spans="1:113" x14ac:dyDescent="0.3">
      <c r="A325" t="str">
        <f>"02/13/2022 18:37:13.543"</f>
        <v>02/13/2022 18:37:13.543</v>
      </c>
      <c r="C325" t="str">
        <f t="shared" ref="C325:C388" si="35">"FFDFD7C0"</f>
        <v>FFDFD7C0</v>
      </c>
      <c r="D325" t="s">
        <v>113</v>
      </c>
      <c r="E325">
        <v>3</v>
      </c>
      <c r="F325">
        <v>1003</v>
      </c>
      <c r="G325" t="s">
        <v>114</v>
      </c>
      <c r="J325" t="s">
        <v>115</v>
      </c>
      <c r="K325">
        <v>0</v>
      </c>
      <c r="L325">
        <v>3</v>
      </c>
      <c r="M325">
        <v>0</v>
      </c>
      <c r="N325">
        <v>2</v>
      </c>
      <c r="O325">
        <v>1</v>
      </c>
      <c r="P325">
        <v>0</v>
      </c>
      <c r="Q325">
        <v>0</v>
      </c>
      <c r="S325" t="str">
        <f>"18:37:13.227"</f>
        <v>18:37:13.227</v>
      </c>
      <c r="T325" t="str">
        <f>"18:37:12.927"</f>
        <v>18:37:12.927</v>
      </c>
      <c r="U325" t="str">
        <f t="shared" si="34"/>
        <v>AAB6EE</v>
      </c>
      <c r="V325">
        <v>0</v>
      </c>
      <c r="W325">
        <v>0</v>
      </c>
      <c r="X325">
        <v>4</v>
      </c>
      <c r="Z325">
        <v>0</v>
      </c>
      <c r="AA325">
        <v>8</v>
      </c>
      <c r="AB325">
        <v>3</v>
      </c>
      <c r="AC325">
        <v>0</v>
      </c>
      <c r="AD325">
        <v>10</v>
      </c>
      <c r="AE325">
        <v>0</v>
      </c>
      <c r="AF325">
        <v>0</v>
      </c>
      <c r="AG325">
        <v>1</v>
      </c>
      <c r="AH325">
        <v>1</v>
      </c>
      <c r="AI325" t="s">
        <v>337</v>
      </c>
      <c r="AJ325">
        <v>35.500453</v>
      </c>
      <c r="AK325" t="s">
        <v>338</v>
      </c>
      <c r="AL325">
        <v>-76.045968999999999</v>
      </c>
      <c r="AM325">
        <v>25</v>
      </c>
      <c r="AN325">
        <v>3450</v>
      </c>
      <c r="AO325" t="s">
        <v>118</v>
      </c>
      <c r="AP325">
        <v>-90</v>
      </c>
      <c r="AQ325">
        <v>-172</v>
      </c>
      <c r="AR325">
        <v>-64</v>
      </c>
      <c r="AZ325">
        <v>1200</v>
      </c>
      <c r="BA325">
        <v>1</v>
      </c>
      <c r="BB325" t="str">
        <f t="shared" ref="BB325:BB388" si="36">"N79NX   "</f>
        <v xml:space="preserve">N79NX   </v>
      </c>
      <c r="BC325">
        <v>1</v>
      </c>
      <c r="BE325">
        <v>0</v>
      </c>
      <c r="BF325">
        <v>0</v>
      </c>
      <c r="BG325">
        <v>0</v>
      </c>
      <c r="BH325">
        <v>3325</v>
      </c>
      <c r="BI325">
        <v>0</v>
      </c>
      <c r="BJ325">
        <v>0</v>
      </c>
      <c r="BK325">
        <v>0</v>
      </c>
      <c r="BL325">
        <v>0</v>
      </c>
      <c r="BO325">
        <v>0</v>
      </c>
      <c r="BP325">
        <v>0</v>
      </c>
      <c r="BW325" t="str">
        <f>"18:37:13.230"</f>
        <v>18:37:13.230</v>
      </c>
      <c r="BZ325">
        <v>0</v>
      </c>
      <c r="CA325">
        <v>3488</v>
      </c>
      <c r="CB325">
        <v>216</v>
      </c>
      <c r="CC325">
        <v>583.59379999999999</v>
      </c>
      <c r="CD325">
        <v>1</v>
      </c>
      <c r="CE325">
        <v>1</v>
      </c>
      <c r="CF325">
        <v>0</v>
      </c>
      <c r="CG325">
        <v>1</v>
      </c>
      <c r="CH325">
        <v>0</v>
      </c>
      <c r="CI325">
        <v>0</v>
      </c>
      <c r="CJ325">
        <v>0</v>
      </c>
      <c r="CK325">
        <v>2</v>
      </c>
      <c r="CL325">
        <v>0</v>
      </c>
      <c r="CM325">
        <v>2</v>
      </c>
      <c r="CN325">
        <v>0</v>
      </c>
      <c r="CO325">
        <v>6</v>
      </c>
      <c r="CP325" t="s">
        <v>119</v>
      </c>
      <c r="CQ325">
        <v>145</v>
      </c>
      <c r="CR325">
        <v>1</v>
      </c>
      <c r="CW325">
        <v>8899907</v>
      </c>
      <c r="CY325">
        <v>0</v>
      </c>
      <c r="CZ325">
        <v>0</v>
      </c>
      <c r="DA325">
        <v>1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</row>
    <row r="326" spans="1:113" x14ac:dyDescent="0.3">
      <c r="A326" t="str">
        <f>"02/13/2022 18:37:14.648"</f>
        <v>02/13/2022 18:37:14.648</v>
      </c>
      <c r="C326" t="str">
        <f t="shared" si="35"/>
        <v>FFDFD7C0</v>
      </c>
      <c r="D326" t="s">
        <v>121</v>
      </c>
      <c r="E326">
        <v>2</v>
      </c>
      <c r="H326">
        <v>158</v>
      </c>
      <c r="I326" t="s">
        <v>120</v>
      </c>
      <c r="J326" t="s">
        <v>122</v>
      </c>
      <c r="K326">
        <v>0</v>
      </c>
      <c r="L326">
        <v>3</v>
      </c>
      <c r="M326">
        <v>0</v>
      </c>
      <c r="N326">
        <v>2</v>
      </c>
      <c r="O326">
        <v>1</v>
      </c>
      <c r="P326">
        <v>0</v>
      </c>
      <c r="Q326">
        <v>0</v>
      </c>
      <c r="S326" t="str">
        <f t="shared" ref="S326:T328" si="37">"18:37:14.305"</f>
        <v>18:37:14.305</v>
      </c>
      <c r="T326" t="str">
        <f t="shared" si="37"/>
        <v>18:37:14.305</v>
      </c>
      <c r="U326" t="str">
        <f t="shared" si="34"/>
        <v>AAB6EE</v>
      </c>
      <c r="V326">
        <v>0</v>
      </c>
      <c r="W326">
        <v>0</v>
      </c>
      <c r="X326">
        <v>4</v>
      </c>
      <c r="Z326">
        <v>0</v>
      </c>
      <c r="AA326">
        <v>8</v>
      </c>
      <c r="AB326">
        <v>3</v>
      </c>
      <c r="AC326">
        <v>0</v>
      </c>
      <c r="AD326">
        <v>10</v>
      </c>
      <c r="AE326">
        <v>0</v>
      </c>
      <c r="AF326">
        <v>0</v>
      </c>
      <c r="AG326">
        <v>1</v>
      </c>
      <c r="AH326">
        <v>1</v>
      </c>
      <c r="AI326" t="s">
        <v>339</v>
      </c>
      <c r="AJ326">
        <v>35.499572999999998</v>
      </c>
      <c r="AK326" t="s">
        <v>340</v>
      </c>
      <c r="AL326">
        <v>-76.046504999999996</v>
      </c>
      <c r="AM326">
        <v>25</v>
      </c>
      <c r="AN326">
        <v>3450</v>
      </c>
      <c r="AO326" t="s">
        <v>118</v>
      </c>
      <c r="AP326">
        <v>-90</v>
      </c>
      <c r="AQ326">
        <v>-173</v>
      </c>
      <c r="AR326">
        <v>-64</v>
      </c>
      <c r="AZ326">
        <v>1200</v>
      </c>
      <c r="BA326">
        <v>1</v>
      </c>
      <c r="BB326" t="str">
        <f t="shared" si="36"/>
        <v xml:space="preserve">N79NX   </v>
      </c>
      <c r="BC326">
        <v>1</v>
      </c>
      <c r="BE326">
        <v>0</v>
      </c>
      <c r="BF326">
        <v>0</v>
      </c>
      <c r="BG326">
        <v>0</v>
      </c>
      <c r="BH326">
        <v>3325</v>
      </c>
      <c r="BI326">
        <v>0</v>
      </c>
      <c r="BJ326">
        <v>0</v>
      </c>
      <c r="BK326">
        <v>0</v>
      </c>
      <c r="BL326">
        <v>0</v>
      </c>
      <c r="BO326">
        <v>0</v>
      </c>
      <c r="BP326">
        <v>0</v>
      </c>
      <c r="BW326" t="str">
        <f>"18:37:14.310"</f>
        <v>18:37:14.310</v>
      </c>
      <c r="BZ326">
        <v>0</v>
      </c>
      <c r="CA326">
        <v>3488</v>
      </c>
      <c r="CB326">
        <v>216</v>
      </c>
      <c r="CC326">
        <v>583.59379999999999</v>
      </c>
      <c r="CD326">
        <v>1</v>
      </c>
      <c r="CE326">
        <v>1</v>
      </c>
      <c r="CF326">
        <v>0</v>
      </c>
      <c r="CG326">
        <v>1</v>
      </c>
      <c r="CH326">
        <v>0</v>
      </c>
      <c r="CI326">
        <v>0</v>
      </c>
      <c r="CJ326">
        <v>0</v>
      </c>
      <c r="CK326">
        <v>2</v>
      </c>
      <c r="CL326">
        <v>0</v>
      </c>
      <c r="CM326">
        <v>2</v>
      </c>
      <c r="CN326">
        <v>0</v>
      </c>
      <c r="CO326">
        <v>6</v>
      </c>
      <c r="CP326" t="s">
        <v>119</v>
      </c>
      <c r="CQ326">
        <v>145</v>
      </c>
      <c r="CR326">
        <v>1</v>
      </c>
      <c r="CW326">
        <v>8900403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</row>
    <row r="327" spans="1:113" x14ac:dyDescent="0.3">
      <c r="A327" t="str">
        <f>"02/13/2022 18:37:14.648"</f>
        <v>02/13/2022 18:37:14.648</v>
      </c>
      <c r="C327" t="str">
        <f t="shared" si="35"/>
        <v>FFDFD7C0</v>
      </c>
      <c r="D327" t="s">
        <v>113</v>
      </c>
      <c r="E327">
        <v>4</v>
      </c>
      <c r="F327">
        <v>1004</v>
      </c>
      <c r="G327" t="s">
        <v>120</v>
      </c>
      <c r="J327" t="s">
        <v>115</v>
      </c>
      <c r="K327">
        <v>0</v>
      </c>
      <c r="L327">
        <v>3</v>
      </c>
      <c r="M327">
        <v>0</v>
      </c>
      <c r="N327">
        <v>2</v>
      </c>
      <c r="O327">
        <v>1</v>
      </c>
      <c r="P327">
        <v>0</v>
      </c>
      <c r="Q327">
        <v>0</v>
      </c>
      <c r="S327" t="str">
        <f t="shared" si="37"/>
        <v>18:37:14.305</v>
      </c>
      <c r="T327" t="str">
        <f t="shared" si="37"/>
        <v>18:37:14.305</v>
      </c>
      <c r="U327" t="str">
        <f t="shared" si="34"/>
        <v>AAB6EE</v>
      </c>
      <c r="V327">
        <v>0</v>
      </c>
      <c r="W327">
        <v>0</v>
      </c>
      <c r="X327">
        <v>4</v>
      </c>
      <c r="Z327">
        <v>0</v>
      </c>
      <c r="AA327">
        <v>8</v>
      </c>
      <c r="AB327">
        <v>3</v>
      </c>
      <c r="AC327">
        <v>0</v>
      </c>
      <c r="AD327">
        <v>10</v>
      </c>
      <c r="AE327">
        <v>0</v>
      </c>
      <c r="AF327">
        <v>0</v>
      </c>
      <c r="AG327">
        <v>1</v>
      </c>
      <c r="AH327">
        <v>1</v>
      </c>
      <c r="AI327" t="s">
        <v>339</v>
      </c>
      <c r="AJ327">
        <v>35.499572999999998</v>
      </c>
      <c r="AK327" t="s">
        <v>340</v>
      </c>
      <c r="AL327">
        <v>-76.046504999999996</v>
      </c>
      <c r="AM327">
        <v>25</v>
      </c>
      <c r="AN327">
        <v>3450</v>
      </c>
      <c r="AO327" t="s">
        <v>118</v>
      </c>
      <c r="AP327">
        <v>-90</v>
      </c>
      <c r="AQ327">
        <v>-173</v>
      </c>
      <c r="AR327">
        <v>-64</v>
      </c>
      <c r="AZ327">
        <v>1200</v>
      </c>
      <c r="BA327">
        <v>1</v>
      </c>
      <c r="BB327" t="str">
        <f t="shared" si="36"/>
        <v xml:space="preserve">N79NX   </v>
      </c>
      <c r="BC327">
        <v>1</v>
      </c>
      <c r="BE327">
        <v>0</v>
      </c>
      <c r="BF327">
        <v>0</v>
      </c>
      <c r="BG327">
        <v>0</v>
      </c>
      <c r="BH327">
        <v>3325</v>
      </c>
      <c r="BI327">
        <v>0</v>
      </c>
      <c r="BJ327">
        <v>0</v>
      </c>
      <c r="BK327">
        <v>0</v>
      </c>
      <c r="BL327">
        <v>0</v>
      </c>
      <c r="BO327">
        <v>0</v>
      </c>
      <c r="BP327">
        <v>0</v>
      </c>
      <c r="BW327" t="str">
        <f>"18:37:14.310"</f>
        <v>18:37:14.310</v>
      </c>
      <c r="BZ327">
        <v>0</v>
      </c>
      <c r="CA327">
        <v>3488</v>
      </c>
      <c r="CB327">
        <v>216</v>
      </c>
      <c r="CC327">
        <v>583.59379999999999</v>
      </c>
      <c r="CD327">
        <v>1</v>
      </c>
      <c r="CE327">
        <v>1</v>
      </c>
      <c r="CF327">
        <v>0</v>
      </c>
      <c r="CG327">
        <v>1</v>
      </c>
      <c r="CH327">
        <v>0</v>
      </c>
      <c r="CI327">
        <v>0</v>
      </c>
      <c r="CJ327">
        <v>0</v>
      </c>
      <c r="CK327">
        <v>2</v>
      </c>
      <c r="CL327">
        <v>0</v>
      </c>
      <c r="CM327">
        <v>2</v>
      </c>
      <c r="CN327">
        <v>0</v>
      </c>
      <c r="CO327">
        <v>6</v>
      </c>
      <c r="CP327" t="s">
        <v>119</v>
      </c>
      <c r="CQ327">
        <v>145</v>
      </c>
      <c r="CR327">
        <v>1</v>
      </c>
      <c r="CW327">
        <v>8900403</v>
      </c>
      <c r="CY327">
        <v>0</v>
      </c>
      <c r="CZ327">
        <v>0</v>
      </c>
      <c r="DA327">
        <v>1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</row>
    <row r="328" spans="1:113" x14ac:dyDescent="0.3">
      <c r="A328" t="str">
        <f>"02/13/2022 18:37:14.648"</f>
        <v>02/13/2022 18:37:14.648</v>
      </c>
      <c r="C328" t="str">
        <f t="shared" si="35"/>
        <v>FFDFD7C0</v>
      </c>
      <c r="D328" t="s">
        <v>113</v>
      </c>
      <c r="E328">
        <v>3</v>
      </c>
      <c r="F328">
        <v>1003</v>
      </c>
      <c r="G328" t="s">
        <v>114</v>
      </c>
      <c r="J328" t="s">
        <v>115</v>
      </c>
      <c r="K328">
        <v>0</v>
      </c>
      <c r="L328">
        <v>3</v>
      </c>
      <c r="M328">
        <v>0</v>
      </c>
      <c r="N328">
        <v>2</v>
      </c>
      <c r="O328">
        <v>1</v>
      </c>
      <c r="P328">
        <v>0</v>
      </c>
      <c r="Q328">
        <v>0</v>
      </c>
      <c r="S328" t="str">
        <f t="shared" si="37"/>
        <v>18:37:14.305</v>
      </c>
      <c r="T328" t="str">
        <f t="shared" si="37"/>
        <v>18:37:14.305</v>
      </c>
      <c r="U328" t="str">
        <f t="shared" si="34"/>
        <v>AAB6EE</v>
      </c>
      <c r="V328">
        <v>0</v>
      </c>
      <c r="W328">
        <v>0</v>
      </c>
      <c r="X328">
        <v>4</v>
      </c>
      <c r="Z328">
        <v>0</v>
      </c>
      <c r="AA328">
        <v>8</v>
      </c>
      <c r="AB328">
        <v>3</v>
      </c>
      <c r="AC328">
        <v>0</v>
      </c>
      <c r="AD328">
        <v>10</v>
      </c>
      <c r="AE328">
        <v>0</v>
      </c>
      <c r="AF328">
        <v>0</v>
      </c>
      <c r="AG328">
        <v>1</v>
      </c>
      <c r="AH328">
        <v>1</v>
      </c>
      <c r="AI328" t="s">
        <v>339</v>
      </c>
      <c r="AJ328">
        <v>35.499572999999998</v>
      </c>
      <c r="AK328" t="s">
        <v>340</v>
      </c>
      <c r="AL328">
        <v>-76.046504999999996</v>
      </c>
      <c r="AM328">
        <v>25</v>
      </c>
      <c r="AN328">
        <v>3450</v>
      </c>
      <c r="AO328" t="s">
        <v>118</v>
      </c>
      <c r="AP328">
        <v>-90</v>
      </c>
      <c r="AQ328">
        <v>-173</v>
      </c>
      <c r="AR328">
        <v>-64</v>
      </c>
      <c r="AZ328">
        <v>1200</v>
      </c>
      <c r="BA328">
        <v>1</v>
      </c>
      <c r="BB328" t="str">
        <f t="shared" si="36"/>
        <v xml:space="preserve">N79NX   </v>
      </c>
      <c r="BC328">
        <v>1</v>
      </c>
      <c r="BE328">
        <v>0</v>
      </c>
      <c r="BF328">
        <v>0</v>
      </c>
      <c r="BG328">
        <v>0</v>
      </c>
      <c r="BH328">
        <v>3325</v>
      </c>
      <c r="BI328">
        <v>0</v>
      </c>
      <c r="BJ328">
        <v>0</v>
      </c>
      <c r="BK328">
        <v>0</v>
      </c>
      <c r="BL328">
        <v>0</v>
      </c>
      <c r="BO328">
        <v>0</v>
      </c>
      <c r="BP328">
        <v>0</v>
      </c>
      <c r="BW328" t="str">
        <f>"18:37:14.310"</f>
        <v>18:37:14.310</v>
      </c>
      <c r="BZ328">
        <v>0</v>
      </c>
      <c r="CA328">
        <v>3488</v>
      </c>
      <c r="CB328">
        <v>216</v>
      </c>
      <c r="CC328">
        <v>583.59379999999999</v>
      </c>
      <c r="CD328">
        <v>1</v>
      </c>
      <c r="CE328">
        <v>1</v>
      </c>
      <c r="CF328">
        <v>0</v>
      </c>
      <c r="CG328">
        <v>1</v>
      </c>
      <c r="CH328">
        <v>0</v>
      </c>
      <c r="CI328">
        <v>0</v>
      </c>
      <c r="CJ328">
        <v>0</v>
      </c>
      <c r="CK328">
        <v>2</v>
      </c>
      <c r="CL328">
        <v>0</v>
      </c>
      <c r="CM328">
        <v>2</v>
      </c>
      <c r="CN328">
        <v>0</v>
      </c>
      <c r="CO328">
        <v>6</v>
      </c>
      <c r="CP328" t="s">
        <v>119</v>
      </c>
      <c r="CQ328">
        <v>145</v>
      </c>
      <c r="CR328">
        <v>1</v>
      </c>
      <c r="CW328">
        <v>8900403</v>
      </c>
      <c r="CY328">
        <v>0</v>
      </c>
      <c r="CZ328">
        <v>0</v>
      </c>
      <c r="DA328">
        <v>1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</row>
    <row r="329" spans="1:113" x14ac:dyDescent="0.3">
      <c r="A329" t="str">
        <f>"02/13/2022 18:37:15.446"</f>
        <v>02/13/2022 18:37:15.446</v>
      </c>
      <c r="C329" t="str">
        <f t="shared" si="35"/>
        <v>FFDFD7C0</v>
      </c>
      <c r="D329" t="s">
        <v>121</v>
      </c>
      <c r="E329">
        <v>2</v>
      </c>
      <c r="H329">
        <v>158</v>
      </c>
      <c r="I329" t="s">
        <v>120</v>
      </c>
      <c r="J329" t="s">
        <v>122</v>
      </c>
      <c r="K329">
        <v>0</v>
      </c>
      <c r="L329">
        <v>3</v>
      </c>
      <c r="M329">
        <v>0</v>
      </c>
      <c r="N329">
        <v>2</v>
      </c>
      <c r="O329">
        <v>1</v>
      </c>
      <c r="P329">
        <v>0</v>
      </c>
      <c r="Q329">
        <v>0</v>
      </c>
      <c r="S329" t="str">
        <f>"18:37:15.234"</f>
        <v>18:37:15.234</v>
      </c>
      <c r="T329" t="str">
        <f>"18:37:14.834"</f>
        <v>18:37:14.834</v>
      </c>
      <c r="U329" t="str">
        <f t="shared" si="34"/>
        <v>AAB6EE</v>
      </c>
      <c r="V329">
        <v>0</v>
      </c>
      <c r="W329">
        <v>0</v>
      </c>
      <c r="X329">
        <v>4</v>
      </c>
      <c r="Z329">
        <v>0</v>
      </c>
      <c r="AA329">
        <v>8</v>
      </c>
      <c r="AB329">
        <v>3</v>
      </c>
      <c r="AC329">
        <v>0</v>
      </c>
      <c r="AD329">
        <v>10</v>
      </c>
      <c r="AE329">
        <v>0</v>
      </c>
      <c r="AF329">
        <v>0</v>
      </c>
      <c r="AG329">
        <v>1</v>
      </c>
      <c r="AH329">
        <v>1</v>
      </c>
      <c r="AI329" t="s">
        <v>341</v>
      </c>
      <c r="AJ329">
        <v>35.498821999999997</v>
      </c>
      <c r="AK329" t="s">
        <v>342</v>
      </c>
      <c r="AL329">
        <v>-76.046955999999994</v>
      </c>
      <c r="AM329">
        <v>25</v>
      </c>
      <c r="AN329">
        <v>3450</v>
      </c>
      <c r="AO329" t="s">
        <v>118</v>
      </c>
      <c r="AP329">
        <v>-90</v>
      </c>
      <c r="AQ329">
        <v>-173</v>
      </c>
      <c r="AR329">
        <v>-64</v>
      </c>
      <c r="AZ329">
        <v>1200</v>
      </c>
      <c r="BA329">
        <v>1</v>
      </c>
      <c r="BB329" t="str">
        <f t="shared" si="36"/>
        <v xml:space="preserve">N79NX   </v>
      </c>
      <c r="BC329">
        <v>1</v>
      </c>
      <c r="BE329">
        <v>0</v>
      </c>
      <c r="BF329">
        <v>0</v>
      </c>
      <c r="BG329">
        <v>0</v>
      </c>
      <c r="BH329">
        <v>3300</v>
      </c>
      <c r="BI329">
        <v>0</v>
      </c>
      <c r="BJ329">
        <v>0</v>
      </c>
      <c r="BK329">
        <v>0</v>
      </c>
      <c r="BL329">
        <v>0</v>
      </c>
      <c r="BO329">
        <v>0</v>
      </c>
      <c r="BP329">
        <v>0</v>
      </c>
      <c r="BW329" t="str">
        <f>"18:37:15.240"</f>
        <v>18:37:15.240</v>
      </c>
      <c r="BZ329">
        <v>0</v>
      </c>
      <c r="CA329">
        <v>3488</v>
      </c>
      <c r="CB329">
        <v>216</v>
      </c>
      <c r="CC329">
        <v>583.59379999999999</v>
      </c>
      <c r="CD329">
        <v>1</v>
      </c>
      <c r="CE329">
        <v>1</v>
      </c>
      <c r="CF329">
        <v>0</v>
      </c>
      <c r="CG329">
        <v>1</v>
      </c>
      <c r="CH329">
        <v>0</v>
      </c>
      <c r="CI329">
        <v>0</v>
      </c>
      <c r="CJ329">
        <v>0</v>
      </c>
      <c r="CK329">
        <v>2</v>
      </c>
      <c r="CL329">
        <v>0</v>
      </c>
      <c r="CM329">
        <v>2</v>
      </c>
      <c r="CN329">
        <v>0</v>
      </c>
      <c r="CO329">
        <v>6</v>
      </c>
      <c r="CP329" t="s">
        <v>119</v>
      </c>
      <c r="CQ329">
        <v>145</v>
      </c>
      <c r="CR329">
        <v>1</v>
      </c>
      <c r="CW329">
        <v>8900859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</row>
    <row r="330" spans="1:113" x14ac:dyDescent="0.3">
      <c r="A330" t="str">
        <f>"02/13/2022 18:37:15.446"</f>
        <v>02/13/2022 18:37:15.446</v>
      </c>
      <c r="C330" t="str">
        <f t="shared" si="35"/>
        <v>FFDFD7C0</v>
      </c>
      <c r="D330" t="s">
        <v>113</v>
      </c>
      <c r="E330">
        <v>4</v>
      </c>
      <c r="F330">
        <v>1004</v>
      </c>
      <c r="G330" t="s">
        <v>120</v>
      </c>
      <c r="J330" t="s">
        <v>115</v>
      </c>
      <c r="K330">
        <v>0</v>
      </c>
      <c r="L330">
        <v>3</v>
      </c>
      <c r="M330">
        <v>0</v>
      </c>
      <c r="N330">
        <v>2</v>
      </c>
      <c r="O330">
        <v>1</v>
      </c>
      <c r="P330">
        <v>0</v>
      </c>
      <c r="Q330">
        <v>0</v>
      </c>
      <c r="S330" t="str">
        <f>"18:37:15.234"</f>
        <v>18:37:15.234</v>
      </c>
      <c r="T330" t="str">
        <f>"18:37:14.834"</f>
        <v>18:37:14.834</v>
      </c>
      <c r="U330" t="str">
        <f t="shared" si="34"/>
        <v>AAB6EE</v>
      </c>
      <c r="V330">
        <v>0</v>
      </c>
      <c r="W330">
        <v>0</v>
      </c>
      <c r="X330">
        <v>4</v>
      </c>
      <c r="Z330">
        <v>0</v>
      </c>
      <c r="AA330">
        <v>8</v>
      </c>
      <c r="AB330">
        <v>3</v>
      </c>
      <c r="AC330">
        <v>0</v>
      </c>
      <c r="AD330">
        <v>10</v>
      </c>
      <c r="AE330">
        <v>0</v>
      </c>
      <c r="AF330">
        <v>0</v>
      </c>
      <c r="AG330">
        <v>1</v>
      </c>
      <c r="AH330">
        <v>1</v>
      </c>
      <c r="AI330" t="s">
        <v>341</v>
      </c>
      <c r="AJ330">
        <v>35.498821999999997</v>
      </c>
      <c r="AK330" t="s">
        <v>342</v>
      </c>
      <c r="AL330">
        <v>-76.046955999999994</v>
      </c>
      <c r="AM330">
        <v>25</v>
      </c>
      <c r="AN330">
        <v>3450</v>
      </c>
      <c r="AO330" t="s">
        <v>118</v>
      </c>
      <c r="AP330">
        <v>-90</v>
      </c>
      <c r="AQ330">
        <v>-173</v>
      </c>
      <c r="AR330">
        <v>-64</v>
      </c>
      <c r="AZ330">
        <v>1200</v>
      </c>
      <c r="BA330">
        <v>1</v>
      </c>
      <c r="BB330" t="str">
        <f t="shared" si="36"/>
        <v xml:space="preserve">N79NX   </v>
      </c>
      <c r="BC330">
        <v>1</v>
      </c>
      <c r="BE330">
        <v>0</v>
      </c>
      <c r="BF330">
        <v>0</v>
      </c>
      <c r="BG330">
        <v>0</v>
      </c>
      <c r="BH330">
        <v>3300</v>
      </c>
      <c r="BI330">
        <v>0</v>
      </c>
      <c r="BJ330">
        <v>0</v>
      </c>
      <c r="BK330">
        <v>0</v>
      </c>
      <c r="BL330">
        <v>0</v>
      </c>
      <c r="BO330">
        <v>0</v>
      </c>
      <c r="BP330">
        <v>0</v>
      </c>
      <c r="BW330" t="str">
        <f>"18:37:15.240"</f>
        <v>18:37:15.240</v>
      </c>
      <c r="BZ330">
        <v>0</v>
      </c>
      <c r="CA330">
        <v>3488</v>
      </c>
      <c r="CB330">
        <v>216</v>
      </c>
      <c r="CC330">
        <v>583.59379999999999</v>
      </c>
      <c r="CD330">
        <v>1</v>
      </c>
      <c r="CE330">
        <v>1</v>
      </c>
      <c r="CF330">
        <v>0</v>
      </c>
      <c r="CG330">
        <v>1</v>
      </c>
      <c r="CH330">
        <v>0</v>
      </c>
      <c r="CI330">
        <v>0</v>
      </c>
      <c r="CJ330">
        <v>0</v>
      </c>
      <c r="CK330">
        <v>2</v>
      </c>
      <c r="CL330">
        <v>0</v>
      </c>
      <c r="CM330">
        <v>2</v>
      </c>
      <c r="CN330">
        <v>0</v>
      </c>
      <c r="CO330">
        <v>6</v>
      </c>
      <c r="CP330" t="s">
        <v>119</v>
      </c>
      <c r="CQ330">
        <v>145</v>
      </c>
      <c r="CR330">
        <v>1</v>
      </c>
      <c r="CW330">
        <v>8900859</v>
      </c>
      <c r="CY330">
        <v>0</v>
      </c>
      <c r="CZ330">
        <v>0</v>
      </c>
      <c r="DA330">
        <v>1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</row>
    <row r="331" spans="1:113" x14ac:dyDescent="0.3">
      <c r="A331" t="str">
        <f>"02/13/2022 18:37:15.446"</f>
        <v>02/13/2022 18:37:15.446</v>
      </c>
      <c r="C331" t="str">
        <f t="shared" si="35"/>
        <v>FFDFD7C0</v>
      </c>
      <c r="D331" t="s">
        <v>113</v>
      </c>
      <c r="E331">
        <v>3</v>
      </c>
      <c r="F331">
        <v>1003</v>
      </c>
      <c r="G331" t="s">
        <v>114</v>
      </c>
      <c r="J331" t="s">
        <v>115</v>
      </c>
      <c r="K331">
        <v>0</v>
      </c>
      <c r="L331">
        <v>3</v>
      </c>
      <c r="M331">
        <v>0</v>
      </c>
      <c r="N331">
        <v>2</v>
      </c>
      <c r="O331">
        <v>1</v>
      </c>
      <c r="P331">
        <v>0</v>
      </c>
      <c r="Q331">
        <v>0</v>
      </c>
      <c r="S331" t="str">
        <f>"18:37:15.234"</f>
        <v>18:37:15.234</v>
      </c>
      <c r="T331" t="str">
        <f>"18:37:14.834"</f>
        <v>18:37:14.834</v>
      </c>
      <c r="U331" t="str">
        <f t="shared" si="34"/>
        <v>AAB6EE</v>
      </c>
      <c r="V331">
        <v>0</v>
      </c>
      <c r="W331">
        <v>0</v>
      </c>
      <c r="X331">
        <v>4</v>
      </c>
      <c r="Z331">
        <v>0</v>
      </c>
      <c r="AA331">
        <v>8</v>
      </c>
      <c r="AB331">
        <v>3</v>
      </c>
      <c r="AC331">
        <v>0</v>
      </c>
      <c r="AD331">
        <v>10</v>
      </c>
      <c r="AE331">
        <v>0</v>
      </c>
      <c r="AF331">
        <v>0</v>
      </c>
      <c r="AG331">
        <v>1</v>
      </c>
      <c r="AH331">
        <v>1</v>
      </c>
      <c r="AI331" t="s">
        <v>341</v>
      </c>
      <c r="AJ331">
        <v>35.498821999999997</v>
      </c>
      <c r="AK331" t="s">
        <v>342</v>
      </c>
      <c r="AL331">
        <v>-76.046955999999994</v>
      </c>
      <c r="AM331">
        <v>25</v>
      </c>
      <c r="AN331">
        <v>3450</v>
      </c>
      <c r="AO331" t="s">
        <v>118</v>
      </c>
      <c r="AP331">
        <v>-90</v>
      </c>
      <c r="AQ331">
        <v>-173</v>
      </c>
      <c r="AR331">
        <v>-64</v>
      </c>
      <c r="AZ331">
        <v>1200</v>
      </c>
      <c r="BA331">
        <v>1</v>
      </c>
      <c r="BB331" t="str">
        <f t="shared" si="36"/>
        <v xml:space="preserve">N79NX   </v>
      </c>
      <c r="BC331">
        <v>1</v>
      </c>
      <c r="BE331">
        <v>0</v>
      </c>
      <c r="BF331">
        <v>0</v>
      </c>
      <c r="BG331">
        <v>0</v>
      </c>
      <c r="BH331">
        <v>3300</v>
      </c>
      <c r="BI331">
        <v>0</v>
      </c>
      <c r="BJ331">
        <v>0</v>
      </c>
      <c r="BK331">
        <v>0</v>
      </c>
      <c r="BL331">
        <v>0</v>
      </c>
      <c r="BO331">
        <v>0</v>
      </c>
      <c r="BP331">
        <v>0</v>
      </c>
      <c r="BW331" t="str">
        <f>"18:37:15.240"</f>
        <v>18:37:15.240</v>
      </c>
      <c r="BZ331">
        <v>0</v>
      </c>
      <c r="CA331">
        <v>3488</v>
      </c>
      <c r="CB331">
        <v>216</v>
      </c>
      <c r="CC331">
        <v>583.59379999999999</v>
      </c>
      <c r="CD331">
        <v>1</v>
      </c>
      <c r="CE331">
        <v>1</v>
      </c>
      <c r="CF331">
        <v>0</v>
      </c>
      <c r="CG331">
        <v>1</v>
      </c>
      <c r="CH331">
        <v>0</v>
      </c>
      <c r="CI331">
        <v>0</v>
      </c>
      <c r="CJ331">
        <v>0</v>
      </c>
      <c r="CK331">
        <v>2</v>
      </c>
      <c r="CL331">
        <v>0</v>
      </c>
      <c r="CM331">
        <v>2</v>
      </c>
      <c r="CN331">
        <v>0</v>
      </c>
      <c r="CO331">
        <v>6</v>
      </c>
      <c r="CP331" t="s">
        <v>119</v>
      </c>
      <c r="CQ331">
        <v>145</v>
      </c>
      <c r="CR331">
        <v>1</v>
      </c>
      <c r="CW331">
        <v>8900859</v>
      </c>
      <c r="CY331">
        <v>0</v>
      </c>
      <c r="CZ331">
        <v>0</v>
      </c>
      <c r="DA331">
        <v>1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</row>
    <row r="332" spans="1:113" x14ac:dyDescent="0.3">
      <c r="A332" t="str">
        <f>"02/13/2022 18:37:16.634"</f>
        <v>02/13/2022 18:37:16.634</v>
      </c>
      <c r="C332" t="str">
        <f t="shared" si="35"/>
        <v>FFDFD7C0</v>
      </c>
      <c r="D332" t="s">
        <v>121</v>
      </c>
      <c r="E332">
        <v>2</v>
      </c>
      <c r="H332">
        <v>158</v>
      </c>
      <c r="I332" t="s">
        <v>120</v>
      </c>
      <c r="J332" t="s">
        <v>122</v>
      </c>
      <c r="K332">
        <v>0</v>
      </c>
      <c r="L332">
        <v>3</v>
      </c>
      <c r="M332">
        <v>0</v>
      </c>
      <c r="N332">
        <v>2</v>
      </c>
      <c r="O332">
        <v>1</v>
      </c>
      <c r="P332">
        <v>0</v>
      </c>
      <c r="Q332">
        <v>0</v>
      </c>
      <c r="S332" t="str">
        <f>"18:37:16.398"</f>
        <v>18:37:16.398</v>
      </c>
      <c r="T332" t="str">
        <f>"18:37:16.298"</f>
        <v>18:37:16.298</v>
      </c>
      <c r="U332" t="str">
        <f t="shared" si="34"/>
        <v>AAB6EE</v>
      </c>
      <c r="V332">
        <v>0</v>
      </c>
      <c r="W332">
        <v>0</v>
      </c>
      <c r="X332">
        <v>4</v>
      </c>
      <c r="Z332">
        <v>0</v>
      </c>
      <c r="AA332">
        <v>8</v>
      </c>
      <c r="AB332">
        <v>3</v>
      </c>
      <c r="AC332">
        <v>0</v>
      </c>
      <c r="AD332">
        <v>10</v>
      </c>
      <c r="AE332">
        <v>0</v>
      </c>
      <c r="AF332">
        <v>0</v>
      </c>
      <c r="AG332">
        <v>1</v>
      </c>
      <c r="AH332">
        <v>1</v>
      </c>
      <c r="AI332" t="s">
        <v>343</v>
      </c>
      <c r="AJ332">
        <v>35.497920999999998</v>
      </c>
      <c r="AK332" t="s">
        <v>344</v>
      </c>
      <c r="AL332">
        <v>-76.047534999999996</v>
      </c>
      <c r="AM332">
        <v>25</v>
      </c>
      <c r="AN332">
        <v>3450</v>
      </c>
      <c r="AO332" t="s">
        <v>118</v>
      </c>
      <c r="AP332">
        <v>-90</v>
      </c>
      <c r="AQ332">
        <v>-174</v>
      </c>
      <c r="AR332">
        <v>-64</v>
      </c>
      <c r="AZ332">
        <v>1200</v>
      </c>
      <c r="BA332">
        <v>1</v>
      </c>
      <c r="BB332" t="str">
        <f t="shared" si="36"/>
        <v xml:space="preserve">N79NX   </v>
      </c>
      <c r="BC332">
        <v>1</v>
      </c>
      <c r="BE332">
        <v>0</v>
      </c>
      <c r="BF332">
        <v>0</v>
      </c>
      <c r="BG332">
        <v>0</v>
      </c>
      <c r="BH332">
        <v>3300</v>
      </c>
      <c r="BI332">
        <v>0</v>
      </c>
      <c r="BJ332">
        <v>0</v>
      </c>
      <c r="BK332">
        <v>0</v>
      </c>
      <c r="BL332">
        <v>0</v>
      </c>
      <c r="BO332">
        <v>0</v>
      </c>
      <c r="BP332">
        <v>0</v>
      </c>
      <c r="BW332" t="str">
        <f>"18:37:16.400"</f>
        <v>18:37:16.400</v>
      </c>
      <c r="BZ332">
        <v>0</v>
      </c>
      <c r="CA332">
        <v>3488</v>
      </c>
      <c r="CB332">
        <v>216</v>
      </c>
      <c r="CC332">
        <v>583.59379999999999</v>
      </c>
      <c r="CD332">
        <v>1</v>
      </c>
      <c r="CE332">
        <v>1</v>
      </c>
      <c r="CF332">
        <v>0</v>
      </c>
      <c r="CG332">
        <v>1</v>
      </c>
      <c r="CH332">
        <v>0</v>
      </c>
      <c r="CI332">
        <v>0</v>
      </c>
      <c r="CJ332">
        <v>0</v>
      </c>
      <c r="CK332">
        <v>2</v>
      </c>
      <c r="CL332">
        <v>0</v>
      </c>
      <c r="CM332">
        <v>2</v>
      </c>
      <c r="CN332">
        <v>0</v>
      </c>
      <c r="CO332">
        <v>6</v>
      </c>
      <c r="CP332" t="s">
        <v>119</v>
      </c>
      <c r="CQ332">
        <v>145</v>
      </c>
      <c r="CR332">
        <v>1</v>
      </c>
      <c r="CW332">
        <v>8901448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</row>
    <row r="333" spans="1:113" x14ac:dyDescent="0.3">
      <c r="A333" t="str">
        <f>"02/13/2022 18:37:16.649"</f>
        <v>02/13/2022 18:37:16.649</v>
      </c>
      <c r="C333" t="str">
        <f t="shared" si="35"/>
        <v>FFDFD7C0</v>
      </c>
      <c r="D333" t="s">
        <v>113</v>
      </c>
      <c r="E333">
        <v>4</v>
      </c>
      <c r="F333">
        <v>1004</v>
      </c>
      <c r="G333" t="s">
        <v>120</v>
      </c>
      <c r="J333" t="s">
        <v>115</v>
      </c>
      <c r="K333">
        <v>0</v>
      </c>
      <c r="L333">
        <v>3</v>
      </c>
      <c r="M333">
        <v>0</v>
      </c>
      <c r="N333">
        <v>2</v>
      </c>
      <c r="O333">
        <v>1</v>
      </c>
      <c r="P333">
        <v>0</v>
      </c>
      <c r="Q333">
        <v>0</v>
      </c>
      <c r="S333" t="str">
        <f>"18:37:16.398"</f>
        <v>18:37:16.398</v>
      </c>
      <c r="T333" t="str">
        <f>"18:37:16.298"</f>
        <v>18:37:16.298</v>
      </c>
      <c r="U333" t="str">
        <f t="shared" si="34"/>
        <v>AAB6EE</v>
      </c>
      <c r="V333">
        <v>0</v>
      </c>
      <c r="W333">
        <v>0</v>
      </c>
      <c r="X333">
        <v>4</v>
      </c>
      <c r="Z333">
        <v>0</v>
      </c>
      <c r="AA333">
        <v>8</v>
      </c>
      <c r="AB333">
        <v>3</v>
      </c>
      <c r="AC333">
        <v>0</v>
      </c>
      <c r="AD333">
        <v>10</v>
      </c>
      <c r="AE333">
        <v>0</v>
      </c>
      <c r="AF333">
        <v>0</v>
      </c>
      <c r="AG333">
        <v>1</v>
      </c>
      <c r="AH333">
        <v>1</v>
      </c>
      <c r="AI333" t="s">
        <v>343</v>
      </c>
      <c r="AJ333">
        <v>35.497920999999998</v>
      </c>
      <c r="AK333" t="s">
        <v>344</v>
      </c>
      <c r="AL333">
        <v>-76.047534999999996</v>
      </c>
      <c r="AM333">
        <v>25</v>
      </c>
      <c r="AN333">
        <v>3450</v>
      </c>
      <c r="AO333" t="s">
        <v>118</v>
      </c>
      <c r="AP333">
        <v>-90</v>
      </c>
      <c r="AQ333">
        <v>-174</v>
      </c>
      <c r="AR333">
        <v>-64</v>
      </c>
      <c r="AZ333">
        <v>1200</v>
      </c>
      <c r="BA333">
        <v>1</v>
      </c>
      <c r="BB333" t="str">
        <f t="shared" si="36"/>
        <v xml:space="preserve">N79NX   </v>
      </c>
      <c r="BC333">
        <v>1</v>
      </c>
      <c r="BE333">
        <v>0</v>
      </c>
      <c r="BF333">
        <v>0</v>
      </c>
      <c r="BG333">
        <v>0</v>
      </c>
      <c r="BH333">
        <v>3300</v>
      </c>
      <c r="BI333">
        <v>0</v>
      </c>
      <c r="BJ333">
        <v>0</v>
      </c>
      <c r="BK333">
        <v>0</v>
      </c>
      <c r="BL333">
        <v>0</v>
      </c>
      <c r="BO333">
        <v>0</v>
      </c>
      <c r="BP333">
        <v>0</v>
      </c>
      <c r="BW333" t="str">
        <f>"18:37:16.400"</f>
        <v>18:37:16.400</v>
      </c>
      <c r="BZ333">
        <v>0</v>
      </c>
      <c r="CA333">
        <v>3488</v>
      </c>
      <c r="CB333">
        <v>216</v>
      </c>
      <c r="CC333">
        <v>583.59379999999999</v>
      </c>
      <c r="CD333">
        <v>1</v>
      </c>
      <c r="CE333">
        <v>1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2</v>
      </c>
      <c r="CL333">
        <v>0</v>
      </c>
      <c r="CM333">
        <v>2</v>
      </c>
      <c r="CN333">
        <v>0</v>
      </c>
      <c r="CO333">
        <v>6</v>
      </c>
      <c r="CP333" t="s">
        <v>119</v>
      </c>
      <c r="CQ333">
        <v>145</v>
      </c>
      <c r="CR333">
        <v>1</v>
      </c>
      <c r="CW333">
        <v>8901448</v>
      </c>
      <c r="CY333">
        <v>0</v>
      </c>
      <c r="CZ333">
        <v>0</v>
      </c>
      <c r="DA333">
        <v>1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</row>
    <row r="334" spans="1:113" x14ac:dyDescent="0.3">
      <c r="A334" t="str">
        <f>"02/13/2022 18:37:16.649"</f>
        <v>02/13/2022 18:37:16.649</v>
      </c>
      <c r="C334" t="str">
        <f t="shared" si="35"/>
        <v>FFDFD7C0</v>
      </c>
      <c r="D334" t="s">
        <v>113</v>
      </c>
      <c r="E334">
        <v>3</v>
      </c>
      <c r="F334">
        <v>1003</v>
      </c>
      <c r="G334" t="s">
        <v>114</v>
      </c>
      <c r="J334" t="s">
        <v>115</v>
      </c>
      <c r="K334">
        <v>0</v>
      </c>
      <c r="L334">
        <v>3</v>
      </c>
      <c r="M334">
        <v>0</v>
      </c>
      <c r="N334">
        <v>2</v>
      </c>
      <c r="O334">
        <v>1</v>
      </c>
      <c r="P334">
        <v>0</v>
      </c>
      <c r="Q334">
        <v>0</v>
      </c>
      <c r="S334" t="str">
        <f>"18:37:16.398"</f>
        <v>18:37:16.398</v>
      </c>
      <c r="T334" t="str">
        <f>"18:37:16.298"</f>
        <v>18:37:16.298</v>
      </c>
      <c r="U334" t="str">
        <f t="shared" si="34"/>
        <v>AAB6EE</v>
      </c>
      <c r="V334">
        <v>0</v>
      </c>
      <c r="W334">
        <v>0</v>
      </c>
      <c r="X334">
        <v>4</v>
      </c>
      <c r="Z334">
        <v>0</v>
      </c>
      <c r="AA334">
        <v>8</v>
      </c>
      <c r="AB334">
        <v>3</v>
      </c>
      <c r="AC334">
        <v>0</v>
      </c>
      <c r="AD334">
        <v>10</v>
      </c>
      <c r="AE334">
        <v>0</v>
      </c>
      <c r="AF334">
        <v>0</v>
      </c>
      <c r="AG334">
        <v>1</v>
      </c>
      <c r="AH334">
        <v>1</v>
      </c>
      <c r="AI334" t="s">
        <v>343</v>
      </c>
      <c r="AJ334">
        <v>35.497920999999998</v>
      </c>
      <c r="AK334" t="s">
        <v>344</v>
      </c>
      <c r="AL334">
        <v>-76.047534999999996</v>
      </c>
      <c r="AM334">
        <v>25</v>
      </c>
      <c r="AN334">
        <v>3450</v>
      </c>
      <c r="AO334" t="s">
        <v>118</v>
      </c>
      <c r="AP334">
        <v>-90</v>
      </c>
      <c r="AQ334">
        <v>-174</v>
      </c>
      <c r="AR334">
        <v>-64</v>
      </c>
      <c r="AZ334">
        <v>1200</v>
      </c>
      <c r="BA334">
        <v>1</v>
      </c>
      <c r="BB334" t="str">
        <f t="shared" si="36"/>
        <v xml:space="preserve">N79NX   </v>
      </c>
      <c r="BC334">
        <v>1</v>
      </c>
      <c r="BE334">
        <v>0</v>
      </c>
      <c r="BF334">
        <v>0</v>
      </c>
      <c r="BG334">
        <v>0</v>
      </c>
      <c r="BH334">
        <v>3300</v>
      </c>
      <c r="BI334">
        <v>0</v>
      </c>
      <c r="BJ334">
        <v>0</v>
      </c>
      <c r="BK334">
        <v>0</v>
      </c>
      <c r="BL334">
        <v>0</v>
      </c>
      <c r="BO334">
        <v>0</v>
      </c>
      <c r="BP334">
        <v>0</v>
      </c>
      <c r="BW334" t="str">
        <f>"18:37:16.400"</f>
        <v>18:37:16.400</v>
      </c>
      <c r="BZ334">
        <v>0</v>
      </c>
      <c r="CA334">
        <v>3488</v>
      </c>
      <c r="CB334">
        <v>216</v>
      </c>
      <c r="CC334">
        <v>583.59379999999999</v>
      </c>
      <c r="CD334">
        <v>1</v>
      </c>
      <c r="CE334">
        <v>1</v>
      </c>
      <c r="CF334">
        <v>0</v>
      </c>
      <c r="CG334">
        <v>1</v>
      </c>
      <c r="CH334">
        <v>0</v>
      </c>
      <c r="CI334">
        <v>0</v>
      </c>
      <c r="CJ334">
        <v>0</v>
      </c>
      <c r="CK334">
        <v>2</v>
      </c>
      <c r="CL334">
        <v>0</v>
      </c>
      <c r="CM334">
        <v>2</v>
      </c>
      <c r="CN334">
        <v>0</v>
      </c>
      <c r="CO334">
        <v>6</v>
      </c>
      <c r="CP334" t="s">
        <v>119</v>
      </c>
      <c r="CQ334">
        <v>145</v>
      </c>
      <c r="CR334">
        <v>1</v>
      </c>
      <c r="CW334">
        <v>8901448</v>
      </c>
      <c r="CY334">
        <v>0</v>
      </c>
      <c r="CZ334">
        <v>0</v>
      </c>
      <c r="DA334">
        <v>1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</row>
    <row r="335" spans="1:113" x14ac:dyDescent="0.3">
      <c r="A335" t="str">
        <f>"02/13/2022 18:37:17.696"</f>
        <v>02/13/2022 18:37:17.696</v>
      </c>
      <c r="C335" t="str">
        <f t="shared" si="35"/>
        <v>FFDFD7C0</v>
      </c>
      <c r="D335" t="s">
        <v>121</v>
      </c>
      <c r="E335">
        <v>2</v>
      </c>
      <c r="H335">
        <v>158</v>
      </c>
      <c r="I335" t="s">
        <v>120</v>
      </c>
      <c r="J335" t="s">
        <v>122</v>
      </c>
      <c r="K335">
        <v>0</v>
      </c>
      <c r="L335">
        <v>3</v>
      </c>
      <c r="M335">
        <v>0</v>
      </c>
      <c r="N335">
        <v>2</v>
      </c>
      <c r="O335">
        <v>1</v>
      </c>
      <c r="P335">
        <v>0</v>
      </c>
      <c r="Q335">
        <v>0</v>
      </c>
      <c r="S335" t="str">
        <f>"18:37:17.477"</f>
        <v>18:37:17.477</v>
      </c>
      <c r="T335" t="str">
        <f>"18:37:17.177"</f>
        <v>18:37:17.177</v>
      </c>
      <c r="U335" t="str">
        <f t="shared" si="34"/>
        <v>AAB6EE</v>
      </c>
      <c r="V335">
        <v>0</v>
      </c>
      <c r="W335">
        <v>0</v>
      </c>
      <c r="X335">
        <v>4</v>
      </c>
      <c r="Z335">
        <v>0</v>
      </c>
      <c r="AA335">
        <v>8</v>
      </c>
      <c r="AB335">
        <v>3</v>
      </c>
      <c r="AC335">
        <v>0</v>
      </c>
      <c r="AD335">
        <v>10</v>
      </c>
      <c r="AE335">
        <v>0</v>
      </c>
      <c r="AF335">
        <v>0</v>
      </c>
      <c r="AG335">
        <v>1</v>
      </c>
      <c r="AH335">
        <v>1</v>
      </c>
      <c r="AI335" t="s">
        <v>345</v>
      </c>
      <c r="AJ335">
        <v>35.497062</v>
      </c>
      <c r="AK335" t="s">
        <v>346</v>
      </c>
      <c r="AL335">
        <v>-76.048070999999993</v>
      </c>
      <c r="AM335">
        <v>25</v>
      </c>
      <c r="AN335">
        <v>3450</v>
      </c>
      <c r="AO335" t="s">
        <v>118</v>
      </c>
      <c r="AP335">
        <v>-90</v>
      </c>
      <c r="AQ335">
        <v>-175</v>
      </c>
      <c r="AR335">
        <v>-64</v>
      </c>
      <c r="AZ335">
        <v>1200</v>
      </c>
      <c r="BA335">
        <v>1</v>
      </c>
      <c r="BB335" t="str">
        <f t="shared" si="36"/>
        <v xml:space="preserve">N79NX   </v>
      </c>
      <c r="BC335">
        <v>1</v>
      </c>
      <c r="BE335">
        <v>0</v>
      </c>
      <c r="BF335">
        <v>0</v>
      </c>
      <c r="BG335">
        <v>0</v>
      </c>
      <c r="BH335">
        <v>3325</v>
      </c>
      <c r="BI335">
        <v>0</v>
      </c>
      <c r="BJ335">
        <v>0</v>
      </c>
      <c r="BK335">
        <v>0</v>
      </c>
      <c r="BL335">
        <v>0</v>
      </c>
      <c r="BO335">
        <v>0</v>
      </c>
      <c r="BP335">
        <v>0</v>
      </c>
      <c r="BW335" t="str">
        <f>"18:37:17.480"</f>
        <v>18:37:17.480</v>
      </c>
      <c r="BZ335">
        <v>0</v>
      </c>
      <c r="CA335">
        <v>3488</v>
      </c>
      <c r="CB335">
        <v>216</v>
      </c>
      <c r="CC335">
        <v>583.59379999999999</v>
      </c>
      <c r="CD335">
        <v>1</v>
      </c>
      <c r="CE335">
        <v>1</v>
      </c>
      <c r="CF335">
        <v>0</v>
      </c>
      <c r="CG335">
        <v>1</v>
      </c>
      <c r="CH335">
        <v>0</v>
      </c>
      <c r="CI335">
        <v>0</v>
      </c>
      <c r="CJ335">
        <v>0</v>
      </c>
      <c r="CK335">
        <v>2</v>
      </c>
      <c r="CL335">
        <v>0</v>
      </c>
      <c r="CM335">
        <v>2</v>
      </c>
      <c r="CN335">
        <v>0</v>
      </c>
      <c r="CO335">
        <v>6</v>
      </c>
      <c r="CP335" t="s">
        <v>119</v>
      </c>
      <c r="CQ335">
        <v>145</v>
      </c>
      <c r="CR335">
        <v>1</v>
      </c>
      <c r="CW335">
        <v>8901923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</row>
    <row r="336" spans="1:113" x14ac:dyDescent="0.3">
      <c r="A336" t="str">
        <f>"02/13/2022 18:37:17.696"</f>
        <v>02/13/2022 18:37:17.696</v>
      </c>
      <c r="C336" t="str">
        <f t="shared" si="35"/>
        <v>FFDFD7C0</v>
      </c>
      <c r="D336" t="s">
        <v>113</v>
      </c>
      <c r="E336">
        <v>4</v>
      </c>
      <c r="F336">
        <v>1004</v>
      </c>
      <c r="G336" t="s">
        <v>120</v>
      </c>
      <c r="J336" t="s">
        <v>115</v>
      </c>
      <c r="K336">
        <v>0</v>
      </c>
      <c r="L336">
        <v>3</v>
      </c>
      <c r="M336">
        <v>0</v>
      </c>
      <c r="N336">
        <v>2</v>
      </c>
      <c r="O336">
        <v>1</v>
      </c>
      <c r="P336">
        <v>0</v>
      </c>
      <c r="Q336">
        <v>0</v>
      </c>
      <c r="S336" t="str">
        <f>"18:37:17.477"</f>
        <v>18:37:17.477</v>
      </c>
      <c r="T336" t="str">
        <f>"18:37:17.177"</f>
        <v>18:37:17.177</v>
      </c>
      <c r="U336" t="str">
        <f t="shared" si="34"/>
        <v>AAB6EE</v>
      </c>
      <c r="V336">
        <v>0</v>
      </c>
      <c r="W336">
        <v>0</v>
      </c>
      <c r="X336">
        <v>4</v>
      </c>
      <c r="Z336">
        <v>0</v>
      </c>
      <c r="AA336">
        <v>8</v>
      </c>
      <c r="AB336">
        <v>3</v>
      </c>
      <c r="AC336">
        <v>0</v>
      </c>
      <c r="AD336">
        <v>10</v>
      </c>
      <c r="AE336">
        <v>0</v>
      </c>
      <c r="AF336">
        <v>0</v>
      </c>
      <c r="AG336">
        <v>1</v>
      </c>
      <c r="AH336">
        <v>1</v>
      </c>
      <c r="AI336" t="s">
        <v>345</v>
      </c>
      <c r="AJ336">
        <v>35.497062</v>
      </c>
      <c r="AK336" t="s">
        <v>346</v>
      </c>
      <c r="AL336">
        <v>-76.048070999999993</v>
      </c>
      <c r="AM336">
        <v>25</v>
      </c>
      <c r="AN336">
        <v>3450</v>
      </c>
      <c r="AO336" t="s">
        <v>118</v>
      </c>
      <c r="AP336">
        <v>-90</v>
      </c>
      <c r="AQ336">
        <v>-175</v>
      </c>
      <c r="AR336">
        <v>-64</v>
      </c>
      <c r="AZ336">
        <v>1200</v>
      </c>
      <c r="BA336">
        <v>1</v>
      </c>
      <c r="BB336" t="str">
        <f t="shared" si="36"/>
        <v xml:space="preserve">N79NX   </v>
      </c>
      <c r="BC336">
        <v>1</v>
      </c>
      <c r="BE336">
        <v>0</v>
      </c>
      <c r="BF336">
        <v>0</v>
      </c>
      <c r="BG336">
        <v>0</v>
      </c>
      <c r="BH336">
        <v>3325</v>
      </c>
      <c r="BI336">
        <v>0</v>
      </c>
      <c r="BJ336">
        <v>0</v>
      </c>
      <c r="BK336">
        <v>0</v>
      </c>
      <c r="BL336">
        <v>0</v>
      </c>
      <c r="BO336">
        <v>0</v>
      </c>
      <c r="BP336">
        <v>0</v>
      </c>
      <c r="BW336" t="str">
        <f>"18:37:17.480"</f>
        <v>18:37:17.480</v>
      </c>
      <c r="BZ336">
        <v>0</v>
      </c>
      <c r="CA336">
        <v>3488</v>
      </c>
      <c r="CB336">
        <v>216</v>
      </c>
      <c r="CC336">
        <v>583.59379999999999</v>
      </c>
      <c r="CD336">
        <v>1</v>
      </c>
      <c r="CE336">
        <v>1</v>
      </c>
      <c r="CF336">
        <v>0</v>
      </c>
      <c r="CG336">
        <v>1</v>
      </c>
      <c r="CH336">
        <v>0</v>
      </c>
      <c r="CI336">
        <v>0</v>
      </c>
      <c r="CJ336">
        <v>0</v>
      </c>
      <c r="CK336">
        <v>2</v>
      </c>
      <c r="CL336">
        <v>0</v>
      </c>
      <c r="CM336">
        <v>2</v>
      </c>
      <c r="CN336">
        <v>0</v>
      </c>
      <c r="CO336">
        <v>6</v>
      </c>
      <c r="CP336" t="s">
        <v>119</v>
      </c>
      <c r="CQ336">
        <v>145</v>
      </c>
      <c r="CR336">
        <v>1</v>
      </c>
      <c r="CW336">
        <v>8901923</v>
      </c>
      <c r="CY336">
        <v>0</v>
      </c>
      <c r="CZ336">
        <v>0</v>
      </c>
      <c r="DA336">
        <v>1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</row>
    <row r="337" spans="1:113" x14ac:dyDescent="0.3">
      <c r="A337" t="str">
        <f>"02/13/2022 18:37:17.696"</f>
        <v>02/13/2022 18:37:17.696</v>
      </c>
      <c r="C337" t="str">
        <f t="shared" si="35"/>
        <v>FFDFD7C0</v>
      </c>
      <c r="D337" t="s">
        <v>113</v>
      </c>
      <c r="E337">
        <v>3</v>
      </c>
      <c r="F337">
        <v>1003</v>
      </c>
      <c r="G337" t="s">
        <v>114</v>
      </c>
      <c r="J337" t="s">
        <v>115</v>
      </c>
      <c r="K337">
        <v>0</v>
      </c>
      <c r="L337">
        <v>3</v>
      </c>
      <c r="M337">
        <v>0</v>
      </c>
      <c r="N337">
        <v>2</v>
      </c>
      <c r="O337">
        <v>1</v>
      </c>
      <c r="P337">
        <v>0</v>
      </c>
      <c r="Q337">
        <v>0</v>
      </c>
      <c r="S337" t="str">
        <f>"18:37:17.477"</f>
        <v>18:37:17.477</v>
      </c>
      <c r="T337" t="str">
        <f>"18:37:17.177"</f>
        <v>18:37:17.177</v>
      </c>
      <c r="U337" t="str">
        <f t="shared" si="34"/>
        <v>AAB6EE</v>
      </c>
      <c r="V337">
        <v>0</v>
      </c>
      <c r="W337">
        <v>0</v>
      </c>
      <c r="X337">
        <v>4</v>
      </c>
      <c r="Z337">
        <v>0</v>
      </c>
      <c r="AA337">
        <v>8</v>
      </c>
      <c r="AB337">
        <v>3</v>
      </c>
      <c r="AC337">
        <v>0</v>
      </c>
      <c r="AD337">
        <v>10</v>
      </c>
      <c r="AE337">
        <v>0</v>
      </c>
      <c r="AF337">
        <v>0</v>
      </c>
      <c r="AG337">
        <v>1</v>
      </c>
      <c r="AH337">
        <v>1</v>
      </c>
      <c r="AI337" t="s">
        <v>345</v>
      </c>
      <c r="AJ337">
        <v>35.497062</v>
      </c>
      <c r="AK337" t="s">
        <v>346</v>
      </c>
      <c r="AL337">
        <v>-76.048070999999993</v>
      </c>
      <c r="AM337">
        <v>25</v>
      </c>
      <c r="AN337">
        <v>3450</v>
      </c>
      <c r="AO337" t="s">
        <v>118</v>
      </c>
      <c r="AP337">
        <v>-90</v>
      </c>
      <c r="AQ337">
        <v>-175</v>
      </c>
      <c r="AR337">
        <v>-64</v>
      </c>
      <c r="AZ337">
        <v>1200</v>
      </c>
      <c r="BA337">
        <v>1</v>
      </c>
      <c r="BB337" t="str">
        <f t="shared" si="36"/>
        <v xml:space="preserve">N79NX   </v>
      </c>
      <c r="BC337">
        <v>1</v>
      </c>
      <c r="BE337">
        <v>0</v>
      </c>
      <c r="BF337">
        <v>0</v>
      </c>
      <c r="BG337">
        <v>0</v>
      </c>
      <c r="BH337">
        <v>3325</v>
      </c>
      <c r="BI337">
        <v>0</v>
      </c>
      <c r="BJ337">
        <v>0</v>
      </c>
      <c r="BK337">
        <v>0</v>
      </c>
      <c r="BL337">
        <v>0</v>
      </c>
      <c r="BO337">
        <v>0</v>
      </c>
      <c r="BP337">
        <v>0</v>
      </c>
      <c r="BW337" t="str">
        <f>"18:37:17.480"</f>
        <v>18:37:17.480</v>
      </c>
      <c r="BZ337">
        <v>0</v>
      </c>
      <c r="CA337">
        <v>3488</v>
      </c>
      <c r="CB337">
        <v>216</v>
      </c>
      <c r="CC337">
        <v>583.59379999999999</v>
      </c>
      <c r="CD337">
        <v>1</v>
      </c>
      <c r="CE337">
        <v>1</v>
      </c>
      <c r="CF337">
        <v>0</v>
      </c>
      <c r="CG337">
        <v>1</v>
      </c>
      <c r="CH337">
        <v>0</v>
      </c>
      <c r="CI337">
        <v>0</v>
      </c>
      <c r="CJ337">
        <v>0</v>
      </c>
      <c r="CK337">
        <v>2</v>
      </c>
      <c r="CL337">
        <v>0</v>
      </c>
      <c r="CM337">
        <v>2</v>
      </c>
      <c r="CN337">
        <v>0</v>
      </c>
      <c r="CO337">
        <v>6</v>
      </c>
      <c r="CP337" t="s">
        <v>119</v>
      </c>
      <c r="CQ337">
        <v>145</v>
      </c>
      <c r="CR337">
        <v>1</v>
      </c>
      <c r="CW337">
        <v>8901923</v>
      </c>
      <c r="CY337">
        <v>0</v>
      </c>
      <c r="CZ337">
        <v>0</v>
      </c>
      <c r="DA337">
        <v>1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</row>
    <row r="338" spans="1:113" x14ac:dyDescent="0.3">
      <c r="A338" t="str">
        <f>"02/13/2022 18:37:18.650"</f>
        <v>02/13/2022 18:37:18.650</v>
      </c>
      <c r="C338" t="str">
        <f t="shared" si="35"/>
        <v>FFDFD7C0</v>
      </c>
      <c r="D338" t="s">
        <v>113</v>
      </c>
      <c r="E338">
        <v>4</v>
      </c>
      <c r="F338">
        <v>1004</v>
      </c>
      <c r="G338" t="s">
        <v>120</v>
      </c>
      <c r="J338" t="s">
        <v>115</v>
      </c>
      <c r="K338">
        <v>0</v>
      </c>
      <c r="L338">
        <v>3</v>
      </c>
      <c r="M338">
        <v>0</v>
      </c>
      <c r="N338">
        <v>2</v>
      </c>
      <c r="O338">
        <v>1</v>
      </c>
      <c r="P338">
        <v>0</v>
      </c>
      <c r="Q338">
        <v>0</v>
      </c>
      <c r="S338" t="str">
        <f>"18:37:18.414"</f>
        <v>18:37:18.414</v>
      </c>
      <c r="T338" t="str">
        <f>"18:37:18.214"</f>
        <v>18:37:18.214</v>
      </c>
      <c r="U338" t="str">
        <f t="shared" si="34"/>
        <v>AAB6EE</v>
      </c>
      <c r="V338">
        <v>0</v>
      </c>
      <c r="W338">
        <v>0</v>
      </c>
      <c r="X338">
        <v>4</v>
      </c>
      <c r="Z338">
        <v>0</v>
      </c>
      <c r="AA338">
        <v>8</v>
      </c>
      <c r="AB338">
        <v>3</v>
      </c>
      <c r="AC338">
        <v>0</v>
      </c>
      <c r="AD338">
        <v>10</v>
      </c>
      <c r="AE338">
        <v>0</v>
      </c>
      <c r="AF338">
        <v>0</v>
      </c>
      <c r="AG338">
        <v>1</v>
      </c>
      <c r="AH338">
        <v>1</v>
      </c>
      <c r="AI338" t="s">
        <v>347</v>
      </c>
      <c r="AJ338">
        <v>35.496225000000003</v>
      </c>
      <c r="AK338" t="s">
        <v>348</v>
      </c>
      <c r="AL338">
        <v>-76.048586</v>
      </c>
      <c r="AM338">
        <v>25</v>
      </c>
      <c r="AN338">
        <v>3425</v>
      </c>
      <c r="AO338" t="s">
        <v>118</v>
      </c>
      <c r="AP338">
        <v>-90</v>
      </c>
      <c r="AQ338">
        <v>-176</v>
      </c>
      <c r="AR338">
        <v>0</v>
      </c>
      <c r="AZ338">
        <v>1200</v>
      </c>
      <c r="BA338">
        <v>1</v>
      </c>
      <c r="BB338" t="str">
        <f t="shared" si="36"/>
        <v xml:space="preserve">N79NX   </v>
      </c>
      <c r="BC338">
        <v>1</v>
      </c>
      <c r="BE338">
        <v>0</v>
      </c>
      <c r="BF338">
        <v>0</v>
      </c>
      <c r="BG338">
        <v>0</v>
      </c>
      <c r="BH338">
        <v>3325</v>
      </c>
      <c r="BI338">
        <v>0</v>
      </c>
      <c r="BJ338">
        <v>0</v>
      </c>
      <c r="BK338">
        <v>0</v>
      </c>
      <c r="BL338">
        <v>0</v>
      </c>
      <c r="BO338">
        <v>0</v>
      </c>
      <c r="BP338">
        <v>0</v>
      </c>
      <c r="BW338" t="str">
        <f>"18:37:18.420"</f>
        <v>18:37:18.420</v>
      </c>
      <c r="BZ338">
        <v>0</v>
      </c>
      <c r="CA338">
        <v>3488</v>
      </c>
      <c r="CB338">
        <v>216</v>
      </c>
      <c r="CC338">
        <v>583.59379999999999</v>
      </c>
      <c r="CD338">
        <v>1</v>
      </c>
      <c r="CE338">
        <v>1</v>
      </c>
      <c r="CF338">
        <v>0</v>
      </c>
      <c r="CG338">
        <v>1</v>
      </c>
      <c r="CH338">
        <v>0</v>
      </c>
      <c r="CI338">
        <v>0</v>
      </c>
      <c r="CJ338">
        <v>0</v>
      </c>
      <c r="CK338">
        <v>2</v>
      </c>
      <c r="CL338">
        <v>0</v>
      </c>
      <c r="CM338">
        <v>2</v>
      </c>
      <c r="CN338">
        <v>0</v>
      </c>
      <c r="CO338">
        <v>6</v>
      </c>
      <c r="CP338" t="s">
        <v>119</v>
      </c>
      <c r="CQ338">
        <v>145</v>
      </c>
      <c r="CR338">
        <v>1</v>
      </c>
      <c r="CW338">
        <v>8902317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</row>
    <row r="339" spans="1:113" x14ac:dyDescent="0.3">
      <c r="A339" t="str">
        <f>"02/13/2022 18:37:18.650"</f>
        <v>02/13/2022 18:37:18.650</v>
      </c>
      <c r="C339" t="str">
        <f t="shared" si="35"/>
        <v>FFDFD7C0</v>
      </c>
      <c r="D339" t="s">
        <v>121</v>
      </c>
      <c r="E339">
        <v>2</v>
      </c>
      <c r="H339">
        <v>158</v>
      </c>
      <c r="I339" t="s">
        <v>120</v>
      </c>
      <c r="J339" t="s">
        <v>122</v>
      </c>
      <c r="K339">
        <v>0</v>
      </c>
      <c r="L339">
        <v>3</v>
      </c>
      <c r="M339">
        <v>0</v>
      </c>
      <c r="N339">
        <v>2</v>
      </c>
      <c r="O339">
        <v>1</v>
      </c>
      <c r="P339">
        <v>0</v>
      </c>
      <c r="Q339">
        <v>0</v>
      </c>
      <c r="S339" t="str">
        <f>"18:37:18.414"</f>
        <v>18:37:18.414</v>
      </c>
      <c r="T339" t="str">
        <f>"18:37:18.214"</f>
        <v>18:37:18.214</v>
      </c>
      <c r="U339" t="str">
        <f t="shared" si="34"/>
        <v>AAB6EE</v>
      </c>
      <c r="V339">
        <v>0</v>
      </c>
      <c r="W339">
        <v>0</v>
      </c>
      <c r="X339">
        <v>4</v>
      </c>
      <c r="Z339">
        <v>0</v>
      </c>
      <c r="AA339">
        <v>8</v>
      </c>
      <c r="AB339">
        <v>3</v>
      </c>
      <c r="AC339">
        <v>0</v>
      </c>
      <c r="AD339">
        <v>10</v>
      </c>
      <c r="AE339">
        <v>0</v>
      </c>
      <c r="AF339">
        <v>0</v>
      </c>
      <c r="AG339">
        <v>1</v>
      </c>
      <c r="AH339">
        <v>1</v>
      </c>
      <c r="AI339" t="s">
        <v>347</v>
      </c>
      <c r="AJ339">
        <v>35.496225000000003</v>
      </c>
      <c r="AK339" t="s">
        <v>348</v>
      </c>
      <c r="AL339">
        <v>-76.048586</v>
      </c>
      <c r="AM339">
        <v>25</v>
      </c>
      <c r="AN339">
        <v>3425</v>
      </c>
      <c r="AO339" t="s">
        <v>118</v>
      </c>
      <c r="AP339">
        <v>-90</v>
      </c>
      <c r="AQ339">
        <v>-176</v>
      </c>
      <c r="AR339">
        <v>0</v>
      </c>
      <c r="AZ339">
        <v>1200</v>
      </c>
      <c r="BA339">
        <v>1</v>
      </c>
      <c r="BB339" t="str">
        <f t="shared" si="36"/>
        <v xml:space="preserve">N79NX   </v>
      </c>
      <c r="BC339">
        <v>1</v>
      </c>
      <c r="BE339">
        <v>0</v>
      </c>
      <c r="BF339">
        <v>0</v>
      </c>
      <c r="BG339">
        <v>0</v>
      </c>
      <c r="BH339">
        <v>3325</v>
      </c>
      <c r="BI339">
        <v>0</v>
      </c>
      <c r="BJ339">
        <v>0</v>
      </c>
      <c r="BK339">
        <v>0</v>
      </c>
      <c r="BL339">
        <v>0</v>
      </c>
      <c r="BO339">
        <v>0</v>
      </c>
      <c r="BP339">
        <v>0</v>
      </c>
      <c r="BW339" t="str">
        <f>"18:37:18.420"</f>
        <v>18:37:18.420</v>
      </c>
      <c r="BZ339">
        <v>0</v>
      </c>
      <c r="CA339">
        <v>3488</v>
      </c>
      <c r="CB339">
        <v>216</v>
      </c>
      <c r="CC339">
        <v>583.59379999999999</v>
      </c>
      <c r="CD339">
        <v>1</v>
      </c>
      <c r="CE339">
        <v>1</v>
      </c>
      <c r="CF339">
        <v>0</v>
      </c>
      <c r="CG339">
        <v>1</v>
      </c>
      <c r="CH339">
        <v>0</v>
      </c>
      <c r="CI339">
        <v>0</v>
      </c>
      <c r="CJ339">
        <v>0</v>
      </c>
      <c r="CK339">
        <v>2</v>
      </c>
      <c r="CL339">
        <v>0</v>
      </c>
      <c r="CM339">
        <v>2</v>
      </c>
      <c r="CN339">
        <v>0</v>
      </c>
      <c r="CO339">
        <v>6</v>
      </c>
      <c r="CP339" t="s">
        <v>119</v>
      </c>
      <c r="CQ339">
        <v>145</v>
      </c>
      <c r="CR339">
        <v>1</v>
      </c>
      <c r="CW339">
        <v>8902317</v>
      </c>
      <c r="CY339">
        <v>0</v>
      </c>
      <c r="CZ339">
        <v>0</v>
      </c>
      <c r="DA339">
        <v>1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</row>
    <row r="340" spans="1:113" x14ac:dyDescent="0.3">
      <c r="A340" t="str">
        <f>"02/13/2022 18:37:18.650"</f>
        <v>02/13/2022 18:37:18.650</v>
      </c>
      <c r="C340" t="str">
        <f t="shared" si="35"/>
        <v>FFDFD7C0</v>
      </c>
      <c r="D340" t="s">
        <v>113</v>
      </c>
      <c r="E340">
        <v>3</v>
      </c>
      <c r="F340">
        <v>1003</v>
      </c>
      <c r="G340" t="s">
        <v>114</v>
      </c>
      <c r="J340" t="s">
        <v>115</v>
      </c>
      <c r="K340">
        <v>0</v>
      </c>
      <c r="L340">
        <v>3</v>
      </c>
      <c r="M340">
        <v>0</v>
      </c>
      <c r="N340">
        <v>2</v>
      </c>
      <c r="O340">
        <v>1</v>
      </c>
      <c r="P340">
        <v>0</v>
      </c>
      <c r="Q340">
        <v>0</v>
      </c>
      <c r="S340" t="str">
        <f>"18:37:18.414"</f>
        <v>18:37:18.414</v>
      </c>
      <c r="T340" t="str">
        <f>"18:37:18.214"</f>
        <v>18:37:18.214</v>
      </c>
      <c r="U340" t="str">
        <f t="shared" si="34"/>
        <v>AAB6EE</v>
      </c>
      <c r="V340">
        <v>0</v>
      </c>
      <c r="W340">
        <v>0</v>
      </c>
      <c r="X340">
        <v>4</v>
      </c>
      <c r="Z340">
        <v>0</v>
      </c>
      <c r="AA340">
        <v>8</v>
      </c>
      <c r="AB340">
        <v>3</v>
      </c>
      <c r="AC340">
        <v>0</v>
      </c>
      <c r="AD340">
        <v>10</v>
      </c>
      <c r="AE340">
        <v>0</v>
      </c>
      <c r="AF340">
        <v>0</v>
      </c>
      <c r="AG340">
        <v>1</v>
      </c>
      <c r="AH340">
        <v>1</v>
      </c>
      <c r="AI340" t="s">
        <v>347</v>
      </c>
      <c r="AJ340">
        <v>35.496225000000003</v>
      </c>
      <c r="AK340" t="s">
        <v>348</v>
      </c>
      <c r="AL340">
        <v>-76.048586</v>
      </c>
      <c r="AM340">
        <v>25</v>
      </c>
      <c r="AN340">
        <v>3425</v>
      </c>
      <c r="AO340" t="s">
        <v>118</v>
      </c>
      <c r="AP340">
        <v>-90</v>
      </c>
      <c r="AQ340">
        <v>-176</v>
      </c>
      <c r="AR340">
        <v>0</v>
      </c>
      <c r="AZ340">
        <v>1200</v>
      </c>
      <c r="BA340">
        <v>1</v>
      </c>
      <c r="BB340" t="str">
        <f t="shared" si="36"/>
        <v xml:space="preserve">N79NX   </v>
      </c>
      <c r="BC340">
        <v>1</v>
      </c>
      <c r="BE340">
        <v>0</v>
      </c>
      <c r="BF340">
        <v>0</v>
      </c>
      <c r="BG340">
        <v>0</v>
      </c>
      <c r="BH340">
        <v>3325</v>
      </c>
      <c r="BI340">
        <v>0</v>
      </c>
      <c r="BJ340">
        <v>0</v>
      </c>
      <c r="BK340">
        <v>0</v>
      </c>
      <c r="BL340">
        <v>0</v>
      </c>
      <c r="BO340">
        <v>0</v>
      </c>
      <c r="BP340">
        <v>0</v>
      </c>
      <c r="BW340" t="str">
        <f>"18:37:18.420"</f>
        <v>18:37:18.420</v>
      </c>
      <c r="BZ340">
        <v>0</v>
      </c>
      <c r="CA340">
        <v>3488</v>
      </c>
      <c r="CB340">
        <v>216</v>
      </c>
      <c r="CC340">
        <v>583.59379999999999</v>
      </c>
      <c r="CD340">
        <v>1</v>
      </c>
      <c r="CE340">
        <v>1</v>
      </c>
      <c r="CF340">
        <v>0</v>
      </c>
      <c r="CG340">
        <v>1</v>
      </c>
      <c r="CH340">
        <v>0</v>
      </c>
      <c r="CI340">
        <v>0</v>
      </c>
      <c r="CJ340">
        <v>0</v>
      </c>
      <c r="CK340">
        <v>2</v>
      </c>
      <c r="CL340">
        <v>0</v>
      </c>
      <c r="CM340">
        <v>2</v>
      </c>
      <c r="CN340">
        <v>0</v>
      </c>
      <c r="CO340">
        <v>6</v>
      </c>
      <c r="CP340" t="s">
        <v>119</v>
      </c>
      <c r="CQ340">
        <v>145</v>
      </c>
      <c r="CR340">
        <v>1</v>
      </c>
      <c r="CW340">
        <v>8902317</v>
      </c>
      <c r="CY340">
        <v>0</v>
      </c>
      <c r="CZ340">
        <v>0</v>
      </c>
      <c r="DA340">
        <v>1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</row>
    <row r="341" spans="1:113" x14ac:dyDescent="0.3">
      <c r="A341" t="str">
        <f>"02/13/2022 18:37:19.559"</f>
        <v>02/13/2022 18:37:19.559</v>
      </c>
      <c r="C341" t="str">
        <f t="shared" si="35"/>
        <v>FFDFD7C0</v>
      </c>
      <c r="D341" t="s">
        <v>113</v>
      </c>
      <c r="E341">
        <v>4</v>
      </c>
      <c r="F341">
        <v>1004</v>
      </c>
      <c r="G341" t="s">
        <v>120</v>
      </c>
      <c r="J341" t="s">
        <v>115</v>
      </c>
      <c r="K341">
        <v>0</v>
      </c>
      <c r="L341">
        <v>3</v>
      </c>
      <c r="M341">
        <v>0</v>
      </c>
      <c r="N341">
        <v>2</v>
      </c>
      <c r="O341">
        <v>1</v>
      </c>
      <c r="P341">
        <v>0</v>
      </c>
      <c r="Q341">
        <v>0</v>
      </c>
      <c r="S341" t="str">
        <f>"18:37:19.328"</f>
        <v>18:37:19.328</v>
      </c>
      <c r="T341" t="str">
        <f>"18:37:19.128"</f>
        <v>18:37:19.128</v>
      </c>
      <c r="U341" t="str">
        <f t="shared" si="34"/>
        <v>AAB6EE</v>
      </c>
      <c r="V341">
        <v>0</v>
      </c>
      <c r="W341">
        <v>0</v>
      </c>
      <c r="X341">
        <v>4</v>
      </c>
      <c r="Z341">
        <v>0</v>
      </c>
      <c r="AA341">
        <v>8</v>
      </c>
      <c r="AB341">
        <v>3</v>
      </c>
      <c r="AC341">
        <v>0</v>
      </c>
      <c r="AD341">
        <v>10</v>
      </c>
      <c r="AE341">
        <v>0</v>
      </c>
      <c r="AF341">
        <v>0</v>
      </c>
      <c r="AG341">
        <v>1</v>
      </c>
      <c r="AH341">
        <v>1</v>
      </c>
      <c r="AI341" t="s">
        <v>349</v>
      </c>
      <c r="AJ341">
        <v>35.495496000000003</v>
      </c>
      <c r="AK341" t="s">
        <v>350</v>
      </c>
      <c r="AL341">
        <v>-76.049015999999995</v>
      </c>
      <c r="AM341">
        <v>25</v>
      </c>
      <c r="AN341">
        <v>3425</v>
      </c>
      <c r="AO341" t="s">
        <v>118</v>
      </c>
      <c r="AP341">
        <v>-90</v>
      </c>
      <c r="AQ341">
        <v>-176</v>
      </c>
      <c r="AR341">
        <v>-64</v>
      </c>
      <c r="AZ341">
        <v>1200</v>
      </c>
      <c r="BA341">
        <v>1</v>
      </c>
      <c r="BB341" t="str">
        <f t="shared" si="36"/>
        <v xml:space="preserve">N79NX   </v>
      </c>
      <c r="BC341">
        <v>1</v>
      </c>
      <c r="BE341">
        <v>0</v>
      </c>
      <c r="BF341">
        <v>0</v>
      </c>
      <c r="BG341">
        <v>0</v>
      </c>
      <c r="BH341">
        <v>3300</v>
      </c>
      <c r="BI341">
        <v>0</v>
      </c>
      <c r="BJ341">
        <v>0</v>
      </c>
      <c r="BK341">
        <v>0</v>
      </c>
      <c r="BL341">
        <v>0</v>
      </c>
      <c r="BO341">
        <v>0</v>
      </c>
      <c r="BP341">
        <v>0</v>
      </c>
      <c r="BW341" t="str">
        <f>"18:37:19.330"</f>
        <v>18:37:19.330</v>
      </c>
      <c r="BZ341">
        <v>0</v>
      </c>
      <c r="CA341">
        <v>3488</v>
      </c>
      <c r="CB341">
        <v>216</v>
      </c>
      <c r="CC341">
        <v>583.59379999999999</v>
      </c>
      <c r="CD341">
        <v>1</v>
      </c>
      <c r="CE341">
        <v>1</v>
      </c>
      <c r="CF341">
        <v>0</v>
      </c>
      <c r="CG341">
        <v>1</v>
      </c>
      <c r="CH341">
        <v>0</v>
      </c>
      <c r="CI341">
        <v>0</v>
      </c>
      <c r="CJ341">
        <v>0</v>
      </c>
      <c r="CK341">
        <v>2</v>
      </c>
      <c r="CL341">
        <v>0</v>
      </c>
      <c r="CM341">
        <v>2</v>
      </c>
      <c r="CN341">
        <v>0</v>
      </c>
      <c r="CO341">
        <v>6</v>
      </c>
      <c r="CP341" t="s">
        <v>119</v>
      </c>
      <c r="CQ341">
        <v>145</v>
      </c>
      <c r="CR341">
        <v>1</v>
      </c>
      <c r="CW341">
        <v>8902754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</row>
    <row r="342" spans="1:113" x14ac:dyDescent="0.3">
      <c r="A342" t="str">
        <f>"02/13/2022 18:37:19.559"</f>
        <v>02/13/2022 18:37:19.559</v>
      </c>
      <c r="C342" t="str">
        <f t="shared" si="35"/>
        <v>FFDFD7C0</v>
      </c>
      <c r="D342" t="s">
        <v>113</v>
      </c>
      <c r="E342">
        <v>3</v>
      </c>
      <c r="F342">
        <v>1003</v>
      </c>
      <c r="G342" t="s">
        <v>114</v>
      </c>
      <c r="J342" t="s">
        <v>115</v>
      </c>
      <c r="K342">
        <v>0</v>
      </c>
      <c r="L342">
        <v>3</v>
      </c>
      <c r="M342">
        <v>0</v>
      </c>
      <c r="N342">
        <v>2</v>
      </c>
      <c r="O342">
        <v>1</v>
      </c>
      <c r="P342">
        <v>0</v>
      </c>
      <c r="Q342">
        <v>0</v>
      </c>
      <c r="S342" t="str">
        <f>"18:37:19.328"</f>
        <v>18:37:19.328</v>
      </c>
      <c r="T342" t="str">
        <f>"18:37:19.128"</f>
        <v>18:37:19.128</v>
      </c>
      <c r="U342" t="str">
        <f t="shared" si="34"/>
        <v>AAB6EE</v>
      </c>
      <c r="V342">
        <v>0</v>
      </c>
      <c r="W342">
        <v>0</v>
      </c>
      <c r="X342">
        <v>4</v>
      </c>
      <c r="Z342">
        <v>0</v>
      </c>
      <c r="AA342">
        <v>8</v>
      </c>
      <c r="AB342">
        <v>3</v>
      </c>
      <c r="AC342">
        <v>0</v>
      </c>
      <c r="AD342">
        <v>10</v>
      </c>
      <c r="AE342">
        <v>0</v>
      </c>
      <c r="AF342">
        <v>0</v>
      </c>
      <c r="AG342">
        <v>1</v>
      </c>
      <c r="AH342">
        <v>1</v>
      </c>
      <c r="AI342" t="s">
        <v>349</v>
      </c>
      <c r="AJ342">
        <v>35.495496000000003</v>
      </c>
      <c r="AK342" t="s">
        <v>350</v>
      </c>
      <c r="AL342">
        <v>-76.049015999999995</v>
      </c>
      <c r="AM342">
        <v>25</v>
      </c>
      <c r="AN342">
        <v>3425</v>
      </c>
      <c r="AO342" t="s">
        <v>118</v>
      </c>
      <c r="AP342">
        <v>-90</v>
      </c>
      <c r="AQ342">
        <v>-176</v>
      </c>
      <c r="AR342">
        <v>-64</v>
      </c>
      <c r="AZ342">
        <v>1200</v>
      </c>
      <c r="BA342">
        <v>1</v>
      </c>
      <c r="BB342" t="str">
        <f t="shared" si="36"/>
        <v xml:space="preserve">N79NX   </v>
      </c>
      <c r="BC342">
        <v>1</v>
      </c>
      <c r="BE342">
        <v>0</v>
      </c>
      <c r="BF342">
        <v>0</v>
      </c>
      <c r="BG342">
        <v>0</v>
      </c>
      <c r="BH342">
        <v>3300</v>
      </c>
      <c r="BI342">
        <v>0</v>
      </c>
      <c r="BJ342">
        <v>0</v>
      </c>
      <c r="BK342">
        <v>0</v>
      </c>
      <c r="BL342">
        <v>0</v>
      </c>
      <c r="BO342">
        <v>0</v>
      </c>
      <c r="BP342">
        <v>0</v>
      </c>
      <c r="BW342" t="str">
        <f>"18:37:19.330"</f>
        <v>18:37:19.330</v>
      </c>
      <c r="BZ342">
        <v>0</v>
      </c>
      <c r="CA342">
        <v>3488</v>
      </c>
      <c r="CB342">
        <v>216</v>
      </c>
      <c r="CC342">
        <v>583.59379999999999</v>
      </c>
      <c r="CD342">
        <v>1</v>
      </c>
      <c r="CE342">
        <v>1</v>
      </c>
      <c r="CF342">
        <v>0</v>
      </c>
      <c r="CG342">
        <v>1</v>
      </c>
      <c r="CH342">
        <v>0</v>
      </c>
      <c r="CI342">
        <v>0</v>
      </c>
      <c r="CJ342">
        <v>0</v>
      </c>
      <c r="CK342">
        <v>2</v>
      </c>
      <c r="CL342">
        <v>0</v>
      </c>
      <c r="CM342">
        <v>2</v>
      </c>
      <c r="CN342">
        <v>0</v>
      </c>
      <c r="CO342">
        <v>6</v>
      </c>
      <c r="CP342" t="s">
        <v>119</v>
      </c>
      <c r="CQ342">
        <v>145</v>
      </c>
      <c r="CR342">
        <v>1</v>
      </c>
      <c r="CW342">
        <v>8902754</v>
      </c>
      <c r="CY342">
        <v>0</v>
      </c>
      <c r="CZ342">
        <v>0</v>
      </c>
      <c r="DA342">
        <v>1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</row>
    <row r="343" spans="1:113" x14ac:dyDescent="0.3">
      <c r="A343" t="str">
        <f>"02/13/2022 18:37:19.559"</f>
        <v>02/13/2022 18:37:19.559</v>
      </c>
      <c r="C343" t="str">
        <f t="shared" si="35"/>
        <v>FFDFD7C0</v>
      </c>
      <c r="D343" t="s">
        <v>121</v>
      </c>
      <c r="E343">
        <v>2</v>
      </c>
      <c r="H343">
        <v>158</v>
      </c>
      <c r="I343" t="s">
        <v>120</v>
      </c>
      <c r="J343" t="s">
        <v>122</v>
      </c>
      <c r="K343">
        <v>0</v>
      </c>
      <c r="L343">
        <v>3</v>
      </c>
      <c r="M343">
        <v>0</v>
      </c>
      <c r="N343">
        <v>2</v>
      </c>
      <c r="O343">
        <v>1</v>
      </c>
      <c r="P343">
        <v>0</v>
      </c>
      <c r="Q343">
        <v>0</v>
      </c>
      <c r="S343" t="str">
        <f>"18:37:19.328"</f>
        <v>18:37:19.328</v>
      </c>
      <c r="T343" t="str">
        <f>"18:37:19.128"</f>
        <v>18:37:19.128</v>
      </c>
      <c r="U343" t="str">
        <f t="shared" si="34"/>
        <v>AAB6EE</v>
      </c>
      <c r="V343">
        <v>0</v>
      </c>
      <c r="W343">
        <v>0</v>
      </c>
      <c r="X343">
        <v>4</v>
      </c>
      <c r="Z343">
        <v>0</v>
      </c>
      <c r="AA343">
        <v>8</v>
      </c>
      <c r="AB343">
        <v>3</v>
      </c>
      <c r="AC343">
        <v>0</v>
      </c>
      <c r="AD343">
        <v>10</v>
      </c>
      <c r="AE343">
        <v>0</v>
      </c>
      <c r="AF343">
        <v>0</v>
      </c>
      <c r="AG343">
        <v>1</v>
      </c>
      <c r="AH343">
        <v>1</v>
      </c>
      <c r="AI343" t="s">
        <v>349</v>
      </c>
      <c r="AJ343">
        <v>35.495496000000003</v>
      </c>
      <c r="AK343" t="s">
        <v>350</v>
      </c>
      <c r="AL343">
        <v>-76.049015999999995</v>
      </c>
      <c r="AM343">
        <v>25</v>
      </c>
      <c r="AN343">
        <v>3425</v>
      </c>
      <c r="AO343" t="s">
        <v>118</v>
      </c>
      <c r="AP343">
        <v>-90</v>
      </c>
      <c r="AQ343">
        <v>-176</v>
      </c>
      <c r="AR343">
        <v>-64</v>
      </c>
      <c r="AZ343">
        <v>1200</v>
      </c>
      <c r="BA343">
        <v>1</v>
      </c>
      <c r="BB343" t="str">
        <f t="shared" si="36"/>
        <v xml:space="preserve">N79NX   </v>
      </c>
      <c r="BC343">
        <v>1</v>
      </c>
      <c r="BE343">
        <v>0</v>
      </c>
      <c r="BF343">
        <v>0</v>
      </c>
      <c r="BG343">
        <v>0</v>
      </c>
      <c r="BH343">
        <v>3300</v>
      </c>
      <c r="BI343">
        <v>0</v>
      </c>
      <c r="BJ343">
        <v>0</v>
      </c>
      <c r="BK343">
        <v>0</v>
      </c>
      <c r="BL343">
        <v>0</v>
      </c>
      <c r="BO343">
        <v>0</v>
      </c>
      <c r="BP343">
        <v>0</v>
      </c>
      <c r="BW343" t="str">
        <f>"18:37:19.330"</f>
        <v>18:37:19.330</v>
      </c>
      <c r="BZ343">
        <v>0</v>
      </c>
      <c r="CA343">
        <v>3488</v>
      </c>
      <c r="CB343">
        <v>216</v>
      </c>
      <c r="CC343">
        <v>583.59379999999999</v>
      </c>
      <c r="CD343">
        <v>1</v>
      </c>
      <c r="CE343">
        <v>1</v>
      </c>
      <c r="CF343">
        <v>0</v>
      </c>
      <c r="CG343">
        <v>1</v>
      </c>
      <c r="CH343">
        <v>0</v>
      </c>
      <c r="CI343">
        <v>0</v>
      </c>
      <c r="CJ343">
        <v>0</v>
      </c>
      <c r="CK343">
        <v>2</v>
      </c>
      <c r="CL343">
        <v>0</v>
      </c>
      <c r="CM343">
        <v>2</v>
      </c>
      <c r="CN343">
        <v>0</v>
      </c>
      <c r="CO343">
        <v>6</v>
      </c>
      <c r="CP343" t="s">
        <v>119</v>
      </c>
      <c r="CQ343">
        <v>145</v>
      </c>
      <c r="CR343">
        <v>1</v>
      </c>
      <c r="CW343">
        <v>8902754</v>
      </c>
      <c r="CY343">
        <v>0</v>
      </c>
      <c r="CZ343">
        <v>0</v>
      </c>
      <c r="DA343">
        <v>1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</row>
    <row r="344" spans="1:113" x14ac:dyDescent="0.3">
      <c r="A344" t="str">
        <f>"02/13/2022 18:37:20.794"</f>
        <v>02/13/2022 18:37:20.794</v>
      </c>
      <c r="C344" t="str">
        <f t="shared" si="35"/>
        <v>FFDFD7C0</v>
      </c>
      <c r="D344" t="s">
        <v>113</v>
      </c>
      <c r="E344">
        <v>4</v>
      </c>
      <c r="F344">
        <v>1004</v>
      </c>
      <c r="G344" t="s">
        <v>120</v>
      </c>
      <c r="J344" t="s">
        <v>115</v>
      </c>
      <c r="K344">
        <v>0</v>
      </c>
      <c r="L344">
        <v>3</v>
      </c>
      <c r="M344">
        <v>0</v>
      </c>
      <c r="N344">
        <v>2</v>
      </c>
      <c r="O344">
        <v>1</v>
      </c>
      <c r="P344">
        <v>0</v>
      </c>
      <c r="Q344">
        <v>0</v>
      </c>
      <c r="S344" t="str">
        <f>"18:37:20.375"</f>
        <v>18:37:20.375</v>
      </c>
      <c r="T344" t="str">
        <f>"18:37:20.075"</f>
        <v>18:37:20.075</v>
      </c>
      <c r="U344" t="str">
        <f t="shared" si="34"/>
        <v>AAB6EE</v>
      </c>
      <c r="V344">
        <v>0</v>
      </c>
      <c r="W344">
        <v>0</v>
      </c>
      <c r="X344">
        <v>4</v>
      </c>
      <c r="Z344">
        <v>0</v>
      </c>
      <c r="AA344">
        <v>8</v>
      </c>
      <c r="AB344">
        <v>3</v>
      </c>
      <c r="AC344">
        <v>0</v>
      </c>
      <c r="AD344">
        <v>10</v>
      </c>
      <c r="AE344">
        <v>0</v>
      </c>
      <c r="AF344">
        <v>0</v>
      </c>
      <c r="AG344">
        <v>1</v>
      </c>
      <c r="AH344">
        <v>1</v>
      </c>
      <c r="AI344" t="s">
        <v>351</v>
      </c>
      <c r="AJ344">
        <v>35.494680000000002</v>
      </c>
      <c r="AK344" t="s">
        <v>352</v>
      </c>
      <c r="AL344">
        <v>-76.049531000000002</v>
      </c>
      <c r="AM344">
        <v>25</v>
      </c>
      <c r="AN344">
        <v>3450</v>
      </c>
      <c r="AO344" t="s">
        <v>118</v>
      </c>
      <c r="AP344">
        <v>-90</v>
      </c>
      <c r="AQ344">
        <v>-177</v>
      </c>
      <c r="AR344">
        <v>-64</v>
      </c>
      <c r="AZ344">
        <v>1200</v>
      </c>
      <c r="BA344">
        <v>1</v>
      </c>
      <c r="BB344" t="str">
        <f t="shared" si="36"/>
        <v xml:space="preserve">N79NX   </v>
      </c>
      <c r="BC344">
        <v>1</v>
      </c>
      <c r="BE344">
        <v>0</v>
      </c>
      <c r="BF344">
        <v>0</v>
      </c>
      <c r="BG344">
        <v>0</v>
      </c>
      <c r="BH344">
        <v>3300</v>
      </c>
      <c r="BI344">
        <v>0</v>
      </c>
      <c r="BJ344">
        <v>0</v>
      </c>
      <c r="BK344">
        <v>0</v>
      </c>
      <c r="BL344">
        <v>0</v>
      </c>
      <c r="BO344">
        <v>0</v>
      </c>
      <c r="BP344">
        <v>0</v>
      </c>
      <c r="BW344" t="str">
        <f>"18:37:20.380"</f>
        <v>18:37:20.380</v>
      </c>
      <c r="BZ344">
        <v>0</v>
      </c>
      <c r="CA344">
        <v>3488</v>
      </c>
      <c r="CB344">
        <v>216</v>
      </c>
      <c r="CC344">
        <v>583.59379999999999</v>
      </c>
      <c r="CD344">
        <v>1</v>
      </c>
      <c r="CE344">
        <v>1</v>
      </c>
      <c r="CF344">
        <v>0</v>
      </c>
      <c r="CG344">
        <v>1</v>
      </c>
      <c r="CH344">
        <v>0</v>
      </c>
      <c r="CI344">
        <v>0</v>
      </c>
      <c r="CJ344">
        <v>0</v>
      </c>
      <c r="CK344">
        <v>2</v>
      </c>
      <c r="CL344">
        <v>0</v>
      </c>
      <c r="CM344">
        <v>2</v>
      </c>
      <c r="CN344">
        <v>0</v>
      </c>
      <c r="CO344">
        <v>6</v>
      </c>
      <c r="CP344" t="s">
        <v>119</v>
      </c>
      <c r="CQ344">
        <v>145</v>
      </c>
      <c r="CR344">
        <v>1</v>
      </c>
      <c r="CW344">
        <v>8903324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</row>
    <row r="345" spans="1:113" x14ac:dyDescent="0.3">
      <c r="A345" t="str">
        <f>"02/13/2022 18:37:20.794"</f>
        <v>02/13/2022 18:37:20.794</v>
      </c>
      <c r="C345" t="str">
        <f t="shared" si="35"/>
        <v>FFDFD7C0</v>
      </c>
      <c r="D345" t="s">
        <v>113</v>
      </c>
      <c r="E345">
        <v>3</v>
      </c>
      <c r="F345">
        <v>1003</v>
      </c>
      <c r="G345" t="s">
        <v>114</v>
      </c>
      <c r="J345" t="s">
        <v>115</v>
      </c>
      <c r="K345">
        <v>0</v>
      </c>
      <c r="L345">
        <v>3</v>
      </c>
      <c r="M345">
        <v>0</v>
      </c>
      <c r="N345">
        <v>2</v>
      </c>
      <c r="O345">
        <v>1</v>
      </c>
      <c r="P345">
        <v>0</v>
      </c>
      <c r="Q345">
        <v>0</v>
      </c>
      <c r="S345" t="str">
        <f>"18:37:20.375"</f>
        <v>18:37:20.375</v>
      </c>
      <c r="T345" t="str">
        <f>"18:37:20.075"</f>
        <v>18:37:20.075</v>
      </c>
      <c r="U345" t="str">
        <f t="shared" si="34"/>
        <v>AAB6EE</v>
      </c>
      <c r="V345">
        <v>0</v>
      </c>
      <c r="W345">
        <v>0</v>
      </c>
      <c r="X345">
        <v>4</v>
      </c>
      <c r="Z345">
        <v>0</v>
      </c>
      <c r="AA345">
        <v>8</v>
      </c>
      <c r="AB345">
        <v>3</v>
      </c>
      <c r="AC345">
        <v>0</v>
      </c>
      <c r="AD345">
        <v>10</v>
      </c>
      <c r="AE345">
        <v>0</v>
      </c>
      <c r="AF345">
        <v>0</v>
      </c>
      <c r="AG345">
        <v>1</v>
      </c>
      <c r="AH345">
        <v>1</v>
      </c>
      <c r="AI345" t="s">
        <v>351</v>
      </c>
      <c r="AJ345">
        <v>35.494680000000002</v>
      </c>
      <c r="AK345" t="s">
        <v>352</v>
      </c>
      <c r="AL345">
        <v>-76.049531000000002</v>
      </c>
      <c r="AM345">
        <v>25</v>
      </c>
      <c r="AN345">
        <v>3450</v>
      </c>
      <c r="AO345" t="s">
        <v>118</v>
      </c>
      <c r="AP345">
        <v>-90</v>
      </c>
      <c r="AQ345">
        <v>-177</v>
      </c>
      <c r="AR345">
        <v>-64</v>
      </c>
      <c r="AZ345">
        <v>1200</v>
      </c>
      <c r="BA345">
        <v>1</v>
      </c>
      <c r="BB345" t="str">
        <f t="shared" si="36"/>
        <v xml:space="preserve">N79NX   </v>
      </c>
      <c r="BC345">
        <v>1</v>
      </c>
      <c r="BE345">
        <v>0</v>
      </c>
      <c r="BF345">
        <v>0</v>
      </c>
      <c r="BG345">
        <v>0</v>
      </c>
      <c r="BH345">
        <v>3300</v>
      </c>
      <c r="BI345">
        <v>0</v>
      </c>
      <c r="BJ345">
        <v>0</v>
      </c>
      <c r="BK345">
        <v>0</v>
      </c>
      <c r="BL345">
        <v>0</v>
      </c>
      <c r="BO345">
        <v>0</v>
      </c>
      <c r="BP345">
        <v>0</v>
      </c>
      <c r="BW345" t="str">
        <f>"18:37:20.380"</f>
        <v>18:37:20.380</v>
      </c>
      <c r="BZ345">
        <v>0</v>
      </c>
      <c r="CA345">
        <v>3488</v>
      </c>
      <c r="CB345">
        <v>216</v>
      </c>
      <c r="CC345">
        <v>583.59379999999999</v>
      </c>
      <c r="CD345">
        <v>1</v>
      </c>
      <c r="CE345">
        <v>1</v>
      </c>
      <c r="CF345">
        <v>0</v>
      </c>
      <c r="CG345">
        <v>1</v>
      </c>
      <c r="CH345">
        <v>0</v>
      </c>
      <c r="CI345">
        <v>0</v>
      </c>
      <c r="CJ345">
        <v>0</v>
      </c>
      <c r="CK345">
        <v>2</v>
      </c>
      <c r="CL345">
        <v>0</v>
      </c>
      <c r="CM345">
        <v>2</v>
      </c>
      <c r="CN345">
        <v>0</v>
      </c>
      <c r="CO345">
        <v>6</v>
      </c>
      <c r="CP345" t="s">
        <v>119</v>
      </c>
      <c r="CQ345">
        <v>145</v>
      </c>
      <c r="CR345">
        <v>1</v>
      </c>
      <c r="CW345">
        <v>8903324</v>
      </c>
      <c r="CY345">
        <v>0</v>
      </c>
      <c r="CZ345">
        <v>0</v>
      </c>
      <c r="DA345">
        <v>1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</row>
    <row r="346" spans="1:113" x14ac:dyDescent="0.3">
      <c r="A346" t="str">
        <f>"02/13/2022 18:37:20.794"</f>
        <v>02/13/2022 18:37:20.794</v>
      </c>
      <c r="C346" t="str">
        <f t="shared" si="35"/>
        <v>FFDFD7C0</v>
      </c>
      <c r="D346" t="s">
        <v>121</v>
      </c>
      <c r="E346">
        <v>2</v>
      </c>
      <c r="H346">
        <v>158</v>
      </c>
      <c r="I346" t="s">
        <v>120</v>
      </c>
      <c r="J346" t="s">
        <v>122</v>
      </c>
      <c r="K346">
        <v>0</v>
      </c>
      <c r="L346">
        <v>3</v>
      </c>
      <c r="M346">
        <v>0</v>
      </c>
      <c r="N346">
        <v>2</v>
      </c>
      <c r="O346">
        <v>1</v>
      </c>
      <c r="P346">
        <v>0</v>
      </c>
      <c r="Q346">
        <v>0</v>
      </c>
      <c r="S346" t="str">
        <f>"18:37:20.375"</f>
        <v>18:37:20.375</v>
      </c>
      <c r="T346" t="str">
        <f>"18:37:20.075"</f>
        <v>18:37:20.075</v>
      </c>
      <c r="U346" t="str">
        <f t="shared" si="34"/>
        <v>AAB6EE</v>
      </c>
      <c r="V346">
        <v>0</v>
      </c>
      <c r="W346">
        <v>0</v>
      </c>
      <c r="X346">
        <v>4</v>
      </c>
      <c r="Z346">
        <v>0</v>
      </c>
      <c r="AA346">
        <v>8</v>
      </c>
      <c r="AB346">
        <v>3</v>
      </c>
      <c r="AC346">
        <v>0</v>
      </c>
      <c r="AD346">
        <v>10</v>
      </c>
      <c r="AE346">
        <v>0</v>
      </c>
      <c r="AF346">
        <v>0</v>
      </c>
      <c r="AG346">
        <v>1</v>
      </c>
      <c r="AH346">
        <v>1</v>
      </c>
      <c r="AI346" t="s">
        <v>351</v>
      </c>
      <c r="AJ346">
        <v>35.494680000000002</v>
      </c>
      <c r="AK346" t="s">
        <v>352</v>
      </c>
      <c r="AL346">
        <v>-76.049531000000002</v>
      </c>
      <c r="AM346">
        <v>25</v>
      </c>
      <c r="AN346">
        <v>3450</v>
      </c>
      <c r="AO346" t="s">
        <v>118</v>
      </c>
      <c r="AP346">
        <v>-90</v>
      </c>
      <c r="AQ346">
        <v>-177</v>
      </c>
      <c r="AR346">
        <v>-64</v>
      </c>
      <c r="AZ346">
        <v>1200</v>
      </c>
      <c r="BA346">
        <v>1</v>
      </c>
      <c r="BB346" t="str">
        <f t="shared" si="36"/>
        <v xml:space="preserve">N79NX   </v>
      </c>
      <c r="BC346">
        <v>1</v>
      </c>
      <c r="BE346">
        <v>0</v>
      </c>
      <c r="BF346">
        <v>0</v>
      </c>
      <c r="BG346">
        <v>0</v>
      </c>
      <c r="BH346">
        <v>3300</v>
      </c>
      <c r="BI346">
        <v>0</v>
      </c>
      <c r="BJ346">
        <v>0</v>
      </c>
      <c r="BK346">
        <v>0</v>
      </c>
      <c r="BL346">
        <v>0</v>
      </c>
      <c r="BO346">
        <v>0</v>
      </c>
      <c r="BP346">
        <v>0</v>
      </c>
      <c r="BW346" t="str">
        <f>"18:37:20.380"</f>
        <v>18:37:20.380</v>
      </c>
      <c r="BZ346">
        <v>0</v>
      </c>
      <c r="CA346">
        <v>3488</v>
      </c>
      <c r="CB346">
        <v>216</v>
      </c>
      <c r="CC346">
        <v>583.59379999999999</v>
      </c>
      <c r="CD346">
        <v>1</v>
      </c>
      <c r="CE346">
        <v>1</v>
      </c>
      <c r="CF346">
        <v>0</v>
      </c>
      <c r="CG346">
        <v>1</v>
      </c>
      <c r="CH346">
        <v>0</v>
      </c>
      <c r="CI346">
        <v>0</v>
      </c>
      <c r="CJ346">
        <v>0</v>
      </c>
      <c r="CK346">
        <v>2</v>
      </c>
      <c r="CL346">
        <v>0</v>
      </c>
      <c r="CM346">
        <v>2</v>
      </c>
      <c r="CN346">
        <v>0</v>
      </c>
      <c r="CO346">
        <v>6</v>
      </c>
      <c r="CP346" t="s">
        <v>119</v>
      </c>
      <c r="CQ346">
        <v>145</v>
      </c>
      <c r="CR346">
        <v>1</v>
      </c>
      <c r="CW346">
        <v>8903324</v>
      </c>
      <c r="CY346">
        <v>0</v>
      </c>
      <c r="CZ346">
        <v>0</v>
      </c>
      <c r="DA346">
        <v>1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</row>
    <row r="347" spans="1:113" x14ac:dyDescent="0.3">
      <c r="A347" t="str">
        <f>"02/13/2022 18:37:21.545"</f>
        <v>02/13/2022 18:37:21.545</v>
      </c>
      <c r="C347" t="str">
        <f t="shared" si="35"/>
        <v>FFDFD7C0</v>
      </c>
      <c r="D347" t="s">
        <v>113</v>
      </c>
      <c r="E347">
        <v>4</v>
      </c>
      <c r="F347">
        <v>1004</v>
      </c>
      <c r="G347" t="s">
        <v>120</v>
      </c>
      <c r="J347" t="s">
        <v>115</v>
      </c>
      <c r="K347">
        <v>0</v>
      </c>
      <c r="L347">
        <v>3</v>
      </c>
      <c r="M347">
        <v>0</v>
      </c>
      <c r="N347">
        <v>2</v>
      </c>
      <c r="O347">
        <v>1</v>
      </c>
      <c r="P347">
        <v>0</v>
      </c>
      <c r="Q347">
        <v>0</v>
      </c>
      <c r="S347" t="str">
        <f>"18:37:21.305"</f>
        <v>18:37:21.305</v>
      </c>
      <c r="T347" t="str">
        <f>"18:37:20.905"</f>
        <v>18:37:20.905</v>
      </c>
      <c r="U347" t="str">
        <f t="shared" si="34"/>
        <v>AAB6EE</v>
      </c>
      <c r="V347">
        <v>0</v>
      </c>
      <c r="W347">
        <v>0</v>
      </c>
      <c r="X347">
        <v>4</v>
      </c>
      <c r="Z347">
        <v>0</v>
      </c>
      <c r="AA347">
        <v>8</v>
      </c>
      <c r="AB347">
        <v>3</v>
      </c>
      <c r="AC347">
        <v>0</v>
      </c>
      <c r="AD347">
        <v>10</v>
      </c>
      <c r="AE347">
        <v>0</v>
      </c>
      <c r="AF347">
        <v>0</v>
      </c>
      <c r="AG347">
        <v>1</v>
      </c>
      <c r="AH347">
        <v>1</v>
      </c>
      <c r="AI347" t="s">
        <v>353</v>
      </c>
      <c r="AJ347">
        <v>35.493844000000003</v>
      </c>
      <c r="AK347" t="s">
        <v>354</v>
      </c>
      <c r="AL347">
        <v>-76.050044999999997</v>
      </c>
      <c r="AM347">
        <v>25</v>
      </c>
      <c r="AN347">
        <v>3450</v>
      </c>
      <c r="AO347" t="s">
        <v>118</v>
      </c>
      <c r="AP347">
        <v>-91</v>
      </c>
      <c r="AQ347">
        <v>-177</v>
      </c>
      <c r="AR347">
        <v>-64</v>
      </c>
      <c r="AZ347">
        <v>1200</v>
      </c>
      <c r="BA347">
        <v>1</v>
      </c>
      <c r="BB347" t="str">
        <f t="shared" si="36"/>
        <v xml:space="preserve">N79NX   </v>
      </c>
      <c r="BC347">
        <v>1</v>
      </c>
      <c r="BE347">
        <v>0</v>
      </c>
      <c r="BF347">
        <v>0</v>
      </c>
      <c r="BG347">
        <v>0</v>
      </c>
      <c r="BH347">
        <v>3275</v>
      </c>
      <c r="BI347">
        <v>0</v>
      </c>
      <c r="BJ347">
        <v>0</v>
      </c>
      <c r="BK347">
        <v>0</v>
      </c>
      <c r="BL347">
        <v>0</v>
      </c>
      <c r="BO347">
        <v>0</v>
      </c>
      <c r="BP347">
        <v>0</v>
      </c>
      <c r="BW347" t="str">
        <f>"18:37:21.310"</f>
        <v>18:37:21.310</v>
      </c>
      <c r="BZ347">
        <v>0</v>
      </c>
      <c r="CA347">
        <v>3488</v>
      </c>
      <c r="CB347">
        <v>216</v>
      </c>
      <c r="CC347">
        <v>583.59379999999999</v>
      </c>
      <c r="CD347">
        <v>1</v>
      </c>
      <c r="CE347">
        <v>1</v>
      </c>
      <c r="CF347">
        <v>0</v>
      </c>
      <c r="CG347">
        <v>1</v>
      </c>
      <c r="CH347">
        <v>0</v>
      </c>
      <c r="CI347">
        <v>0</v>
      </c>
      <c r="CJ347">
        <v>0</v>
      </c>
      <c r="CK347">
        <v>2</v>
      </c>
      <c r="CL347">
        <v>0</v>
      </c>
      <c r="CM347">
        <v>2</v>
      </c>
      <c r="CN347">
        <v>0</v>
      </c>
      <c r="CO347">
        <v>6</v>
      </c>
      <c r="CP347" t="s">
        <v>119</v>
      </c>
      <c r="CQ347">
        <v>145</v>
      </c>
      <c r="CR347">
        <v>1</v>
      </c>
      <c r="CW347">
        <v>8903778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</row>
    <row r="348" spans="1:113" x14ac:dyDescent="0.3">
      <c r="A348" t="str">
        <f>"02/13/2022 18:37:21.545"</f>
        <v>02/13/2022 18:37:21.545</v>
      </c>
      <c r="C348" t="str">
        <f t="shared" si="35"/>
        <v>FFDFD7C0</v>
      </c>
      <c r="D348" t="s">
        <v>113</v>
      </c>
      <c r="E348">
        <v>3</v>
      </c>
      <c r="F348">
        <v>1003</v>
      </c>
      <c r="G348" t="s">
        <v>114</v>
      </c>
      <c r="J348" t="s">
        <v>115</v>
      </c>
      <c r="K348">
        <v>0</v>
      </c>
      <c r="L348">
        <v>3</v>
      </c>
      <c r="M348">
        <v>0</v>
      </c>
      <c r="N348">
        <v>2</v>
      </c>
      <c r="O348">
        <v>1</v>
      </c>
      <c r="P348">
        <v>0</v>
      </c>
      <c r="Q348">
        <v>0</v>
      </c>
      <c r="S348" t="str">
        <f>"18:37:21.305"</f>
        <v>18:37:21.305</v>
      </c>
      <c r="T348" t="str">
        <f>"18:37:20.905"</f>
        <v>18:37:20.905</v>
      </c>
      <c r="U348" t="str">
        <f t="shared" si="34"/>
        <v>AAB6EE</v>
      </c>
      <c r="V348">
        <v>0</v>
      </c>
      <c r="W348">
        <v>0</v>
      </c>
      <c r="X348">
        <v>4</v>
      </c>
      <c r="Z348">
        <v>0</v>
      </c>
      <c r="AA348">
        <v>8</v>
      </c>
      <c r="AB348">
        <v>3</v>
      </c>
      <c r="AC348">
        <v>0</v>
      </c>
      <c r="AD348">
        <v>10</v>
      </c>
      <c r="AE348">
        <v>0</v>
      </c>
      <c r="AF348">
        <v>0</v>
      </c>
      <c r="AG348">
        <v>1</v>
      </c>
      <c r="AH348">
        <v>1</v>
      </c>
      <c r="AI348" t="s">
        <v>353</v>
      </c>
      <c r="AJ348">
        <v>35.493844000000003</v>
      </c>
      <c r="AK348" t="s">
        <v>354</v>
      </c>
      <c r="AL348">
        <v>-76.050044999999997</v>
      </c>
      <c r="AM348">
        <v>25</v>
      </c>
      <c r="AN348">
        <v>3450</v>
      </c>
      <c r="AO348" t="s">
        <v>118</v>
      </c>
      <c r="AP348">
        <v>-91</v>
      </c>
      <c r="AQ348">
        <v>-177</v>
      </c>
      <c r="AR348">
        <v>-64</v>
      </c>
      <c r="AZ348">
        <v>1200</v>
      </c>
      <c r="BA348">
        <v>1</v>
      </c>
      <c r="BB348" t="str">
        <f t="shared" si="36"/>
        <v xml:space="preserve">N79NX   </v>
      </c>
      <c r="BC348">
        <v>1</v>
      </c>
      <c r="BE348">
        <v>0</v>
      </c>
      <c r="BF348">
        <v>0</v>
      </c>
      <c r="BG348">
        <v>0</v>
      </c>
      <c r="BH348">
        <v>3275</v>
      </c>
      <c r="BI348">
        <v>0</v>
      </c>
      <c r="BJ348">
        <v>0</v>
      </c>
      <c r="BK348">
        <v>0</v>
      </c>
      <c r="BL348">
        <v>0</v>
      </c>
      <c r="BO348">
        <v>0</v>
      </c>
      <c r="BP348">
        <v>0</v>
      </c>
      <c r="BW348" t="str">
        <f>"18:37:21.310"</f>
        <v>18:37:21.310</v>
      </c>
      <c r="BZ348">
        <v>0</v>
      </c>
      <c r="CA348">
        <v>3488</v>
      </c>
      <c r="CB348">
        <v>216</v>
      </c>
      <c r="CC348">
        <v>583.59379999999999</v>
      </c>
      <c r="CD348">
        <v>1</v>
      </c>
      <c r="CE348">
        <v>1</v>
      </c>
      <c r="CF348">
        <v>0</v>
      </c>
      <c r="CG348">
        <v>1</v>
      </c>
      <c r="CH348">
        <v>0</v>
      </c>
      <c r="CI348">
        <v>0</v>
      </c>
      <c r="CJ348">
        <v>0</v>
      </c>
      <c r="CK348">
        <v>2</v>
      </c>
      <c r="CL348">
        <v>0</v>
      </c>
      <c r="CM348">
        <v>2</v>
      </c>
      <c r="CN348">
        <v>0</v>
      </c>
      <c r="CO348">
        <v>6</v>
      </c>
      <c r="CP348" t="s">
        <v>119</v>
      </c>
      <c r="CQ348">
        <v>145</v>
      </c>
      <c r="CR348">
        <v>1</v>
      </c>
      <c r="CW348">
        <v>8903778</v>
      </c>
      <c r="CY348">
        <v>0</v>
      </c>
      <c r="CZ348">
        <v>0</v>
      </c>
      <c r="DA348">
        <v>1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</row>
    <row r="349" spans="1:113" x14ac:dyDescent="0.3">
      <c r="A349" t="str">
        <f>"02/13/2022 18:37:21.545"</f>
        <v>02/13/2022 18:37:21.545</v>
      </c>
      <c r="C349" t="str">
        <f t="shared" si="35"/>
        <v>FFDFD7C0</v>
      </c>
      <c r="D349" t="s">
        <v>121</v>
      </c>
      <c r="E349">
        <v>2</v>
      </c>
      <c r="H349">
        <v>158</v>
      </c>
      <c r="I349" t="s">
        <v>120</v>
      </c>
      <c r="J349" t="s">
        <v>122</v>
      </c>
      <c r="K349">
        <v>0</v>
      </c>
      <c r="L349">
        <v>3</v>
      </c>
      <c r="M349">
        <v>0</v>
      </c>
      <c r="N349">
        <v>2</v>
      </c>
      <c r="O349">
        <v>1</v>
      </c>
      <c r="P349">
        <v>0</v>
      </c>
      <c r="Q349">
        <v>0</v>
      </c>
      <c r="S349" t="str">
        <f>"18:37:21.305"</f>
        <v>18:37:21.305</v>
      </c>
      <c r="T349" t="str">
        <f>"18:37:20.905"</f>
        <v>18:37:20.905</v>
      </c>
      <c r="U349" t="str">
        <f t="shared" si="34"/>
        <v>AAB6EE</v>
      </c>
      <c r="V349">
        <v>0</v>
      </c>
      <c r="W349">
        <v>0</v>
      </c>
      <c r="X349">
        <v>4</v>
      </c>
      <c r="Z349">
        <v>0</v>
      </c>
      <c r="AA349">
        <v>8</v>
      </c>
      <c r="AB349">
        <v>3</v>
      </c>
      <c r="AC349">
        <v>0</v>
      </c>
      <c r="AD349">
        <v>10</v>
      </c>
      <c r="AE349">
        <v>0</v>
      </c>
      <c r="AF349">
        <v>0</v>
      </c>
      <c r="AG349">
        <v>1</v>
      </c>
      <c r="AH349">
        <v>1</v>
      </c>
      <c r="AI349" t="s">
        <v>353</v>
      </c>
      <c r="AJ349">
        <v>35.493844000000003</v>
      </c>
      <c r="AK349" t="s">
        <v>354</v>
      </c>
      <c r="AL349">
        <v>-76.050044999999997</v>
      </c>
      <c r="AM349">
        <v>25</v>
      </c>
      <c r="AN349">
        <v>3450</v>
      </c>
      <c r="AO349" t="s">
        <v>118</v>
      </c>
      <c r="AP349">
        <v>-91</v>
      </c>
      <c r="AQ349">
        <v>-177</v>
      </c>
      <c r="AR349">
        <v>-64</v>
      </c>
      <c r="AZ349">
        <v>1200</v>
      </c>
      <c r="BA349">
        <v>1</v>
      </c>
      <c r="BB349" t="str">
        <f t="shared" si="36"/>
        <v xml:space="preserve">N79NX   </v>
      </c>
      <c r="BC349">
        <v>1</v>
      </c>
      <c r="BE349">
        <v>0</v>
      </c>
      <c r="BF349">
        <v>0</v>
      </c>
      <c r="BG349">
        <v>0</v>
      </c>
      <c r="BH349">
        <v>3275</v>
      </c>
      <c r="BI349">
        <v>0</v>
      </c>
      <c r="BJ349">
        <v>0</v>
      </c>
      <c r="BK349">
        <v>0</v>
      </c>
      <c r="BL349">
        <v>0</v>
      </c>
      <c r="BO349">
        <v>0</v>
      </c>
      <c r="BP349">
        <v>0</v>
      </c>
      <c r="BW349" t="str">
        <f>"18:37:21.310"</f>
        <v>18:37:21.310</v>
      </c>
      <c r="BZ349">
        <v>0</v>
      </c>
      <c r="CA349">
        <v>3488</v>
      </c>
      <c r="CB349">
        <v>216</v>
      </c>
      <c r="CC349">
        <v>583.59379999999999</v>
      </c>
      <c r="CD349">
        <v>1</v>
      </c>
      <c r="CE349">
        <v>1</v>
      </c>
      <c r="CF349">
        <v>0</v>
      </c>
      <c r="CG349">
        <v>1</v>
      </c>
      <c r="CH349">
        <v>0</v>
      </c>
      <c r="CI349">
        <v>0</v>
      </c>
      <c r="CJ349">
        <v>0</v>
      </c>
      <c r="CK349">
        <v>2</v>
      </c>
      <c r="CL349">
        <v>0</v>
      </c>
      <c r="CM349">
        <v>2</v>
      </c>
      <c r="CN349">
        <v>0</v>
      </c>
      <c r="CO349">
        <v>6</v>
      </c>
      <c r="CP349" t="s">
        <v>119</v>
      </c>
      <c r="CQ349">
        <v>145</v>
      </c>
      <c r="CR349">
        <v>1</v>
      </c>
      <c r="CW349">
        <v>8903778</v>
      </c>
      <c r="CY349">
        <v>0</v>
      </c>
      <c r="CZ349">
        <v>0</v>
      </c>
      <c r="DA349">
        <v>1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</row>
    <row r="350" spans="1:113" x14ac:dyDescent="0.3">
      <c r="A350" t="str">
        <f>"02/13/2022 18:37:22.435"</f>
        <v>02/13/2022 18:37:22.435</v>
      </c>
      <c r="C350" t="str">
        <f t="shared" si="35"/>
        <v>FFDFD7C0</v>
      </c>
      <c r="D350" t="s">
        <v>113</v>
      </c>
      <c r="E350">
        <v>4</v>
      </c>
      <c r="F350">
        <v>1004</v>
      </c>
      <c r="G350" t="s">
        <v>120</v>
      </c>
      <c r="J350" t="s">
        <v>115</v>
      </c>
      <c r="K350">
        <v>0</v>
      </c>
      <c r="L350">
        <v>3</v>
      </c>
      <c r="M350">
        <v>0</v>
      </c>
      <c r="N350">
        <v>2</v>
      </c>
      <c r="O350">
        <v>1</v>
      </c>
      <c r="P350">
        <v>0</v>
      </c>
      <c r="Q350">
        <v>0</v>
      </c>
      <c r="S350" t="str">
        <f>"18:37:22.250"</f>
        <v>18:37:22.250</v>
      </c>
      <c r="T350" t="str">
        <f>"18:37:21.950"</f>
        <v>18:37:21.950</v>
      </c>
      <c r="U350" t="str">
        <f t="shared" si="34"/>
        <v>AAB6EE</v>
      </c>
      <c r="V350">
        <v>0</v>
      </c>
      <c r="W350">
        <v>0</v>
      </c>
      <c r="X350">
        <v>4</v>
      </c>
      <c r="Z350">
        <v>0</v>
      </c>
      <c r="AA350">
        <v>8</v>
      </c>
      <c r="AB350">
        <v>3</v>
      </c>
      <c r="AC350">
        <v>0</v>
      </c>
      <c r="AD350">
        <v>10</v>
      </c>
      <c r="AE350">
        <v>0</v>
      </c>
      <c r="AF350">
        <v>0</v>
      </c>
      <c r="AG350">
        <v>1</v>
      </c>
      <c r="AH350">
        <v>1</v>
      </c>
      <c r="AI350" t="s">
        <v>355</v>
      </c>
      <c r="AJ350">
        <v>35.493093000000002</v>
      </c>
      <c r="AK350" t="s">
        <v>356</v>
      </c>
      <c r="AL350">
        <v>-76.050517999999997</v>
      </c>
      <c r="AM350">
        <v>25</v>
      </c>
      <c r="AN350">
        <v>3450</v>
      </c>
      <c r="AO350" t="s">
        <v>118</v>
      </c>
      <c r="AP350">
        <v>-91</v>
      </c>
      <c r="AQ350">
        <v>-178</v>
      </c>
      <c r="AR350">
        <v>0</v>
      </c>
      <c r="AZ350">
        <v>1200</v>
      </c>
      <c r="BA350">
        <v>1</v>
      </c>
      <c r="BB350" t="str">
        <f t="shared" si="36"/>
        <v xml:space="preserve">N79NX   </v>
      </c>
      <c r="BC350">
        <v>1</v>
      </c>
      <c r="BE350">
        <v>0</v>
      </c>
      <c r="BF350">
        <v>0</v>
      </c>
      <c r="BG350">
        <v>0</v>
      </c>
      <c r="BH350">
        <v>3300</v>
      </c>
      <c r="BI350">
        <v>0</v>
      </c>
      <c r="BJ350">
        <v>0</v>
      </c>
      <c r="BK350">
        <v>0</v>
      </c>
      <c r="BL350">
        <v>0</v>
      </c>
      <c r="BO350">
        <v>0</v>
      </c>
      <c r="BP350">
        <v>0</v>
      </c>
      <c r="BW350" t="str">
        <f>"18:37:22.250"</f>
        <v>18:37:22.250</v>
      </c>
      <c r="BZ350">
        <v>0</v>
      </c>
      <c r="CA350">
        <v>3488</v>
      </c>
      <c r="CB350">
        <v>216</v>
      </c>
      <c r="CC350">
        <v>583.59379999999999</v>
      </c>
      <c r="CD350">
        <v>1</v>
      </c>
      <c r="CE350">
        <v>1</v>
      </c>
      <c r="CF350">
        <v>0</v>
      </c>
      <c r="CG350">
        <v>1</v>
      </c>
      <c r="CH350">
        <v>0</v>
      </c>
      <c r="CI350">
        <v>0</v>
      </c>
      <c r="CJ350">
        <v>0</v>
      </c>
      <c r="CK350">
        <v>2</v>
      </c>
      <c r="CL350">
        <v>0</v>
      </c>
      <c r="CM350">
        <v>2</v>
      </c>
      <c r="CN350">
        <v>0</v>
      </c>
      <c r="CO350">
        <v>6</v>
      </c>
      <c r="CP350" t="s">
        <v>119</v>
      </c>
      <c r="CQ350">
        <v>145</v>
      </c>
      <c r="CR350">
        <v>1</v>
      </c>
      <c r="CW350">
        <v>8904152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</row>
    <row r="351" spans="1:113" x14ac:dyDescent="0.3">
      <c r="A351" t="str">
        <f>"02/13/2022 18:37:22.467"</f>
        <v>02/13/2022 18:37:22.467</v>
      </c>
      <c r="C351" t="str">
        <f t="shared" si="35"/>
        <v>FFDFD7C0</v>
      </c>
      <c r="D351" t="s">
        <v>113</v>
      </c>
      <c r="E351">
        <v>3</v>
      </c>
      <c r="F351">
        <v>1003</v>
      </c>
      <c r="G351" t="s">
        <v>114</v>
      </c>
      <c r="J351" t="s">
        <v>115</v>
      </c>
      <c r="K351">
        <v>0</v>
      </c>
      <c r="L351">
        <v>3</v>
      </c>
      <c r="M351">
        <v>0</v>
      </c>
      <c r="N351">
        <v>2</v>
      </c>
      <c r="O351">
        <v>1</v>
      </c>
      <c r="P351">
        <v>0</v>
      </c>
      <c r="Q351">
        <v>0</v>
      </c>
      <c r="S351" t="str">
        <f>"18:37:22.250"</f>
        <v>18:37:22.250</v>
      </c>
      <c r="T351" t="str">
        <f>"18:37:21.950"</f>
        <v>18:37:21.950</v>
      </c>
      <c r="U351" t="str">
        <f t="shared" si="34"/>
        <v>AAB6EE</v>
      </c>
      <c r="V351">
        <v>0</v>
      </c>
      <c r="W351">
        <v>0</v>
      </c>
      <c r="X351">
        <v>4</v>
      </c>
      <c r="Z351">
        <v>0</v>
      </c>
      <c r="AA351">
        <v>8</v>
      </c>
      <c r="AB351">
        <v>3</v>
      </c>
      <c r="AC351">
        <v>0</v>
      </c>
      <c r="AD351">
        <v>10</v>
      </c>
      <c r="AE351">
        <v>0</v>
      </c>
      <c r="AF351">
        <v>0</v>
      </c>
      <c r="AG351">
        <v>1</v>
      </c>
      <c r="AH351">
        <v>1</v>
      </c>
      <c r="AI351" t="s">
        <v>355</v>
      </c>
      <c r="AJ351">
        <v>35.493093000000002</v>
      </c>
      <c r="AK351" t="s">
        <v>356</v>
      </c>
      <c r="AL351">
        <v>-76.050517999999997</v>
      </c>
      <c r="AM351">
        <v>25</v>
      </c>
      <c r="AN351">
        <v>3450</v>
      </c>
      <c r="AO351" t="s">
        <v>118</v>
      </c>
      <c r="AP351">
        <v>-91</v>
      </c>
      <c r="AQ351">
        <v>-178</v>
      </c>
      <c r="AR351">
        <v>0</v>
      </c>
      <c r="AZ351">
        <v>1200</v>
      </c>
      <c r="BA351">
        <v>1</v>
      </c>
      <c r="BB351" t="str">
        <f t="shared" si="36"/>
        <v xml:space="preserve">N79NX   </v>
      </c>
      <c r="BC351">
        <v>1</v>
      </c>
      <c r="BE351">
        <v>0</v>
      </c>
      <c r="BF351">
        <v>0</v>
      </c>
      <c r="BG351">
        <v>0</v>
      </c>
      <c r="BH351">
        <v>3300</v>
      </c>
      <c r="BI351">
        <v>0</v>
      </c>
      <c r="BJ351">
        <v>0</v>
      </c>
      <c r="BK351">
        <v>0</v>
      </c>
      <c r="BL351">
        <v>0</v>
      </c>
      <c r="BO351">
        <v>0</v>
      </c>
      <c r="BP351">
        <v>0</v>
      </c>
      <c r="BW351" t="str">
        <f>"18:37:22.250"</f>
        <v>18:37:22.250</v>
      </c>
      <c r="BZ351">
        <v>0</v>
      </c>
      <c r="CA351">
        <v>3488</v>
      </c>
      <c r="CB351">
        <v>216</v>
      </c>
      <c r="CC351">
        <v>583.59379999999999</v>
      </c>
      <c r="CD351">
        <v>1</v>
      </c>
      <c r="CE351">
        <v>1</v>
      </c>
      <c r="CF351">
        <v>0</v>
      </c>
      <c r="CG351">
        <v>1</v>
      </c>
      <c r="CH351">
        <v>0</v>
      </c>
      <c r="CI351">
        <v>0</v>
      </c>
      <c r="CJ351">
        <v>0</v>
      </c>
      <c r="CK351">
        <v>2</v>
      </c>
      <c r="CL351">
        <v>0</v>
      </c>
      <c r="CM351">
        <v>2</v>
      </c>
      <c r="CN351">
        <v>0</v>
      </c>
      <c r="CO351">
        <v>6</v>
      </c>
      <c r="CP351" t="s">
        <v>119</v>
      </c>
      <c r="CQ351">
        <v>145</v>
      </c>
      <c r="CR351">
        <v>1</v>
      </c>
      <c r="CW351">
        <v>8904152</v>
      </c>
      <c r="CY351">
        <v>0</v>
      </c>
      <c r="CZ351">
        <v>0</v>
      </c>
      <c r="DA351">
        <v>1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</row>
    <row r="352" spans="1:113" x14ac:dyDescent="0.3">
      <c r="A352" t="str">
        <f>"02/13/2022 18:37:22.529"</f>
        <v>02/13/2022 18:37:22.529</v>
      </c>
      <c r="C352" t="str">
        <f t="shared" si="35"/>
        <v>FFDFD7C0</v>
      </c>
      <c r="D352" t="s">
        <v>121</v>
      </c>
      <c r="E352">
        <v>2</v>
      </c>
      <c r="H352">
        <v>158</v>
      </c>
      <c r="I352" t="s">
        <v>120</v>
      </c>
      <c r="J352" t="s">
        <v>122</v>
      </c>
      <c r="K352">
        <v>0</v>
      </c>
      <c r="L352">
        <v>3</v>
      </c>
      <c r="M352">
        <v>0</v>
      </c>
      <c r="N352">
        <v>2</v>
      </c>
      <c r="O352">
        <v>1</v>
      </c>
      <c r="P352">
        <v>0</v>
      </c>
      <c r="Q352">
        <v>0</v>
      </c>
      <c r="S352" t="str">
        <f>"18:37:22.250"</f>
        <v>18:37:22.250</v>
      </c>
      <c r="T352" t="str">
        <f>"18:37:21.950"</f>
        <v>18:37:21.950</v>
      </c>
      <c r="U352" t="str">
        <f t="shared" si="34"/>
        <v>AAB6EE</v>
      </c>
      <c r="V352">
        <v>0</v>
      </c>
      <c r="W352">
        <v>0</v>
      </c>
      <c r="X352">
        <v>4</v>
      </c>
      <c r="Z352">
        <v>0</v>
      </c>
      <c r="AA352">
        <v>8</v>
      </c>
      <c r="AB352">
        <v>3</v>
      </c>
      <c r="AC352">
        <v>0</v>
      </c>
      <c r="AD352">
        <v>10</v>
      </c>
      <c r="AE352">
        <v>0</v>
      </c>
      <c r="AF352">
        <v>0</v>
      </c>
      <c r="AG352">
        <v>1</v>
      </c>
      <c r="AH352">
        <v>1</v>
      </c>
      <c r="AI352" t="s">
        <v>355</v>
      </c>
      <c r="AJ352">
        <v>35.493093000000002</v>
      </c>
      <c r="AK352" t="s">
        <v>356</v>
      </c>
      <c r="AL352">
        <v>-76.050517999999997</v>
      </c>
      <c r="AM352">
        <v>25</v>
      </c>
      <c r="AN352">
        <v>3450</v>
      </c>
      <c r="AO352" t="s">
        <v>118</v>
      </c>
      <c r="AP352">
        <v>-91</v>
      </c>
      <c r="AQ352">
        <v>-178</v>
      </c>
      <c r="AR352">
        <v>0</v>
      </c>
      <c r="AZ352">
        <v>1200</v>
      </c>
      <c r="BA352">
        <v>1</v>
      </c>
      <c r="BB352" t="str">
        <f t="shared" si="36"/>
        <v xml:space="preserve">N79NX   </v>
      </c>
      <c r="BC352">
        <v>1</v>
      </c>
      <c r="BE352">
        <v>0</v>
      </c>
      <c r="BF352">
        <v>0</v>
      </c>
      <c r="BG352">
        <v>0</v>
      </c>
      <c r="BH352">
        <v>3300</v>
      </c>
      <c r="BI352">
        <v>0</v>
      </c>
      <c r="BJ352">
        <v>0</v>
      </c>
      <c r="BK352">
        <v>0</v>
      </c>
      <c r="BL352">
        <v>0</v>
      </c>
      <c r="BO352">
        <v>0</v>
      </c>
      <c r="BP352">
        <v>0</v>
      </c>
      <c r="BW352" t="str">
        <f>"18:37:22.250"</f>
        <v>18:37:22.250</v>
      </c>
      <c r="BZ352">
        <v>0</v>
      </c>
      <c r="CA352">
        <v>3488</v>
      </c>
      <c r="CB352">
        <v>216</v>
      </c>
      <c r="CC352">
        <v>583.59379999999999</v>
      </c>
      <c r="CD352">
        <v>1</v>
      </c>
      <c r="CE352">
        <v>1</v>
      </c>
      <c r="CF352">
        <v>0</v>
      </c>
      <c r="CG352">
        <v>1</v>
      </c>
      <c r="CH352">
        <v>0</v>
      </c>
      <c r="CI352">
        <v>0</v>
      </c>
      <c r="CJ352">
        <v>0</v>
      </c>
      <c r="CK352">
        <v>2</v>
      </c>
      <c r="CL352">
        <v>0</v>
      </c>
      <c r="CM352">
        <v>2</v>
      </c>
      <c r="CN352">
        <v>0</v>
      </c>
      <c r="CO352">
        <v>6</v>
      </c>
      <c r="CP352" t="s">
        <v>119</v>
      </c>
      <c r="CQ352">
        <v>145</v>
      </c>
      <c r="CR352">
        <v>1</v>
      </c>
      <c r="CW352">
        <v>8904152</v>
      </c>
      <c r="CY352">
        <v>0</v>
      </c>
      <c r="CZ352">
        <v>0</v>
      </c>
      <c r="DA352">
        <v>1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</row>
    <row r="353" spans="1:113" x14ac:dyDescent="0.3">
      <c r="A353" t="str">
        <f>"02/13/2022 18:37:23.279"</f>
        <v>02/13/2022 18:37:23.279</v>
      </c>
      <c r="C353" t="str">
        <f t="shared" si="35"/>
        <v>FFDFD7C0</v>
      </c>
      <c r="D353" t="s">
        <v>121</v>
      </c>
      <c r="E353">
        <v>2</v>
      </c>
      <c r="H353">
        <v>158</v>
      </c>
      <c r="I353" t="s">
        <v>120</v>
      </c>
      <c r="J353" t="s">
        <v>122</v>
      </c>
      <c r="K353">
        <v>0</v>
      </c>
      <c r="L353">
        <v>3</v>
      </c>
      <c r="M353">
        <v>0</v>
      </c>
      <c r="N353">
        <v>2</v>
      </c>
      <c r="O353">
        <v>1</v>
      </c>
      <c r="P353">
        <v>0</v>
      </c>
      <c r="Q353">
        <v>0</v>
      </c>
      <c r="S353" t="str">
        <f t="shared" ref="S353:T355" si="38">"18:37:23.078"</f>
        <v>18:37:23.078</v>
      </c>
      <c r="T353" t="str">
        <f t="shared" si="38"/>
        <v>18:37:23.078</v>
      </c>
      <c r="U353" t="str">
        <f t="shared" si="34"/>
        <v>AAB6EE</v>
      </c>
      <c r="V353">
        <v>0</v>
      </c>
      <c r="W353">
        <v>0</v>
      </c>
      <c r="X353">
        <v>4</v>
      </c>
      <c r="Z353">
        <v>0</v>
      </c>
      <c r="AA353">
        <v>8</v>
      </c>
      <c r="AB353">
        <v>3</v>
      </c>
      <c r="AC353">
        <v>0</v>
      </c>
      <c r="AD353">
        <v>10</v>
      </c>
      <c r="AE353">
        <v>0</v>
      </c>
      <c r="AF353">
        <v>0</v>
      </c>
      <c r="AG353">
        <v>1</v>
      </c>
      <c r="AH353">
        <v>1</v>
      </c>
      <c r="AI353" t="s">
        <v>357</v>
      </c>
      <c r="AJ353">
        <v>35.492449000000001</v>
      </c>
      <c r="AK353" t="s">
        <v>358</v>
      </c>
      <c r="AL353">
        <v>-76.050925000000007</v>
      </c>
      <c r="AM353">
        <v>25</v>
      </c>
      <c r="AN353">
        <v>3450</v>
      </c>
      <c r="AO353" t="s">
        <v>118</v>
      </c>
      <c r="AP353">
        <v>-91</v>
      </c>
      <c r="AQ353">
        <v>-179</v>
      </c>
      <c r="AR353">
        <v>0</v>
      </c>
      <c r="AZ353">
        <v>1200</v>
      </c>
      <c r="BA353">
        <v>1</v>
      </c>
      <c r="BB353" t="str">
        <f t="shared" si="36"/>
        <v xml:space="preserve">N79NX   </v>
      </c>
      <c r="BC353">
        <v>1</v>
      </c>
      <c r="BE353">
        <v>0</v>
      </c>
      <c r="BF353">
        <v>0</v>
      </c>
      <c r="BG353">
        <v>0</v>
      </c>
      <c r="BH353">
        <v>3300</v>
      </c>
      <c r="BI353">
        <v>0</v>
      </c>
      <c r="BJ353">
        <v>0</v>
      </c>
      <c r="BK353">
        <v>0</v>
      </c>
      <c r="BL353">
        <v>0</v>
      </c>
      <c r="BO353">
        <v>0</v>
      </c>
      <c r="BP353">
        <v>0</v>
      </c>
      <c r="BW353" t="str">
        <f>"18:37:23.080"</f>
        <v>18:37:23.080</v>
      </c>
      <c r="BZ353">
        <v>0</v>
      </c>
      <c r="CA353">
        <v>3488</v>
      </c>
      <c r="CB353">
        <v>216</v>
      </c>
      <c r="CC353">
        <v>583.59379999999999</v>
      </c>
      <c r="CD353">
        <v>1</v>
      </c>
      <c r="CE353">
        <v>1</v>
      </c>
      <c r="CF353">
        <v>0</v>
      </c>
      <c r="CG353">
        <v>1</v>
      </c>
      <c r="CH353">
        <v>0</v>
      </c>
      <c r="CI353">
        <v>0</v>
      </c>
      <c r="CJ353">
        <v>0</v>
      </c>
      <c r="CK353">
        <v>2</v>
      </c>
      <c r="CL353">
        <v>0</v>
      </c>
      <c r="CM353">
        <v>2</v>
      </c>
      <c r="CN353">
        <v>0</v>
      </c>
      <c r="CO353">
        <v>6</v>
      </c>
      <c r="CP353" t="s">
        <v>119</v>
      </c>
      <c r="CQ353">
        <v>145</v>
      </c>
      <c r="CR353">
        <v>1</v>
      </c>
      <c r="CW353">
        <v>8904511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</row>
    <row r="354" spans="1:113" x14ac:dyDescent="0.3">
      <c r="A354" t="str">
        <f>"02/13/2022 18:37:23.342"</f>
        <v>02/13/2022 18:37:23.342</v>
      </c>
      <c r="C354" t="str">
        <f t="shared" si="35"/>
        <v>FFDFD7C0</v>
      </c>
      <c r="D354" t="s">
        <v>113</v>
      </c>
      <c r="E354">
        <v>4</v>
      </c>
      <c r="F354">
        <v>1004</v>
      </c>
      <c r="G354" t="s">
        <v>120</v>
      </c>
      <c r="J354" t="s">
        <v>115</v>
      </c>
      <c r="K354">
        <v>0</v>
      </c>
      <c r="L354">
        <v>3</v>
      </c>
      <c r="M354">
        <v>0</v>
      </c>
      <c r="N354">
        <v>2</v>
      </c>
      <c r="O354">
        <v>1</v>
      </c>
      <c r="P354">
        <v>0</v>
      </c>
      <c r="Q354">
        <v>0</v>
      </c>
      <c r="S354" t="str">
        <f t="shared" si="38"/>
        <v>18:37:23.078</v>
      </c>
      <c r="T354" t="str">
        <f t="shared" si="38"/>
        <v>18:37:23.078</v>
      </c>
      <c r="U354" t="str">
        <f t="shared" si="34"/>
        <v>AAB6EE</v>
      </c>
      <c r="V354">
        <v>0</v>
      </c>
      <c r="W354">
        <v>0</v>
      </c>
      <c r="X354">
        <v>4</v>
      </c>
      <c r="Z354">
        <v>0</v>
      </c>
      <c r="AA354">
        <v>8</v>
      </c>
      <c r="AB354">
        <v>3</v>
      </c>
      <c r="AC354">
        <v>0</v>
      </c>
      <c r="AD354">
        <v>10</v>
      </c>
      <c r="AE354">
        <v>0</v>
      </c>
      <c r="AF354">
        <v>0</v>
      </c>
      <c r="AG354">
        <v>1</v>
      </c>
      <c r="AH354">
        <v>1</v>
      </c>
      <c r="AI354" t="s">
        <v>357</v>
      </c>
      <c r="AJ354">
        <v>35.492449000000001</v>
      </c>
      <c r="AK354" t="s">
        <v>358</v>
      </c>
      <c r="AL354">
        <v>-76.050925000000007</v>
      </c>
      <c r="AM354">
        <v>25</v>
      </c>
      <c r="AN354">
        <v>3450</v>
      </c>
      <c r="AO354" t="s">
        <v>118</v>
      </c>
      <c r="AP354">
        <v>-91</v>
      </c>
      <c r="AQ354">
        <v>-179</v>
      </c>
      <c r="AR354">
        <v>0</v>
      </c>
      <c r="AZ354">
        <v>1200</v>
      </c>
      <c r="BA354">
        <v>1</v>
      </c>
      <c r="BB354" t="str">
        <f t="shared" si="36"/>
        <v xml:space="preserve">N79NX   </v>
      </c>
      <c r="BC354">
        <v>1</v>
      </c>
      <c r="BE354">
        <v>0</v>
      </c>
      <c r="BF354">
        <v>0</v>
      </c>
      <c r="BG354">
        <v>0</v>
      </c>
      <c r="BH354">
        <v>3300</v>
      </c>
      <c r="BI354">
        <v>0</v>
      </c>
      <c r="BJ354">
        <v>0</v>
      </c>
      <c r="BK354">
        <v>0</v>
      </c>
      <c r="BL354">
        <v>0</v>
      </c>
      <c r="BO354">
        <v>0</v>
      </c>
      <c r="BP354">
        <v>0</v>
      </c>
      <c r="BW354" t="str">
        <f>"18:37:23.080"</f>
        <v>18:37:23.080</v>
      </c>
      <c r="BZ354">
        <v>0</v>
      </c>
      <c r="CA354">
        <v>3488</v>
      </c>
      <c r="CB354">
        <v>216</v>
      </c>
      <c r="CC354">
        <v>583.59379999999999</v>
      </c>
      <c r="CD354">
        <v>1</v>
      </c>
      <c r="CE354">
        <v>1</v>
      </c>
      <c r="CF354">
        <v>0</v>
      </c>
      <c r="CG354">
        <v>1</v>
      </c>
      <c r="CH354">
        <v>0</v>
      </c>
      <c r="CI354">
        <v>0</v>
      </c>
      <c r="CJ354">
        <v>0</v>
      </c>
      <c r="CK354">
        <v>2</v>
      </c>
      <c r="CL354">
        <v>0</v>
      </c>
      <c r="CM354">
        <v>2</v>
      </c>
      <c r="CN354">
        <v>0</v>
      </c>
      <c r="CO354">
        <v>6</v>
      </c>
      <c r="CP354" t="s">
        <v>119</v>
      </c>
      <c r="CQ354">
        <v>145</v>
      </c>
      <c r="CR354">
        <v>1</v>
      </c>
      <c r="CW354">
        <v>8904511</v>
      </c>
      <c r="CY354">
        <v>0</v>
      </c>
      <c r="CZ354">
        <v>0</v>
      </c>
      <c r="DA354">
        <v>1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</row>
    <row r="355" spans="1:113" x14ac:dyDescent="0.3">
      <c r="A355" t="str">
        <f>"02/13/2022 18:37:23.342"</f>
        <v>02/13/2022 18:37:23.342</v>
      </c>
      <c r="C355" t="str">
        <f t="shared" si="35"/>
        <v>FFDFD7C0</v>
      </c>
      <c r="D355" t="s">
        <v>113</v>
      </c>
      <c r="E355">
        <v>3</v>
      </c>
      <c r="F355">
        <v>1003</v>
      </c>
      <c r="G355" t="s">
        <v>114</v>
      </c>
      <c r="J355" t="s">
        <v>115</v>
      </c>
      <c r="K355">
        <v>0</v>
      </c>
      <c r="L355">
        <v>3</v>
      </c>
      <c r="M355">
        <v>0</v>
      </c>
      <c r="N355">
        <v>2</v>
      </c>
      <c r="O355">
        <v>1</v>
      </c>
      <c r="P355">
        <v>0</v>
      </c>
      <c r="Q355">
        <v>0</v>
      </c>
      <c r="S355" t="str">
        <f t="shared" si="38"/>
        <v>18:37:23.078</v>
      </c>
      <c r="T355" t="str">
        <f t="shared" si="38"/>
        <v>18:37:23.078</v>
      </c>
      <c r="U355" t="str">
        <f t="shared" si="34"/>
        <v>AAB6EE</v>
      </c>
      <c r="V355">
        <v>0</v>
      </c>
      <c r="W355">
        <v>0</v>
      </c>
      <c r="X355">
        <v>4</v>
      </c>
      <c r="Z355">
        <v>0</v>
      </c>
      <c r="AA355">
        <v>8</v>
      </c>
      <c r="AB355">
        <v>3</v>
      </c>
      <c r="AC355">
        <v>0</v>
      </c>
      <c r="AD355">
        <v>10</v>
      </c>
      <c r="AE355">
        <v>0</v>
      </c>
      <c r="AF355">
        <v>0</v>
      </c>
      <c r="AG355">
        <v>1</v>
      </c>
      <c r="AH355">
        <v>1</v>
      </c>
      <c r="AI355" t="s">
        <v>357</v>
      </c>
      <c r="AJ355">
        <v>35.492449000000001</v>
      </c>
      <c r="AK355" t="s">
        <v>358</v>
      </c>
      <c r="AL355">
        <v>-76.050925000000007</v>
      </c>
      <c r="AM355">
        <v>25</v>
      </c>
      <c r="AN355">
        <v>3450</v>
      </c>
      <c r="AO355" t="s">
        <v>118</v>
      </c>
      <c r="AP355">
        <v>-91</v>
      </c>
      <c r="AQ355">
        <v>-179</v>
      </c>
      <c r="AR355">
        <v>0</v>
      </c>
      <c r="AZ355">
        <v>1200</v>
      </c>
      <c r="BA355">
        <v>1</v>
      </c>
      <c r="BB355" t="str">
        <f t="shared" si="36"/>
        <v xml:space="preserve">N79NX   </v>
      </c>
      <c r="BC355">
        <v>1</v>
      </c>
      <c r="BE355">
        <v>0</v>
      </c>
      <c r="BF355">
        <v>0</v>
      </c>
      <c r="BG355">
        <v>0</v>
      </c>
      <c r="BH355">
        <v>3300</v>
      </c>
      <c r="BI355">
        <v>0</v>
      </c>
      <c r="BJ355">
        <v>0</v>
      </c>
      <c r="BK355">
        <v>0</v>
      </c>
      <c r="BL355">
        <v>0</v>
      </c>
      <c r="BO355">
        <v>0</v>
      </c>
      <c r="BP355">
        <v>0</v>
      </c>
      <c r="BW355" t="str">
        <f>"18:37:23.080"</f>
        <v>18:37:23.080</v>
      </c>
      <c r="BZ355">
        <v>0</v>
      </c>
      <c r="CA355">
        <v>3488</v>
      </c>
      <c r="CB355">
        <v>216</v>
      </c>
      <c r="CC355">
        <v>583.59379999999999</v>
      </c>
      <c r="CD355">
        <v>1</v>
      </c>
      <c r="CE355">
        <v>1</v>
      </c>
      <c r="CF355">
        <v>0</v>
      </c>
      <c r="CG355">
        <v>1</v>
      </c>
      <c r="CH355">
        <v>0</v>
      </c>
      <c r="CI355">
        <v>0</v>
      </c>
      <c r="CJ355">
        <v>0</v>
      </c>
      <c r="CK355">
        <v>2</v>
      </c>
      <c r="CL355">
        <v>0</v>
      </c>
      <c r="CM355">
        <v>2</v>
      </c>
      <c r="CN355">
        <v>0</v>
      </c>
      <c r="CO355">
        <v>6</v>
      </c>
      <c r="CP355" t="s">
        <v>119</v>
      </c>
      <c r="CQ355">
        <v>145</v>
      </c>
      <c r="CR355">
        <v>1</v>
      </c>
      <c r="CW355">
        <v>8904511</v>
      </c>
      <c r="CY355">
        <v>0</v>
      </c>
      <c r="CZ355">
        <v>0</v>
      </c>
      <c r="DA355">
        <v>1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</row>
    <row r="356" spans="1:113" x14ac:dyDescent="0.3">
      <c r="A356" t="str">
        <f>"02/13/2022 18:37:24.326"</f>
        <v>02/13/2022 18:37:24.326</v>
      </c>
      <c r="C356" t="str">
        <f t="shared" si="35"/>
        <v>FFDFD7C0</v>
      </c>
      <c r="D356" t="s">
        <v>121</v>
      </c>
      <c r="E356">
        <v>2</v>
      </c>
      <c r="H356">
        <v>158</v>
      </c>
      <c r="I356" t="s">
        <v>120</v>
      </c>
      <c r="J356" t="s">
        <v>122</v>
      </c>
      <c r="K356">
        <v>0</v>
      </c>
      <c r="L356">
        <v>3</v>
      </c>
      <c r="M356">
        <v>0</v>
      </c>
      <c r="N356">
        <v>2</v>
      </c>
      <c r="O356">
        <v>1</v>
      </c>
      <c r="P356">
        <v>0</v>
      </c>
      <c r="Q356">
        <v>0</v>
      </c>
      <c r="S356" t="str">
        <f>"18:37:24.125"</f>
        <v>18:37:24.125</v>
      </c>
      <c r="T356" t="str">
        <f>"18:37:23.625"</f>
        <v>18:37:23.625</v>
      </c>
      <c r="U356" t="str">
        <f t="shared" si="34"/>
        <v>AAB6EE</v>
      </c>
      <c r="V356">
        <v>0</v>
      </c>
      <c r="W356">
        <v>0</v>
      </c>
      <c r="X356">
        <v>4</v>
      </c>
      <c r="Z356">
        <v>0</v>
      </c>
      <c r="AA356">
        <v>8</v>
      </c>
      <c r="AB356">
        <v>3</v>
      </c>
      <c r="AC356">
        <v>0</v>
      </c>
      <c r="AD356">
        <v>10</v>
      </c>
      <c r="AE356">
        <v>0</v>
      </c>
      <c r="AF356">
        <v>0</v>
      </c>
      <c r="AG356">
        <v>1</v>
      </c>
      <c r="AH356">
        <v>1</v>
      </c>
      <c r="AI356" t="s">
        <v>359</v>
      </c>
      <c r="AJ356">
        <v>35.491568999999998</v>
      </c>
      <c r="AK356" t="s">
        <v>360</v>
      </c>
      <c r="AL356">
        <v>-76.051547999999997</v>
      </c>
      <c r="AM356">
        <v>25</v>
      </c>
      <c r="AN356">
        <v>3450</v>
      </c>
      <c r="AO356" t="s">
        <v>118</v>
      </c>
      <c r="AP356">
        <v>-91</v>
      </c>
      <c r="AQ356">
        <v>-179</v>
      </c>
      <c r="AR356">
        <v>0</v>
      </c>
      <c r="AZ356">
        <v>1200</v>
      </c>
      <c r="BA356">
        <v>1</v>
      </c>
      <c r="BB356" t="str">
        <f t="shared" si="36"/>
        <v xml:space="preserve">N79NX   </v>
      </c>
      <c r="BC356">
        <v>1</v>
      </c>
      <c r="BE356">
        <v>0</v>
      </c>
      <c r="BF356">
        <v>0</v>
      </c>
      <c r="BG356">
        <v>0</v>
      </c>
      <c r="BH356">
        <v>3325</v>
      </c>
      <c r="BI356">
        <v>0</v>
      </c>
      <c r="BJ356">
        <v>0</v>
      </c>
      <c r="BK356">
        <v>0</v>
      </c>
      <c r="BL356">
        <v>0</v>
      </c>
      <c r="BO356">
        <v>0</v>
      </c>
      <c r="BP356">
        <v>0</v>
      </c>
      <c r="BW356" t="str">
        <f>"18:37:24.130"</f>
        <v>18:37:24.130</v>
      </c>
      <c r="BZ356">
        <v>0</v>
      </c>
      <c r="CA356">
        <v>3488</v>
      </c>
      <c r="CB356">
        <v>216</v>
      </c>
      <c r="CC356">
        <v>583.59379999999999</v>
      </c>
      <c r="CD356">
        <v>1</v>
      </c>
      <c r="CE356">
        <v>1</v>
      </c>
      <c r="CF356">
        <v>0</v>
      </c>
      <c r="CG356">
        <v>1</v>
      </c>
      <c r="CH356">
        <v>0</v>
      </c>
      <c r="CI356">
        <v>0</v>
      </c>
      <c r="CJ356">
        <v>0</v>
      </c>
      <c r="CK356">
        <v>2</v>
      </c>
      <c r="CL356">
        <v>0</v>
      </c>
      <c r="CM356">
        <v>2</v>
      </c>
      <c r="CN356">
        <v>0</v>
      </c>
      <c r="CO356">
        <v>6</v>
      </c>
      <c r="CP356" t="s">
        <v>119</v>
      </c>
      <c r="CQ356">
        <v>145</v>
      </c>
      <c r="CR356">
        <v>1</v>
      </c>
      <c r="CW356">
        <v>8904984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</row>
    <row r="357" spans="1:113" x14ac:dyDescent="0.3">
      <c r="A357" t="str">
        <f>"02/13/2022 18:37:24.374"</f>
        <v>02/13/2022 18:37:24.374</v>
      </c>
      <c r="C357" t="str">
        <f t="shared" si="35"/>
        <v>FFDFD7C0</v>
      </c>
      <c r="D357" t="s">
        <v>113</v>
      </c>
      <c r="E357">
        <v>4</v>
      </c>
      <c r="F357">
        <v>1004</v>
      </c>
      <c r="G357" t="s">
        <v>120</v>
      </c>
      <c r="J357" t="s">
        <v>115</v>
      </c>
      <c r="K357">
        <v>0</v>
      </c>
      <c r="L357">
        <v>3</v>
      </c>
      <c r="M357">
        <v>0</v>
      </c>
      <c r="N357">
        <v>2</v>
      </c>
      <c r="O357">
        <v>1</v>
      </c>
      <c r="P357">
        <v>0</v>
      </c>
      <c r="Q357">
        <v>0</v>
      </c>
      <c r="S357" t="str">
        <f>"18:37:24.125"</f>
        <v>18:37:24.125</v>
      </c>
      <c r="T357" t="str">
        <f>"18:37:23.625"</f>
        <v>18:37:23.625</v>
      </c>
      <c r="U357" t="str">
        <f t="shared" si="34"/>
        <v>AAB6EE</v>
      </c>
      <c r="V357">
        <v>0</v>
      </c>
      <c r="W357">
        <v>0</v>
      </c>
      <c r="X357">
        <v>4</v>
      </c>
      <c r="Z357">
        <v>0</v>
      </c>
      <c r="AA357">
        <v>8</v>
      </c>
      <c r="AB357">
        <v>3</v>
      </c>
      <c r="AC357">
        <v>0</v>
      </c>
      <c r="AD357">
        <v>10</v>
      </c>
      <c r="AE357">
        <v>0</v>
      </c>
      <c r="AF357">
        <v>0</v>
      </c>
      <c r="AG357">
        <v>1</v>
      </c>
      <c r="AH357">
        <v>1</v>
      </c>
      <c r="AI357" t="s">
        <v>359</v>
      </c>
      <c r="AJ357">
        <v>35.491568999999998</v>
      </c>
      <c r="AK357" t="s">
        <v>360</v>
      </c>
      <c r="AL357">
        <v>-76.051547999999997</v>
      </c>
      <c r="AM357">
        <v>25</v>
      </c>
      <c r="AN357">
        <v>3450</v>
      </c>
      <c r="AO357" t="s">
        <v>118</v>
      </c>
      <c r="AP357">
        <v>-91</v>
      </c>
      <c r="AQ357">
        <v>-179</v>
      </c>
      <c r="AR357">
        <v>0</v>
      </c>
      <c r="AZ357">
        <v>1200</v>
      </c>
      <c r="BA357">
        <v>1</v>
      </c>
      <c r="BB357" t="str">
        <f t="shared" si="36"/>
        <v xml:space="preserve">N79NX   </v>
      </c>
      <c r="BC357">
        <v>1</v>
      </c>
      <c r="BE357">
        <v>0</v>
      </c>
      <c r="BF357">
        <v>0</v>
      </c>
      <c r="BG357">
        <v>0</v>
      </c>
      <c r="BH357">
        <v>3325</v>
      </c>
      <c r="BI357">
        <v>0</v>
      </c>
      <c r="BJ357">
        <v>0</v>
      </c>
      <c r="BK357">
        <v>0</v>
      </c>
      <c r="BL357">
        <v>0</v>
      </c>
      <c r="BO357">
        <v>0</v>
      </c>
      <c r="BP357">
        <v>0</v>
      </c>
      <c r="BW357" t="str">
        <f>"18:37:24.130"</f>
        <v>18:37:24.130</v>
      </c>
      <c r="BZ357">
        <v>0</v>
      </c>
      <c r="CA357">
        <v>3488</v>
      </c>
      <c r="CB357">
        <v>216</v>
      </c>
      <c r="CC357">
        <v>583.59379999999999</v>
      </c>
      <c r="CD357">
        <v>1</v>
      </c>
      <c r="CE357">
        <v>1</v>
      </c>
      <c r="CF357">
        <v>0</v>
      </c>
      <c r="CG357">
        <v>1</v>
      </c>
      <c r="CH357">
        <v>0</v>
      </c>
      <c r="CI357">
        <v>0</v>
      </c>
      <c r="CJ357">
        <v>0</v>
      </c>
      <c r="CK357">
        <v>2</v>
      </c>
      <c r="CL357">
        <v>0</v>
      </c>
      <c r="CM357">
        <v>2</v>
      </c>
      <c r="CN357">
        <v>0</v>
      </c>
      <c r="CO357">
        <v>6</v>
      </c>
      <c r="CP357" t="s">
        <v>119</v>
      </c>
      <c r="CQ357">
        <v>145</v>
      </c>
      <c r="CR357">
        <v>1</v>
      </c>
      <c r="CW357">
        <v>8904984</v>
      </c>
      <c r="CY357">
        <v>0</v>
      </c>
      <c r="CZ357">
        <v>0</v>
      </c>
      <c r="DA357">
        <v>1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</row>
    <row r="358" spans="1:113" x14ac:dyDescent="0.3">
      <c r="A358" t="str">
        <f>"02/13/2022 18:37:24.374"</f>
        <v>02/13/2022 18:37:24.374</v>
      </c>
      <c r="C358" t="str">
        <f t="shared" si="35"/>
        <v>FFDFD7C0</v>
      </c>
      <c r="D358" t="s">
        <v>113</v>
      </c>
      <c r="E358">
        <v>3</v>
      </c>
      <c r="F358">
        <v>1003</v>
      </c>
      <c r="G358" t="s">
        <v>114</v>
      </c>
      <c r="J358" t="s">
        <v>115</v>
      </c>
      <c r="K358">
        <v>0</v>
      </c>
      <c r="L358">
        <v>3</v>
      </c>
      <c r="M358">
        <v>0</v>
      </c>
      <c r="N358">
        <v>2</v>
      </c>
      <c r="O358">
        <v>1</v>
      </c>
      <c r="P358">
        <v>0</v>
      </c>
      <c r="Q358">
        <v>0</v>
      </c>
      <c r="S358" t="str">
        <f>"18:37:24.125"</f>
        <v>18:37:24.125</v>
      </c>
      <c r="T358" t="str">
        <f>"18:37:23.625"</f>
        <v>18:37:23.625</v>
      </c>
      <c r="U358" t="str">
        <f t="shared" si="34"/>
        <v>AAB6EE</v>
      </c>
      <c r="V358">
        <v>0</v>
      </c>
      <c r="W358">
        <v>0</v>
      </c>
      <c r="X358">
        <v>4</v>
      </c>
      <c r="Z358">
        <v>0</v>
      </c>
      <c r="AA358">
        <v>8</v>
      </c>
      <c r="AB358">
        <v>3</v>
      </c>
      <c r="AC358">
        <v>0</v>
      </c>
      <c r="AD358">
        <v>10</v>
      </c>
      <c r="AE358">
        <v>0</v>
      </c>
      <c r="AF358">
        <v>0</v>
      </c>
      <c r="AG358">
        <v>1</v>
      </c>
      <c r="AH358">
        <v>1</v>
      </c>
      <c r="AI358" t="s">
        <v>359</v>
      </c>
      <c r="AJ358">
        <v>35.491568999999998</v>
      </c>
      <c r="AK358" t="s">
        <v>360</v>
      </c>
      <c r="AL358">
        <v>-76.051547999999997</v>
      </c>
      <c r="AM358">
        <v>25</v>
      </c>
      <c r="AN358">
        <v>3450</v>
      </c>
      <c r="AO358" t="s">
        <v>118</v>
      </c>
      <c r="AP358">
        <v>-91</v>
      </c>
      <c r="AQ358">
        <v>-179</v>
      </c>
      <c r="AR358">
        <v>0</v>
      </c>
      <c r="AZ358">
        <v>1200</v>
      </c>
      <c r="BA358">
        <v>1</v>
      </c>
      <c r="BB358" t="str">
        <f t="shared" si="36"/>
        <v xml:space="preserve">N79NX   </v>
      </c>
      <c r="BC358">
        <v>1</v>
      </c>
      <c r="BE358">
        <v>0</v>
      </c>
      <c r="BF358">
        <v>0</v>
      </c>
      <c r="BG358">
        <v>0</v>
      </c>
      <c r="BH358">
        <v>3325</v>
      </c>
      <c r="BI358">
        <v>0</v>
      </c>
      <c r="BJ358">
        <v>0</v>
      </c>
      <c r="BK358">
        <v>0</v>
      </c>
      <c r="BL358">
        <v>0</v>
      </c>
      <c r="BO358">
        <v>0</v>
      </c>
      <c r="BP358">
        <v>0</v>
      </c>
      <c r="BW358" t="str">
        <f>"18:37:24.130"</f>
        <v>18:37:24.130</v>
      </c>
      <c r="BZ358">
        <v>0</v>
      </c>
      <c r="CA358">
        <v>3488</v>
      </c>
      <c r="CB358">
        <v>216</v>
      </c>
      <c r="CC358">
        <v>583.59379999999999</v>
      </c>
      <c r="CD358">
        <v>1</v>
      </c>
      <c r="CE358">
        <v>1</v>
      </c>
      <c r="CF358">
        <v>0</v>
      </c>
      <c r="CG358">
        <v>1</v>
      </c>
      <c r="CH358">
        <v>0</v>
      </c>
      <c r="CI358">
        <v>0</v>
      </c>
      <c r="CJ358">
        <v>0</v>
      </c>
      <c r="CK358">
        <v>2</v>
      </c>
      <c r="CL358">
        <v>0</v>
      </c>
      <c r="CM358">
        <v>2</v>
      </c>
      <c r="CN358">
        <v>0</v>
      </c>
      <c r="CO358">
        <v>6</v>
      </c>
      <c r="CP358" t="s">
        <v>119</v>
      </c>
      <c r="CQ358">
        <v>145</v>
      </c>
      <c r="CR358">
        <v>1</v>
      </c>
      <c r="CW358">
        <v>8904984</v>
      </c>
      <c r="CY358">
        <v>0</v>
      </c>
      <c r="CZ358">
        <v>0</v>
      </c>
      <c r="DA358">
        <v>1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</row>
    <row r="359" spans="1:113" x14ac:dyDescent="0.3">
      <c r="A359" t="str">
        <f>"02/13/2022 18:37:25.439"</f>
        <v>02/13/2022 18:37:25.439</v>
      </c>
      <c r="C359" t="str">
        <f t="shared" si="35"/>
        <v>FFDFD7C0</v>
      </c>
      <c r="D359" t="s">
        <v>121</v>
      </c>
      <c r="E359">
        <v>2</v>
      </c>
      <c r="H359">
        <v>158</v>
      </c>
      <c r="I359" t="s">
        <v>120</v>
      </c>
      <c r="J359" t="s">
        <v>122</v>
      </c>
      <c r="K359">
        <v>0</v>
      </c>
      <c r="L359">
        <v>3</v>
      </c>
      <c r="M359">
        <v>0</v>
      </c>
      <c r="N359">
        <v>2</v>
      </c>
      <c r="O359">
        <v>1</v>
      </c>
      <c r="P359">
        <v>0</v>
      </c>
      <c r="Q359">
        <v>0</v>
      </c>
      <c r="S359" t="str">
        <f>"18:37:25.203"</f>
        <v>18:37:25.203</v>
      </c>
      <c r="T359" t="str">
        <f>"18:37:24.803"</f>
        <v>18:37:24.803</v>
      </c>
      <c r="U359" t="str">
        <f t="shared" si="34"/>
        <v>AAB6EE</v>
      </c>
      <c r="V359">
        <v>0</v>
      </c>
      <c r="W359">
        <v>0</v>
      </c>
      <c r="X359">
        <v>4</v>
      </c>
      <c r="Z359">
        <v>0</v>
      </c>
      <c r="AA359">
        <v>8</v>
      </c>
      <c r="AB359">
        <v>3</v>
      </c>
      <c r="AC359">
        <v>0</v>
      </c>
      <c r="AD359">
        <v>10</v>
      </c>
      <c r="AE359">
        <v>0</v>
      </c>
      <c r="AF359">
        <v>0</v>
      </c>
      <c r="AG359">
        <v>1</v>
      </c>
      <c r="AH359">
        <v>1</v>
      </c>
      <c r="AI359" t="s">
        <v>361</v>
      </c>
      <c r="AJ359">
        <v>35.490625000000001</v>
      </c>
      <c r="AK359" t="s">
        <v>362</v>
      </c>
      <c r="AL359">
        <v>-76.052104999999997</v>
      </c>
      <c r="AM359">
        <v>25</v>
      </c>
      <c r="AN359">
        <v>3450</v>
      </c>
      <c r="AO359" t="s">
        <v>118</v>
      </c>
      <c r="AP359">
        <v>-91</v>
      </c>
      <c r="AQ359">
        <v>-179</v>
      </c>
      <c r="AR359">
        <v>0</v>
      </c>
      <c r="AZ359">
        <v>1200</v>
      </c>
      <c r="BA359">
        <v>1</v>
      </c>
      <c r="BB359" t="str">
        <f t="shared" si="36"/>
        <v xml:space="preserve">N79NX   </v>
      </c>
      <c r="BC359">
        <v>1</v>
      </c>
      <c r="BE359">
        <v>0</v>
      </c>
      <c r="BF359">
        <v>0</v>
      </c>
      <c r="BG359">
        <v>0</v>
      </c>
      <c r="BH359">
        <v>3300</v>
      </c>
      <c r="BI359">
        <v>0</v>
      </c>
      <c r="BJ359">
        <v>0</v>
      </c>
      <c r="BK359">
        <v>0</v>
      </c>
      <c r="BL359">
        <v>0</v>
      </c>
      <c r="BO359">
        <v>0</v>
      </c>
      <c r="BP359">
        <v>0</v>
      </c>
      <c r="BW359" t="str">
        <f>"18:37:25.210"</f>
        <v>18:37:25.210</v>
      </c>
      <c r="BZ359">
        <v>0</v>
      </c>
      <c r="CA359">
        <v>3488</v>
      </c>
      <c r="CB359">
        <v>216</v>
      </c>
      <c r="CC359">
        <v>583.59379999999999</v>
      </c>
      <c r="CD359">
        <v>1</v>
      </c>
      <c r="CE359">
        <v>1</v>
      </c>
      <c r="CF359">
        <v>0</v>
      </c>
      <c r="CG359">
        <v>1</v>
      </c>
      <c r="CH359">
        <v>0</v>
      </c>
      <c r="CI359">
        <v>0</v>
      </c>
      <c r="CJ359">
        <v>0</v>
      </c>
      <c r="CK359">
        <v>2</v>
      </c>
      <c r="CL359">
        <v>0</v>
      </c>
      <c r="CM359">
        <v>2</v>
      </c>
      <c r="CN359">
        <v>0</v>
      </c>
      <c r="CO359">
        <v>6</v>
      </c>
      <c r="CP359" t="s">
        <v>119</v>
      </c>
      <c r="CQ359">
        <v>145</v>
      </c>
      <c r="CR359">
        <v>1</v>
      </c>
      <c r="CW359">
        <v>8905533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</row>
    <row r="360" spans="1:113" x14ac:dyDescent="0.3">
      <c r="A360" t="str">
        <f>"02/13/2022 18:37:25.470"</f>
        <v>02/13/2022 18:37:25.470</v>
      </c>
      <c r="C360" t="str">
        <f t="shared" si="35"/>
        <v>FFDFD7C0</v>
      </c>
      <c r="D360" t="s">
        <v>113</v>
      </c>
      <c r="E360">
        <v>4</v>
      </c>
      <c r="F360">
        <v>1004</v>
      </c>
      <c r="G360" t="s">
        <v>120</v>
      </c>
      <c r="J360" t="s">
        <v>115</v>
      </c>
      <c r="K360">
        <v>0</v>
      </c>
      <c r="L360">
        <v>3</v>
      </c>
      <c r="M360">
        <v>0</v>
      </c>
      <c r="N360">
        <v>2</v>
      </c>
      <c r="O360">
        <v>1</v>
      </c>
      <c r="P360">
        <v>0</v>
      </c>
      <c r="Q360">
        <v>0</v>
      </c>
      <c r="S360" t="str">
        <f>"18:37:25.203"</f>
        <v>18:37:25.203</v>
      </c>
      <c r="T360" t="str">
        <f>"18:37:24.803"</f>
        <v>18:37:24.803</v>
      </c>
      <c r="U360" t="str">
        <f t="shared" si="34"/>
        <v>AAB6EE</v>
      </c>
      <c r="V360">
        <v>0</v>
      </c>
      <c r="W360">
        <v>0</v>
      </c>
      <c r="X360">
        <v>4</v>
      </c>
      <c r="Z360">
        <v>0</v>
      </c>
      <c r="AA360">
        <v>8</v>
      </c>
      <c r="AB360">
        <v>3</v>
      </c>
      <c r="AC360">
        <v>0</v>
      </c>
      <c r="AD360">
        <v>10</v>
      </c>
      <c r="AE360">
        <v>0</v>
      </c>
      <c r="AF360">
        <v>0</v>
      </c>
      <c r="AG360">
        <v>1</v>
      </c>
      <c r="AH360">
        <v>1</v>
      </c>
      <c r="AI360" t="s">
        <v>361</v>
      </c>
      <c r="AJ360">
        <v>35.490625000000001</v>
      </c>
      <c r="AK360" t="s">
        <v>362</v>
      </c>
      <c r="AL360">
        <v>-76.052104999999997</v>
      </c>
      <c r="AM360">
        <v>25</v>
      </c>
      <c r="AN360">
        <v>3450</v>
      </c>
      <c r="AO360" t="s">
        <v>118</v>
      </c>
      <c r="AP360">
        <v>-91</v>
      </c>
      <c r="AQ360">
        <v>-179</v>
      </c>
      <c r="AR360">
        <v>0</v>
      </c>
      <c r="AZ360">
        <v>1200</v>
      </c>
      <c r="BA360">
        <v>1</v>
      </c>
      <c r="BB360" t="str">
        <f t="shared" si="36"/>
        <v xml:space="preserve">N79NX   </v>
      </c>
      <c r="BC360">
        <v>1</v>
      </c>
      <c r="BE360">
        <v>0</v>
      </c>
      <c r="BF360">
        <v>0</v>
      </c>
      <c r="BG360">
        <v>0</v>
      </c>
      <c r="BH360">
        <v>3300</v>
      </c>
      <c r="BI360">
        <v>0</v>
      </c>
      <c r="BJ360">
        <v>0</v>
      </c>
      <c r="BK360">
        <v>0</v>
      </c>
      <c r="BL360">
        <v>0</v>
      </c>
      <c r="BO360">
        <v>0</v>
      </c>
      <c r="BP360">
        <v>0</v>
      </c>
      <c r="BW360" t="str">
        <f>"18:37:25.210"</f>
        <v>18:37:25.210</v>
      </c>
      <c r="BZ360">
        <v>0</v>
      </c>
      <c r="CA360">
        <v>3488</v>
      </c>
      <c r="CB360">
        <v>216</v>
      </c>
      <c r="CC360">
        <v>583.59379999999999</v>
      </c>
      <c r="CD360">
        <v>1</v>
      </c>
      <c r="CE360">
        <v>1</v>
      </c>
      <c r="CF360">
        <v>0</v>
      </c>
      <c r="CG360">
        <v>1</v>
      </c>
      <c r="CH360">
        <v>0</v>
      </c>
      <c r="CI360">
        <v>0</v>
      </c>
      <c r="CJ360">
        <v>0</v>
      </c>
      <c r="CK360">
        <v>2</v>
      </c>
      <c r="CL360">
        <v>0</v>
      </c>
      <c r="CM360">
        <v>2</v>
      </c>
      <c r="CN360">
        <v>0</v>
      </c>
      <c r="CO360">
        <v>6</v>
      </c>
      <c r="CP360" t="s">
        <v>119</v>
      </c>
      <c r="CQ360">
        <v>145</v>
      </c>
      <c r="CR360">
        <v>1</v>
      </c>
      <c r="CW360">
        <v>8905533</v>
      </c>
      <c r="CY360">
        <v>0</v>
      </c>
      <c r="CZ360">
        <v>0</v>
      </c>
      <c r="DA360">
        <v>1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</row>
    <row r="361" spans="1:113" x14ac:dyDescent="0.3">
      <c r="A361" t="str">
        <f>"02/13/2022 18:37:25.470"</f>
        <v>02/13/2022 18:37:25.470</v>
      </c>
      <c r="C361" t="str">
        <f t="shared" si="35"/>
        <v>FFDFD7C0</v>
      </c>
      <c r="D361" t="s">
        <v>113</v>
      </c>
      <c r="E361">
        <v>3</v>
      </c>
      <c r="F361">
        <v>1003</v>
      </c>
      <c r="G361" t="s">
        <v>114</v>
      </c>
      <c r="J361" t="s">
        <v>115</v>
      </c>
      <c r="K361">
        <v>0</v>
      </c>
      <c r="L361">
        <v>3</v>
      </c>
      <c r="M361">
        <v>0</v>
      </c>
      <c r="N361">
        <v>2</v>
      </c>
      <c r="O361">
        <v>1</v>
      </c>
      <c r="P361">
        <v>0</v>
      </c>
      <c r="Q361">
        <v>0</v>
      </c>
      <c r="S361" t="str">
        <f>"18:37:25.203"</f>
        <v>18:37:25.203</v>
      </c>
      <c r="T361" t="str">
        <f>"18:37:24.803"</f>
        <v>18:37:24.803</v>
      </c>
      <c r="U361" t="str">
        <f t="shared" si="34"/>
        <v>AAB6EE</v>
      </c>
      <c r="V361">
        <v>0</v>
      </c>
      <c r="W361">
        <v>0</v>
      </c>
      <c r="X361">
        <v>4</v>
      </c>
      <c r="Z361">
        <v>0</v>
      </c>
      <c r="AA361">
        <v>8</v>
      </c>
      <c r="AB361">
        <v>3</v>
      </c>
      <c r="AC361">
        <v>0</v>
      </c>
      <c r="AD361">
        <v>10</v>
      </c>
      <c r="AE361">
        <v>0</v>
      </c>
      <c r="AF361">
        <v>0</v>
      </c>
      <c r="AG361">
        <v>1</v>
      </c>
      <c r="AH361">
        <v>1</v>
      </c>
      <c r="AI361" t="s">
        <v>361</v>
      </c>
      <c r="AJ361">
        <v>35.490625000000001</v>
      </c>
      <c r="AK361" t="s">
        <v>362</v>
      </c>
      <c r="AL361">
        <v>-76.052104999999997</v>
      </c>
      <c r="AM361">
        <v>25</v>
      </c>
      <c r="AN361">
        <v>3450</v>
      </c>
      <c r="AO361" t="s">
        <v>118</v>
      </c>
      <c r="AP361">
        <v>-91</v>
      </c>
      <c r="AQ361">
        <v>-179</v>
      </c>
      <c r="AR361">
        <v>0</v>
      </c>
      <c r="AZ361">
        <v>1200</v>
      </c>
      <c r="BA361">
        <v>1</v>
      </c>
      <c r="BB361" t="str">
        <f t="shared" si="36"/>
        <v xml:space="preserve">N79NX   </v>
      </c>
      <c r="BC361">
        <v>1</v>
      </c>
      <c r="BE361">
        <v>0</v>
      </c>
      <c r="BF361">
        <v>0</v>
      </c>
      <c r="BG361">
        <v>0</v>
      </c>
      <c r="BH361">
        <v>3300</v>
      </c>
      <c r="BI361">
        <v>0</v>
      </c>
      <c r="BJ361">
        <v>0</v>
      </c>
      <c r="BK361">
        <v>0</v>
      </c>
      <c r="BL361">
        <v>0</v>
      </c>
      <c r="BO361">
        <v>0</v>
      </c>
      <c r="BP361">
        <v>0</v>
      </c>
      <c r="BW361" t="str">
        <f>"18:37:25.210"</f>
        <v>18:37:25.210</v>
      </c>
      <c r="BZ361">
        <v>0</v>
      </c>
      <c r="CA361">
        <v>3488</v>
      </c>
      <c r="CB361">
        <v>216</v>
      </c>
      <c r="CC361">
        <v>583.59379999999999</v>
      </c>
      <c r="CD361">
        <v>1</v>
      </c>
      <c r="CE361">
        <v>1</v>
      </c>
      <c r="CF361">
        <v>0</v>
      </c>
      <c r="CG361">
        <v>1</v>
      </c>
      <c r="CH361">
        <v>0</v>
      </c>
      <c r="CI361">
        <v>0</v>
      </c>
      <c r="CJ361">
        <v>0</v>
      </c>
      <c r="CK361">
        <v>2</v>
      </c>
      <c r="CL361">
        <v>0</v>
      </c>
      <c r="CM361">
        <v>2</v>
      </c>
      <c r="CN361">
        <v>0</v>
      </c>
      <c r="CO361">
        <v>6</v>
      </c>
      <c r="CP361" t="s">
        <v>119</v>
      </c>
      <c r="CQ361">
        <v>145</v>
      </c>
      <c r="CR361">
        <v>1</v>
      </c>
      <c r="CW361">
        <v>8905533</v>
      </c>
      <c r="CY361">
        <v>0</v>
      </c>
      <c r="CZ361">
        <v>0</v>
      </c>
      <c r="DA361">
        <v>1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</row>
    <row r="362" spans="1:113" x14ac:dyDescent="0.3">
      <c r="A362" t="str">
        <f>"02/13/2022 18:37:26.408"</f>
        <v>02/13/2022 18:37:26.408</v>
      </c>
      <c r="C362" t="str">
        <f t="shared" si="35"/>
        <v>FFDFD7C0</v>
      </c>
      <c r="D362" t="s">
        <v>121</v>
      </c>
      <c r="E362">
        <v>2</v>
      </c>
      <c r="H362">
        <v>158</v>
      </c>
      <c r="I362" t="s">
        <v>120</v>
      </c>
      <c r="J362" t="s">
        <v>122</v>
      </c>
      <c r="K362">
        <v>0</v>
      </c>
      <c r="L362">
        <v>3</v>
      </c>
      <c r="M362">
        <v>0</v>
      </c>
      <c r="N362">
        <v>2</v>
      </c>
      <c r="O362">
        <v>1</v>
      </c>
      <c r="P362">
        <v>0</v>
      </c>
      <c r="Q362">
        <v>0</v>
      </c>
      <c r="S362" t="str">
        <f t="shared" ref="S362:T364" si="39">"18:37:26.195"</f>
        <v>18:37:26.195</v>
      </c>
      <c r="T362" t="str">
        <f t="shared" si="39"/>
        <v>18:37:26.195</v>
      </c>
      <c r="U362" t="str">
        <f t="shared" si="34"/>
        <v>AAB6EE</v>
      </c>
      <c r="V362">
        <v>0</v>
      </c>
      <c r="W362">
        <v>0</v>
      </c>
      <c r="X362">
        <v>4</v>
      </c>
      <c r="Z362">
        <v>0</v>
      </c>
      <c r="AA362">
        <v>8</v>
      </c>
      <c r="AB362">
        <v>3</v>
      </c>
      <c r="AC362">
        <v>0</v>
      </c>
      <c r="AD362">
        <v>10</v>
      </c>
      <c r="AE362">
        <v>0</v>
      </c>
      <c r="AF362">
        <v>0</v>
      </c>
      <c r="AG362">
        <v>1</v>
      </c>
      <c r="AH362">
        <v>1</v>
      </c>
      <c r="AI362" t="s">
        <v>363</v>
      </c>
      <c r="AJ362">
        <v>35.489874</v>
      </c>
      <c r="AK362" t="s">
        <v>364</v>
      </c>
      <c r="AL362">
        <v>-76.052576999999999</v>
      </c>
      <c r="AM362">
        <v>25</v>
      </c>
      <c r="AN362">
        <v>3450</v>
      </c>
      <c r="AO362" t="s">
        <v>118</v>
      </c>
      <c r="AP362">
        <v>-91</v>
      </c>
      <c r="AQ362">
        <v>-180</v>
      </c>
      <c r="AR362">
        <v>0</v>
      </c>
      <c r="AZ362">
        <v>1200</v>
      </c>
      <c r="BA362">
        <v>1</v>
      </c>
      <c r="BB362" t="str">
        <f t="shared" si="36"/>
        <v xml:space="preserve">N79NX   </v>
      </c>
      <c r="BC362">
        <v>1</v>
      </c>
      <c r="BE362">
        <v>0</v>
      </c>
      <c r="BF362">
        <v>0</v>
      </c>
      <c r="BG362">
        <v>0</v>
      </c>
      <c r="BH362">
        <v>3325</v>
      </c>
      <c r="BI362">
        <v>0</v>
      </c>
      <c r="BJ362">
        <v>0</v>
      </c>
      <c r="BK362">
        <v>0</v>
      </c>
      <c r="BL362">
        <v>0</v>
      </c>
      <c r="BO362">
        <v>0</v>
      </c>
      <c r="BP362">
        <v>0</v>
      </c>
      <c r="BW362" t="str">
        <f>"18:37:26.200"</f>
        <v>18:37:26.200</v>
      </c>
      <c r="BZ362">
        <v>0</v>
      </c>
      <c r="CA362">
        <v>3488</v>
      </c>
      <c r="CB362">
        <v>216</v>
      </c>
      <c r="CC362">
        <v>583.59379999999999</v>
      </c>
      <c r="CD362">
        <v>1</v>
      </c>
      <c r="CE362">
        <v>1</v>
      </c>
      <c r="CF362">
        <v>0</v>
      </c>
      <c r="CG362">
        <v>1</v>
      </c>
      <c r="CH362">
        <v>0</v>
      </c>
      <c r="CI362">
        <v>0</v>
      </c>
      <c r="CJ362">
        <v>0</v>
      </c>
      <c r="CK362">
        <v>2</v>
      </c>
      <c r="CL362">
        <v>0</v>
      </c>
      <c r="CM362">
        <v>2</v>
      </c>
      <c r="CN362">
        <v>0</v>
      </c>
      <c r="CO362">
        <v>6</v>
      </c>
      <c r="CP362" t="s">
        <v>119</v>
      </c>
      <c r="CQ362">
        <v>145</v>
      </c>
      <c r="CR362">
        <v>1</v>
      </c>
      <c r="CW362">
        <v>8906000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</row>
    <row r="363" spans="1:113" x14ac:dyDescent="0.3">
      <c r="A363" t="str">
        <f>"02/13/2022 18:37:26.408"</f>
        <v>02/13/2022 18:37:26.408</v>
      </c>
      <c r="C363" t="str">
        <f t="shared" si="35"/>
        <v>FFDFD7C0</v>
      </c>
      <c r="D363" t="s">
        <v>113</v>
      </c>
      <c r="E363">
        <v>3</v>
      </c>
      <c r="F363">
        <v>1003</v>
      </c>
      <c r="G363" t="s">
        <v>114</v>
      </c>
      <c r="J363" t="s">
        <v>115</v>
      </c>
      <c r="K363">
        <v>0</v>
      </c>
      <c r="L363">
        <v>3</v>
      </c>
      <c r="M363">
        <v>0</v>
      </c>
      <c r="N363">
        <v>2</v>
      </c>
      <c r="O363">
        <v>1</v>
      </c>
      <c r="P363">
        <v>0</v>
      </c>
      <c r="Q363">
        <v>0</v>
      </c>
      <c r="S363" t="str">
        <f t="shared" si="39"/>
        <v>18:37:26.195</v>
      </c>
      <c r="T363" t="str">
        <f t="shared" si="39"/>
        <v>18:37:26.195</v>
      </c>
      <c r="U363" t="str">
        <f t="shared" si="34"/>
        <v>AAB6EE</v>
      </c>
      <c r="V363">
        <v>0</v>
      </c>
      <c r="W363">
        <v>0</v>
      </c>
      <c r="X363">
        <v>4</v>
      </c>
      <c r="Z363">
        <v>0</v>
      </c>
      <c r="AA363">
        <v>8</v>
      </c>
      <c r="AB363">
        <v>3</v>
      </c>
      <c r="AC363">
        <v>0</v>
      </c>
      <c r="AD363">
        <v>10</v>
      </c>
      <c r="AE363">
        <v>0</v>
      </c>
      <c r="AF363">
        <v>0</v>
      </c>
      <c r="AG363">
        <v>1</v>
      </c>
      <c r="AH363">
        <v>1</v>
      </c>
      <c r="AI363" t="s">
        <v>363</v>
      </c>
      <c r="AJ363">
        <v>35.489874</v>
      </c>
      <c r="AK363" t="s">
        <v>364</v>
      </c>
      <c r="AL363">
        <v>-76.052576999999999</v>
      </c>
      <c r="AM363">
        <v>25</v>
      </c>
      <c r="AN363">
        <v>3450</v>
      </c>
      <c r="AO363" t="s">
        <v>118</v>
      </c>
      <c r="AP363">
        <v>-91</v>
      </c>
      <c r="AQ363">
        <v>-180</v>
      </c>
      <c r="AR363">
        <v>0</v>
      </c>
      <c r="AZ363">
        <v>1200</v>
      </c>
      <c r="BA363">
        <v>1</v>
      </c>
      <c r="BB363" t="str">
        <f t="shared" si="36"/>
        <v xml:space="preserve">N79NX   </v>
      </c>
      <c r="BC363">
        <v>1</v>
      </c>
      <c r="BE363">
        <v>0</v>
      </c>
      <c r="BF363">
        <v>0</v>
      </c>
      <c r="BG363">
        <v>0</v>
      </c>
      <c r="BH363">
        <v>3325</v>
      </c>
      <c r="BI363">
        <v>0</v>
      </c>
      <c r="BJ363">
        <v>0</v>
      </c>
      <c r="BK363">
        <v>0</v>
      </c>
      <c r="BL363">
        <v>0</v>
      </c>
      <c r="BO363">
        <v>0</v>
      </c>
      <c r="BP363">
        <v>0</v>
      </c>
      <c r="BW363" t="str">
        <f>"18:37:26.200"</f>
        <v>18:37:26.200</v>
      </c>
      <c r="BZ363">
        <v>0</v>
      </c>
      <c r="CA363">
        <v>3488</v>
      </c>
      <c r="CB363">
        <v>216</v>
      </c>
      <c r="CC363">
        <v>583.59379999999999</v>
      </c>
      <c r="CD363">
        <v>1</v>
      </c>
      <c r="CE363">
        <v>1</v>
      </c>
      <c r="CF363">
        <v>0</v>
      </c>
      <c r="CG363">
        <v>1</v>
      </c>
      <c r="CH363">
        <v>0</v>
      </c>
      <c r="CI363">
        <v>0</v>
      </c>
      <c r="CJ363">
        <v>0</v>
      </c>
      <c r="CK363">
        <v>2</v>
      </c>
      <c r="CL363">
        <v>0</v>
      </c>
      <c r="CM363">
        <v>2</v>
      </c>
      <c r="CN363">
        <v>0</v>
      </c>
      <c r="CO363">
        <v>6</v>
      </c>
      <c r="CP363" t="s">
        <v>119</v>
      </c>
      <c r="CQ363">
        <v>145</v>
      </c>
      <c r="CR363">
        <v>1</v>
      </c>
      <c r="CW363">
        <v>8906000</v>
      </c>
      <c r="CY363">
        <v>0</v>
      </c>
      <c r="CZ363">
        <v>0</v>
      </c>
      <c r="DA363">
        <v>1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</row>
    <row r="364" spans="1:113" x14ac:dyDescent="0.3">
      <c r="A364" t="str">
        <f>"02/13/2022 18:37:26.408"</f>
        <v>02/13/2022 18:37:26.408</v>
      </c>
      <c r="C364" t="str">
        <f t="shared" si="35"/>
        <v>FFDFD7C0</v>
      </c>
      <c r="D364" t="s">
        <v>113</v>
      </c>
      <c r="E364">
        <v>4</v>
      </c>
      <c r="F364">
        <v>1004</v>
      </c>
      <c r="G364" t="s">
        <v>120</v>
      </c>
      <c r="J364" t="s">
        <v>115</v>
      </c>
      <c r="K364">
        <v>0</v>
      </c>
      <c r="L364">
        <v>3</v>
      </c>
      <c r="M364">
        <v>0</v>
      </c>
      <c r="N364">
        <v>2</v>
      </c>
      <c r="O364">
        <v>1</v>
      </c>
      <c r="P364">
        <v>0</v>
      </c>
      <c r="Q364">
        <v>0</v>
      </c>
      <c r="S364" t="str">
        <f t="shared" si="39"/>
        <v>18:37:26.195</v>
      </c>
      <c r="T364" t="str">
        <f t="shared" si="39"/>
        <v>18:37:26.195</v>
      </c>
      <c r="U364" t="str">
        <f t="shared" si="34"/>
        <v>AAB6EE</v>
      </c>
      <c r="V364">
        <v>0</v>
      </c>
      <c r="W364">
        <v>0</v>
      </c>
      <c r="X364">
        <v>4</v>
      </c>
      <c r="Z364">
        <v>0</v>
      </c>
      <c r="AA364">
        <v>8</v>
      </c>
      <c r="AB364">
        <v>3</v>
      </c>
      <c r="AC364">
        <v>0</v>
      </c>
      <c r="AD364">
        <v>10</v>
      </c>
      <c r="AE364">
        <v>0</v>
      </c>
      <c r="AF364">
        <v>0</v>
      </c>
      <c r="AG364">
        <v>1</v>
      </c>
      <c r="AH364">
        <v>1</v>
      </c>
      <c r="AI364" t="s">
        <v>363</v>
      </c>
      <c r="AJ364">
        <v>35.489874</v>
      </c>
      <c r="AK364" t="s">
        <v>364</v>
      </c>
      <c r="AL364">
        <v>-76.052576999999999</v>
      </c>
      <c r="AM364">
        <v>25</v>
      </c>
      <c r="AN364">
        <v>3450</v>
      </c>
      <c r="AO364" t="s">
        <v>118</v>
      </c>
      <c r="AP364">
        <v>-91</v>
      </c>
      <c r="AQ364">
        <v>-180</v>
      </c>
      <c r="AR364">
        <v>0</v>
      </c>
      <c r="AZ364">
        <v>1200</v>
      </c>
      <c r="BA364">
        <v>1</v>
      </c>
      <c r="BB364" t="str">
        <f t="shared" si="36"/>
        <v xml:space="preserve">N79NX   </v>
      </c>
      <c r="BC364">
        <v>1</v>
      </c>
      <c r="BE364">
        <v>0</v>
      </c>
      <c r="BF364">
        <v>0</v>
      </c>
      <c r="BG364">
        <v>0</v>
      </c>
      <c r="BH364">
        <v>3325</v>
      </c>
      <c r="BI364">
        <v>0</v>
      </c>
      <c r="BJ364">
        <v>0</v>
      </c>
      <c r="BK364">
        <v>0</v>
      </c>
      <c r="BL364">
        <v>0</v>
      </c>
      <c r="BO364">
        <v>0</v>
      </c>
      <c r="BP364">
        <v>0</v>
      </c>
      <c r="BW364" t="str">
        <f>"18:37:26.200"</f>
        <v>18:37:26.200</v>
      </c>
      <c r="BZ364">
        <v>0</v>
      </c>
      <c r="CA364">
        <v>3488</v>
      </c>
      <c r="CB364">
        <v>216</v>
      </c>
      <c r="CC364">
        <v>583.59379999999999</v>
      </c>
      <c r="CD364">
        <v>1</v>
      </c>
      <c r="CE364">
        <v>1</v>
      </c>
      <c r="CF364">
        <v>0</v>
      </c>
      <c r="CG364">
        <v>1</v>
      </c>
      <c r="CH364">
        <v>0</v>
      </c>
      <c r="CI364">
        <v>0</v>
      </c>
      <c r="CJ364">
        <v>0</v>
      </c>
      <c r="CK364">
        <v>2</v>
      </c>
      <c r="CL364">
        <v>0</v>
      </c>
      <c r="CM364">
        <v>2</v>
      </c>
      <c r="CN364">
        <v>0</v>
      </c>
      <c r="CO364">
        <v>6</v>
      </c>
      <c r="CP364" t="s">
        <v>119</v>
      </c>
      <c r="CQ364">
        <v>145</v>
      </c>
      <c r="CR364">
        <v>1</v>
      </c>
      <c r="CW364">
        <v>8906000</v>
      </c>
      <c r="CY364">
        <v>0</v>
      </c>
      <c r="CZ364">
        <v>0</v>
      </c>
      <c r="DA364">
        <v>1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</row>
    <row r="365" spans="1:113" x14ac:dyDescent="0.3">
      <c r="A365" t="str">
        <f>"02/13/2022 18:37:27.345"</f>
        <v>02/13/2022 18:37:27.345</v>
      </c>
      <c r="C365" t="str">
        <f t="shared" si="35"/>
        <v>FFDFD7C0</v>
      </c>
      <c r="D365" t="s">
        <v>113</v>
      </c>
      <c r="E365">
        <v>4</v>
      </c>
      <c r="F365">
        <v>1004</v>
      </c>
      <c r="G365" t="s">
        <v>120</v>
      </c>
      <c r="J365" t="s">
        <v>115</v>
      </c>
      <c r="K365">
        <v>0</v>
      </c>
      <c r="L365">
        <v>3</v>
      </c>
      <c r="M365">
        <v>0</v>
      </c>
      <c r="N365">
        <v>2</v>
      </c>
      <c r="O365">
        <v>1</v>
      </c>
      <c r="P365">
        <v>0</v>
      </c>
      <c r="Q365">
        <v>0</v>
      </c>
      <c r="S365" t="str">
        <f>"18:37:27.125"</f>
        <v>18:37:27.125</v>
      </c>
      <c r="T365" t="str">
        <f>"18:37:26.625"</f>
        <v>18:37:26.625</v>
      </c>
      <c r="U365" t="str">
        <f t="shared" si="34"/>
        <v>AAB6EE</v>
      </c>
      <c r="V365">
        <v>0</v>
      </c>
      <c r="W365">
        <v>0</v>
      </c>
      <c r="X365">
        <v>4</v>
      </c>
      <c r="Z365">
        <v>0</v>
      </c>
      <c r="AA365">
        <v>8</v>
      </c>
      <c r="AB365">
        <v>3</v>
      </c>
      <c r="AC365">
        <v>0</v>
      </c>
      <c r="AD365">
        <v>10</v>
      </c>
      <c r="AE365">
        <v>0</v>
      </c>
      <c r="AF365">
        <v>0</v>
      </c>
      <c r="AG365">
        <v>1</v>
      </c>
      <c r="AH365">
        <v>1</v>
      </c>
      <c r="AI365" t="s">
        <v>365</v>
      </c>
      <c r="AJ365">
        <v>35.489037000000003</v>
      </c>
      <c r="AK365" t="s">
        <v>366</v>
      </c>
      <c r="AL365">
        <v>-76.053092000000007</v>
      </c>
      <c r="AM365">
        <v>25</v>
      </c>
      <c r="AN365">
        <v>3450</v>
      </c>
      <c r="AO365" t="s">
        <v>118</v>
      </c>
      <c r="AP365">
        <v>-91</v>
      </c>
      <c r="AQ365">
        <v>-180</v>
      </c>
      <c r="AR365">
        <v>0</v>
      </c>
      <c r="AZ365">
        <v>1200</v>
      </c>
      <c r="BA365">
        <v>1</v>
      </c>
      <c r="BB365" t="str">
        <f t="shared" si="36"/>
        <v xml:space="preserve">N79NX   </v>
      </c>
      <c r="BC365">
        <v>1</v>
      </c>
      <c r="BE365">
        <v>0</v>
      </c>
      <c r="BF365">
        <v>0</v>
      </c>
      <c r="BG365">
        <v>0</v>
      </c>
      <c r="BH365">
        <v>3300</v>
      </c>
      <c r="BI365">
        <v>0</v>
      </c>
      <c r="BJ365">
        <v>0</v>
      </c>
      <c r="BK365">
        <v>0</v>
      </c>
      <c r="BL365">
        <v>0</v>
      </c>
      <c r="BO365">
        <v>0</v>
      </c>
      <c r="BP365">
        <v>0</v>
      </c>
      <c r="BW365" t="str">
        <f>"18:37:27.130"</f>
        <v>18:37:27.130</v>
      </c>
      <c r="BZ365">
        <v>0</v>
      </c>
      <c r="CA365">
        <v>3488</v>
      </c>
      <c r="CB365">
        <v>216</v>
      </c>
      <c r="CC365">
        <v>583.59379999999999</v>
      </c>
      <c r="CD365">
        <v>1</v>
      </c>
      <c r="CE365">
        <v>1</v>
      </c>
      <c r="CF365">
        <v>0</v>
      </c>
      <c r="CG365">
        <v>1</v>
      </c>
      <c r="CH365">
        <v>0</v>
      </c>
      <c r="CI365">
        <v>0</v>
      </c>
      <c r="CJ365">
        <v>0</v>
      </c>
      <c r="CK365">
        <v>2</v>
      </c>
      <c r="CL365">
        <v>0</v>
      </c>
      <c r="CM365">
        <v>2</v>
      </c>
      <c r="CN365">
        <v>0</v>
      </c>
      <c r="CO365">
        <v>6</v>
      </c>
      <c r="CP365" t="s">
        <v>119</v>
      </c>
      <c r="CQ365">
        <v>145</v>
      </c>
      <c r="CR365">
        <v>1</v>
      </c>
      <c r="CW365">
        <v>8906381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</row>
    <row r="366" spans="1:113" x14ac:dyDescent="0.3">
      <c r="A366" t="str">
        <f>"02/13/2022 18:37:27.345"</f>
        <v>02/13/2022 18:37:27.345</v>
      </c>
      <c r="C366" t="str">
        <f t="shared" si="35"/>
        <v>FFDFD7C0</v>
      </c>
      <c r="D366" t="s">
        <v>113</v>
      </c>
      <c r="E366">
        <v>3</v>
      </c>
      <c r="F366">
        <v>1003</v>
      </c>
      <c r="G366" t="s">
        <v>114</v>
      </c>
      <c r="J366" t="s">
        <v>115</v>
      </c>
      <c r="K366">
        <v>0</v>
      </c>
      <c r="L366">
        <v>3</v>
      </c>
      <c r="M366">
        <v>0</v>
      </c>
      <c r="N366">
        <v>2</v>
      </c>
      <c r="O366">
        <v>1</v>
      </c>
      <c r="P366">
        <v>0</v>
      </c>
      <c r="Q366">
        <v>0</v>
      </c>
      <c r="S366" t="str">
        <f>"18:37:27.125"</f>
        <v>18:37:27.125</v>
      </c>
      <c r="T366" t="str">
        <f>"18:37:26.625"</f>
        <v>18:37:26.625</v>
      </c>
      <c r="U366" t="str">
        <f t="shared" si="34"/>
        <v>AAB6EE</v>
      </c>
      <c r="V366">
        <v>0</v>
      </c>
      <c r="W366">
        <v>0</v>
      </c>
      <c r="X366">
        <v>4</v>
      </c>
      <c r="Z366">
        <v>0</v>
      </c>
      <c r="AA366">
        <v>8</v>
      </c>
      <c r="AB366">
        <v>3</v>
      </c>
      <c r="AC366">
        <v>0</v>
      </c>
      <c r="AD366">
        <v>10</v>
      </c>
      <c r="AE366">
        <v>0</v>
      </c>
      <c r="AF366">
        <v>0</v>
      </c>
      <c r="AG366">
        <v>1</v>
      </c>
      <c r="AH366">
        <v>1</v>
      </c>
      <c r="AI366" t="s">
        <v>365</v>
      </c>
      <c r="AJ366">
        <v>35.489037000000003</v>
      </c>
      <c r="AK366" t="s">
        <v>366</v>
      </c>
      <c r="AL366">
        <v>-76.053092000000007</v>
      </c>
      <c r="AM366">
        <v>25</v>
      </c>
      <c r="AN366">
        <v>3450</v>
      </c>
      <c r="AO366" t="s">
        <v>118</v>
      </c>
      <c r="AP366">
        <v>-91</v>
      </c>
      <c r="AQ366">
        <v>-180</v>
      </c>
      <c r="AR366">
        <v>0</v>
      </c>
      <c r="AZ366">
        <v>1200</v>
      </c>
      <c r="BA366">
        <v>1</v>
      </c>
      <c r="BB366" t="str">
        <f t="shared" si="36"/>
        <v xml:space="preserve">N79NX   </v>
      </c>
      <c r="BC366">
        <v>1</v>
      </c>
      <c r="BE366">
        <v>0</v>
      </c>
      <c r="BF366">
        <v>0</v>
      </c>
      <c r="BG366">
        <v>0</v>
      </c>
      <c r="BH366">
        <v>3300</v>
      </c>
      <c r="BI366">
        <v>0</v>
      </c>
      <c r="BJ366">
        <v>0</v>
      </c>
      <c r="BK366">
        <v>0</v>
      </c>
      <c r="BL366">
        <v>0</v>
      </c>
      <c r="BO366">
        <v>0</v>
      </c>
      <c r="BP366">
        <v>0</v>
      </c>
      <c r="BW366" t="str">
        <f>"18:37:27.130"</f>
        <v>18:37:27.130</v>
      </c>
      <c r="BZ366">
        <v>0</v>
      </c>
      <c r="CA366">
        <v>3488</v>
      </c>
      <c r="CB366">
        <v>216</v>
      </c>
      <c r="CC366">
        <v>583.59379999999999</v>
      </c>
      <c r="CD366">
        <v>1</v>
      </c>
      <c r="CE366">
        <v>1</v>
      </c>
      <c r="CF366">
        <v>0</v>
      </c>
      <c r="CG366">
        <v>1</v>
      </c>
      <c r="CH366">
        <v>0</v>
      </c>
      <c r="CI366">
        <v>0</v>
      </c>
      <c r="CJ366">
        <v>0</v>
      </c>
      <c r="CK366">
        <v>2</v>
      </c>
      <c r="CL366">
        <v>0</v>
      </c>
      <c r="CM366">
        <v>2</v>
      </c>
      <c r="CN366">
        <v>0</v>
      </c>
      <c r="CO366">
        <v>6</v>
      </c>
      <c r="CP366" t="s">
        <v>119</v>
      </c>
      <c r="CQ366">
        <v>145</v>
      </c>
      <c r="CR366">
        <v>1</v>
      </c>
      <c r="CW366">
        <v>8906381</v>
      </c>
      <c r="CY366">
        <v>0</v>
      </c>
      <c r="CZ366">
        <v>0</v>
      </c>
      <c r="DA366">
        <v>1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</row>
    <row r="367" spans="1:113" x14ac:dyDescent="0.3">
      <c r="A367" t="str">
        <f>"02/13/2022 18:37:27.345"</f>
        <v>02/13/2022 18:37:27.345</v>
      </c>
      <c r="C367" t="str">
        <f t="shared" si="35"/>
        <v>FFDFD7C0</v>
      </c>
      <c r="D367" t="s">
        <v>121</v>
      </c>
      <c r="E367">
        <v>2</v>
      </c>
      <c r="H367">
        <v>158</v>
      </c>
      <c r="I367" t="s">
        <v>120</v>
      </c>
      <c r="J367" t="s">
        <v>122</v>
      </c>
      <c r="K367">
        <v>0</v>
      </c>
      <c r="L367">
        <v>3</v>
      </c>
      <c r="M367">
        <v>0</v>
      </c>
      <c r="N367">
        <v>2</v>
      </c>
      <c r="O367">
        <v>1</v>
      </c>
      <c r="P367">
        <v>0</v>
      </c>
      <c r="Q367">
        <v>0</v>
      </c>
      <c r="S367" t="str">
        <f>"18:37:27.125"</f>
        <v>18:37:27.125</v>
      </c>
      <c r="T367" t="str">
        <f>"18:37:26.625"</f>
        <v>18:37:26.625</v>
      </c>
      <c r="U367" t="str">
        <f t="shared" si="34"/>
        <v>AAB6EE</v>
      </c>
      <c r="V367">
        <v>0</v>
      </c>
      <c r="W367">
        <v>0</v>
      </c>
      <c r="X367">
        <v>4</v>
      </c>
      <c r="Z367">
        <v>0</v>
      </c>
      <c r="AA367">
        <v>8</v>
      </c>
      <c r="AB367">
        <v>3</v>
      </c>
      <c r="AC367">
        <v>0</v>
      </c>
      <c r="AD367">
        <v>10</v>
      </c>
      <c r="AE367">
        <v>0</v>
      </c>
      <c r="AF367">
        <v>0</v>
      </c>
      <c r="AG367">
        <v>1</v>
      </c>
      <c r="AH367">
        <v>1</v>
      </c>
      <c r="AI367" t="s">
        <v>365</v>
      </c>
      <c r="AJ367">
        <v>35.489037000000003</v>
      </c>
      <c r="AK367" t="s">
        <v>366</v>
      </c>
      <c r="AL367">
        <v>-76.053092000000007</v>
      </c>
      <c r="AM367">
        <v>25</v>
      </c>
      <c r="AN367">
        <v>3450</v>
      </c>
      <c r="AO367" t="s">
        <v>118</v>
      </c>
      <c r="AP367">
        <v>-91</v>
      </c>
      <c r="AQ367">
        <v>-180</v>
      </c>
      <c r="AR367">
        <v>0</v>
      </c>
      <c r="AZ367">
        <v>1200</v>
      </c>
      <c r="BA367">
        <v>1</v>
      </c>
      <c r="BB367" t="str">
        <f t="shared" si="36"/>
        <v xml:space="preserve">N79NX   </v>
      </c>
      <c r="BC367">
        <v>1</v>
      </c>
      <c r="BE367">
        <v>0</v>
      </c>
      <c r="BF367">
        <v>0</v>
      </c>
      <c r="BG367">
        <v>0</v>
      </c>
      <c r="BH367">
        <v>3300</v>
      </c>
      <c r="BI367">
        <v>0</v>
      </c>
      <c r="BJ367">
        <v>0</v>
      </c>
      <c r="BK367">
        <v>0</v>
      </c>
      <c r="BL367">
        <v>0</v>
      </c>
      <c r="BO367">
        <v>0</v>
      </c>
      <c r="BP367">
        <v>0</v>
      </c>
      <c r="BW367" t="str">
        <f>"18:37:27.130"</f>
        <v>18:37:27.130</v>
      </c>
      <c r="BZ367">
        <v>0</v>
      </c>
      <c r="CA367">
        <v>3488</v>
      </c>
      <c r="CB367">
        <v>216</v>
      </c>
      <c r="CC367">
        <v>583.59379999999999</v>
      </c>
      <c r="CD367">
        <v>1</v>
      </c>
      <c r="CE367">
        <v>1</v>
      </c>
      <c r="CF367">
        <v>0</v>
      </c>
      <c r="CG367">
        <v>1</v>
      </c>
      <c r="CH367">
        <v>0</v>
      </c>
      <c r="CI367">
        <v>0</v>
      </c>
      <c r="CJ367">
        <v>0</v>
      </c>
      <c r="CK367">
        <v>2</v>
      </c>
      <c r="CL367">
        <v>0</v>
      </c>
      <c r="CM367">
        <v>2</v>
      </c>
      <c r="CN367">
        <v>0</v>
      </c>
      <c r="CO367">
        <v>6</v>
      </c>
      <c r="CP367" t="s">
        <v>119</v>
      </c>
      <c r="CQ367">
        <v>145</v>
      </c>
      <c r="CR367">
        <v>1</v>
      </c>
      <c r="CW367">
        <v>8906381</v>
      </c>
      <c r="CY367">
        <v>0</v>
      </c>
      <c r="CZ367">
        <v>0</v>
      </c>
      <c r="DA367">
        <v>1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</row>
    <row r="368" spans="1:113" x14ac:dyDescent="0.3">
      <c r="A368" t="str">
        <f>"02/13/2022 18:37:28.439"</f>
        <v>02/13/2022 18:37:28.439</v>
      </c>
      <c r="C368" t="str">
        <f t="shared" si="35"/>
        <v>FFDFD7C0</v>
      </c>
      <c r="D368" t="s">
        <v>113</v>
      </c>
      <c r="E368">
        <v>4</v>
      </c>
      <c r="F368">
        <v>1004</v>
      </c>
      <c r="G368" t="s">
        <v>120</v>
      </c>
      <c r="J368" t="s">
        <v>115</v>
      </c>
      <c r="K368">
        <v>0</v>
      </c>
      <c r="L368">
        <v>3</v>
      </c>
      <c r="M368">
        <v>0</v>
      </c>
      <c r="N368">
        <v>2</v>
      </c>
      <c r="O368">
        <v>1</v>
      </c>
      <c r="P368">
        <v>0</v>
      </c>
      <c r="Q368">
        <v>0</v>
      </c>
      <c r="S368" t="str">
        <f>"18:37:28.195"</f>
        <v>18:37:28.195</v>
      </c>
      <c r="T368" t="str">
        <f>"18:37:27.795"</f>
        <v>18:37:27.795</v>
      </c>
      <c r="U368" t="str">
        <f t="shared" si="34"/>
        <v>AAB6EE</v>
      </c>
      <c r="V368">
        <v>0</v>
      </c>
      <c r="W368">
        <v>0</v>
      </c>
      <c r="X368">
        <v>4</v>
      </c>
      <c r="Z368">
        <v>0</v>
      </c>
      <c r="AA368">
        <v>8</v>
      </c>
      <c r="AB368">
        <v>3</v>
      </c>
      <c r="AC368">
        <v>0</v>
      </c>
      <c r="AD368">
        <v>10</v>
      </c>
      <c r="AE368">
        <v>0</v>
      </c>
      <c r="AF368">
        <v>0</v>
      </c>
      <c r="AG368">
        <v>1</v>
      </c>
      <c r="AH368">
        <v>1</v>
      </c>
      <c r="AI368" t="s">
        <v>367</v>
      </c>
      <c r="AJ368">
        <v>35.488222</v>
      </c>
      <c r="AK368" t="s">
        <v>368</v>
      </c>
      <c r="AL368">
        <v>-76.053607</v>
      </c>
      <c r="AM368">
        <v>25</v>
      </c>
      <c r="AN368">
        <v>3450</v>
      </c>
      <c r="AO368" t="s">
        <v>118</v>
      </c>
      <c r="AP368">
        <v>-91</v>
      </c>
      <c r="AQ368">
        <v>-181</v>
      </c>
      <c r="AR368">
        <v>-64</v>
      </c>
      <c r="AZ368">
        <v>1200</v>
      </c>
      <c r="BA368">
        <v>1</v>
      </c>
      <c r="BB368" t="str">
        <f t="shared" si="36"/>
        <v xml:space="preserve">N79NX   </v>
      </c>
      <c r="BC368">
        <v>1</v>
      </c>
      <c r="BE368">
        <v>0</v>
      </c>
      <c r="BF368">
        <v>0</v>
      </c>
      <c r="BG368">
        <v>0</v>
      </c>
      <c r="BH368">
        <v>3300</v>
      </c>
      <c r="BI368">
        <v>0</v>
      </c>
      <c r="BJ368">
        <v>0</v>
      </c>
      <c r="BK368">
        <v>0</v>
      </c>
      <c r="BL368">
        <v>0</v>
      </c>
      <c r="BO368">
        <v>0</v>
      </c>
      <c r="BP368">
        <v>0</v>
      </c>
      <c r="BW368" t="str">
        <f>"18:37:28.200"</f>
        <v>18:37:28.200</v>
      </c>
      <c r="BZ368">
        <v>0</v>
      </c>
      <c r="CA368">
        <v>3488</v>
      </c>
      <c r="CB368">
        <v>216</v>
      </c>
      <c r="CC368">
        <v>583.59379999999999</v>
      </c>
      <c r="CD368">
        <v>1</v>
      </c>
      <c r="CE368">
        <v>1</v>
      </c>
      <c r="CF368">
        <v>0</v>
      </c>
      <c r="CG368">
        <v>1</v>
      </c>
      <c r="CH368">
        <v>0</v>
      </c>
      <c r="CI368">
        <v>0</v>
      </c>
      <c r="CJ368">
        <v>0</v>
      </c>
      <c r="CK368">
        <v>2</v>
      </c>
      <c r="CL368">
        <v>0</v>
      </c>
      <c r="CM368">
        <v>2</v>
      </c>
      <c r="CN368">
        <v>0</v>
      </c>
      <c r="CO368">
        <v>6</v>
      </c>
      <c r="CP368" t="s">
        <v>119</v>
      </c>
      <c r="CQ368">
        <v>145</v>
      </c>
      <c r="CR368">
        <v>1</v>
      </c>
      <c r="CW368">
        <v>8906892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</row>
    <row r="369" spans="1:113" x14ac:dyDescent="0.3">
      <c r="A369" t="str">
        <f>"02/13/2022 18:37:28.439"</f>
        <v>02/13/2022 18:37:28.439</v>
      </c>
      <c r="C369" t="str">
        <f t="shared" si="35"/>
        <v>FFDFD7C0</v>
      </c>
      <c r="D369" t="s">
        <v>113</v>
      </c>
      <c r="E369">
        <v>3</v>
      </c>
      <c r="F369">
        <v>1003</v>
      </c>
      <c r="G369" t="s">
        <v>114</v>
      </c>
      <c r="J369" t="s">
        <v>115</v>
      </c>
      <c r="K369">
        <v>0</v>
      </c>
      <c r="L369">
        <v>3</v>
      </c>
      <c r="M369">
        <v>0</v>
      </c>
      <c r="N369">
        <v>2</v>
      </c>
      <c r="O369">
        <v>1</v>
      </c>
      <c r="P369">
        <v>0</v>
      </c>
      <c r="Q369">
        <v>0</v>
      </c>
      <c r="S369" t="str">
        <f>"18:37:28.195"</f>
        <v>18:37:28.195</v>
      </c>
      <c r="T369" t="str">
        <f>"18:37:27.795"</f>
        <v>18:37:27.795</v>
      </c>
      <c r="U369" t="str">
        <f t="shared" si="34"/>
        <v>AAB6EE</v>
      </c>
      <c r="V369">
        <v>0</v>
      </c>
      <c r="W369">
        <v>0</v>
      </c>
      <c r="X369">
        <v>4</v>
      </c>
      <c r="Z369">
        <v>0</v>
      </c>
      <c r="AA369">
        <v>8</v>
      </c>
      <c r="AB369">
        <v>3</v>
      </c>
      <c r="AC369">
        <v>0</v>
      </c>
      <c r="AD369">
        <v>10</v>
      </c>
      <c r="AE369">
        <v>0</v>
      </c>
      <c r="AF369">
        <v>0</v>
      </c>
      <c r="AG369">
        <v>1</v>
      </c>
      <c r="AH369">
        <v>1</v>
      </c>
      <c r="AI369" t="s">
        <v>367</v>
      </c>
      <c r="AJ369">
        <v>35.488222</v>
      </c>
      <c r="AK369" t="s">
        <v>368</v>
      </c>
      <c r="AL369">
        <v>-76.053607</v>
      </c>
      <c r="AM369">
        <v>25</v>
      </c>
      <c r="AN369">
        <v>3450</v>
      </c>
      <c r="AO369" t="s">
        <v>118</v>
      </c>
      <c r="AP369">
        <v>-91</v>
      </c>
      <c r="AQ369">
        <v>-181</v>
      </c>
      <c r="AR369">
        <v>-64</v>
      </c>
      <c r="AZ369">
        <v>1200</v>
      </c>
      <c r="BA369">
        <v>1</v>
      </c>
      <c r="BB369" t="str">
        <f t="shared" si="36"/>
        <v xml:space="preserve">N79NX   </v>
      </c>
      <c r="BC369">
        <v>1</v>
      </c>
      <c r="BE369">
        <v>0</v>
      </c>
      <c r="BF369">
        <v>0</v>
      </c>
      <c r="BG369">
        <v>0</v>
      </c>
      <c r="BH369">
        <v>3300</v>
      </c>
      <c r="BI369">
        <v>0</v>
      </c>
      <c r="BJ369">
        <v>0</v>
      </c>
      <c r="BK369">
        <v>0</v>
      </c>
      <c r="BL369">
        <v>0</v>
      </c>
      <c r="BO369">
        <v>0</v>
      </c>
      <c r="BP369">
        <v>0</v>
      </c>
      <c r="BW369" t="str">
        <f>"18:37:28.200"</f>
        <v>18:37:28.200</v>
      </c>
      <c r="BZ369">
        <v>0</v>
      </c>
      <c r="CA369">
        <v>3488</v>
      </c>
      <c r="CB369">
        <v>216</v>
      </c>
      <c r="CC369">
        <v>583.59379999999999</v>
      </c>
      <c r="CD369">
        <v>1</v>
      </c>
      <c r="CE369">
        <v>1</v>
      </c>
      <c r="CF369">
        <v>0</v>
      </c>
      <c r="CG369">
        <v>1</v>
      </c>
      <c r="CH369">
        <v>0</v>
      </c>
      <c r="CI369">
        <v>0</v>
      </c>
      <c r="CJ369">
        <v>0</v>
      </c>
      <c r="CK369">
        <v>2</v>
      </c>
      <c r="CL369">
        <v>0</v>
      </c>
      <c r="CM369">
        <v>2</v>
      </c>
      <c r="CN369">
        <v>0</v>
      </c>
      <c r="CO369">
        <v>6</v>
      </c>
      <c r="CP369" t="s">
        <v>119</v>
      </c>
      <c r="CQ369">
        <v>145</v>
      </c>
      <c r="CR369">
        <v>1</v>
      </c>
      <c r="CW369">
        <v>8906892</v>
      </c>
      <c r="CY369">
        <v>0</v>
      </c>
      <c r="CZ369">
        <v>0</v>
      </c>
      <c r="DA369">
        <v>1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</row>
    <row r="370" spans="1:113" x14ac:dyDescent="0.3">
      <c r="A370" t="str">
        <f>"02/13/2022 18:37:28.455"</f>
        <v>02/13/2022 18:37:28.455</v>
      </c>
      <c r="C370" t="str">
        <f t="shared" si="35"/>
        <v>FFDFD7C0</v>
      </c>
      <c r="D370" t="s">
        <v>121</v>
      </c>
      <c r="E370">
        <v>2</v>
      </c>
      <c r="H370">
        <v>158</v>
      </c>
      <c r="I370" t="s">
        <v>120</v>
      </c>
      <c r="J370" t="s">
        <v>122</v>
      </c>
      <c r="K370">
        <v>0</v>
      </c>
      <c r="L370">
        <v>3</v>
      </c>
      <c r="M370">
        <v>0</v>
      </c>
      <c r="N370">
        <v>2</v>
      </c>
      <c r="O370">
        <v>1</v>
      </c>
      <c r="P370">
        <v>0</v>
      </c>
      <c r="Q370">
        <v>0</v>
      </c>
      <c r="S370" t="str">
        <f>"18:37:28.195"</f>
        <v>18:37:28.195</v>
      </c>
      <c r="T370" t="str">
        <f>"18:37:27.795"</f>
        <v>18:37:27.795</v>
      </c>
      <c r="U370" t="str">
        <f t="shared" si="34"/>
        <v>AAB6EE</v>
      </c>
      <c r="V370">
        <v>0</v>
      </c>
      <c r="W370">
        <v>0</v>
      </c>
      <c r="X370">
        <v>4</v>
      </c>
      <c r="Z370">
        <v>0</v>
      </c>
      <c r="AA370">
        <v>8</v>
      </c>
      <c r="AB370">
        <v>3</v>
      </c>
      <c r="AC370">
        <v>0</v>
      </c>
      <c r="AD370">
        <v>10</v>
      </c>
      <c r="AE370">
        <v>0</v>
      </c>
      <c r="AF370">
        <v>0</v>
      </c>
      <c r="AG370">
        <v>1</v>
      </c>
      <c r="AH370">
        <v>1</v>
      </c>
      <c r="AI370" t="s">
        <v>367</v>
      </c>
      <c r="AJ370">
        <v>35.488222</v>
      </c>
      <c r="AK370" t="s">
        <v>368</v>
      </c>
      <c r="AL370">
        <v>-76.053607</v>
      </c>
      <c r="AM370">
        <v>25</v>
      </c>
      <c r="AN370">
        <v>3450</v>
      </c>
      <c r="AO370" t="s">
        <v>118</v>
      </c>
      <c r="AP370">
        <v>-91</v>
      </c>
      <c r="AQ370">
        <v>-181</v>
      </c>
      <c r="AR370">
        <v>-64</v>
      </c>
      <c r="AZ370">
        <v>1200</v>
      </c>
      <c r="BA370">
        <v>1</v>
      </c>
      <c r="BB370" t="str">
        <f t="shared" si="36"/>
        <v xml:space="preserve">N79NX   </v>
      </c>
      <c r="BC370">
        <v>1</v>
      </c>
      <c r="BE370">
        <v>0</v>
      </c>
      <c r="BF370">
        <v>0</v>
      </c>
      <c r="BG370">
        <v>0</v>
      </c>
      <c r="BH370">
        <v>3300</v>
      </c>
      <c r="BI370">
        <v>0</v>
      </c>
      <c r="BJ370">
        <v>0</v>
      </c>
      <c r="BK370">
        <v>0</v>
      </c>
      <c r="BL370">
        <v>0</v>
      </c>
      <c r="BO370">
        <v>0</v>
      </c>
      <c r="BP370">
        <v>0</v>
      </c>
      <c r="BW370" t="str">
        <f>"18:37:28.200"</f>
        <v>18:37:28.200</v>
      </c>
      <c r="BZ370">
        <v>0</v>
      </c>
      <c r="CA370">
        <v>3488</v>
      </c>
      <c r="CB370">
        <v>216</v>
      </c>
      <c r="CC370">
        <v>583.59379999999999</v>
      </c>
      <c r="CD370">
        <v>1</v>
      </c>
      <c r="CE370">
        <v>1</v>
      </c>
      <c r="CF370">
        <v>0</v>
      </c>
      <c r="CG370">
        <v>1</v>
      </c>
      <c r="CH370">
        <v>0</v>
      </c>
      <c r="CI370">
        <v>0</v>
      </c>
      <c r="CJ370">
        <v>0</v>
      </c>
      <c r="CK370">
        <v>2</v>
      </c>
      <c r="CL370">
        <v>0</v>
      </c>
      <c r="CM370">
        <v>2</v>
      </c>
      <c r="CN370">
        <v>0</v>
      </c>
      <c r="CO370">
        <v>6</v>
      </c>
      <c r="CP370" t="s">
        <v>119</v>
      </c>
      <c r="CQ370">
        <v>145</v>
      </c>
      <c r="CR370">
        <v>1</v>
      </c>
      <c r="CW370">
        <v>8906892</v>
      </c>
      <c r="CY370">
        <v>0</v>
      </c>
      <c r="CZ370">
        <v>0</v>
      </c>
      <c r="DA370">
        <v>1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</row>
    <row r="371" spans="1:113" x14ac:dyDescent="0.3">
      <c r="A371" t="str">
        <f>"02/13/2022 18:37:29.331"</f>
        <v>02/13/2022 18:37:29.331</v>
      </c>
      <c r="C371" t="str">
        <f t="shared" si="35"/>
        <v>FFDFD7C0</v>
      </c>
      <c r="D371" t="s">
        <v>113</v>
      </c>
      <c r="E371">
        <v>4</v>
      </c>
      <c r="F371">
        <v>1004</v>
      </c>
      <c r="G371" t="s">
        <v>120</v>
      </c>
      <c r="J371" t="s">
        <v>115</v>
      </c>
      <c r="K371">
        <v>0</v>
      </c>
      <c r="L371">
        <v>3</v>
      </c>
      <c r="M371">
        <v>0</v>
      </c>
      <c r="N371">
        <v>2</v>
      </c>
      <c r="O371">
        <v>1</v>
      </c>
      <c r="P371">
        <v>0</v>
      </c>
      <c r="Q371">
        <v>0</v>
      </c>
      <c r="S371" t="str">
        <f>"18:37:29.070"</f>
        <v>18:37:29.070</v>
      </c>
      <c r="T371" t="str">
        <f>"18:37:28.770"</f>
        <v>18:37:28.770</v>
      </c>
      <c r="U371" t="str">
        <f t="shared" si="34"/>
        <v>AAB6EE</v>
      </c>
      <c r="V371">
        <v>0</v>
      </c>
      <c r="W371">
        <v>0</v>
      </c>
      <c r="X371">
        <v>4</v>
      </c>
      <c r="Z371">
        <v>0</v>
      </c>
      <c r="AA371">
        <v>8</v>
      </c>
      <c r="AB371">
        <v>3</v>
      </c>
      <c r="AC371">
        <v>0</v>
      </c>
      <c r="AD371">
        <v>10</v>
      </c>
      <c r="AE371">
        <v>0</v>
      </c>
      <c r="AF371">
        <v>0</v>
      </c>
      <c r="AG371">
        <v>1</v>
      </c>
      <c r="AH371">
        <v>1</v>
      </c>
      <c r="AI371" t="s">
        <v>369</v>
      </c>
      <c r="AJ371">
        <v>35.487428000000001</v>
      </c>
      <c r="AK371" t="s">
        <v>370</v>
      </c>
      <c r="AL371">
        <v>-76.054015000000007</v>
      </c>
      <c r="AM371">
        <v>25</v>
      </c>
      <c r="AN371">
        <v>3450</v>
      </c>
      <c r="AO371" t="s">
        <v>118</v>
      </c>
      <c r="AP371">
        <v>-92</v>
      </c>
      <c r="AQ371">
        <v>-182</v>
      </c>
      <c r="AR371">
        <v>-64</v>
      </c>
      <c r="AZ371">
        <v>1200</v>
      </c>
      <c r="BA371">
        <v>1</v>
      </c>
      <c r="BB371" t="str">
        <f t="shared" si="36"/>
        <v xml:space="preserve">N79NX   </v>
      </c>
      <c r="BC371">
        <v>1</v>
      </c>
      <c r="BE371">
        <v>0</v>
      </c>
      <c r="BF371">
        <v>0</v>
      </c>
      <c r="BG371">
        <v>0</v>
      </c>
      <c r="BH371">
        <v>3300</v>
      </c>
      <c r="BI371">
        <v>0</v>
      </c>
      <c r="BJ371">
        <v>0</v>
      </c>
      <c r="BK371">
        <v>0</v>
      </c>
      <c r="BL371">
        <v>0</v>
      </c>
      <c r="BO371">
        <v>0</v>
      </c>
      <c r="BP371">
        <v>0</v>
      </c>
      <c r="BW371" t="str">
        <f>"18:37:29.070"</f>
        <v>18:37:29.070</v>
      </c>
      <c r="BZ371">
        <v>0</v>
      </c>
      <c r="CA371">
        <v>3488</v>
      </c>
      <c r="CB371">
        <v>216</v>
      </c>
      <c r="CC371">
        <v>583.59379999999999</v>
      </c>
      <c r="CD371">
        <v>1</v>
      </c>
      <c r="CE371">
        <v>1</v>
      </c>
      <c r="CF371">
        <v>0</v>
      </c>
      <c r="CG371">
        <v>1</v>
      </c>
      <c r="CH371">
        <v>0</v>
      </c>
      <c r="CI371">
        <v>0</v>
      </c>
      <c r="CJ371">
        <v>0</v>
      </c>
      <c r="CK371">
        <v>2</v>
      </c>
      <c r="CL371">
        <v>0</v>
      </c>
      <c r="CM371">
        <v>2</v>
      </c>
      <c r="CN371">
        <v>0</v>
      </c>
      <c r="CO371">
        <v>6</v>
      </c>
      <c r="CP371" t="s">
        <v>119</v>
      </c>
      <c r="CQ371">
        <v>145</v>
      </c>
      <c r="CR371">
        <v>1</v>
      </c>
      <c r="CW371">
        <v>8907308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</row>
    <row r="372" spans="1:113" x14ac:dyDescent="0.3">
      <c r="A372" t="str">
        <f>"02/13/2022 18:37:29.331"</f>
        <v>02/13/2022 18:37:29.331</v>
      </c>
      <c r="C372" t="str">
        <f t="shared" si="35"/>
        <v>FFDFD7C0</v>
      </c>
      <c r="D372" t="s">
        <v>113</v>
      </c>
      <c r="E372">
        <v>3</v>
      </c>
      <c r="F372">
        <v>1003</v>
      </c>
      <c r="G372" t="s">
        <v>114</v>
      </c>
      <c r="J372" t="s">
        <v>115</v>
      </c>
      <c r="K372">
        <v>0</v>
      </c>
      <c r="L372">
        <v>3</v>
      </c>
      <c r="M372">
        <v>0</v>
      </c>
      <c r="N372">
        <v>2</v>
      </c>
      <c r="O372">
        <v>1</v>
      </c>
      <c r="P372">
        <v>0</v>
      </c>
      <c r="Q372">
        <v>0</v>
      </c>
      <c r="S372" t="str">
        <f>"18:37:29.070"</f>
        <v>18:37:29.070</v>
      </c>
      <c r="T372" t="str">
        <f>"18:37:28.770"</f>
        <v>18:37:28.770</v>
      </c>
      <c r="U372" t="str">
        <f t="shared" si="34"/>
        <v>AAB6EE</v>
      </c>
      <c r="V372">
        <v>0</v>
      </c>
      <c r="W372">
        <v>0</v>
      </c>
      <c r="X372">
        <v>4</v>
      </c>
      <c r="Z372">
        <v>0</v>
      </c>
      <c r="AA372">
        <v>8</v>
      </c>
      <c r="AB372">
        <v>3</v>
      </c>
      <c r="AC372">
        <v>0</v>
      </c>
      <c r="AD372">
        <v>10</v>
      </c>
      <c r="AE372">
        <v>0</v>
      </c>
      <c r="AF372">
        <v>0</v>
      </c>
      <c r="AG372">
        <v>1</v>
      </c>
      <c r="AH372">
        <v>1</v>
      </c>
      <c r="AI372" t="s">
        <v>369</v>
      </c>
      <c r="AJ372">
        <v>35.487428000000001</v>
      </c>
      <c r="AK372" t="s">
        <v>370</v>
      </c>
      <c r="AL372">
        <v>-76.054015000000007</v>
      </c>
      <c r="AM372">
        <v>25</v>
      </c>
      <c r="AN372">
        <v>3450</v>
      </c>
      <c r="AO372" t="s">
        <v>118</v>
      </c>
      <c r="AP372">
        <v>-92</v>
      </c>
      <c r="AQ372">
        <v>-182</v>
      </c>
      <c r="AR372">
        <v>-64</v>
      </c>
      <c r="AZ372">
        <v>1200</v>
      </c>
      <c r="BA372">
        <v>1</v>
      </c>
      <c r="BB372" t="str">
        <f t="shared" si="36"/>
        <v xml:space="preserve">N79NX   </v>
      </c>
      <c r="BC372">
        <v>1</v>
      </c>
      <c r="BE372">
        <v>0</v>
      </c>
      <c r="BF372">
        <v>0</v>
      </c>
      <c r="BG372">
        <v>0</v>
      </c>
      <c r="BH372">
        <v>3300</v>
      </c>
      <c r="BI372">
        <v>0</v>
      </c>
      <c r="BJ372">
        <v>0</v>
      </c>
      <c r="BK372">
        <v>0</v>
      </c>
      <c r="BL372">
        <v>0</v>
      </c>
      <c r="BO372">
        <v>0</v>
      </c>
      <c r="BP372">
        <v>0</v>
      </c>
      <c r="BW372" t="str">
        <f>"18:37:29.070"</f>
        <v>18:37:29.070</v>
      </c>
      <c r="BZ372">
        <v>0</v>
      </c>
      <c r="CA372">
        <v>3488</v>
      </c>
      <c r="CB372">
        <v>216</v>
      </c>
      <c r="CC372">
        <v>583.59379999999999</v>
      </c>
      <c r="CD372">
        <v>1</v>
      </c>
      <c r="CE372">
        <v>1</v>
      </c>
      <c r="CF372">
        <v>0</v>
      </c>
      <c r="CG372">
        <v>1</v>
      </c>
      <c r="CH372">
        <v>0</v>
      </c>
      <c r="CI372">
        <v>0</v>
      </c>
      <c r="CJ372">
        <v>0</v>
      </c>
      <c r="CK372">
        <v>2</v>
      </c>
      <c r="CL372">
        <v>0</v>
      </c>
      <c r="CM372">
        <v>2</v>
      </c>
      <c r="CN372">
        <v>0</v>
      </c>
      <c r="CO372">
        <v>6</v>
      </c>
      <c r="CP372" t="s">
        <v>119</v>
      </c>
      <c r="CQ372">
        <v>145</v>
      </c>
      <c r="CR372">
        <v>1</v>
      </c>
      <c r="CW372">
        <v>8907308</v>
      </c>
      <c r="CY372">
        <v>0</v>
      </c>
      <c r="CZ372">
        <v>0</v>
      </c>
      <c r="DA372">
        <v>1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</row>
    <row r="373" spans="1:113" x14ac:dyDescent="0.3">
      <c r="A373" t="str">
        <f>"02/13/2022 18:37:29.331"</f>
        <v>02/13/2022 18:37:29.331</v>
      </c>
      <c r="C373" t="str">
        <f t="shared" si="35"/>
        <v>FFDFD7C0</v>
      </c>
      <c r="D373" t="s">
        <v>121</v>
      </c>
      <c r="E373">
        <v>2</v>
      </c>
      <c r="H373">
        <v>158</v>
      </c>
      <c r="I373" t="s">
        <v>120</v>
      </c>
      <c r="J373" t="s">
        <v>122</v>
      </c>
      <c r="K373">
        <v>0</v>
      </c>
      <c r="L373">
        <v>3</v>
      </c>
      <c r="M373">
        <v>0</v>
      </c>
      <c r="N373">
        <v>2</v>
      </c>
      <c r="O373">
        <v>1</v>
      </c>
      <c r="P373">
        <v>0</v>
      </c>
      <c r="Q373">
        <v>0</v>
      </c>
      <c r="S373" t="str">
        <f>"18:37:29.070"</f>
        <v>18:37:29.070</v>
      </c>
      <c r="T373" t="str">
        <f>"18:37:28.770"</f>
        <v>18:37:28.770</v>
      </c>
      <c r="U373" t="str">
        <f t="shared" si="34"/>
        <v>AAB6EE</v>
      </c>
      <c r="V373">
        <v>0</v>
      </c>
      <c r="W373">
        <v>0</v>
      </c>
      <c r="X373">
        <v>4</v>
      </c>
      <c r="Z373">
        <v>0</v>
      </c>
      <c r="AA373">
        <v>8</v>
      </c>
      <c r="AB373">
        <v>3</v>
      </c>
      <c r="AC373">
        <v>0</v>
      </c>
      <c r="AD373">
        <v>10</v>
      </c>
      <c r="AE373">
        <v>0</v>
      </c>
      <c r="AF373">
        <v>0</v>
      </c>
      <c r="AG373">
        <v>1</v>
      </c>
      <c r="AH373">
        <v>1</v>
      </c>
      <c r="AI373" t="s">
        <v>369</v>
      </c>
      <c r="AJ373">
        <v>35.487428000000001</v>
      </c>
      <c r="AK373" t="s">
        <v>370</v>
      </c>
      <c r="AL373">
        <v>-76.054015000000007</v>
      </c>
      <c r="AM373">
        <v>25</v>
      </c>
      <c r="AN373">
        <v>3450</v>
      </c>
      <c r="AO373" t="s">
        <v>118</v>
      </c>
      <c r="AP373">
        <v>-92</v>
      </c>
      <c r="AQ373">
        <v>-182</v>
      </c>
      <c r="AR373">
        <v>-64</v>
      </c>
      <c r="AZ373">
        <v>1200</v>
      </c>
      <c r="BA373">
        <v>1</v>
      </c>
      <c r="BB373" t="str">
        <f t="shared" si="36"/>
        <v xml:space="preserve">N79NX   </v>
      </c>
      <c r="BC373">
        <v>1</v>
      </c>
      <c r="BE373">
        <v>0</v>
      </c>
      <c r="BF373">
        <v>0</v>
      </c>
      <c r="BG373">
        <v>0</v>
      </c>
      <c r="BH373">
        <v>3300</v>
      </c>
      <c r="BI373">
        <v>0</v>
      </c>
      <c r="BJ373">
        <v>0</v>
      </c>
      <c r="BK373">
        <v>0</v>
      </c>
      <c r="BL373">
        <v>0</v>
      </c>
      <c r="BO373">
        <v>0</v>
      </c>
      <c r="BP373">
        <v>0</v>
      </c>
      <c r="BW373" t="str">
        <f>"18:37:29.070"</f>
        <v>18:37:29.070</v>
      </c>
      <c r="BZ373">
        <v>0</v>
      </c>
      <c r="CA373">
        <v>3488</v>
      </c>
      <c r="CB373">
        <v>216</v>
      </c>
      <c r="CC373">
        <v>583.59379999999999</v>
      </c>
      <c r="CD373">
        <v>1</v>
      </c>
      <c r="CE373">
        <v>1</v>
      </c>
      <c r="CF373">
        <v>0</v>
      </c>
      <c r="CG373">
        <v>1</v>
      </c>
      <c r="CH373">
        <v>0</v>
      </c>
      <c r="CI373">
        <v>0</v>
      </c>
      <c r="CJ373">
        <v>0</v>
      </c>
      <c r="CK373">
        <v>2</v>
      </c>
      <c r="CL373">
        <v>0</v>
      </c>
      <c r="CM373">
        <v>2</v>
      </c>
      <c r="CN373">
        <v>0</v>
      </c>
      <c r="CO373">
        <v>6</v>
      </c>
      <c r="CP373" t="s">
        <v>119</v>
      </c>
      <c r="CQ373">
        <v>145</v>
      </c>
      <c r="CR373">
        <v>1</v>
      </c>
      <c r="CW373">
        <v>8907308</v>
      </c>
      <c r="CY373">
        <v>0</v>
      </c>
      <c r="CZ373">
        <v>0</v>
      </c>
      <c r="DA373">
        <v>1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</row>
    <row r="374" spans="1:113" x14ac:dyDescent="0.3">
      <c r="A374" t="str">
        <f>"02/13/2022 18:37:30.207"</f>
        <v>02/13/2022 18:37:30.207</v>
      </c>
      <c r="C374" t="str">
        <f t="shared" si="35"/>
        <v>FFDFD7C0</v>
      </c>
      <c r="D374" t="s">
        <v>113</v>
      </c>
      <c r="E374">
        <v>3</v>
      </c>
      <c r="F374">
        <v>1003</v>
      </c>
      <c r="G374" t="s">
        <v>114</v>
      </c>
      <c r="J374" t="s">
        <v>115</v>
      </c>
      <c r="K374">
        <v>0</v>
      </c>
      <c r="L374">
        <v>3</v>
      </c>
      <c r="M374">
        <v>0</v>
      </c>
      <c r="N374">
        <v>2</v>
      </c>
      <c r="O374">
        <v>1</v>
      </c>
      <c r="P374">
        <v>0</v>
      </c>
      <c r="Q374">
        <v>0</v>
      </c>
      <c r="S374" t="str">
        <f t="shared" ref="S374:T376" si="40">"18:37:30.000"</f>
        <v>18:37:30.000</v>
      </c>
      <c r="T374" t="str">
        <f t="shared" si="40"/>
        <v>18:37:30.000</v>
      </c>
      <c r="U374" t="str">
        <f t="shared" si="34"/>
        <v>AAB6EE</v>
      </c>
      <c r="V374">
        <v>0</v>
      </c>
      <c r="W374">
        <v>0</v>
      </c>
      <c r="X374">
        <v>4</v>
      </c>
      <c r="Z374">
        <v>0</v>
      </c>
      <c r="AA374">
        <v>8</v>
      </c>
      <c r="AB374">
        <v>3</v>
      </c>
      <c r="AC374">
        <v>0</v>
      </c>
      <c r="AD374">
        <v>10</v>
      </c>
      <c r="AE374">
        <v>0</v>
      </c>
      <c r="AF374">
        <v>0</v>
      </c>
      <c r="AG374">
        <v>1</v>
      </c>
      <c r="AH374">
        <v>1</v>
      </c>
      <c r="AI374" t="s">
        <v>371</v>
      </c>
      <c r="AJ374">
        <v>35.486654999999999</v>
      </c>
      <c r="AK374" t="s">
        <v>372</v>
      </c>
      <c r="AL374">
        <v>-76.054508999999996</v>
      </c>
      <c r="AM374">
        <v>25</v>
      </c>
      <c r="AN374">
        <v>3425</v>
      </c>
      <c r="AO374" t="s">
        <v>118</v>
      </c>
      <c r="AP374">
        <v>-92</v>
      </c>
      <c r="AQ374">
        <v>-182</v>
      </c>
      <c r="AR374">
        <v>-64</v>
      </c>
      <c r="AZ374">
        <v>1200</v>
      </c>
      <c r="BA374">
        <v>1</v>
      </c>
      <c r="BB374" t="str">
        <f t="shared" si="36"/>
        <v xml:space="preserve">N79NX   </v>
      </c>
      <c r="BC374">
        <v>1</v>
      </c>
      <c r="BE374">
        <v>0</v>
      </c>
      <c r="BF374">
        <v>0</v>
      </c>
      <c r="BG374">
        <v>0</v>
      </c>
      <c r="BH374">
        <v>3300</v>
      </c>
      <c r="BI374">
        <v>0</v>
      </c>
      <c r="BJ374">
        <v>0</v>
      </c>
      <c r="BK374">
        <v>0</v>
      </c>
      <c r="BL374">
        <v>0</v>
      </c>
      <c r="BO374">
        <v>0</v>
      </c>
      <c r="BP374">
        <v>0</v>
      </c>
      <c r="BW374" t="str">
        <f>"18:37:30.000"</f>
        <v>18:37:30.000</v>
      </c>
      <c r="BZ374">
        <v>0</v>
      </c>
      <c r="CA374">
        <v>3488</v>
      </c>
      <c r="CB374">
        <v>216</v>
      </c>
      <c r="CC374">
        <v>583.59379999999999</v>
      </c>
      <c r="CD374">
        <v>1</v>
      </c>
      <c r="CE374">
        <v>1</v>
      </c>
      <c r="CF374">
        <v>0</v>
      </c>
      <c r="CG374">
        <v>1</v>
      </c>
      <c r="CH374">
        <v>0</v>
      </c>
      <c r="CI374">
        <v>0</v>
      </c>
      <c r="CJ374">
        <v>0</v>
      </c>
      <c r="CK374">
        <v>2</v>
      </c>
      <c r="CL374">
        <v>0</v>
      </c>
      <c r="CM374">
        <v>2</v>
      </c>
      <c r="CN374">
        <v>0</v>
      </c>
      <c r="CO374">
        <v>6</v>
      </c>
      <c r="CP374" t="s">
        <v>119</v>
      </c>
      <c r="CQ374">
        <v>145</v>
      </c>
      <c r="CR374">
        <v>1</v>
      </c>
      <c r="CW374">
        <v>8907802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</row>
    <row r="375" spans="1:113" x14ac:dyDescent="0.3">
      <c r="A375" t="str">
        <f>"02/13/2022 18:37:30.269"</f>
        <v>02/13/2022 18:37:30.269</v>
      </c>
      <c r="C375" t="str">
        <f t="shared" si="35"/>
        <v>FFDFD7C0</v>
      </c>
      <c r="D375" t="s">
        <v>121</v>
      </c>
      <c r="E375">
        <v>2</v>
      </c>
      <c r="H375">
        <v>158</v>
      </c>
      <c r="I375" t="s">
        <v>120</v>
      </c>
      <c r="J375" t="s">
        <v>122</v>
      </c>
      <c r="K375">
        <v>0</v>
      </c>
      <c r="L375">
        <v>3</v>
      </c>
      <c r="M375">
        <v>0</v>
      </c>
      <c r="N375">
        <v>2</v>
      </c>
      <c r="O375">
        <v>1</v>
      </c>
      <c r="P375">
        <v>0</v>
      </c>
      <c r="Q375">
        <v>0</v>
      </c>
      <c r="S375" t="str">
        <f t="shared" si="40"/>
        <v>18:37:30.000</v>
      </c>
      <c r="T375" t="str">
        <f t="shared" si="40"/>
        <v>18:37:30.000</v>
      </c>
      <c r="U375" t="str">
        <f t="shared" si="34"/>
        <v>AAB6EE</v>
      </c>
      <c r="V375">
        <v>0</v>
      </c>
      <c r="W375">
        <v>0</v>
      </c>
      <c r="X375">
        <v>4</v>
      </c>
      <c r="Z375">
        <v>0</v>
      </c>
      <c r="AA375">
        <v>8</v>
      </c>
      <c r="AB375">
        <v>3</v>
      </c>
      <c r="AC375">
        <v>0</v>
      </c>
      <c r="AD375">
        <v>10</v>
      </c>
      <c r="AE375">
        <v>0</v>
      </c>
      <c r="AF375">
        <v>0</v>
      </c>
      <c r="AG375">
        <v>1</v>
      </c>
      <c r="AH375">
        <v>1</v>
      </c>
      <c r="AI375" t="s">
        <v>371</v>
      </c>
      <c r="AJ375">
        <v>35.486654999999999</v>
      </c>
      <c r="AK375" t="s">
        <v>372</v>
      </c>
      <c r="AL375">
        <v>-76.054508999999996</v>
      </c>
      <c r="AM375">
        <v>25</v>
      </c>
      <c r="AN375">
        <v>3425</v>
      </c>
      <c r="AO375" t="s">
        <v>118</v>
      </c>
      <c r="AP375">
        <v>-92</v>
      </c>
      <c r="AQ375">
        <v>-182</v>
      </c>
      <c r="AR375">
        <v>-64</v>
      </c>
      <c r="AZ375">
        <v>1200</v>
      </c>
      <c r="BA375">
        <v>1</v>
      </c>
      <c r="BB375" t="str">
        <f t="shared" si="36"/>
        <v xml:space="preserve">N79NX   </v>
      </c>
      <c r="BC375">
        <v>1</v>
      </c>
      <c r="BE375">
        <v>0</v>
      </c>
      <c r="BF375">
        <v>0</v>
      </c>
      <c r="BG375">
        <v>0</v>
      </c>
      <c r="BH375">
        <v>3300</v>
      </c>
      <c r="BI375">
        <v>0</v>
      </c>
      <c r="BJ375">
        <v>0</v>
      </c>
      <c r="BK375">
        <v>0</v>
      </c>
      <c r="BL375">
        <v>0</v>
      </c>
      <c r="BO375">
        <v>0</v>
      </c>
      <c r="BP375">
        <v>0</v>
      </c>
      <c r="BW375" t="str">
        <f>"18:37:30.000"</f>
        <v>18:37:30.000</v>
      </c>
      <c r="BZ375">
        <v>0</v>
      </c>
      <c r="CA375">
        <v>3488</v>
      </c>
      <c r="CB375">
        <v>216</v>
      </c>
      <c r="CC375">
        <v>583.59379999999999</v>
      </c>
      <c r="CD375">
        <v>1</v>
      </c>
      <c r="CE375">
        <v>1</v>
      </c>
      <c r="CF375">
        <v>0</v>
      </c>
      <c r="CG375">
        <v>1</v>
      </c>
      <c r="CH375">
        <v>0</v>
      </c>
      <c r="CI375">
        <v>0</v>
      </c>
      <c r="CJ375">
        <v>0</v>
      </c>
      <c r="CK375">
        <v>2</v>
      </c>
      <c r="CL375">
        <v>0</v>
      </c>
      <c r="CM375">
        <v>2</v>
      </c>
      <c r="CN375">
        <v>0</v>
      </c>
      <c r="CO375">
        <v>6</v>
      </c>
      <c r="CP375" t="s">
        <v>119</v>
      </c>
      <c r="CQ375">
        <v>145</v>
      </c>
      <c r="CR375">
        <v>1</v>
      </c>
      <c r="CW375">
        <v>8907802</v>
      </c>
      <c r="CY375">
        <v>0</v>
      </c>
      <c r="CZ375">
        <v>0</v>
      </c>
      <c r="DA375">
        <v>1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</row>
    <row r="376" spans="1:113" x14ac:dyDescent="0.3">
      <c r="A376" t="str">
        <f>"02/13/2022 18:37:30.285"</f>
        <v>02/13/2022 18:37:30.285</v>
      </c>
      <c r="C376" t="str">
        <f t="shared" si="35"/>
        <v>FFDFD7C0</v>
      </c>
      <c r="D376" t="s">
        <v>113</v>
      </c>
      <c r="E376">
        <v>4</v>
      </c>
      <c r="F376">
        <v>1004</v>
      </c>
      <c r="G376" t="s">
        <v>120</v>
      </c>
      <c r="J376" t="s">
        <v>115</v>
      </c>
      <c r="K376">
        <v>0</v>
      </c>
      <c r="L376">
        <v>3</v>
      </c>
      <c r="M376">
        <v>0</v>
      </c>
      <c r="N376">
        <v>2</v>
      </c>
      <c r="O376">
        <v>1</v>
      </c>
      <c r="P376">
        <v>0</v>
      </c>
      <c r="Q376">
        <v>0</v>
      </c>
      <c r="S376" t="str">
        <f t="shared" si="40"/>
        <v>18:37:30.000</v>
      </c>
      <c r="T376" t="str">
        <f t="shared" si="40"/>
        <v>18:37:30.000</v>
      </c>
      <c r="U376" t="str">
        <f t="shared" si="34"/>
        <v>AAB6EE</v>
      </c>
      <c r="V376">
        <v>0</v>
      </c>
      <c r="W376">
        <v>0</v>
      </c>
      <c r="X376">
        <v>4</v>
      </c>
      <c r="Z376">
        <v>0</v>
      </c>
      <c r="AA376">
        <v>8</v>
      </c>
      <c r="AB376">
        <v>3</v>
      </c>
      <c r="AC376">
        <v>0</v>
      </c>
      <c r="AD376">
        <v>10</v>
      </c>
      <c r="AE376">
        <v>0</v>
      </c>
      <c r="AF376">
        <v>0</v>
      </c>
      <c r="AG376">
        <v>1</v>
      </c>
      <c r="AH376">
        <v>1</v>
      </c>
      <c r="AI376" t="s">
        <v>371</v>
      </c>
      <c r="AJ376">
        <v>35.486654999999999</v>
      </c>
      <c r="AK376" t="s">
        <v>372</v>
      </c>
      <c r="AL376">
        <v>-76.054508999999996</v>
      </c>
      <c r="AM376">
        <v>25</v>
      </c>
      <c r="AN376">
        <v>3425</v>
      </c>
      <c r="AO376" t="s">
        <v>118</v>
      </c>
      <c r="AP376">
        <v>-92</v>
      </c>
      <c r="AQ376">
        <v>-182</v>
      </c>
      <c r="AR376">
        <v>-64</v>
      </c>
      <c r="AZ376">
        <v>1200</v>
      </c>
      <c r="BA376">
        <v>1</v>
      </c>
      <c r="BB376" t="str">
        <f t="shared" si="36"/>
        <v xml:space="preserve">N79NX   </v>
      </c>
      <c r="BC376">
        <v>1</v>
      </c>
      <c r="BE376">
        <v>0</v>
      </c>
      <c r="BF376">
        <v>0</v>
      </c>
      <c r="BG376">
        <v>0</v>
      </c>
      <c r="BH376">
        <v>3300</v>
      </c>
      <c r="BI376">
        <v>0</v>
      </c>
      <c r="BJ376">
        <v>0</v>
      </c>
      <c r="BK376">
        <v>0</v>
      </c>
      <c r="BL376">
        <v>0</v>
      </c>
      <c r="BO376">
        <v>0</v>
      </c>
      <c r="BP376">
        <v>0</v>
      </c>
      <c r="BW376" t="str">
        <f>"18:37:30.000"</f>
        <v>18:37:30.000</v>
      </c>
      <c r="BZ376">
        <v>0</v>
      </c>
      <c r="CA376">
        <v>3488</v>
      </c>
      <c r="CB376">
        <v>216</v>
      </c>
      <c r="CC376">
        <v>583.59379999999999</v>
      </c>
      <c r="CD376">
        <v>1</v>
      </c>
      <c r="CE376">
        <v>1</v>
      </c>
      <c r="CF376">
        <v>0</v>
      </c>
      <c r="CG376">
        <v>1</v>
      </c>
      <c r="CH376">
        <v>0</v>
      </c>
      <c r="CI376">
        <v>0</v>
      </c>
      <c r="CJ376">
        <v>0</v>
      </c>
      <c r="CK376">
        <v>2</v>
      </c>
      <c r="CL376">
        <v>0</v>
      </c>
      <c r="CM376">
        <v>2</v>
      </c>
      <c r="CN376">
        <v>0</v>
      </c>
      <c r="CO376">
        <v>6</v>
      </c>
      <c r="CP376" t="s">
        <v>119</v>
      </c>
      <c r="CQ376">
        <v>145</v>
      </c>
      <c r="CR376">
        <v>1</v>
      </c>
      <c r="CW376">
        <v>8907802</v>
      </c>
      <c r="CY376">
        <v>0</v>
      </c>
      <c r="CZ376">
        <v>0</v>
      </c>
      <c r="DA376">
        <v>1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</row>
    <row r="377" spans="1:113" x14ac:dyDescent="0.3">
      <c r="A377" t="str">
        <f>"02/13/2022 18:37:31.080"</f>
        <v>02/13/2022 18:37:31.080</v>
      </c>
      <c r="C377" t="str">
        <f t="shared" si="35"/>
        <v>FFDFD7C0</v>
      </c>
      <c r="D377" t="s">
        <v>121</v>
      </c>
      <c r="E377">
        <v>2</v>
      </c>
      <c r="H377">
        <v>158</v>
      </c>
      <c r="I377" t="s">
        <v>120</v>
      </c>
      <c r="J377" t="s">
        <v>122</v>
      </c>
      <c r="K377">
        <v>0</v>
      </c>
      <c r="L377">
        <v>3</v>
      </c>
      <c r="M377">
        <v>0</v>
      </c>
      <c r="N377">
        <v>2</v>
      </c>
      <c r="O377">
        <v>1</v>
      </c>
      <c r="P377">
        <v>0</v>
      </c>
      <c r="Q377">
        <v>0</v>
      </c>
      <c r="S377" t="str">
        <f>"18:37:30.906"</f>
        <v>18:37:30.906</v>
      </c>
      <c r="T377" t="str">
        <f>"18:37:30.506"</f>
        <v>18:37:30.506</v>
      </c>
      <c r="U377" t="str">
        <f t="shared" si="34"/>
        <v>AAB6EE</v>
      </c>
      <c r="V377">
        <v>0</v>
      </c>
      <c r="W377">
        <v>0</v>
      </c>
      <c r="X377">
        <v>4</v>
      </c>
      <c r="Z377">
        <v>0</v>
      </c>
      <c r="AA377">
        <v>8</v>
      </c>
      <c r="AB377">
        <v>3</v>
      </c>
      <c r="AC377">
        <v>0</v>
      </c>
      <c r="AD377">
        <v>10</v>
      </c>
      <c r="AE377">
        <v>0</v>
      </c>
      <c r="AF377">
        <v>0</v>
      </c>
      <c r="AG377">
        <v>1</v>
      </c>
      <c r="AH377">
        <v>1</v>
      </c>
      <c r="AI377" t="s">
        <v>373</v>
      </c>
      <c r="AJ377">
        <v>35.485840000000003</v>
      </c>
      <c r="AK377" t="s">
        <v>374</v>
      </c>
      <c r="AL377">
        <v>-76.055024000000003</v>
      </c>
      <c r="AM377">
        <v>25</v>
      </c>
      <c r="AN377">
        <v>3450</v>
      </c>
      <c r="AO377" t="s">
        <v>118</v>
      </c>
      <c r="AP377">
        <v>-92</v>
      </c>
      <c r="AQ377">
        <v>-183</v>
      </c>
      <c r="AR377">
        <v>0</v>
      </c>
      <c r="AZ377">
        <v>1200</v>
      </c>
      <c r="BA377">
        <v>1</v>
      </c>
      <c r="BB377" t="str">
        <f t="shared" si="36"/>
        <v xml:space="preserve">N79NX   </v>
      </c>
      <c r="BC377">
        <v>1</v>
      </c>
      <c r="BE377">
        <v>0</v>
      </c>
      <c r="BF377">
        <v>0</v>
      </c>
      <c r="BG377">
        <v>0</v>
      </c>
      <c r="BH377">
        <v>3300</v>
      </c>
      <c r="BI377">
        <v>0</v>
      </c>
      <c r="BJ377">
        <v>0</v>
      </c>
      <c r="BK377">
        <v>0</v>
      </c>
      <c r="BL377">
        <v>0</v>
      </c>
      <c r="BO377">
        <v>0</v>
      </c>
      <c r="BP377">
        <v>0</v>
      </c>
      <c r="BW377" t="str">
        <f>"18:37:30.910"</f>
        <v>18:37:30.910</v>
      </c>
      <c r="BZ377">
        <v>0</v>
      </c>
      <c r="CA377">
        <v>3488</v>
      </c>
      <c r="CB377">
        <v>216</v>
      </c>
      <c r="CC377">
        <v>583.59379999999999</v>
      </c>
      <c r="CD377">
        <v>1</v>
      </c>
      <c r="CE377">
        <v>1</v>
      </c>
      <c r="CF377">
        <v>0</v>
      </c>
      <c r="CG377">
        <v>1</v>
      </c>
      <c r="CH377">
        <v>0</v>
      </c>
      <c r="CI377">
        <v>0</v>
      </c>
      <c r="CJ377">
        <v>0</v>
      </c>
      <c r="CK377">
        <v>2</v>
      </c>
      <c r="CL377">
        <v>0</v>
      </c>
      <c r="CM377">
        <v>2</v>
      </c>
      <c r="CN377">
        <v>0</v>
      </c>
      <c r="CO377">
        <v>6</v>
      </c>
      <c r="CP377" t="s">
        <v>119</v>
      </c>
      <c r="CQ377">
        <v>145</v>
      </c>
      <c r="CR377">
        <v>1</v>
      </c>
      <c r="CW377">
        <v>8908257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</row>
    <row r="378" spans="1:113" x14ac:dyDescent="0.3">
      <c r="A378" t="str">
        <f>"02/13/2022 18:37:31.127"</f>
        <v>02/13/2022 18:37:31.127</v>
      </c>
      <c r="C378" t="str">
        <f t="shared" si="35"/>
        <v>FFDFD7C0</v>
      </c>
      <c r="D378" t="s">
        <v>113</v>
      </c>
      <c r="E378">
        <v>4</v>
      </c>
      <c r="F378">
        <v>1004</v>
      </c>
      <c r="G378" t="s">
        <v>120</v>
      </c>
      <c r="J378" t="s">
        <v>115</v>
      </c>
      <c r="K378">
        <v>0</v>
      </c>
      <c r="L378">
        <v>3</v>
      </c>
      <c r="M378">
        <v>0</v>
      </c>
      <c r="N378">
        <v>2</v>
      </c>
      <c r="O378">
        <v>1</v>
      </c>
      <c r="P378">
        <v>0</v>
      </c>
      <c r="Q378">
        <v>0</v>
      </c>
      <c r="S378" t="str">
        <f>"18:37:30.906"</f>
        <v>18:37:30.906</v>
      </c>
      <c r="T378" t="str">
        <f>"18:37:30.506"</f>
        <v>18:37:30.506</v>
      </c>
      <c r="U378" t="str">
        <f t="shared" si="34"/>
        <v>AAB6EE</v>
      </c>
      <c r="V378">
        <v>0</v>
      </c>
      <c r="W378">
        <v>0</v>
      </c>
      <c r="X378">
        <v>4</v>
      </c>
      <c r="Z378">
        <v>0</v>
      </c>
      <c r="AA378">
        <v>8</v>
      </c>
      <c r="AB378">
        <v>3</v>
      </c>
      <c r="AC378">
        <v>0</v>
      </c>
      <c r="AD378">
        <v>10</v>
      </c>
      <c r="AE378">
        <v>0</v>
      </c>
      <c r="AF378">
        <v>0</v>
      </c>
      <c r="AG378">
        <v>1</v>
      </c>
      <c r="AH378">
        <v>1</v>
      </c>
      <c r="AI378" t="s">
        <v>373</v>
      </c>
      <c r="AJ378">
        <v>35.485840000000003</v>
      </c>
      <c r="AK378" t="s">
        <v>374</v>
      </c>
      <c r="AL378">
        <v>-76.055024000000003</v>
      </c>
      <c r="AM378">
        <v>25</v>
      </c>
      <c r="AN378">
        <v>3450</v>
      </c>
      <c r="AO378" t="s">
        <v>118</v>
      </c>
      <c r="AP378">
        <v>-92</v>
      </c>
      <c r="AQ378">
        <v>-183</v>
      </c>
      <c r="AR378">
        <v>0</v>
      </c>
      <c r="AZ378">
        <v>1200</v>
      </c>
      <c r="BA378">
        <v>1</v>
      </c>
      <c r="BB378" t="str">
        <f t="shared" si="36"/>
        <v xml:space="preserve">N79NX   </v>
      </c>
      <c r="BC378">
        <v>1</v>
      </c>
      <c r="BE378">
        <v>0</v>
      </c>
      <c r="BF378">
        <v>0</v>
      </c>
      <c r="BG378">
        <v>0</v>
      </c>
      <c r="BH378">
        <v>3300</v>
      </c>
      <c r="BI378">
        <v>0</v>
      </c>
      <c r="BJ378">
        <v>0</v>
      </c>
      <c r="BK378">
        <v>0</v>
      </c>
      <c r="BL378">
        <v>0</v>
      </c>
      <c r="BO378">
        <v>0</v>
      </c>
      <c r="BP378">
        <v>0</v>
      </c>
      <c r="BW378" t="str">
        <f>"18:37:30.910"</f>
        <v>18:37:30.910</v>
      </c>
      <c r="BZ378">
        <v>0</v>
      </c>
      <c r="CA378">
        <v>3488</v>
      </c>
      <c r="CB378">
        <v>216</v>
      </c>
      <c r="CC378">
        <v>583.59379999999999</v>
      </c>
      <c r="CD378">
        <v>1</v>
      </c>
      <c r="CE378">
        <v>1</v>
      </c>
      <c r="CF378">
        <v>0</v>
      </c>
      <c r="CG378">
        <v>1</v>
      </c>
      <c r="CH378">
        <v>0</v>
      </c>
      <c r="CI378">
        <v>0</v>
      </c>
      <c r="CJ378">
        <v>0</v>
      </c>
      <c r="CK378">
        <v>2</v>
      </c>
      <c r="CL378">
        <v>0</v>
      </c>
      <c r="CM378">
        <v>2</v>
      </c>
      <c r="CN378">
        <v>0</v>
      </c>
      <c r="CO378">
        <v>6</v>
      </c>
      <c r="CP378" t="s">
        <v>119</v>
      </c>
      <c r="CQ378">
        <v>145</v>
      </c>
      <c r="CR378">
        <v>1</v>
      </c>
      <c r="CW378">
        <v>8908257</v>
      </c>
      <c r="CY378">
        <v>0</v>
      </c>
      <c r="CZ378">
        <v>0</v>
      </c>
      <c r="DA378">
        <v>1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</row>
    <row r="379" spans="1:113" x14ac:dyDescent="0.3">
      <c r="A379" t="str">
        <f>"02/13/2022 18:37:31.127"</f>
        <v>02/13/2022 18:37:31.127</v>
      </c>
      <c r="C379" t="str">
        <f t="shared" si="35"/>
        <v>FFDFD7C0</v>
      </c>
      <c r="D379" t="s">
        <v>113</v>
      </c>
      <c r="E379">
        <v>3</v>
      </c>
      <c r="F379">
        <v>1003</v>
      </c>
      <c r="G379" t="s">
        <v>114</v>
      </c>
      <c r="J379" t="s">
        <v>115</v>
      </c>
      <c r="K379">
        <v>0</v>
      </c>
      <c r="L379">
        <v>3</v>
      </c>
      <c r="M379">
        <v>0</v>
      </c>
      <c r="N379">
        <v>2</v>
      </c>
      <c r="O379">
        <v>1</v>
      </c>
      <c r="P379">
        <v>0</v>
      </c>
      <c r="Q379">
        <v>0</v>
      </c>
      <c r="S379" t="str">
        <f>"18:37:30.906"</f>
        <v>18:37:30.906</v>
      </c>
      <c r="T379" t="str">
        <f>"18:37:30.506"</f>
        <v>18:37:30.506</v>
      </c>
      <c r="U379" t="str">
        <f t="shared" si="34"/>
        <v>AAB6EE</v>
      </c>
      <c r="V379">
        <v>0</v>
      </c>
      <c r="W379">
        <v>0</v>
      </c>
      <c r="X379">
        <v>4</v>
      </c>
      <c r="Z379">
        <v>0</v>
      </c>
      <c r="AA379">
        <v>8</v>
      </c>
      <c r="AB379">
        <v>3</v>
      </c>
      <c r="AC379">
        <v>0</v>
      </c>
      <c r="AD379">
        <v>10</v>
      </c>
      <c r="AE379">
        <v>0</v>
      </c>
      <c r="AF379">
        <v>0</v>
      </c>
      <c r="AG379">
        <v>1</v>
      </c>
      <c r="AH379">
        <v>1</v>
      </c>
      <c r="AI379" t="s">
        <v>373</v>
      </c>
      <c r="AJ379">
        <v>35.485840000000003</v>
      </c>
      <c r="AK379" t="s">
        <v>374</v>
      </c>
      <c r="AL379">
        <v>-76.055024000000003</v>
      </c>
      <c r="AM379">
        <v>25</v>
      </c>
      <c r="AN379">
        <v>3450</v>
      </c>
      <c r="AO379" t="s">
        <v>118</v>
      </c>
      <c r="AP379">
        <v>-92</v>
      </c>
      <c r="AQ379">
        <v>-183</v>
      </c>
      <c r="AR379">
        <v>0</v>
      </c>
      <c r="AZ379">
        <v>1200</v>
      </c>
      <c r="BA379">
        <v>1</v>
      </c>
      <c r="BB379" t="str">
        <f t="shared" si="36"/>
        <v xml:space="preserve">N79NX   </v>
      </c>
      <c r="BC379">
        <v>1</v>
      </c>
      <c r="BE379">
        <v>0</v>
      </c>
      <c r="BF379">
        <v>0</v>
      </c>
      <c r="BG379">
        <v>0</v>
      </c>
      <c r="BH379">
        <v>3300</v>
      </c>
      <c r="BI379">
        <v>0</v>
      </c>
      <c r="BJ379">
        <v>0</v>
      </c>
      <c r="BK379">
        <v>0</v>
      </c>
      <c r="BL379">
        <v>0</v>
      </c>
      <c r="BO379">
        <v>0</v>
      </c>
      <c r="BP379">
        <v>0</v>
      </c>
      <c r="BW379" t="str">
        <f>"18:37:30.910"</f>
        <v>18:37:30.910</v>
      </c>
      <c r="BZ379">
        <v>0</v>
      </c>
      <c r="CA379">
        <v>3488</v>
      </c>
      <c r="CB379">
        <v>216</v>
      </c>
      <c r="CC379">
        <v>583.59379999999999</v>
      </c>
      <c r="CD379">
        <v>1</v>
      </c>
      <c r="CE379">
        <v>1</v>
      </c>
      <c r="CF379">
        <v>0</v>
      </c>
      <c r="CG379">
        <v>1</v>
      </c>
      <c r="CH379">
        <v>0</v>
      </c>
      <c r="CI379">
        <v>0</v>
      </c>
      <c r="CJ379">
        <v>0</v>
      </c>
      <c r="CK379">
        <v>2</v>
      </c>
      <c r="CL379">
        <v>0</v>
      </c>
      <c r="CM379">
        <v>2</v>
      </c>
      <c r="CN379">
        <v>0</v>
      </c>
      <c r="CO379">
        <v>6</v>
      </c>
      <c r="CP379" t="s">
        <v>119</v>
      </c>
      <c r="CQ379">
        <v>145</v>
      </c>
      <c r="CR379">
        <v>1</v>
      </c>
      <c r="CW379">
        <v>8908257</v>
      </c>
      <c r="CY379">
        <v>0</v>
      </c>
      <c r="CZ379">
        <v>0</v>
      </c>
      <c r="DA379">
        <v>1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</row>
    <row r="380" spans="1:113" x14ac:dyDescent="0.3">
      <c r="A380" t="str">
        <f>"02/13/2022 18:37:32.252"</f>
        <v>02/13/2022 18:37:32.252</v>
      </c>
      <c r="C380" t="str">
        <f t="shared" si="35"/>
        <v>FFDFD7C0</v>
      </c>
      <c r="D380" t="s">
        <v>121</v>
      </c>
      <c r="E380">
        <v>2</v>
      </c>
      <c r="H380">
        <v>158</v>
      </c>
      <c r="I380" t="s">
        <v>120</v>
      </c>
      <c r="J380" t="s">
        <v>122</v>
      </c>
      <c r="K380">
        <v>0</v>
      </c>
      <c r="L380">
        <v>3</v>
      </c>
      <c r="M380">
        <v>0</v>
      </c>
      <c r="N380">
        <v>2</v>
      </c>
      <c r="O380">
        <v>1</v>
      </c>
      <c r="P380">
        <v>0</v>
      </c>
      <c r="Q380">
        <v>0</v>
      </c>
      <c r="S380" t="str">
        <f>"18:37:32.055"</f>
        <v>18:37:32.055</v>
      </c>
      <c r="T380" t="str">
        <f>"18:37:31.955"</f>
        <v>18:37:31.955</v>
      </c>
      <c r="U380" t="str">
        <f t="shared" si="34"/>
        <v>AAB6EE</v>
      </c>
      <c r="V380">
        <v>0</v>
      </c>
      <c r="W380">
        <v>0</v>
      </c>
      <c r="X380">
        <v>4</v>
      </c>
      <c r="Z380">
        <v>0</v>
      </c>
      <c r="AA380">
        <v>8</v>
      </c>
      <c r="AB380">
        <v>3</v>
      </c>
      <c r="AC380">
        <v>0</v>
      </c>
      <c r="AD380">
        <v>10</v>
      </c>
      <c r="AE380">
        <v>0</v>
      </c>
      <c r="AF380">
        <v>0</v>
      </c>
      <c r="AG380">
        <v>1</v>
      </c>
      <c r="AH380">
        <v>1</v>
      </c>
      <c r="AI380" t="s">
        <v>375</v>
      </c>
      <c r="AJ380">
        <v>35.484917000000003</v>
      </c>
      <c r="AK380" t="s">
        <v>376</v>
      </c>
      <c r="AL380">
        <v>-76.055603000000005</v>
      </c>
      <c r="AM380">
        <v>25</v>
      </c>
      <c r="AN380">
        <v>3450</v>
      </c>
      <c r="AO380" t="s">
        <v>118</v>
      </c>
      <c r="AP380">
        <v>-92</v>
      </c>
      <c r="AQ380">
        <v>-183</v>
      </c>
      <c r="AR380">
        <v>0</v>
      </c>
      <c r="AZ380">
        <v>1200</v>
      </c>
      <c r="BA380">
        <v>1</v>
      </c>
      <c r="BB380" t="str">
        <f t="shared" si="36"/>
        <v xml:space="preserve">N79NX   </v>
      </c>
      <c r="BC380">
        <v>1</v>
      </c>
      <c r="BE380">
        <v>0</v>
      </c>
      <c r="BF380">
        <v>0</v>
      </c>
      <c r="BG380">
        <v>0</v>
      </c>
      <c r="BH380">
        <v>3275</v>
      </c>
      <c r="BI380">
        <v>0</v>
      </c>
      <c r="BJ380">
        <v>0</v>
      </c>
      <c r="BK380">
        <v>0</v>
      </c>
      <c r="BL380">
        <v>0</v>
      </c>
      <c r="BO380">
        <v>0</v>
      </c>
      <c r="BP380">
        <v>0</v>
      </c>
      <c r="BW380" t="str">
        <f>"18:37:32.060"</f>
        <v>18:37:32.060</v>
      </c>
      <c r="BZ380">
        <v>0</v>
      </c>
      <c r="CA380">
        <v>3488</v>
      </c>
      <c r="CB380">
        <v>216</v>
      </c>
      <c r="CC380">
        <v>583.59379999999999</v>
      </c>
      <c r="CD380">
        <v>1</v>
      </c>
      <c r="CE380">
        <v>1</v>
      </c>
      <c r="CF380">
        <v>0</v>
      </c>
      <c r="CG380">
        <v>1</v>
      </c>
      <c r="CH380">
        <v>0</v>
      </c>
      <c r="CI380">
        <v>0</v>
      </c>
      <c r="CJ380">
        <v>0</v>
      </c>
      <c r="CK380">
        <v>2</v>
      </c>
      <c r="CL380">
        <v>0</v>
      </c>
      <c r="CM380">
        <v>2</v>
      </c>
      <c r="CN380">
        <v>0</v>
      </c>
      <c r="CO380">
        <v>6</v>
      </c>
      <c r="CP380" t="s">
        <v>119</v>
      </c>
      <c r="CQ380">
        <v>145</v>
      </c>
      <c r="CR380">
        <v>1</v>
      </c>
      <c r="CW380">
        <v>8908766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</row>
    <row r="381" spans="1:113" x14ac:dyDescent="0.3">
      <c r="A381" t="str">
        <f>"02/13/2022 18:37:32.268"</f>
        <v>02/13/2022 18:37:32.268</v>
      </c>
      <c r="C381" t="str">
        <f t="shared" si="35"/>
        <v>FFDFD7C0</v>
      </c>
      <c r="D381" t="s">
        <v>113</v>
      </c>
      <c r="E381">
        <v>4</v>
      </c>
      <c r="F381">
        <v>1004</v>
      </c>
      <c r="G381" t="s">
        <v>120</v>
      </c>
      <c r="J381" t="s">
        <v>115</v>
      </c>
      <c r="K381">
        <v>0</v>
      </c>
      <c r="L381">
        <v>3</v>
      </c>
      <c r="M381">
        <v>0</v>
      </c>
      <c r="N381">
        <v>2</v>
      </c>
      <c r="O381">
        <v>1</v>
      </c>
      <c r="P381">
        <v>0</v>
      </c>
      <c r="Q381">
        <v>0</v>
      </c>
      <c r="S381" t="str">
        <f>"18:37:32.055"</f>
        <v>18:37:32.055</v>
      </c>
      <c r="T381" t="str">
        <f>"18:37:31.955"</f>
        <v>18:37:31.955</v>
      </c>
      <c r="U381" t="str">
        <f t="shared" si="34"/>
        <v>AAB6EE</v>
      </c>
      <c r="V381">
        <v>0</v>
      </c>
      <c r="W381">
        <v>0</v>
      </c>
      <c r="X381">
        <v>4</v>
      </c>
      <c r="Z381">
        <v>0</v>
      </c>
      <c r="AA381">
        <v>8</v>
      </c>
      <c r="AB381">
        <v>3</v>
      </c>
      <c r="AC381">
        <v>0</v>
      </c>
      <c r="AD381">
        <v>10</v>
      </c>
      <c r="AE381">
        <v>0</v>
      </c>
      <c r="AF381">
        <v>0</v>
      </c>
      <c r="AG381">
        <v>1</v>
      </c>
      <c r="AH381">
        <v>1</v>
      </c>
      <c r="AI381" t="s">
        <v>375</v>
      </c>
      <c r="AJ381">
        <v>35.484917000000003</v>
      </c>
      <c r="AK381" t="s">
        <v>376</v>
      </c>
      <c r="AL381">
        <v>-76.055603000000005</v>
      </c>
      <c r="AM381">
        <v>25</v>
      </c>
      <c r="AN381">
        <v>3450</v>
      </c>
      <c r="AO381" t="s">
        <v>118</v>
      </c>
      <c r="AP381">
        <v>-92</v>
      </c>
      <c r="AQ381">
        <v>-183</v>
      </c>
      <c r="AR381">
        <v>0</v>
      </c>
      <c r="AZ381">
        <v>1200</v>
      </c>
      <c r="BA381">
        <v>1</v>
      </c>
      <c r="BB381" t="str">
        <f t="shared" si="36"/>
        <v xml:space="preserve">N79NX   </v>
      </c>
      <c r="BC381">
        <v>1</v>
      </c>
      <c r="BE381">
        <v>0</v>
      </c>
      <c r="BF381">
        <v>0</v>
      </c>
      <c r="BG381">
        <v>0</v>
      </c>
      <c r="BH381">
        <v>3275</v>
      </c>
      <c r="BI381">
        <v>0</v>
      </c>
      <c r="BJ381">
        <v>0</v>
      </c>
      <c r="BK381">
        <v>0</v>
      </c>
      <c r="BL381">
        <v>0</v>
      </c>
      <c r="BO381">
        <v>0</v>
      </c>
      <c r="BP381">
        <v>0</v>
      </c>
      <c r="BW381" t="str">
        <f>"18:37:32.060"</f>
        <v>18:37:32.060</v>
      </c>
      <c r="BZ381">
        <v>0</v>
      </c>
      <c r="CA381">
        <v>3488</v>
      </c>
      <c r="CB381">
        <v>216</v>
      </c>
      <c r="CC381">
        <v>583.59379999999999</v>
      </c>
      <c r="CD381">
        <v>1</v>
      </c>
      <c r="CE381">
        <v>1</v>
      </c>
      <c r="CF381">
        <v>0</v>
      </c>
      <c r="CG381">
        <v>1</v>
      </c>
      <c r="CH381">
        <v>0</v>
      </c>
      <c r="CI381">
        <v>0</v>
      </c>
      <c r="CJ381">
        <v>0</v>
      </c>
      <c r="CK381">
        <v>2</v>
      </c>
      <c r="CL381">
        <v>0</v>
      </c>
      <c r="CM381">
        <v>2</v>
      </c>
      <c r="CN381">
        <v>0</v>
      </c>
      <c r="CO381">
        <v>6</v>
      </c>
      <c r="CP381" t="s">
        <v>119</v>
      </c>
      <c r="CQ381">
        <v>145</v>
      </c>
      <c r="CR381">
        <v>1</v>
      </c>
      <c r="CW381">
        <v>8908766</v>
      </c>
      <c r="CY381">
        <v>0</v>
      </c>
      <c r="CZ381">
        <v>0</v>
      </c>
      <c r="DA381">
        <v>1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</row>
    <row r="382" spans="1:113" x14ac:dyDescent="0.3">
      <c r="A382" t="str">
        <f>"02/13/2022 18:37:32.268"</f>
        <v>02/13/2022 18:37:32.268</v>
      </c>
      <c r="C382" t="str">
        <f t="shared" si="35"/>
        <v>FFDFD7C0</v>
      </c>
      <c r="D382" t="s">
        <v>113</v>
      </c>
      <c r="E382">
        <v>3</v>
      </c>
      <c r="F382">
        <v>1003</v>
      </c>
      <c r="G382" t="s">
        <v>114</v>
      </c>
      <c r="J382" t="s">
        <v>115</v>
      </c>
      <c r="K382">
        <v>0</v>
      </c>
      <c r="L382">
        <v>3</v>
      </c>
      <c r="M382">
        <v>0</v>
      </c>
      <c r="N382">
        <v>2</v>
      </c>
      <c r="O382">
        <v>1</v>
      </c>
      <c r="P382">
        <v>0</v>
      </c>
      <c r="Q382">
        <v>0</v>
      </c>
      <c r="S382" t="str">
        <f>"18:37:32.055"</f>
        <v>18:37:32.055</v>
      </c>
      <c r="T382" t="str">
        <f>"18:37:31.955"</f>
        <v>18:37:31.955</v>
      </c>
      <c r="U382" t="str">
        <f t="shared" si="34"/>
        <v>AAB6EE</v>
      </c>
      <c r="V382">
        <v>0</v>
      </c>
      <c r="W382">
        <v>0</v>
      </c>
      <c r="X382">
        <v>4</v>
      </c>
      <c r="Z382">
        <v>0</v>
      </c>
      <c r="AA382">
        <v>8</v>
      </c>
      <c r="AB382">
        <v>3</v>
      </c>
      <c r="AC382">
        <v>0</v>
      </c>
      <c r="AD382">
        <v>10</v>
      </c>
      <c r="AE382">
        <v>0</v>
      </c>
      <c r="AF382">
        <v>0</v>
      </c>
      <c r="AG382">
        <v>1</v>
      </c>
      <c r="AH382">
        <v>1</v>
      </c>
      <c r="AI382" t="s">
        <v>375</v>
      </c>
      <c r="AJ382">
        <v>35.484917000000003</v>
      </c>
      <c r="AK382" t="s">
        <v>376</v>
      </c>
      <c r="AL382">
        <v>-76.055603000000005</v>
      </c>
      <c r="AM382">
        <v>25</v>
      </c>
      <c r="AN382">
        <v>3450</v>
      </c>
      <c r="AO382" t="s">
        <v>118</v>
      </c>
      <c r="AP382">
        <v>-92</v>
      </c>
      <c r="AQ382">
        <v>-183</v>
      </c>
      <c r="AR382">
        <v>0</v>
      </c>
      <c r="AZ382">
        <v>1200</v>
      </c>
      <c r="BA382">
        <v>1</v>
      </c>
      <c r="BB382" t="str">
        <f t="shared" si="36"/>
        <v xml:space="preserve">N79NX   </v>
      </c>
      <c r="BC382">
        <v>1</v>
      </c>
      <c r="BE382">
        <v>0</v>
      </c>
      <c r="BF382">
        <v>0</v>
      </c>
      <c r="BG382">
        <v>0</v>
      </c>
      <c r="BH382">
        <v>3275</v>
      </c>
      <c r="BI382">
        <v>0</v>
      </c>
      <c r="BJ382">
        <v>0</v>
      </c>
      <c r="BK382">
        <v>0</v>
      </c>
      <c r="BL382">
        <v>0</v>
      </c>
      <c r="BO382">
        <v>0</v>
      </c>
      <c r="BP382">
        <v>0</v>
      </c>
      <c r="BW382" t="str">
        <f>"18:37:32.060"</f>
        <v>18:37:32.060</v>
      </c>
      <c r="BZ382">
        <v>0</v>
      </c>
      <c r="CA382">
        <v>3488</v>
      </c>
      <c r="CB382">
        <v>216</v>
      </c>
      <c r="CC382">
        <v>583.59379999999999</v>
      </c>
      <c r="CD382">
        <v>1</v>
      </c>
      <c r="CE382">
        <v>1</v>
      </c>
      <c r="CF382">
        <v>0</v>
      </c>
      <c r="CG382">
        <v>1</v>
      </c>
      <c r="CH382">
        <v>0</v>
      </c>
      <c r="CI382">
        <v>0</v>
      </c>
      <c r="CJ382">
        <v>0</v>
      </c>
      <c r="CK382">
        <v>2</v>
      </c>
      <c r="CL382">
        <v>0</v>
      </c>
      <c r="CM382">
        <v>2</v>
      </c>
      <c r="CN382">
        <v>0</v>
      </c>
      <c r="CO382">
        <v>6</v>
      </c>
      <c r="CP382" t="s">
        <v>119</v>
      </c>
      <c r="CQ382">
        <v>145</v>
      </c>
      <c r="CR382">
        <v>1</v>
      </c>
      <c r="CW382">
        <v>8908766</v>
      </c>
      <c r="CY382">
        <v>0</v>
      </c>
      <c r="CZ382">
        <v>0</v>
      </c>
      <c r="DA382">
        <v>1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</row>
    <row r="383" spans="1:113" x14ac:dyDescent="0.3">
      <c r="A383" t="str">
        <f>"02/13/2022 18:37:33.299"</f>
        <v>02/13/2022 18:37:33.299</v>
      </c>
      <c r="C383" t="str">
        <f t="shared" si="35"/>
        <v>FFDFD7C0</v>
      </c>
      <c r="D383" t="s">
        <v>121</v>
      </c>
      <c r="E383">
        <v>2</v>
      </c>
      <c r="H383">
        <v>158</v>
      </c>
      <c r="I383" t="s">
        <v>120</v>
      </c>
      <c r="J383" t="s">
        <v>122</v>
      </c>
      <c r="K383">
        <v>0</v>
      </c>
      <c r="L383">
        <v>3</v>
      </c>
      <c r="M383">
        <v>0</v>
      </c>
      <c r="N383">
        <v>2</v>
      </c>
      <c r="O383">
        <v>1</v>
      </c>
      <c r="P383">
        <v>0</v>
      </c>
      <c r="Q383">
        <v>0</v>
      </c>
      <c r="S383" t="str">
        <f>"18:37:33.070"</f>
        <v>18:37:33.070</v>
      </c>
      <c r="T383" t="str">
        <f>"18:37:32.870"</f>
        <v>18:37:32.870</v>
      </c>
      <c r="U383" t="str">
        <f t="shared" si="34"/>
        <v>AAB6EE</v>
      </c>
      <c r="V383">
        <v>0</v>
      </c>
      <c r="W383">
        <v>0</v>
      </c>
      <c r="X383">
        <v>4</v>
      </c>
      <c r="Z383">
        <v>0</v>
      </c>
      <c r="AA383">
        <v>8</v>
      </c>
      <c r="AB383">
        <v>3</v>
      </c>
      <c r="AC383">
        <v>0</v>
      </c>
      <c r="AD383">
        <v>10</v>
      </c>
      <c r="AE383">
        <v>0</v>
      </c>
      <c r="AF383">
        <v>0</v>
      </c>
      <c r="AG383">
        <v>1</v>
      </c>
      <c r="AH383">
        <v>1</v>
      </c>
      <c r="AI383" t="s">
        <v>377</v>
      </c>
      <c r="AJ383">
        <v>35.484079999999999</v>
      </c>
      <c r="AK383" t="s">
        <v>378</v>
      </c>
      <c r="AL383">
        <v>-76.056139000000002</v>
      </c>
      <c r="AM383">
        <v>25</v>
      </c>
      <c r="AN383">
        <v>3450</v>
      </c>
      <c r="AO383" t="s">
        <v>118</v>
      </c>
      <c r="AP383">
        <v>-92</v>
      </c>
      <c r="AQ383">
        <v>-184</v>
      </c>
      <c r="AR383">
        <v>0</v>
      </c>
      <c r="AZ383">
        <v>1200</v>
      </c>
      <c r="BA383">
        <v>1</v>
      </c>
      <c r="BB383" t="str">
        <f t="shared" si="36"/>
        <v xml:space="preserve">N79NX   </v>
      </c>
      <c r="BC383">
        <v>1</v>
      </c>
      <c r="BE383">
        <v>0</v>
      </c>
      <c r="BF383">
        <v>0</v>
      </c>
      <c r="BG383">
        <v>0</v>
      </c>
      <c r="BH383">
        <v>3300</v>
      </c>
      <c r="BI383">
        <v>0</v>
      </c>
      <c r="BJ383">
        <v>0</v>
      </c>
      <c r="BK383">
        <v>0</v>
      </c>
      <c r="BL383">
        <v>0</v>
      </c>
      <c r="BO383">
        <v>0</v>
      </c>
      <c r="BP383">
        <v>0</v>
      </c>
      <c r="BW383" t="str">
        <f>"18:37:33.070"</f>
        <v>18:37:33.070</v>
      </c>
      <c r="BZ383">
        <v>0</v>
      </c>
      <c r="CA383">
        <v>3488</v>
      </c>
      <c r="CB383">
        <v>216</v>
      </c>
      <c r="CC383">
        <v>583.59379999999999</v>
      </c>
      <c r="CD383">
        <v>1</v>
      </c>
      <c r="CE383">
        <v>1</v>
      </c>
      <c r="CF383">
        <v>0</v>
      </c>
      <c r="CG383">
        <v>1</v>
      </c>
      <c r="CH383">
        <v>0</v>
      </c>
      <c r="CI383">
        <v>0</v>
      </c>
      <c r="CJ383">
        <v>0</v>
      </c>
      <c r="CK383">
        <v>2</v>
      </c>
      <c r="CL383">
        <v>0</v>
      </c>
      <c r="CM383">
        <v>2</v>
      </c>
      <c r="CN383">
        <v>0</v>
      </c>
      <c r="CO383">
        <v>6</v>
      </c>
      <c r="CP383" t="s">
        <v>119</v>
      </c>
      <c r="CQ383">
        <v>145</v>
      </c>
      <c r="CR383">
        <v>1</v>
      </c>
      <c r="CW383">
        <v>8909265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</row>
    <row r="384" spans="1:113" x14ac:dyDescent="0.3">
      <c r="A384" t="str">
        <f>"02/13/2022 18:37:33.315"</f>
        <v>02/13/2022 18:37:33.315</v>
      </c>
      <c r="C384" t="str">
        <f t="shared" si="35"/>
        <v>FFDFD7C0</v>
      </c>
      <c r="D384" t="s">
        <v>113</v>
      </c>
      <c r="E384">
        <v>4</v>
      </c>
      <c r="F384">
        <v>1004</v>
      </c>
      <c r="G384" t="s">
        <v>120</v>
      </c>
      <c r="J384" t="s">
        <v>115</v>
      </c>
      <c r="K384">
        <v>0</v>
      </c>
      <c r="L384">
        <v>3</v>
      </c>
      <c r="M384">
        <v>0</v>
      </c>
      <c r="N384">
        <v>2</v>
      </c>
      <c r="O384">
        <v>1</v>
      </c>
      <c r="P384">
        <v>0</v>
      </c>
      <c r="Q384">
        <v>0</v>
      </c>
      <c r="S384" t="str">
        <f>"18:37:33.070"</f>
        <v>18:37:33.070</v>
      </c>
      <c r="T384" t="str">
        <f>"18:37:32.870"</f>
        <v>18:37:32.870</v>
      </c>
      <c r="U384" t="str">
        <f t="shared" si="34"/>
        <v>AAB6EE</v>
      </c>
      <c r="V384">
        <v>0</v>
      </c>
      <c r="W384">
        <v>0</v>
      </c>
      <c r="X384">
        <v>4</v>
      </c>
      <c r="Z384">
        <v>0</v>
      </c>
      <c r="AA384">
        <v>8</v>
      </c>
      <c r="AB384">
        <v>3</v>
      </c>
      <c r="AC384">
        <v>0</v>
      </c>
      <c r="AD384">
        <v>10</v>
      </c>
      <c r="AE384">
        <v>0</v>
      </c>
      <c r="AF384">
        <v>0</v>
      </c>
      <c r="AG384">
        <v>1</v>
      </c>
      <c r="AH384">
        <v>1</v>
      </c>
      <c r="AI384" t="s">
        <v>377</v>
      </c>
      <c r="AJ384">
        <v>35.484079999999999</v>
      </c>
      <c r="AK384" t="s">
        <v>378</v>
      </c>
      <c r="AL384">
        <v>-76.056139000000002</v>
      </c>
      <c r="AM384">
        <v>25</v>
      </c>
      <c r="AN384">
        <v>3450</v>
      </c>
      <c r="AO384" t="s">
        <v>118</v>
      </c>
      <c r="AP384">
        <v>-92</v>
      </c>
      <c r="AQ384">
        <v>-184</v>
      </c>
      <c r="AR384">
        <v>0</v>
      </c>
      <c r="AZ384">
        <v>1200</v>
      </c>
      <c r="BA384">
        <v>1</v>
      </c>
      <c r="BB384" t="str">
        <f t="shared" si="36"/>
        <v xml:space="preserve">N79NX   </v>
      </c>
      <c r="BC384">
        <v>1</v>
      </c>
      <c r="BE384">
        <v>0</v>
      </c>
      <c r="BF384">
        <v>0</v>
      </c>
      <c r="BG384">
        <v>0</v>
      </c>
      <c r="BH384">
        <v>3300</v>
      </c>
      <c r="BI384">
        <v>0</v>
      </c>
      <c r="BJ384">
        <v>0</v>
      </c>
      <c r="BK384">
        <v>0</v>
      </c>
      <c r="BL384">
        <v>0</v>
      </c>
      <c r="BO384">
        <v>0</v>
      </c>
      <c r="BP384">
        <v>0</v>
      </c>
      <c r="BW384" t="str">
        <f>"18:37:33.070"</f>
        <v>18:37:33.070</v>
      </c>
      <c r="BZ384">
        <v>0</v>
      </c>
      <c r="CA384">
        <v>3488</v>
      </c>
      <c r="CB384">
        <v>216</v>
      </c>
      <c r="CC384">
        <v>583.59379999999999</v>
      </c>
      <c r="CD384">
        <v>1</v>
      </c>
      <c r="CE384">
        <v>1</v>
      </c>
      <c r="CF384">
        <v>0</v>
      </c>
      <c r="CG384">
        <v>1</v>
      </c>
      <c r="CH384">
        <v>0</v>
      </c>
      <c r="CI384">
        <v>0</v>
      </c>
      <c r="CJ384">
        <v>0</v>
      </c>
      <c r="CK384">
        <v>2</v>
      </c>
      <c r="CL384">
        <v>0</v>
      </c>
      <c r="CM384">
        <v>2</v>
      </c>
      <c r="CN384">
        <v>0</v>
      </c>
      <c r="CO384">
        <v>6</v>
      </c>
      <c r="CP384" t="s">
        <v>119</v>
      </c>
      <c r="CQ384">
        <v>145</v>
      </c>
      <c r="CR384">
        <v>1</v>
      </c>
      <c r="CW384">
        <v>8909265</v>
      </c>
      <c r="CY384">
        <v>0</v>
      </c>
      <c r="CZ384">
        <v>0</v>
      </c>
      <c r="DA384">
        <v>1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</row>
    <row r="385" spans="1:113" x14ac:dyDescent="0.3">
      <c r="A385" t="str">
        <f>"02/13/2022 18:37:33.315"</f>
        <v>02/13/2022 18:37:33.315</v>
      </c>
      <c r="C385" t="str">
        <f t="shared" si="35"/>
        <v>FFDFD7C0</v>
      </c>
      <c r="D385" t="s">
        <v>113</v>
      </c>
      <c r="E385">
        <v>3</v>
      </c>
      <c r="F385">
        <v>1003</v>
      </c>
      <c r="G385" t="s">
        <v>114</v>
      </c>
      <c r="J385" t="s">
        <v>115</v>
      </c>
      <c r="K385">
        <v>0</v>
      </c>
      <c r="L385">
        <v>3</v>
      </c>
      <c r="M385">
        <v>0</v>
      </c>
      <c r="N385">
        <v>2</v>
      </c>
      <c r="O385">
        <v>1</v>
      </c>
      <c r="P385">
        <v>0</v>
      </c>
      <c r="Q385">
        <v>0</v>
      </c>
      <c r="S385" t="str">
        <f>"18:37:33.070"</f>
        <v>18:37:33.070</v>
      </c>
      <c r="T385" t="str">
        <f>"18:37:32.870"</f>
        <v>18:37:32.870</v>
      </c>
      <c r="U385" t="str">
        <f t="shared" si="34"/>
        <v>AAB6EE</v>
      </c>
      <c r="V385">
        <v>0</v>
      </c>
      <c r="W385">
        <v>0</v>
      </c>
      <c r="X385">
        <v>4</v>
      </c>
      <c r="Z385">
        <v>0</v>
      </c>
      <c r="AA385">
        <v>8</v>
      </c>
      <c r="AB385">
        <v>3</v>
      </c>
      <c r="AC385">
        <v>0</v>
      </c>
      <c r="AD385">
        <v>10</v>
      </c>
      <c r="AE385">
        <v>0</v>
      </c>
      <c r="AF385">
        <v>0</v>
      </c>
      <c r="AG385">
        <v>1</v>
      </c>
      <c r="AH385">
        <v>1</v>
      </c>
      <c r="AI385" t="s">
        <v>377</v>
      </c>
      <c r="AJ385">
        <v>35.484079999999999</v>
      </c>
      <c r="AK385" t="s">
        <v>378</v>
      </c>
      <c r="AL385">
        <v>-76.056139000000002</v>
      </c>
      <c r="AM385">
        <v>25</v>
      </c>
      <c r="AN385">
        <v>3450</v>
      </c>
      <c r="AO385" t="s">
        <v>118</v>
      </c>
      <c r="AP385">
        <v>-92</v>
      </c>
      <c r="AQ385">
        <v>-184</v>
      </c>
      <c r="AR385">
        <v>0</v>
      </c>
      <c r="AZ385">
        <v>1200</v>
      </c>
      <c r="BA385">
        <v>1</v>
      </c>
      <c r="BB385" t="str">
        <f t="shared" si="36"/>
        <v xml:space="preserve">N79NX   </v>
      </c>
      <c r="BC385">
        <v>1</v>
      </c>
      <c r="BE385">
        <v>0</v>
      </c>
      <c r="BF385">
        <v>0</v>
      </c>
      <c r="BG385">
        <v>0</v>
      </c>
      <c r="BH385">
        <v>3300</v>
      </c>
      <c r="BI385">
        <v>0</v>
      </c>
      <c r="BJ385">
        <v>0</v>
      </c>
      <c r="BK385">
        <v>0</v>
      </c>
      <c r="BL385">
        <v>0</v>
      </c>
      <c r="BO385">
        <v>0</v>
      </c>
      <c r="BP385">
        <v>0</v>
      </c>
      <c r="BW385" t="str">
        <f>"18:37:33.070"</f>
        <v>18:37:33.070</v>
      </c>
      <c r="BZ385">
        <v>0</v>
      </c>
      <c r="CA385">
        <v>3488</v>
      </c>
      <c r="CB385">
        <v>216</v>
      </c>
      <c r="CC385">
        <v>583.59379999999999</v>
      </c>
      <c r="CD385">
        <v>1</v>
      </c>
      <c r="CE385">
        <v>1</v>
      </c>
      <c r="CF385">
        <v>0</v>
      </c>
      <c r="CG385">
        <v>1</v>
      </c>
      <c r="CH385">
        <v>0</v>
      </c>
      <c r="CI385">
        <v>0</v>
      </c>
      <c r="CJ385">
        <v>0</v>
      </c>
      <c r="CK385">
        <v>2</v>
      </c>
      <c r="CL385">
        <v>0</v>
      </c>
      <c r="CM385">
        <v>2</v>
      </c>
      <c r="CN385">
        <v>0</v>
      </c>
      <c r="CO385">
        <v>6</v>
      </c>
      <c r="CP385" t="s">
        <v>119</v>
      </c>
      <c r="CQ385">
        <v>145</v>
      </c>
      <c r="CR385">
        <v>1</v>
      </c>
      <c r="CW385">
        <v>8909265</v>
      </c>
      <c r="CY385">
        <v>0</v>
      </c>
      <c r="CZ385">
        <v>0</v>
      </c>
      <c r="DA385">
        <v>1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</row>
    <row r="386" spans="1:113" x14ac:dyDescent="0.3">
      <c r="A386" t="str">
        <f>"02/13/2022 18:37:34.504"</f>
        <v>02/13/2022 18:37:34.504</v>
      </c>
      <c r="C386" t="str">
        <f t="shared" si="35"/>
        <v>FFDFD7C0</v>
      </c>
      <c r="D386" t="s">
        <v>113</v>
      </c>
      <c r="E386">
        <v>4</v>
      </c>
      <c r="F386">
        <v>1004</v>
      </c>
      <c r="G386" t="s">
        <v>120</v>
      </c>
      <c r="J386" t="s">
        <v>115</v>
      </c>
      <c r="K386">
        <v>0</v>
      </c>
      <c r="L386">
        <v>3</v>
      </c>
      <c r="M386">
        <v>0</v>
      </c>
      <c r="N386">
        <v>2</v>
      </c>
      <c r="O386">
        <v>1</v>
      </c>
      <c r="P386">
        <v>0</v>
      </c>
      <c r="Q386">
        <v>0</v>
      </c>
      <c r="S386" t="str">
        <f>"18:37:34.227"</f>
        <v>18:37:34.227</v>
      </c>
      <c r="T386" t="str">
        <f>"18:37:33.927"</f>
        <v>18:37:33.927</v>
      </c>
      <c r="U386" t="str">
        <f t="shared" ref="U386:U449" si="41">"AAB6EE"</f>
        <v>AAB6EE</v>
      </c>
      <c r="V386">
        <v>0</v>
      </c>
      <c r="W386">
        <v>0</v>
      </c>
      <c r="X386">
        <v>4</v>
      </c>
      <c r="Z386">
        <v>0</v>
      </c>
      <c r="AA386">
        <v>8</v>
      </c>
      <c r="AB386">
        <v>3</v>
      </c>
      <c r="AC386">
        <v>0</v>
      </c>
      <c r="AD386">
        <v>10</v>
      </c>
      <c r="AE386">
        <v>0</v>
      </c>
      <c r="AF386">
        <v>0</v>
      </c>
      <c r="AG386">
        <v>1</v>
      </c>
      <c r="AH386">
        <v>1</v>
      </c>
      <c r="AI386" t="s">
        <v>379</v>
      </c>
      <c r="AJ386">
        <v>35.483049999999999</v>
      </c>
      <c r="AK386" t="s">
        <v>380</v>
      </c>
      <c r="AL386">
        <v>-76.056762000000006</v>
      </c>
      <c r="AM386">
        <v>25</v>
      </c>
      <c r="AN386">
        <v>3425</v>
      </c>
      <c r="AO386" t="s">
        <v>118</v>
      </c>
      <c r="AP386">
        <v>-92</v>
      </c>
      <c r="AQ386">
        <v>-184</v>
      </c>
      <c r="AR386">
        <v>0</v>
      </c>
      <c r="AZ386">
        <v>1200</v>
      </c>
      <c r="BA386">
        <v>1</v>
      </c>
      <c r="BB386" t="str">
        <f t="shared" si="36"/>
        <v xml:space="preserve">N79NX   </v>
      </c>
      <c r="BC386">
        <v>1</v>
      </c>
      <c r="BE386">
        <v>0</v>
      </c>
      <c r="BF386">
        <v>0</v>
      </c>
      <c r="BG386">
        <v>0</v>
      </c>
      <c r="BH386">
        <v>3300</v>
      </c>
      <c r="BI386">
        <v>0</v>
      </c>
      <c r="BJ386">
        <v>0</v>
      </c>
      <c r="BK386">
        <v>0</v>
      </c>
      <c r="BL386">
        <v>0</v>
      </c>
      <c r="BO386">
        <v>0</v>
      </c>
      <c r="BP386">
        <v>0</v>
      </c>
      <c r="BW386" t="str">
        <f>"18:37:34.230"</f>
        <v>18:37:34.230</v>
      </c>
      <c r="BZ386">
        <v>0</v>
      </c>
      <c r="CA386">
        <v>3488</v>
      </c>
      <c r="CB386">
        <v>216</v>
      </c>
      <c r="CC386">
        <v>583.59379999999999</v>
      </c>
      <c r="CD386">
        <v>1</v>
      </c>
      <c r="CE386">
        <v>1</v>
      </c>
      <c r="CF386">
        <v>0</v>
      </c>
      <c r="CG386">
        <v>1</v>
      </c>
      <c r="CH386">
        <v>0</v>
      </c>
      <c r="CI386">
        <v>0</v>
      </c>
      <c r="CJ386">
        <v>0</v>
      </c>
      <c r="CK386">
        <v>2</v>
      </c>
      <c r="CL386">
        <v>0</v>
      </c>
      <c r="CM386">
        <v>2</v>
      </c>
      <c r="CN386">
        <v>0</v>
      </c>
      <c r="CO386">
        <v>6</v>
      </c>
      <c r="CP386" t="s">
        <v>119</v>
      </c>
      <c r="CQ386">
        <v>145</v>
      </c>
      <c r="CR386">
        <v>1</v>
      </c>
      <c r="CW386">
        <v>8909807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</row>
    <row r="387" spans="1:113" x14ac:dyDescent="0.3">
      <c r="A387" t="str">
        <f>"02/13/2022 18:37:34.519"</f>
        <v>02/13/2022 18:37:34.519</v>
      </c>
      <c r="C387" t="str">
        <f t="shared" si="35"/>
        <v>FFDFD7C0</v>
      </c>
      <c r="D387" t="s">
        <v>113</v>
      </c>
      <c r="E387">
        <v>3</v>
      </c>
      <c r="F387">
        <v>1003</v>
      </c>
      <c r="G387" t="s">
        <v>114</v>
      </c>
      <c r="J387" t="s">
        <v>115</v>
      </c>
      <c r="K387">
        <v>0</v>
      </c>
      <c r="L387">
        <v>3</v>
      </c>
      <c r="M387">
        <v>0</v>
      </c>
      <c r="N387">
        <v>2</v>
      </c>
      <c r="O387">
        <v>1</v>
      </c>
      <c r="P387">
        <v>0</v>
      </c>
      <c r="Q387">
        <v>0</v>
      </c>
      <c r="S387" t="str">
        <f>"18:37:34.227"</f>
        <v>18:37:34.227</v>
      </c>
      <c r="T387" t="str">
        <f>"18:37:33.927"</f>
        <v>18:37:33.927</v>
      </c>
      <c r="U387" t="str">
        <f t="shared" si="41"/>
        <v>AAB6EE</v>
      </c>
      <c r="V387">
        <v>0</v>
      </c>
      <c r="W387">
        <v>0</v>
      </c>
      <c r="X387">
        <v>4</v>
      </c>
      <c r="Z387">
        <v>0</v>
      </c>
      <c r="AA387">
        <v>8</v>
      </c>
      <c r="AB387">
        <v>3</v>
      </c>
      <c r="AC387">
        <v>0</v>
      </c>
      <c r="AD387">
        <v>10</v>
      </c>
      <c r="AE387">
        <v>0</v>
      </c>
      <c r="AF387">
        <v>0</v>
      </c>
      <c r="AG387">
        <v>1</v>
      </c>
      <c r="AH387">
        <v>1</v>
      </c>
      <c r="AI387" t="s">
        <v>379</v>
      </c>
      <c r="AJ387">
        <v>35.483049999999999</v>
      </c>
      <c r="AK387" t="s">
        <v>380</v>
      </c>
      <c r="AL387">
        <v>-76.056762000000006</v>
      </c>
      <c r="AM387">
        <v>25</v>
      </c>
      <c r="AN387">
        <v>3425</v>
      </c>
      <c r="AO387" t="s">
        <v>118</v>
      </c>
      <c r="AP387">
        <v>-92</v>
      </c>
      <c r="AQ387">
        <v>-184</v>
      </c>
      <c r="AR387">
        <v>0</v>
      </c>
      <c r="AZ387">
        <v>1200</v>
      </c>
      <c r="BA387">
        <v>1</v>
      </c>
      <c r="BB387" t="str">
        <f t="shared" si="36"/>
        <v xml:space="preserve">N79NX   </v>
      </c>
      <c r="BC387">
        <v>1</v>
      </c>
      <c r="BE387">
        <v>0</v>
      </c>
      <c r="BF387">
        <v>0</v>
      </c>
      <c r="BG387">
        <v>0</v>
      </c>
      <c r="BH387">
        <v>3300</v>
      </c>
      <c r="BI387">
        <v>0</v>
      </c>
      <c r="BJ387">
        <v>0</v>
      </c>
      <c r="BK387">
        <v>0</v>
      </c>
      <c r="BL387">
        <v>0</v>
      </c>
      <c r="BO387">
        <v>0</v>
      </c>
      <c r="BP387">
        <v>0</v>
      </c>
      <c r="BW387" t="str">
        <f>"18:37:34.230"</f>
        <v>18:37:34.230</v>
      </c>
      <c r="BZ387">
        <v>0</v>
      </c>
      <c r="CA387">
        <v>3488</v>
      </c>
      <c r="CB387">
        <v>216</v>
      </c>
      <c r="CC387">
        <v>583.59379999999999</v>
      </c>
      <c r="CD387">
        <v>1</v>
      </c>
      <c r="CE387">
        <v>1</v>
      </c>
      <c r="CF387">
        <v>0</v>
      </c>
      <c r="CG387">
        <v>1</v>
      </c>
      <c r="CH387">
        <v>0</v>
      </c>
      <c r="CI387">
        <v>0</v>
      </c>
      <c r="CJ387">
        <v>0</v>
      </c>
      <c r="CK387">
        <v>2</v>
      </c>
      <c r="CL387">
        <v>0</v>
      </c>
      <c r="CM387">
        <v>2</v>
      </c>
      <c r="CN387">
        <v>0</v>
      </c>
      <c r="CO387">
        <v>6</v>
      </c>
      <c r="CP387" t="s">
        <v>119</v>
      </c>
      <c r="CQ387">
        <v>145</v>
      </c>
      <c r="CR387">
        <v>1</v>
      </c>
      <c r="CW387">
        <v>8909807</v>
      </c>
      <c r="CY387">
        <v>0</v>
      </c>
      <c r="CZ387">
        <v>0</v>
      </c>
      <c r="DA387">
        <v>1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</row>
    <row r="388" spans="1:113" x14ac:dyDescent="0.3">
      <c r="A388" t="str">
        <f>"02/13/2022 18:37:34.655"</f>
        <v>02/13/2022 18:37:34.655</v>
      </c>
      <c r="C388" t="str">
        <f t="shared" si="35"/>
        <v>FFDFD7C0</v>
      </c>
      <c r="D388" t="s">
        <v>121</v>
      </c>
      <c r="E388">
        <v>2</v>
      </c>
      <c r="H388">
        <v>158</v>
      </c>
      <c r="I388" t="s">
        <v>120</v>
      </c>
      <c r="J388" t="s">
        <v>122</v>
      </c>
      <c r="K388">
        <v>0</v>
      </c>
      <c r="L388">
        <v>3</v>
      </c>
      <c r="M388">
        <v>0</v>
      </c>
      <c r="N388">
        <v>2</v>
      </c>
      <c r="O388">
        <v>1</v>
      </c>
      <c r="P388">
        <v>0</v>
      </c>
      <c r="Q388">
        <v>0</v>
      </c>
      <c r="S388" t="str">
        <f>"18:37:34.227"</f>
        <v>18:37:34.227</v>
      </c>
      <c r="T388" t="str">
        <f>"18:37:33.927"</f>
        <v>18:37:33.927</v>
      </c>
      <c r="U388" t="str">
        <f t="shared" si="41"/>
        <v>AAB6EE</v>
      </c>
      <c r="V388">
        <v>0</v>
      </c>
      <c r="W388">
        <v>0</v>
      </c>
      <c r="X388">
        <v>4</v>
      </c>
      <c r="Z388">
        <v>0</v>
      </c>
      <c r="AA388">
        <v>8</v>
      </c>
      <c r="AB388">
        <v>3</v>
      </c>
      <c r="AC388">
        <v>0</v>
      </c>
      <c r="AD388">
        <v>10</v>
      </c>
      <c r="AE388">
        <v>0</v>
      </c>
      <c r="AF388">
        <v>0</v>
      </c>
      <c r="AG388">
        <v>1</v>
      </c>
      <c r="AH388">
        <v>1</v>
      </c>
      <c r="AI388" t="s">
        <v>379</v>
      </c>
      <c r="AJ388">
        <v>35.483049999999999</v>
      </c>
      <c r="AK388" t="s">
        <v>380</v>
      </c>
      <c r="AL388">
        <v>-76.056762000000006</v>
      </c>
      <c r="AM388">
        <v>25</v>
      </c>
      <c r="AN388">
        <v>3425</v>
      </c>
      <c r="AO388" t="s">
        <v>118</v>
      </c>
      <c r="AP388">
        <v>-92</v>
      </c>
      <c r="AQ388">
        <v>-184</v>
      </c>
      <c r="AR388">
        <v>0</v>
      </c>
      <c r="AZ388">
        <v>1200</v>
      </c>
      <c r="BA388">
        <v>1</v>
      </c>
      <c r="BB388" t="str">
        <f t="shared" si="36"/>
        <v xml:space="preserve">N79NX   </v>
      </c>
      <c r="BC388">
        <v>1</v>
      </c>
      <c r="BE388">
        <v>0</v>
      </c>
      <c r="BF388">
        <v>0</v>
      </c>
      <c r="BG388">
        <v>0</v>
      </c>
      <c r="BH388">
        <v>3300</v>
      </c>
      <c r="BI388">
        <v>0</v>
      </c>
      <c r="BJ388">
        <v>0</v>
      </c>
      <c r="BK388">
        <v>0</v>
      </c>
      <c r="BL388">
        <v>0</v>
      </c>
      <c r="BO388">
        <v>0</v>
      </c>
      <c r="BP388">
        <v>0</v>
      </c>
      <c r="BW388" t="str">
        <f>"18:37:34.230"</f>
        <v>18:37:34.230</v>
      </c>
      <c r="BZ388">
        <v>0</v>
      </c>
      <c r="CA388">
        <v>3488</v>
      </c>
      <c r="CB388">
        <v>216</v>
      </c>
      <c r="CC388">
        <v>583.59379999999999</v>
      </c>
      <c r="CD388">
        <v>1</v>
      </c>
      <c r="CE388">
        <v>1</v>
      </c>
      <c r="CF388">
        <v>0</v>
      </c>
      <c r="CG388">
        <v>1</v>
      </c>
      <c r="CH388">
        <v>0</v>
      </c>
      <c r="CI388">
        <v>0</v>
      </c>
      <c r="CJ388">
        <v>0</v>
      </c>
      <c r="CK388">
        <v>2</v>
      </c>
      <c r="CL388">
        <v>0</v>
      </c>
      <c r="CM388">
        <v>2</v>
      </c>
      <c r="CN388">
        <v>0</v>
      </c>
      <c r="CO388">
        <v>6</v>
      </c>
      <c r="CP388" t="s">
        <v>119</v>
      </c>
      <c r="CQ388">
        <v>145</v>
      </c>
      <c r="CR388">
        <v>1</v>
      </c>
      <c r="CW388">
        <v>8909807</v>
      </c>
      <c r="CY388">
        <v>0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</row>
    <row r="389" spans="1:113" x14ac:dyDescent="0.3">
      <c r="A389" t="str">
        <f>"02/13/2022 18:37:35.522"</f>
        <v>02/13/2022 18:37:35.522</v>
      </c>
      <c r="C389" t="str">
        <f t="shared" ref="C389:C452" si="42">"FFDFD7C0"</f>
        <v>FFDFD7C0</v>
      </c>
      <c r="D389" t="s">
        <v>121</v>
      </c>
      <c r="E389">
        <v>2</v>
      </c>
      <c r="H389">
        <v>158</v>
      </c>
      <c r="I389" t="s">
        <v>120</v>
      </c>
      <c r="J389" t="s">
        <v>122</v>
      </c>
      <c r="K389">
        <v>0</v>
      </c>
      <c r="L389">
        <v>3</v>
      </c>
      <c r="M389">
        <v>0</v>
      </c>
      <c r="N389">
        <v>2</v>
      </c>
      <c r="O389">
        <v>1</v>
      </c>
      <c r="P389">
        <v>0</v>
      </c>
      <c r="Q389">
        <v>0</v>
      </c>
      <c r="S389" t="str">
        <f t="shared" ref="S389:T391" si="43">"18:37:35.305"</f>
        <v>18:37:35.305</v>
      </c>
      <c r="T389" t="str">
        <f t="shared" si="43"/>
        <v>18:37:35.305</v>
      </c>
      <c r="U389" t="str">
        <f t="shared" si="41"/>
        <v>AAB6EE</v>
      </c>
      <c r="V389">
        <v>0</v>
      </c>
      <c r="W389">
        <v>0</v>
      </c>
      <c r="X389">
        <v>4</v>
      </c>
      <c r="Z389">
        <v>0</v>
      </c>
      <c r="AA389">
        <v>8</v>
      </c>
      <c r="AB389">
        <v>3</v>
      </c>
      <c r="AC389">
        <v>0</v>
      </c>
      <c r="AD389">
        <v>10</v>
      </c>
      <c r="AE389">
        <v>0</v>
      </c>
      <c r="AF389">
        <v>0</v>
      </c>
      <c r="AG389">
        <v>1</v>
      </c>
      <c r="AH389">
        <v>1</v>
      </c>
      <c r="AI389" t="s">
        <v>381</v>
      </c>
      <c r="AJ389">
        <v>35.482084999999998</v>
      </c>
      <c r="AK389" t="s">
        <v>382</v>
      </c>
      <c r="AL389">
        <v>-76.057320000000004</v>
      </c>
      <c r="AM389">
        <v>25</v>
      </c>
      <c r="AN389">
        <v>3450</v>
      </c>
      <c r="AO389" t="s">
        <v>118</v>
      </c>
      <c r="AP389">
        <v>-92</v>
      </c>
      <c r="AQ389">
        <v>-185</v>
      </c>
      <c r="AR389">
        <v>0</v>
      </c>
      <c r="AZ389">
        <v>1200</v>
      </c>
      <c r="BA389">
        <v>1</v>
      </c>
      <c r="BB389" t="str">
        <f t="shared" ref="BB389:BB452" si="44">"N79NX   "</f>
        <v xml:space="preserve">N79NX   </v>
      </c>
      <c r="BC389">
        <v>1</v>
      </c>
      <c r="BE389">
        <v>0</v>
      </c>
      <c r="BF389">
        <v>0</v>
      </c>
      <c r="BG389">
        <v>0</v>
      </c>
      <c r="BH389">
        <v>3275</v>
      </c>
      <c r="BI389">
        <v>0</v>
      </c>
      <c r="BJ389">
        <v>0</v>
      </c>
      <c r="BK389">
        <v>0</v>
      </c>
      <c r="BL389">
        <v>0</v>
      </c>
      <c r="BO389">
        <v>0</v>
      </c>
      <c r="BP389">
        <v>0</v>
      </c>
      <c r="BW389" t="str">
        <f>"18:37:35.310"</f>
        <v>18:37:35.310</v>
      </c>
      <c r="BZ389">
        <v>0</v>
      </c>
      <c r="CA389">
        <v>3488</v>
      </c>
      <c r="CB389">
        <v>216</v>
      </c>
      <c r="CC389">
        <v>583.59379999999999</v>
      </c>
      <c r="CD389">
        <v>1</v>
      </c>
      <c r="CE389">
        <v>1</v>
      </c>
      <c r="CF389">
        <v>0</v>
      </c>
      <c r="CG389">
        <v>1</v>
      </c>
      <c r="CH389">
        <v>0</v>
      </c>
      <c r="CI389">
        <v>0</v>
      </c>
      <c r="CJ389">
        <v>0</v>
      </c>
      <c r="CK389">
        <v>2</v>
      </c>
      <c r="CL389">
        <v>0</v>
      </c>
      <c r="CM389">
        <v>2</v>
      </c>
      <c r="CN389">
        <v>0</v>
      </c>
      <c r="CO389">
        <v>6</v>
      </c>
      <c r="CP389" t="s">
        <v>119</v>
      </c>
      <c r="CQ389">
        <v>145</v>
      </c>
      <c r="CR389">
        <v>1</v>
      </c>
      <c r="CW389">
        <v>8910300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</row>
    <row r="390" spans="1:113" x14ac:dyDescent="0.3">
      <c r="A390" t="str">
        <f>"02/13/2022 18:37:35.522"</f>
        <v>02/13/2022 18:37:35.522</v>
      </c>
      <c r="C390" t="str">
        <f t="shared" si="42"/>
        <v>FFDFD7C0</v>
      </c>
      <c r="D390" t="s">
        <v>113</v>
      </c>
      <c r="E390">
        <v>4</v>
      </c>
      <c r="F390">
        <v>1004</v>
      </c>
      <c r="G390" t="s">
        <v>120</v>
      </c>
      <c r="J390" t="s">
        <v>115</v>
      </c>
      <c r="K390">
        <v>0</v>
      </c>
      <c r="L390">
        <v>3</v>
      </c>
      <c r="M390">
        <v>0</v>
      </c>
      <c r="N390">
        <v>2</v>
      </c>
      <c r="O390">
        <v>1</v>
      </c>
      <c r="P390">
        <v>0</v>
      </c>
      <c r="Q390">
        <v>0</v>
      </c>
      <c r="S390" t="str">
        <f t="shared" si="43"/>
        <v>18:37:35.305</v>
      </c>
      <c r="T390" t="str">
        <f t="shared" si="43"/>
        <v>18:37:35.305</v>
      </c>
      <c r="U390" t="str">
        <f t="shared" si="41"/>
        <v>AAB6EE</v>
      </c>
      <c r="V390">
        <v>0</v>
      </c>
      <c r="W390">
        <v>0</v>
      </c>
      <c r="X390">
        <v>4</v>
      </c>
      <c r="Z390">
        <v>0</v>
      </c>
      <c r="AA390">
        <v>8</v>
      </c>
      <c r="AB390">
        <v>3</v>
      </c>
      <c r="AC390">
        <v>0</v>
      </c>
      <c r="AD390">
        <v>10</v>
      </c>
      <c r="AE390">
        <v>0</v>
      </c>
      <c r="AF390">
        <v>0</v>
      </c>
      <c r="AG390">
        <v>1</v>
      </c>
      <c r="AH390">
        <v>1</v>
      </c>
      <c r="AI390" t="s">
        <v>381</v>
      </c>
      <c r="AJ390">
        <v>35.482084999999998</v>
      </c>
      <c r="AK390" t="s">
        <v>382</v>
      </c>
      <c r="AL390">
        <v>-76.057320000000004</v>
      </c>
      <c r="AM390">
        <v>25</v>
      </c>
      <c r="AN390">
        <v>3450</v>
      </c>
      <c r="AO390" t="s">
        <v>118</v>
      </c>
      <c r="AP390">
        <v>-92</v>
      </c>
      <c r="AQ390">
        <v>-185</v>
      </c>
      <c r="AR390">
        <v>0</v>
      </c>
      <c r="AZ390">
        <v>1200</v>
      </c>
      <c r="BA390">
        <v>1</v>
      </c>
      <c r="BB390" t="str">
        <f t="shared" si="44"/>
        <v xml:space="preserve">N79NX   </v>
      </c>
      <c r="BC390">
        <v>1</v>
      </c>
      <c r="BE390">
        <v>0</v>
      </c>
      <c r="BF390">
        <v>0</v>
      </c>
      <c r="BG390">
        <v>0</v>
      </c>
      <c r="BH390">
        <v>3275</v>
      </c>
      <c r="BI390">
        <v>0</v>
      </c>
      <c r="BJ390">
        <v>0</v>
      </c>
      <c r="BK390">
        <v>0</v>
      </c>
      <c r="BL390">
        <v>0</v>
      </c>
      <c r="BO390">
        <v>0</v>
      </c>
      <c r="BP390">
        <v>0</v>
      </c>
      <c r="BW390" t="str">
        <f>"18:37:35.310"</f>
        <v>18:37:35.310</v>
      </c>
      <c r="BZ390">
        <v>0</v>
      </c>
      <c r="CA390">
        <v>3488</v>
      </c>
      <c r="CB390">
        <v>216</v>
      </c>
      <c r="CC390">
        <v>583.59379999999999</v>
      </c>
      <c r="CD390">
        <v>1</v>
      </c>
      <c r="CE390">
        <v>1</v>
      </c>
      <c r="CF390">
        <v>0</v>
      </c>
      <c r="CG390">
        <v>1</v>
      </c>
      <c r="CH390">
        <v>0</v>
      </c>
      <c r="CI390">
        <v>0</v>
      </c>
      <c r="CJ390">
        <v>0</v>
      </c>
      <c r="CK390">
        <v>2</v>
      </c>
      <c r="CL390">
        <v>0</v>
      </c>
      <c r="CM390">
        <v>2</v>
      </c>
      <c r="CN390">
        <v>0</v>
      </c>
      <c r="CO390">
        <v>6</v>
      </c>
      <c r="CP390" t="s">
        <v>119</v>
      </c>
      <c r="CQ390">
        <v>145</v>
      </c>
      <c r="CR390">
        <v>1</v>
      </c>
      <c r="CW390">
        <v>8910300</v>
      </c>
      <c r="CY390">
        <v>0</v>
      </c>
      <c r="CZ390">
        <v>0</v>
      </c>
      <c r="DA390">
        <v>1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</row>
    <row r="391" spans="1:113" x14ac:dyDescent="0.3">
      <c r="A391" t="str">
        <f>"02/13/2022 18:37:35.522"</f>
        <v>02/13/2022 18:37:35.522</v>
      </c>
      <c r="C391" t="str">
        <f t="shared" si="42"/>
        <v>FFDFD7C0</v>
      </c>
      <c r="D391" t="s">
        <v>113</v>
      </c>
      <c r="E391">
        <v>3</v>
      </c>
      <c r="F391">
        <v>1003</v>
      </c>
      <c r="G391" t="s">
        <v>114</v>
      </c>
      <c r="J391" t="s">
        <v>115</v>
      </c>
      <c r="K391">
        <v>0</v>
      </c>
      <c r="L391">
        <v>3</v>
      </c>
      <c r="M391">
        <v>0</v>
      </c>
      <c r="N391">
        <v>2</v>
      </c>
      <c r="O391">
        <v>1</v>
      </c>
      <c r="P391">
        <v>0</v>
      </c>
      <c r="Q391">
        <v>0</v>
      </c>
      <c r="S391" t="str">
        <f t="shared" si="43"/>
        <v>18:37:35.305</v>
      </c>
      <c r="T391" t="str">
        <f t="shared" si="43"/>
        <v>18:37:35.305</v>
      </c>
      <c r="U391" t="str">
        <f t="shared" si="41"/>
        <v>AAB6EE</v>
      </c>
      <c r="V391">
        <v>0</v>
      </c>
      <c r="W391">
        <v>0</v>
      </c>
      <c r="X391">
        <v>4</v>
      </c>
      <c r="Z391">
        <v>0</v>
      </c>
      <c r="AA391">
        <v>8</v>
      </c>
      <c r="AB391">
        <v>3</v>
      </c>
      <c r="AC391">
        <v>0</v>
      </c>
      <c r="AD391">
        <v>10</v>
      </c>
      <c r="AE391">
        <v>0</v>
      </c>
      <c r="AF391">
        <v>0</v>
      </c>
      <c r="AG391">
        <v>1</v>
      </c>
      <c r="AH391">
        <v>1</v>
      </c>
      <c r="AI391" t="s">
        <v>381</v>
      </c>
      <c r="AJ391">
        <v>35.482084999999998</v>
      </c>
      <c r="AK391" t="s">
        <v>382</v>
      </c>
      <c r="AL391">
        <v>-76.057320000000004</v>
      </c>
      <c r="AM391">
        <v>25</v>
      </c>
      <c r="AN391">
        <v>3450</v>
      </c>
      <c r="AO391" t="s">
        <v>118</v>
      </c>
      <c r="AP391">
        <v>-92</v>
      </c>
      <c r="AQ391">
        <v>-185</v>
      </c>
      <c r="AR391">
        <v>0</v>
      </c>
      <c r="AZ391">
        <v>1200</v>
      </c>
      <c r="BA391">
        <v>1</v>
      </c>
      <c r="BB391" t="str">
        <f t="shared" si="44"/>
        <v xml:space="preserve">N79NX   </v>
      </c>
      <c r="BC391">
        <v>1</v>
      </c>
      <c r="BE391">
        <v>0</v>
      </c>
      <c r="BF391">
        <v>0</v>
      </c>
      <c r="BG391">
        <v>0</v>
      </c>
      <c r="BH391">
        <v>3275</v>
      </c>
      <c r="BI391">
        <v>0</v>
      </c>
      <c r="BJ391">
        <v>0</v>
      </c>
      <c r="BK391">
        <v>0</v>
      </c>
      <c r="BL391">
        <v>0</v>
      </c>
      <c r="BO391">
        <v>0</v>
      </c>
      <c r="BP391">
        <v>0</v>
      </c>
      <c r="BW391" t="str">
        <f>"18:37:35.310"</f>
        <v>18:37:35.310</v>
      </c>
      <c r="BZ391">
        <v>0</v>
      </c>
      <c r="CA391">
        <v>3488</v>
      </c>
      <c r="CB391">
        <v>216</v>
      </c>
      <c r="CC391">
        <v>583.59379999999999</v>
      </c>
      <c r="CD391">
        <v>1</v>
      </c>
      <c r="CE391">
        <v>1</v>
      </c>
      <c r="CF391">
        <v>0</v>
      </c>
      <c r="CG391">
        <v>1</v>
      </c>
      <c r="CH391">
        <v>0</v>
      </c>
      <c r="CI391">
        <v>0</v>
      </c>
      <c r="CJ391">
        <v>0</v>
      </c>
      <c r="CK391">
        <v>2</v>
      </c>
      <c r="CL391">
        <v>0</v>
      </c>
      <c r="CM391">
        <v>2</v>
      </c>
      <c r="CN391">
        <v>0</v>
      </c>
      <c r="CO391">
        <v>6</v>
      </c>
      <c r="CP391" t="s">
        <v>119</v>
      </c>
      <c r="CQ391">
        <v>145</v>
      </c>
      <c r="CR391">
        <v>1</v>
      </c>
      <c r="CW391">
        <v>8910300</v>
      </c>
      <c r="CY391">
        <v>0</v>
      </c>
      <c r="CZ391">
        <v>0</v>
      </c>
      <c r="DA391">
        <v>1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</row>
    <row r="392" spans="1:113" x14ac:dyDescent="0.3">
      <c r="A392" t="str">
        <f>"02/13/2022 18:37:36.491"</f>
        <v>02/13/2022 18:37:36.491</v>
      </c>
      <c r="C392" t="str">
        <f t="shared" si="42"/>
        <v>FFDFD7C0</v>
      </c>
      <c r="D392" t="s">
        <v>113</v>
      </c>
      <c r="E392">
        <v>4</v>
      </c>
      <c r="F392">
        <v>1004</v>
      </c>
      <c r="G392" t="s">
        <v>120</v>
      </c>
      <c r="J392" t="s">
        <v>115</v>
      </c>
      <c r="K392">
        <v>0</v>
      </c>
      <c r="L392">
        <v>3</v>
      </c>
      <c r="M392">
        <v>0</v>
      </c>
      <c r="N392">
        <v>2</v>
      </c>
      <c r="O392">
        <v>1</v>
      </c>
      <c r="P392">
        <v>0</v>
      </c>
      <c r="Q392">
        <v>0</v>
      </c>
      <c r="S392" t="str">
        <f>"18:37:36.234"</f>
        <v>18:37:36.234</v>
      </c>
      <c r="T392" t="str">
        <f>"18:37:35.834"</f>
        <v>18:37:35.834</v>
      </c>
      <c r="U392" t="str">
        <f t="shared" si="41"/>
        <v>AAB6EE</v>
      </c>
      <c r="V392">
        <v>0</v>
      </c>
      <c r="W392">
        <v>0</v>
      </c>
      <c r="X392">
        <v>4</v>
      </c>
      <c r="Z392">
        <v>0</v>
      </c>
      <c r="AA392">
        <v>8</v>
      </c>
      <c r="AB392">
        <v>3</v>
      </c>
      <c r="AC392">
        <v>0</v>
      </c>
      <c r="AD392">
        <v>10</v>
      </c>
      <c r="AE392">
        <v>0</v>
      </c>
      <c r="AF392">
        <v>0</v>
      </c>
      <c r="AG392">
        <v>1</v>
      </c>
      <c r="AH392">
        <v>1</v>
      </c>
      <c r="AI392" t="s">
        <v>383</v>
      </c>
      <c r="AJ392">
        <v>35.481333999999997</v>
      </c>
      <c r="AK392" t="s">
        <v>384</v>
      </c>
      <c r="AL392">
        <v>-76.057812999999996</v>
      </c>
      <c r="AM392">
        <v>25</v>
      </c>
      <c r="AN392">
        <v>3425</v>
      </c>
      <c r="AO392" t="s">
        <v>118</v>
      </c>
      <c r="AP392">
        <v>-92</v>
      </c>
      <c r="AQ392">
        <v>-185</v>
      </c>
      <c r="AR392">
        <v>0</v>
      </c>
      <c r="AZ392">
        <v>1200</v>
      </c>
      <c r="BA392">
        <v>1</v>
      </c>
      <c r="BB392" t="str">
        <f t="shared" si="44"/>
        <v xml:space="preserve">N79NX   </v>
      </c>
      <c r="BC392">
        <v>1</v>
      </c>
      <c r="BE392">
        <v>0</v>
      </c>
      <c r="BF392">
        <v>0</v>
      </c>
      <c r="BG392">
        <v>0</v>
      </c>
      <c r="BH392">
        <v>3275</v>
      </c>
      <c r="BI392">
        <v>0</v>
      </c>
      <c r="BJ392">
        <v>0</v>
      </c>
      <c r="BK392">
        <v>0</v>
      </c>
      <c r="BL392">
        <v>0</v>
      </c>
      <c r="BO392">
        <v>0</v>
      </c>
      <c r="BP392">
        <v>0</v>
      </c>
      <c r="BW392" t="str">
        <f>"18:37:36.240"</f>
        <v>18:37:36.240</v>
      </c>
      <c r="BZ392">
        <v>0</v>
      </c>
      <c r="CA392">
        <v>3488</v>
      </c>
      <c r="CB392">
        <v>216</v>
      </c>
      <c r="CC392">
        <v>583.59379999999999</v>
      </c>
      <c r="CD392">
        <v>1</v>
      </c>
      <c r="CE392">
        <v>1</v>
      </c>
      <c r="CF392">
        <v>0</v>
      </c>
      <c r="CG392">
        <v>1</v>
      </c>
      <c r="CH392">
        <v>0</v>
      </c>
      <c r="CI392">
        <v>0</v>
      </c>
      <c r="CJ392">
        <v>0</v>
      </c>
      <c r="CK392">
        <v>2</v>
      </c>
      <c r="CL392">
        <v>0</v>
      </c>
      <c r="CM392">
        <v>2</v>
      </c>
      <c r="CN392">
        <v>0</v>
      </c>
      <c r="CO392">
        <v>6</v>
      </c>
      <c r="CP392" t="s">
        <v>119</v>
      </c>
      <c r="CQ392">
        <v>145</v>
      </c>
      <c r="CR392">
        <v>1</v>
      </c>
      <c r="CW392">
        <v>8910672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</row>
    <row r="393" spans="1:113" x14ac:dyDescent="0.3">
      <c r="A393" t="str">
        <f>"02/13/2022 18:37:36.491"</f>
        <v>02/13/2022 18:37:36.491</v>
      </c>
      <c r="C393" t="str">
        <f t="shared" si="42"/>
        <v>FFDFD7C0</v>
      </c>
      <c r="D393" t="s">
        <v>113</v>
      </c>
      <c r="E393">
        <v>3</v>
      </c>
      <c r="F393">
        <v>1003</v>
      </c>
      <c r="G393" t="s">
        <v>114</v>
      </c>
      <c r="J393" t="s">
        <v>115</v>
      </c>
      <c r="K393">
        <v>0</v>
      </c>
      <c r="L393">
        <v>3</v>
      </c>
      <c r="M393">
        <v>0</v>
      </c>
      <c r="N393">
        <v>2</v>
      </c>
      <c r="O393">
        <v>1</v>
      </c>
      <c r="P393">
        <v>0</v>
      </c>
      <c r="Q393">
        <v>0</v>
      </c>
      <c r="S393" t="str">
        <f>"18:37:36.234"</f>
        <v>18:37:36.234</v>
      </c>
      <c r="T393" t="str">
        <f>"18:37:35.834"</f>
        <v>18:37:35.834</v>
      </c>
      <c r="U393" t="str">
        <f t="shared" si="41"/>
        <v>AAB6EE</v>
      </c>
      <c r="V393">
        <v>0</v>
      </c>
      <c r="W393">
        <v>0</v>
      </c>
      <c r="X393">
        <v>4</v>
      </c>
      <c r="Z393">
        <v>0</v>
      </c>
      <c r="AA393">
        <v>8</v>
      </c>
      <c r="AB393">
        <v>3</v>
      </c>
      <c r="AC393">
        <v>0</v>
      </c>
      <c r="AD393">
        <v>10</v>
      </c>
      <c r="AE393">
        <v>0</v>
      </c>
      <c r="AF393">
        <v>0</v>
      </c>
      <c r="AG393">
        <v>1</v>
      </c>
      <c r="AH393">
        <v>1</v>
      </c>
      <c r="AI393" t="s">
        <v>383</v>
      </c>
      <c r="AJ393">
        <v>35.481333999999997</v>
      </c>
      <c r="AK393" t="s">
        <v>384</v>
      </c>
      <c r="AL393">
        <v>-76.057812999999996</v>
      </c>
      <c r="AM393">
        <v>25</v>
      </c>
      <c r="AN393">
        <v>3425</v>
      </c>
      <c r="AO393" t="s">
        <v>118</v>
      </c>
      <c r="AP393">
        <v>-92</v>
      </c>
      <c r="AQ393">
        <v>-185</v>
      </c>
      <c r="AR393">
        <v>0</v>
      </c>
      <c r="AZ393">
        <v>1200</v>
      </c>
      <c r="BA393">
        <v>1</v>
      </c>
      <c r="BB393" t="str">
        <f t="shared" si="44"/>
        <v xml:space="preserve">N79NX   </v>
      </c>
      <c r="BC393">
        <v>1</v>
      </c>
      <c r="BE393">
        <v>0</v>
      </c>
      <c r="BF393">
        <v>0</v>
      </c>
      <c r="BG393">
        <v>0</v>
      </c>
      <c r="BH393">
        <v>3275</v>
      </c>
      <c r="BI393">
        <v>0</v>
      </c>
      <c r="BJ393">
        <v>0</v>
      </c>
      <c r="BK393">
        <v>0</v>
      </c>
      <c r="BL393">
        <v>0</v>
      </c>
      <c r="BO393">
        <v>0</v>
      </c>
      <c r="BP393">
        <v>0</v>
      </c>
      <c r="BW393" t="str">
        <f>"18:37:36.240"</f>
        <v>18:37:36.240</v>
      </c>
      <c r="BZ393">
        <v>0</v>
      </c>
      <c r="CA393">
        <v>3488</v>
      </c>
      <c r="CB393">
        <v>216</v>
      </c>
      <c r="CC393">
        <v>583.59379999999999</v>
      </c>
      <c r="CD393">
        <v>1</v>
      </c>
      <c r="CE393">
        <v>1</v>
      </c>
      <c r="CF393">
        <v>0</v>
      </c>
      <c r="CG393">
        <v>1</v>
      </c>
      <c r="CH393">
        <v>0</v>
      </c>
      <c r="CI393">
        <v>0</v>
      </c>
      <c r="CJ393">
        <v>0</v>
      </c>
      <c r="CK393">
        <v>2</v>
      </c>
      <c r="CL393">
        <v>0</v>
      </c>
      <c r="CM393">
        <v>2</v>
      </c>
      <c r="CN393">
        <v>0</v>
      </c>
      <c r="CO393">
        <v>6</v>
      </c>
      <c r="CP393" t="s">
        <v>119</v>
      </c>
      <c r="CQ393">
        <v>145</v>
      </c>
      <c r="CR393">
        <v>1</v>
      </c>
      <c r="CW393">
        <v>8910672</v>
      </c>
      <c r="CY393">
        <v>0</v>
      </c>
      <c r="CZ393">
        <v>0</v>
      </c>
      <c r="DA393">
        <v>1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</row>
    <row r="394" spans="1:113" x14ac:dyDescent="0.3">
      <c r="A394" t="str">
        <f>"02/13/2022 18:37:36.538"</f>
        <v>02/13/2022 18:37:36.538</v>
      </c>
      <c r="C394" t="str">
        <f t="shared" si="42"/>
        <v>FFDFD7C0</v>
      </c>
      <c r="D394" t="s">
        <v>121</v>
      </c>
      <c r="E394">
        <v>2</v>
      </c>
      <c r="H394">
        <v>158</v>
      </c>
      <c r="I394" t="s">
        <v>120</v>
      </c>
      <c r="J394" t="s">
        <v>122</v>
      </c>
      <c r="K394">
        <v>0</v>
      </c>
      <c r="L394">
        <v>3</v>
      </c>
      <c r="M394">
        <v>0</v>
      </c>
      <c r="N394">
        <v>2</v>
      </c>
      <c r="O394">
        <v>1</v>
      </c>
      <c r="P394">
        <v>0</v>
      </c>
      <c r="Q394">
        <v>0</v>
      </c>
      <c r="S394" t="str">
        <f>"18:37:36.234"</f>
        <v>18:37:36.234</v>
      </c>
      <c r="T394" t="str">
        <f>"18:37:35.834"</f>
        <v>18:37:35.834</v>
      </c>
      <c r="U394" t="str">
        <f t="shared" si="41"/>
        <v>AAB6EE</v>
      </c>
      <c r="V394">
        <v>0</v>
      </c>
      <c r="W394">
        <v>0</v>
      </c>
      <c r="X394">
        <v>4</v>
      </c>
      <c r="Z394">
        <v>0</v>
      </c>
      <c r="AA394">
        <v>8</v>
      </c>
      <c r="AB394">
        <v>3</v>
      </c>
      <c r="AC394">
        <v>0</v>
      </c>
      <c r="AD394">
        <v>10</v>
      </c>
      <c r="AE394">
        <v>0</v>
      </c>
      <c r="AF394">
        <v>0</v>
      </c>
      <c r="AG394">
        <v>1</v>
      </c>
      <c r="AH394">
        <v>1</v>
      </c>
      <c r="AI394" t="s">
        <v>383</v>
      </c>
      <c r="AJ394">
        <v>35.481333999999997</v>
      </c>
      <c r="AK394" t="s">
        <v>384</v>
      </c>
      <c r="AL394">
        <v>-76.057812999999996</v>
      </c>
      <c r="AM394">
        <v>25</v>
      </c>
      <c r="AN394">
        <v>3425</v>
      </c>
      <c r="AO394" t="s">
        <v>118</v>
      </c>
      <c r="AP394">
        <v>-92</v>
      </c>
      <c r="AQ394">
        <v>-185</v>
      </c>
      <c r="AR394">
        <v>0</v>
      </c>
      <c r="AZ394">
        <v>1200</v>
      </c>
      <c r="BA394">
        <v>1</v>
      </c>
      <c r="BB394" t="str">
        <f t="shared" si="44"/>
        <v xml:space="preserve">N79NX   </v>
      </c>
      <c r="BC394">
        <v>1</v>
      </c>
      <c r="BE394">
        <v>0</v>
      </c>
      <c r="BF394">
        <v>0</v>
      </c>
      <c r="BG394">
        <v>0</v>
      </c>
      <c r="BH394">
        <v>3275</v>
      </c>
      <c r="BI394">
        <v>0</v>
      </c>
      <c r="BJ394">
        <v>0</v>
      </c>
      <c r="BK394">
        <v>0</v>
      </c>
      <c r="BL394">
        <v>0</v>
      </c>
      <c r="BO394">
        <v>0</v>
      </c>
      <c r="BP394">
        <v>0</v>
      </c>
      <c r="BW394" t="str">
        <f>"18:37:36.240"</f>
        <v>18:37:36.240</v>
      </c>
      <c r="BZ394">
        <v>0</v>
      </c>
      <c r="CA394">
        <v>3488</v>
      </c>
      <c r="CB394">
        <v>216</v>
      </c>
      <c r="CC394">
        <v>583.59379999999999</v>
      </c>
      <c r="CD394">
        <v>1</v>
      </c>
      <c r="CE394">
        <v>1</v>
      </c>
      <c r="CF394">
        <v>0</v>
      </c>
      <c r="CG394">
        <v>1</v>
      </c>
      <c r="CH394">
        <v>0</v>
      </c>
      <c r="CI394">
        <v>0</v>
      </c>
      <c r="CJ394">
        <v>0</v>
      </c>
      <c r="CK394">
        <v>2</v>
      </c>
      <c r="CL394">
        <v>0</v>
      </c>
      <c r="CM394">
        <v>2</v>
      </c>
      <c r="CN394">
        <v>0</v>
      </c>
      <c r="CO394">
        <v>6</v>
      </c>
      <c r="CP394" t="s">
        <v>119</v>
      </c>
      <c r="CQ394">
        <v>145</v>
      </c>
      <c r="CR394">
        <v>1</v>
      </c>
      <c r="CW394">
        <v>8910672</v>
      </c>
      <c r="CY394">
        <v>0</v>
      </c>
      <c r="CZ394">
        <v>0</v>
      </c>
      <c r="DA394">
        <v>1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</row>
    <row r="395" spans="1:113" x14ac:dyDescent="0.3">
      <c r="A395" t="str">
        <f>"02/13/2022 18:37:37.710"</f>
        <v>02/13/2022 18:37:37.710</v>
      </c>
      <c r="C395" t="str">
        <f t="shared" si="42"/>
        <v>FFDFD7C0</v>
      </c>
      <c r="D395" t="s">
        <v>113</v>
      </c>
      <c r="E395">
        <v>3</v>
      </c>
      <c r="F395">
        <v>1003</v>
      </c>
      <c r="G395" t="s">
        <v>114</v>
      </c>
      <c r="J395" t="s">
        <v>115</v>
      </c>
      <c r="K395">
        <v>0</v>
      </c>
      <c r="L395">
        <v>3</v>
      </c>
      <c r="M395">
        <v>0</v>
      </c>
      <c r="N395">
        <v>2</v>
      </c>
      <c r="O395">
        <v>1</v>
      </c>
      <c r="P395">
        <v>0</v>
      </c>
      <c r="Q395">
        <v>0</v>
      </c>
      <c r="S395" t="str">
        <f>"18:37:37.398"</f>
        <v>18:37:37.398</v>
      </c>
      <c r="T395" t="str">
        <f>"18:37:37.298"</f>
        <v>18:37:37.298</v>
      </c>
      <c r="U395" t="str">
        <f t="shared" si="41"/>
        <v>AAB6EE</v>
      </c>
      <c r="V395">
        <v>0</v>
      </c>
      <c r="W395">
        <v>0</v>
      </c>
      <c r="X395">
        <v>4</v>
      </c>
      <c r="Z395">
        <v>0</v>
      </c>
      <c r="AA395">
        <v>8</v>
      </c>
      <c r="AB395">
        <v>3</v>
      </c>
      <c r="AC395">
        <v>0</v>
      </c>
      <c r="AD395">
        <v>10</v>
      </c>
      <c r="AE395">
        <v>0</v>
      </c>
      <c r="AF395">
        <v>0</v>
      </c>
      <c r="AG395">
        <v>1</v>
      </c>
      <c r="AH395">
        <v>1</v>
      </c>
      <c r="AI395" t="s">
        <v>385</v>
      </c>
      <c r="AJ395">
        <v>35.48039</v>
      </c>
      <c r="AK395" t="s">
        <v>386</v>
      </c>
      <c r="AL395">
        <v>-76.058413999999999</v>
      </c>
      <c r="AM395">
        <v>25</v>
      </c>
      <c r="AN395">
        <v>3425</v>
      </c>
      <c r="AO395" t="s">
        <v>118</v>
      </c>
      <c r="AP395">
        <v>-93</v>
      </c>
      <c r="AQ395">
        <v>-185</v>
      </c>
      <c r="AR395">
        <v>0</v>
      </c>
      <c r="AZ395">
        <v>1200</v>
      </c>
      <c r="BA395">
        <v>1</v>
      </c>
      <c r="BB395" t="str">
        <f t="shared" si="44"/>
        <v xml:space="preserve">N79NX   </v>
      </c>
      <c r="BC395">
        <v>1</v>
      </c>
      <c r="BE395">
        <v>0</v>
      </c>
      <c r="BF395">
        <v>0</v>
      </c>
      <c r="BG395">
        <v>0</v>
      </c>
      <c r="BH395">
        <v>3275</v>
      </c>
      <c r="BI395">
        <v>0</v>
      </c>
      <c r="BJ395">
        <v>0</v>
      </c>
      <c r="BK395">
        <v>0</v>
      </c>
      <c r="BL395">
        <v>0</v>
      </c>
      <c r="BO395">
        <v>0</v>
      </c>
      <c r="BP395">
        <v>0</v>
      </c>
      <c r="BW395" t="str">
        <f>"18:37:37.400"</f>
        <v>18:37:37.400</v>
      </c>
      <c r="BZ395">
        <v>0</v>
      </c>
      <c r="CA395">
        <v>3488</v>
      </c>
      <c r="CB395">
        <v>216</v>
      </c>
      <c r="CC395">
        <v>583.59379999999999</v>
      </c>
      <c r="CD395">
        <v>1</v>
      </c>
      <c r="CE395">
        <v>1</v>
      </c>
      <c r="CF395">
        <v>0</v>
      </c>
      <c r="CG395">
        <v>1</v>
      </c>
      <c r="CH395">
        <v>0</v>
      </c>
      <c r="CI395">
        <v>0</v>
      </c>
      <c r="CJ395">
        <v>0</v>
      </c>
      <c r="CK395">
        <v>2</v>
      </c>
      <c r="CL395">
        <v>0</v>
      </c>
      <c r="CM395">
        <v>2</v>
      </c>
      <c r="CN395">
        <v>0</v>
      </c>
      <c r="CO395">
        <v>6</v>
      </c>
      <c r="CP395" t="s">
        <v>119</v>
      </c>
      <c r="CQ395">
        <v>145</v>
      </c>
      <c r="CR395">
        <v>1</v>
      </c>
      <c r="CW395">
        <v>8911229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</row>
    <row r="396" spans="1:113" x14ac:dyDescent="0.3">
      <c r="A396" t="str">
        <f>"02/13/2022 18:37:37.710"</f>
        <v>02/13/2022 18:37:37.710</v>
      </c>
      <c r="C396" t="str">
        <f t="shared" si="42"/>
        <v>FFDFD7C0</v>
      </c>
      <c r="D396" t="s">
        <v>113</v>
      </c>
      <c r="E396">
        <v>4</v>
      </c>
      <c r="F396">
        <v>1004</v>
      </c>
      <c r="G396" t="s">
        <v>120</v>
      </c>
      <c r="J396" t="s">
        <v>115</v>
      </c>
      <c r="K396">
        <v>0</v>
      </c>
      <c r="L396">
        <v>3</v>
      </c>
      <c r="M396">
        <v>0</v>
      </c>
      <c r="N396">
        <v>2</v>
      </c>
      <c r="O396">
        <v>1</v>
      </c>
      <c r="P396">
        <v>0</v>
      </c>
      <c r="Q396">
        <v>0</v>
      </c>
      <c r="S396" t="str">
        <f>"18:37:37.398"</f>
        <v>18:37:37.398</v>
      </c>
      <c r="T396" t="str">
        <f>"18:37:37.298"</f>
        <v>18:37:37.298</v>
      </c>
      <c r="U396" t="str">
        <f t="shared" si="41"/>
        <v>AAB6EE</v>
      </c>
      <c r="V396">
        <v>0</v>
      </c>
      <c r="W396">
        <v>0</v>
      </c>
      <c r="X396">
        <v>4</v>
      </c>
      <c r="Z396">
        <v>0</v>
      </c>
      <c r="AA396">
        <v>8</v>
      </c>
      <c r="AB396">
        <v>3</v>
      </c>
      <c r="AC396">
        <v>0</v>
      </c>
      <c r="AD396">
        <v>10</v>
      </c>
      <c r="AE396">
        <v>0</v>
      </c>
      <c r="AF396">
        <v>0</v>
      </c>
      <c r="AG396">
        <v>1</v>
      </c>
      <c r="AH396">
        <v>1</v>
      </c>
      <c r="AI396" t="s">
        <v>385</v>
      </c>
      <c r="AJ396">
        <v>35.48039</v>
      </c>
      <c r="AK396" t="s">
        <v>386</v>
      </c>
      <c r="AL396">
        <v>-76.058413999999999</v>
      </c>
      <c r="AM396">
        <v>25</v>
      </c>
      <c r="AN396">
        <v>3425</v>
      </c>
      <c r="AO396" t="s">
        <v>118</v>
      </c>
      <c r="AP396">
        <v>-93</v>
      </c>
      <c r="AQ396">
        <v>-185</v>
      </c>
      <c r="AR396">
        <v>0</v>
      </c>
      <c r="AZ396">
        <v>1200</v>
      </c>
      <c r="BA396">
        <v>1</v>
      </c>
      <c r="BB396" t="str">
        <f t="shared" si="44"/>
        <v xml:space="preserve">N79NX   </v>
      </c>
      <c r="BC396">
        <v>1</v>
      </c>
      <c r="BE396">
        <v>0</v>
      </c>
      <c r="BF396">
        <v>0</v>
      </c>
      <c r="BG396">
        <v>0</v>
      </c>
      <c r="BH396">
        <v>3275</v>
      </c>
      <c r="BI396">
        <v>0</v>
      </c>
      <c r="BJ396">
        <v>0</v>
      </c>
      <c r="BK396">
        <v>0</v>
      </c>
      <c r="BL396">
        <v>0</v>
      </c>
      <c r="BO396">
        <v>0</v>
      </c>
      <c r="BP396">
        <v>0</v>
      </c>
      <c r="BW396" t="str">
        <f>"18:37:37.400"</f>
        <v>18:37:37.400</v>
      </c>
      <c r="BZ396">
        <v>0</v>
      </c>
      <c r="CA396">
        <v>3488</v>
      </c>
      <c r="CB396">
        <v>216</v>
      </c>
      <c r="CC396">
        <v>583.59379999999999</v>
      </c>
      <c r="CD396">
        <v>1</v>
      </c>
      <c r="CE396">
        <v>1</v>
      </c>
      <c r="CF396">
        <v>0</v>
      </c>
      <c r="CG396">
        <v>1</v>
      </c>
      <c r="CH396">
        <v>0</v>
      </c>
      <c r="CI396">
        <v>0</v>
      </c>
      <c r="CJ396">
        <v>0</v>
      </c>
      <c r="CK396">
        <v>2</v>
      </c>
      <c r="CL396">
        <v>0</v>
      </c>
      <c r="CM396">
        <v>2</v>
      </c>
      <c r="CN396">
        <v>0</v>
      </c>
      <c r="CO396">
        <v>6</v>
      </c>
      <c r="CP396" t="s">
        <v>119</v>
      </c>
      <c r="CQ396">
        <v>145</v>
      </c>
      <c r="CR396">
        <v>1</v>
      </c>
      <c r="CW396">
        <v>8911229</v>
      </c>
      <c r="CY396">
        <v>0</v>
      </c>
      <c r="CZ396">
        <v>0</v>
      </c>
      <c r="DA396">
        <v>1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</row>
    <row r="397" spans="1:113" x14ac:dyDescent="0.3">
      <c r="A397" t="str">
        <f>"02/13/2022 18:37:37.710"</f>
        <v>02/13/2022 18:37:37.710</v>
      </c>
      <c r="C397" t="str">
        <f t="shared" si="42"/>
        <v>FFDFD7C0</v>
      </c>
      <c r="D397" t="s">
        <v>121</v>
      </c>
      <c r="E397">
        <v>2</v>
      </c>
      <c r="H397">
        <v>158</v>
      </c>
      <c r="I397" t="s">
        <v>120</v>
      </c>
      <c r="J397" t="s">
        <v>122</v>
      </c>
      <c r="K397">
        <v>0</v>
      </c>
      <c r="L397">
        <v>3</v>
      </c>
      <c r="M397">
        <v>0</v>
      </c>
      <c r="N397">
        <v>2</v>
      </c>
      <c r="O397">
        <v>1</v>
      </c>
      <c r="P397">
        <v>0</v>
      </c>
      <c r="Q397">
        <v>0</v>
      </c>
      <c r="S397" t="str">
        <f>"18:37:37.398"</f>
        <v>18:37:37.398</v>
      </c>
      <c r="T397" t="str">
        <f>"18:37:37.298"</f>
        <v>18:37:37.298</v>
      </c>
      <c r="U397" t="str">
        <f t="shared" si="41"/>
        <v>AAB6EE</v>
      </c>
      <c r="V397">
        <v>0</v>
      </c>
      <c r="W397">
        <v>0</v>
      </c>
      <c r="X397">
        <v>4</v>
      </c>
      <c r="Z397">
        <v>0</v>
      </c>
      <c r="AA397">
        <v>8</v>
      </c>
      <c r="AB397">
        <v>3</v>
      </c>
      <c r="AC397">
        <v>0</v>
      </c>
      <c r="AD397">
        <v>10</v>
      </c>
      <c r="AE397">
        <v>0</v>
      </c>
      <c r="AF397">
        <v>0</v>
      </c>
      <c r="AG397">
        <v>1</v>
      </c>
      <c r="AH397">
        <v>1</v>
      </c>
      <c r="AI397" t="s">
        <v>385</v>
      </c>
      <c r="AJ397">
        <v>35.48039</v>
      </c>
      <c r="AK397" t="s">
        <v>386</v>
      </c>
      <c r="AL397">
        <v>-76.058413999999999</v>
      </c>
      <c r="AM397">
        <v>25</v>
      </c>
      <c r="AN397">
        <v>3425</v>
      </c>
      <c r="AO397" t="s">
        <v>118</v>
      </c>
      <c r="AP397">
        <v>-93</v>
      </c>
      <c r="AQ397">
        <v>-185</v>
      </c>
      <c r="AR397">
        <v>0</v>
      </c>
      <c r="AZ397">
        <v>1200</v>
      </c>
      <c r="BA397">
        <v>1</v>
      </c>
      <c r="BB397" t="str">
        <f t="shared" si="44"/>
        <v xml:space="preserve">N79NX   </v>
      </c>
      <c r="BC397">
        <v>1</v>
      </c>
      <c r="BE397">
        <v>0</v>
      </c>
      <c r="BF397">
        <v>0</v>
      </c>
      <c r="BG397">
        <v>0</v>
      </c>
      <c r="BH397">
        <v>3275</v>
      </c>
      <c r="BI397">
        <v>0</v>
      </c>
      <c r="BJ397">
        <v>0</v>
      </c>
      <c r="BK397">
        <v>0</v>
      </c>
      <c r="BL397">
        <v>0</v>
      </c>
      <c r="BO397">
        <v>0</v>
      </c>
      <c r="BP397">
        <v>0</v>
      </c>
      <c r="BW397" t="str">
        <f>"18:37:37.400"</f>
        <v>18:37:37.400</v>
      </c>
      <c r="BZ397">
        <v>0</v>
      </c>
      <c r="CA397">
        <v>3488</v>
      </c>
      <c r="CB397">
        <v>216</v>
      </c>
      <c r="CC397">
        <v>583.59379999999999</v>
      </c>
      <c r="CD397">
        <v>1</v>
      </c>
      <c r="CE397">
        <v>1</v>
      </c>
      <c r="CF397">
        <v>0</v>
      </c>
      <c r="CG397">
        <v>1</v>
      </c>
      <c r="CH397">
        <v>0</v>
      </c>
      <c r="CI397">
        <v>0</v>
      </c>
      <c r="CJ397">
        <v>0</v>
      </c>
      <c r="CK397">
        <v>2</v>
      </c>
      <c r="CL397">
        <v>0</v>
      </c>
      <c r="CM397">
        <v>2</v>
      </c>
      <c r="CN397">
        <v>0</v>
      </c>
      <c r="CO397">
        <v>6</v>
      </c>
      <c r="CP397" t="s">
        <v>119</v>
      </c>
      <c r="CQ397">
        <v>145</v>
      </c>
      <c r="CR397">
        <v>1</v>
      </c>
      <c r="CW397">
        <v>8911229</v>
      </c>
      <c r="CY397">
        <v>0</v>
      </c>
      <c r="CZ397">
        <v>0</v>
      </c>
      <c r="DA397">
        <v>1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</row>
    <row r="398" spans="1:113" x14ac:dyDescent="0.3">
      <c r="A398" t="str">
        <f>"02/13/2022 18:37:38.819"</f>
        <v>02/13/2022 18:37:38.819</v>
      </c>
      <c r="C398" t="str">
        <f t="shared" si="42"/>
        <v>FFDFD7C0</v>
      </c>
      <c r="D398" t="s">
        <v>121</v>
      </c>
      <c r="E398">
        <v>2</v>
      </c>
      <c r="H398">
        <v>158</v>
      </c>
      <c r="I398" t="s">
        <v>120</v>
      </c>
      <c r="J398" t="s">
        <v>122</v>
      </c>
      <c r="K398">
        <v>0</v>
      </c>
      <c r="L398">
        <v>3</v>
      </c>
      <c r="M398">
        <v>0</v>
      </c>
      <c r="N398">
        <v>2</v>
      </c>
      <c r="O398">
        <v>1</v>
      </c>
      <c r="P398">
        <v>0</v>
      </c>
      <c r="Q398">
        <v>0</v>
      </c>
      <c r="S398" t="str">
        <f>"18:37:38.477"</f>
        <v>18:37:38.477</v>
      </c>
      <c r="T398" t="str">
        <f>"18:37:38.177"</f>
        <v>18:37:38.177</v>
      </c>
      <c r="U398" t="str">
        <f t="shared" si="41"/>
        <v>AAB6EE</v>
      </c>
      <c r="V398">
        <v>0</v>
      </c>
      <c r="W398">
        <v>0</v>
      </c>
      <c r="X398">
        <v>4</v>
      </c>
      <c r="Z398">
        <v>0</v>
      </c>
      <c r="AA398">
        <v>8</v>
      </c>
      <c r="AB398">
        <v>3</v>
      </c>
      <c r="AC398">
        <v>0</v>
      </c>
      <c r="AD398">
        <v>10</v>
      </c>
      <c r="AE398">
        <v>0</v>
      </c>
      <c r="AF398">
        <v>0</v>
      </c>
      <c r="AG398">
        <v>1</v>
      </c>
      <c r="AH398">
        <v>1</v>
      </c>
      <c r="AI398" t="s">
        <v>387</v>
      </c>
      <c r="AJ398">
        <v>35.479424000000002</v>
      </c>
      <c r="AK398" t="s">
        <v>388</v>
      </c>
      <c r="AL398">
        <v>-76.058929000000006</v>
      </c>
      <c r="AM398">
        <v>25</v>
      </c>
      <c r="AN398">
        <v>3425</v>
      </c>
      <c r="AO398" t="s">
        <v>118</v>
      </c>
      <c r="AP398">
        <v>-93</v>
      </c>
      <c r="AQ398">
        <v>-186</v>
      </c>
      <c r="AR398">
        <v>0</v>
      </c>
      <c r="AZ398">
        <v>1200</v>
      </c>
      <c r="BA398">
        <v>1</v>
      </c>
      <c r="BB398" t="str">
        <f t="shared" si="44"/>
        <v xml:space="preserve">N79NX   </v>
      </c>
      <c r="BC398">
        <v>1</v>
      </c>
      <c r="BE398">
        <v>0</v>
      </c>
      <c r="BF398">
        <v>0</v>
      </c>
      <c r="BG398">
        <v>0</v>
      </c>
      <c r="BH398">
        <v>3300</v>
      </c>
      <c r="BI398">
        <v>0</v>
      </c>
      <c r="BJ398">
        <v>0</v>
      </c>
      <c r="BK398">
        <v>0</v>
      </c>
      <c r="BL398">
        <v>0</v>
      </c>
      <c r="BO398">
        <v>0</v>
      </c>
      <c r="BP398">
        <v>0</v>
      </c>
      <c r="BW398" t="str">
        <f>"18:37:38.480"</f>
        <v>18:37:38.480</v>
      </c>
      <c r="BZ398">
        <v>0</v>
      </c>
      <c r="CA398">
        <v>3488</v>
      </c>
      <c r="CB398">
        <v>216</v>
      </c>
      <c r="CC398">
        <v>583.59379999999999</v>
      </c>
      <c r="CD398">
        <v>1</v>
      </c>
      <c r="CE398">
        <v>1</v>
      </c>
      <c r="CF398">
        <v>0</v>
      </c>
      <c r="CG398">
        <v>1</v>
      </c>
      <c r="CH398">
        <v>0</v>
      </c>
      <c r="CI398">
        <v>0</v>
      </c>
      <c r="CJ398">
        <v>0</v>
      </c>
      <c r="CK398">
        <v>2</v>
      </c>
      <c r="CL398">
        <v>0</v>
      </c>
      <c r="CM398">
        <v>2</v>
      </c>
      <c r="CN398">
        <v>0</v>
      </c>
      <c r="CO398">
        <v>6</v>
      </c>
      <c r="CP398" t="s">
        <v>119</v>
      </c>
      <c r="CQ398">
        <v>145</v>
      </c>
      <c r="CR398">
        <v>1</v>
      </c>
      <c r="CW398">
        <v>8911768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</row>
    <row r="399" spans="1:113" x14ac:dyDescent="0.3">
      <c r="A399" t="str">
        <f>"02/13/2022 18:37:38.819"</f>
        <v>02/13/2022 18:37:38.819</v>
      </c>
      <c r="C399" t="str">
        <f t="shared" si="42"/>
        <v>FFDFD7C0</v>
      </c>
      <c r="D399" t="s">
        <v>113</v>
      </c>
      <c r="E399">
        <v>4</v>
      </c>
      <c r="F399">
        <v>1004</v>
      </c>
      <c r="G399" t="s">
        <v>120</v>
      </c>
      <c r="J399" t="s">
        <v>115</v>
      </c>
      <c r="K399">
        <v>0</v>
      </c>
      <c r="L399">
        <v>3</v>
      </c>
      <c r="M399">
        <v>0</v>
      </c>
      <c r="N399">
        <v>2</v>
      </c>
      <c r="O399">
        <v>1</v>
      </c>
      <c r="P399">
        <v>0</v>
      </c>
      <c r="Q399">
        <v>0</v>
      </c>
      <c r="S399" t="str">
        <f>"18:37:38.477"</f>
        <v>18:37:38.477</v>
      </c>
      <c r="T399" t="str">
        <f>"18:37:38.177"</f>
        <v>18:37:38.177</v>
      </c>
      <c r="U399" t="str">
        <f t="shared" si="41"/>
        <v>AAB6EE</v>
      </c>
      <c r="V399">
        <v>0</v>
      </c>
      <c r="W399">
        <v>0</v>
      </c>
      <c r="X399">
        <v>4</v>
      </c>
      <c r="Z399">
        <v>0</v>
      </c>
      <c r="AA399">
        <v>8</v>
      </c>
      <c r="AB399">
        <v>3</v>
      </c>
      <c r="AC399">
        <v>0</v>
      </c>
      <c r="AD399">
        <v>10</v>
      </c>
      <c r="AE399">
        <v>0</v>
      </c>
      <c r="AF399">
        <v>0</v>
      </c>
      <c r="AG399">
        <v>1</v>
      </c>
      <c r="AH399">
        <v>1</v>
      </c>
      <c r="AI399" t="s">
        <v>387</v>
      </c>
      <c r="AJ399">
        <v>35.479424000000002</v>
      </c>
      <c r="AK399" t="s">
        <v>388</v>
      </c>
      <c r="AL399">
        <v>-76.058929000000006</v>
      </c>
      <c r="AM399">
        <v>25</v>
      </c>
      <c r="AN399">
        <v>3425</v>
      </c>
      <c r="AO399" t="s">
        <v>118</v>
      </c>
      <c r="AP399">
        <v>-93</v>
      </c>
      <c r="AQ399">
        <v>-186</v>
      </c>
      <c r="AR399">
        <v>0</v>
      </c>
      <c r="AZ399">
        <v>1200</v>
      </c>
      <c r="BA399">
        <v>1</v>
      </c>
      <c r="BB399" t="str">
        <f t="shared" si="44"/>
        <v xml:space="preserve">N79NX   </v>
      </c>
      <c r="BC399">
        <v>1</v>
      </c>
      <c r="BE399">
        <v>0</v>
      </c>
      <c r="BF399">
        <v>0</v>
      </c>
      <c r="BG399">
        <v>0</v>
      </c>
      <c r="BH399">
        <v>3300</v>
      </c>
      <c r="BI399">
        <v>0</v>
      </c>
      <c r="BJ399">
        <v>0</v>
      </c>
      <c r="BK399">
        <v>0</v>
      </c>
      <c r="BL399">
        <v>0</v>
      </c>
      <c r="BO399">
        <v>0</v>
      </c>
      <c r="BP399">
        <v>0</v>
      </c>
      <c r="BW399" t="str">
        <f>"18:37:38.480"</f>
        <v>18:37:38.480</v>
      </c>
      <c r="BZ399">
        <v>0</v>
      </c>
      <c r="CA399">
        <v>3488</v>
      </c>
      <c r="CB399">
        <v>216</v>
      </c>
      <c r="CC399">
        <v>583.59379999999999</v>
      </c>
      <c r="CD399">
        <v>1</v>
      </c>
      <c r="CE399">
        <v>1</v>
      </c>
      <c r="CF399">
        <v>0</v>
      </c>
      <c r="CG399">
        <v>1</v>
      </c>
      <c r="CH399">
        <v>0</v>
      </c>
      <c r="CI399">
        <v>0</v>
      </c>
      <c r="CJ399">
        <v>0</v>
      </c>
      <c r="CK399">
        <v>2</v>
      </c>
      <c r="CL399">
        <v>0</v>
      </c>
      <c r="CM399">
        <v>2</v>
      </c>
      <c r="CN399">
        <v>0</v>
      </c>
      <c r="CO399">
        <v>6</v>
      </c>
      <c r="CP399" t="s">
        <v>119</v>
      </c>
      <c r="CQ399">
        <v>145</v>
      </c>
      <c r="CR399">
        <v>1</v>
      </c>
      <c r="CW399">
        <v>8911768</v>
      </c>
      <c r="CY399">
        <v>0</v>
      </c>
      <c r="CZ399">
        <v>0</v>
      </c>
      <c r="DA399">
        <v>1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</row>
    <row r="400" spans="1:113" x14ac:dyDescent="0.3">
      <c r="A400" t="str">
        <f>"02/13/2022 18:37:38.819"</f>
        <v>02/13/2022 18:37:38.819</v>
      </c>
      <c r="C400" t="str">
        <f t="shared" si="42"/>
        <v>FFDFD7C0</v>
      </c>
      <c r="D400" t="s">
        <v>113</v>
      </c>
      <c r="E400">
        <v>3</v>
      </c>
      <c r="F400">
        <v>1003</v>
      </c>
      <c r="G400" t="s">
        <v>114</v>
      </c>
      <c r="J400" t="s">
        <v>115</v>
      </c>
      <c r="K400">
        <v>0</v>
      </c>
      <c r="L400">
        <v>3</v>
      </c>
      <c r="M400">
        <v>0</v>
      </c>
      <c r="N400">
        <v>2</v>
      </c>
      <c r="O400">
        <v>1</v>
      </c>
      <c r="P400">
        <v>0</v>
      </c>
      <c r="Q400">
        <v>0</v>
      </c>
      <c r="S400" t="str">
        <f>"18:37:38.477"</f>
        <v>18:37:38.477</v>
      </c>
      <c r="T400" t="str">
        <f>"18:37:38.177"</f>
        <v>18:37:38.177</v>
      </c>
      <c r="U400" t="str">
        <f t="shared" si="41"/>
        <v>AAB6EE</v>
      </c>
      <c r="V400">
        <v>0</v>
      </c>
      <c r="W400">
        <v>0</v>
      </c>
      <c r="X400">
        <v>4</v>
      </c>
      <c r="Z400">
        <v>0</v>
      </c>
      <c r="AA400">
        <v>8</v>
      </c>
      <c r="AB400">
        <v>3</v>
      </c>
      <c r="AC400">
        <v>0</v>
      </c>
      <c r="AD400">
        <v>10</v>
      </c>
      <c r="AE400">
        <v>0</v>
      </c>
      <c r="AF400">
        <v>0</v>
      </c>
      <c r="AG400">
        <v>1</v>
      </c>
      <c r="AH400">
        <v>1</v>
      </c>
      <c r="AI400" t="s">
        <v>387</v>
      </c>
      <c r="AJ400">
        <v>35.479424000000002</v>
      </c>
      <c r="AK400" t="s">
        <v>388</v>
      </c>
      <c r="AL400">
        <v>-76.058929000000006</v>
      </c>
      <c r="AM400">
        <v>25</v>
      </c>
      <c r="AN400">
        <v>3425</v>
      </c>
      <c r="AO400" t="s">
        <v>118</v>
      </c>
      <c r="AP400">
        <v>-93</v>
      </c>
      <c r="AQ400">
        <v>-186</v>
      </c>
      <c r="AR400">
        <v>0</v>
      </c>
      <c r="AZ400">
        <v>1200</v>
      </c>
      <c r="BA400">
        <v>1</v>
      </c>
      <c r="BB400" t="str">
        <f t="shared" si="44"/>
        <v xml:space="preserve">N79NX   </v>
      </c>
      <c r="BC400">
        <v>1</v>
      </c>
      <c r="BE400">
        <v>0</v>
      </c>
      <c r="BF400">
        <v>0</v>
      </c>
      <c r="BG400">
        <v>0</v>
      </c>
      <c r="BH400">
        <v>3300</v>
      </c>
      <c r="BI400">
        <v>0</v>
      </c>
      <c r="BJ400">
        <v>0</v>
      </c>
      <c r="BK400">
        <v>0</v>
      </c>
      <c r="BL400">
        <v>0</v>
      </c>
      <c r="BO400">
        <v>0</v>
      </c>
      <c r="BP400">
        <v>0</v>
      </c>
      <c r="BW400" t="str">
        <f>"18:37:38.480"</f>
        <v>18:37:38.480</v>
      </c>
      <c r="BZ400">
        <v>0</v>
      </c>
      <c r="CA400">
        <v>3488</v>
      </c>
      <c r="CB400">
        <v>216</v>
      </c>
      <c r="CC400">
        <v>583.59379999999999</v>
      </c>
      <c r="CD400">
        <v>1</v>
      </c>
      <c r="CE400">
        <v>1</v>
      </c>
      <c r="CF400">
        <v>0</v>
      </c>
      <c r="CG400">
        <v>1</v>
      </c>
      <c r="CH400">
        <v>0</v>
      </c>
      <c r="CI400">
        <v>0</v>
      </c>
      <c r="CJ400">
        <v>0</v>
      </c>
      <c r="CK400">
        <v>2</v>
      </c>
      <c r="CL400">
        <v>0</v>
      </c>
      <c r="CM400">
        <v>2</v>
      </c>
      <c r="CN400">
        <v>0</v>
      </c>
      <c r="CO400">
        <v>6</v>
      </c>
      <c r="CP400" t="s">
        <v>119</v>
      </c>
      <c r="CQ400">
        <v>145</v>
      </c>
      <c r="CR400">
        <v>1</v>
      </c>
      <c r="CW400">
        <v>8911768</v>
      </c>
      <c r="CY400">
        <v>0</v>
      </c>
      <c r="CZ400">
        <v>0</v>
      </c>
      <c r="DA400">
        <v>1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</row>
    <row r="401" spans="1:113" x14ac:dyDescent="0.3">
      <c r="A401" t="str">
        <f>"02/13/2022 18:37:39.712"</f>
        <v>02/13/2022 18:37:39.712</v>
      </c>
      <c r="C401" t="str">
        <f t="shared" si="42"/>
        <v>FFDFD7C0</v>
      </c>
      <c r="D401" t="s">
        <v>121</v>
      </c>
      <c r="E401">
        <v>2</v>
      </c>
      <c r="H401">
        <v>158</v>
      </c>
      <c r="I401" t="s">
        <v>120</v>
      </c>
      <c r="J401" t="s">
        <v>122</v>
      </c>
      <c r="K401">
        <v>0</v>
      </c>
      <c r="L401">
        <v>3</v>
      </c>
      <c r="M401">
        <v>0</v>
      </c>
      <c r="N401">
        <v>2</v>
      </c>
      <c r="O401">
        <v>1</v>
      </c>
      <c r="P401">
        <v>0</v>
      </c>
      <c r="Q401">
        <v>0</v>
      </c>
      <c r="S401" t="str">
        <f>"18:37:39.414"</f>
        <v>18:37:39.414</v>
      </c>
      <c r="T401" t="str">
        <f>"18:37:39.214"</f>
        <v>18:37:39.214</v>
      </c>
      <c r="U401" t="str">
        <f t="shared" si="41"/>
        <v>AAB6EE</v>
      </c>
      <c r="V401">
        <v>0</v>
      </c>
      <c r="W401">
        <v>0</v>
      </c>
      <c r="X401">
        <v>4</v>
      </c>
      <c r="Z401">
        <v>0</v>
      </c>
      <c r="AA401">
        <v>8</v>
      </c>
      <c r="AB401">
        <v>3</v>
      </c>
      <c r="AC401">
        <v>0</v>
      </c>
      <c r="AD401">
        <v>10</v>
      </c>
      <c r="AE401">
        <v>0</v>
      </c>
      <c r="AF401">
        <v>0</v>
      </c>
      <c r="AG401">
        <v>1</v>
      </c>
      <c r="AH401">
        <v>1</v>
      </c>
      <c r="AI401" t="s">
        <v>389</v>
      </c>
      <c r="AJ401">
        <v>35.478586999999997</v>
      </c>
      <c r="AK401" t="s">
        <v>390</v>
      </c>
      <c r="AL401">
        <v>-76.059465000000003</v>
      </c>
      <c r="AM401">
        <v>25</v>
      </c>
      <c r="AN401">
        <v>3425</v>
      </c>
      <c r="AO401" t="s">
        <v>118</v>
      </c>
      <c r="AP401">
        <v>-93</v>
      </c>
      <c r="AQ401">
        <v>-186</v>
      </c>
      <c r="AR401">
        <v>0</v>
      </c>
      <c r="AZ401">
        <v>1200</v>
      </c>
      <c r="BA401">
        <v>1</v>
      </c>
      <c r="BB401" t="str">
        <f t="shared" si="44"/>
        <v xml:space="preserve">N79NX   </v>
      </c>
      <c r="BC401">
        <v>1</v>
      </c>
      <c r="BE401">
        <v>0</v>
      </c>
      <c r="BF401">
        <v>0</v>
      </c>
      <c r="BG401">
        <v>0</v>
      </c>
      <c r="BH401">
        <v>3300</v>
      </c>
      <c r="BI401">
        <v>0</v>
      </c>
      <c r="BJ401">
        <v>0</v>
      </c>
      <c r="BK401">
        <v>0</v>
      </c>
      <c r="BL401">
        <v>0</v>
      </c>
      <c r="BO401">
        <v>0</v>
      </c>
      <c r="BP401">
        <v>0</v>
      </c>
      <c r="BW401" t="str">
        <f>"18:37:39.420"</f>
        <v>18:37:39.420</v>
      </c>
      <c r="BZ401">
        <v>0</v>
      </c>
      <c r="CA401">
        <v>3488</v>
      </c>
      <c r="CB401">
        <v>216</v>
      </c>
      <c r="CC401">
        <v>583.59379999999999</v>
      </c>
      <c r="CD401">
        <v>1</v>
      </c>
      <c r="CE401">
        <v>1</v>
      </c>
      <c r="CF401">
        <v>0</v>
      </c>
      <c r="CG401">
        <v>1</v>
      </c>
      <c r="CH401">
        <v>0</v>
      </c>
      <c r="CI401">
        <v>0</v>
      </c>
      <c r="CJ401">
        <v>0</v>
      </c>
      <c r="CK401">
        <v>2</v>
      </c>
      <c r="CL401">
        <v>0</v>
      </c>
      <c r="CM401">
        <v>2</v>
      </c>
      <c r="CN401">
        <v>0</v>
      </c>
      <c r="CO401">
        <v>6</v>
      </c>
      <c r="CP401" t="s">
        <v>119</v>
      </c>
      <c r="CQ401">
        <v>145</v>
      </c>
      <c r="CR401">
        <v>1</v>
      </c>
      <c r="CW401">
        <v>8912258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</row>
    <row r="402" spans="1:113" x14ac:dyDescent="0.3">
      <c r="A402" t="str">
        <f>"02/13/2022 18:37:39.712"</f>
        <v>02/13/2022 18:37:39.712</v>
      </c>
      <c r="C402" t="str">
        <f t="shared" si="42"/>
        <v>FFDFD7C0</v>
      </c>
      <c r="D402" t="s">
        <v>113</v>
      </c>
      <c r="E402">
        <v>4</v>
      </c>
      <c r="F402">
        <v>1004</v>
      </c>
      <c r="G402" t="s">
        <v>120</v>
      </c>
      <c r="J402" t="s">
        <v>115</v>
      </c>
      <c r="K402">
        <v>0</v>
      </c>
      <c r="L402">
        <v>3</v>
      </c>
      <c r="M402">
        <v>0</v>
      </c>
      <c r="N402">
        <v>2</v>
      </c>
      <c r="O402">
        <v>1</v>
      </c>
      <c r="P402">
        <v>0</v>
      </c>
      <c r="Q402">
        <v>0</v>
      </c>
      <c r="S402" t="str">
        <f>"18:37:39.414"</f>
        <v>18:37:39.414</v>
      </c>
      <c r="T402" t="str">
        <f>"18:37:39.214"</f>
        <v>18:37:39.214</v>
      </c>
      <c r="U402" t="str">
        <f t="shared" si="41"/>
        <v>AAB6EE</v>
      </c>
      <c r="V402">
        <v>0</v>
      </c>
      <c r="W402">
        <v>0</v>
      </c>
      <c r="X402">
        <v>4</v>
      </c>
      <c r="Z402">
        <v>0</v>
      </c>
      <c r="AA402">
        <v>8</v>
      </c>
      <c r="AB402">
        <v>3</v>
      </c>
      <c r="AC402">
        <v>0</v>
      </c>
      <c r="AD402">
        <v>10</v>
      </c>
      <c r="AE402">
        <v>0</v>
      </c>
      <c r="AF402">
        <v>0</v>
      </c>
      <c r="AG402">
        <v>1</v>
      </c>
      <c r="AH402">
        <v>1</v>
      </c>
      <c r="AI402" t="s">
        <v>389</v>
      </c>
      <c r="AJ402">
        <v>35.478586999999997</v>
      </c>
      <c r="AK402" t="s">
        <v>390</v>
      </c>
      <c r="AL402">
        <v>-76.059465000000003</v>
      </c>
      <c r="AM402">
        <v>25</v>
      </c>
      <c r="AN402">
        <v>3425</v>
      </c>
      <c r="AO402" t="s">
        <v>118</v>
      </c>
      <c r="AP402">
        <v>-93</v>
      </c>
      <c r="AQ402">
        <v>-186</v>
      </c>
      <c r="AR402">
        <v>0</v>
      </c>
      <c r="AZ402">
        <v>1200</v>
      </c>
      <c r="BA402">
        <v>1</v>
      </c>
      <c r="BB402" t="str">
        <f t="shared" si="44"/>
        <v xml:space="preserve">N79NX   </v>
      </c>
      <c r="BC402">
        <v>1</v>
      </c>
      <c r="BE402">
        <v>0</v>
      </c>
      <c r="BF402">
        <v>0</v>
      </c>
      <c r="BG402">
        <v>0</v>
      </c>
      <c r="BH402">
        <v>3300</v>
      </c>
      <c r="BI402">
        <v>0</v>
      </c>
      <c r="BJ402">
        <v>0</v>
      </c>
      <c r="BK402">
        <v>0</v>
      </c>
      <c r="BL402">
        <v>0</v>
      </c>
      <c r="BO402">
        <v>0</v>
      </c>
      <c r="BP402">
        <v>0</v>
      </c>
      <c r="BW402" t="str">
        <f>"18:37:39.420"</f>
        <v>18:37:39.420</v>
      </c>
      <c r="BZ402">
        <v>0</v>
      </c>
      <c r="CA402">
        <v>3488</v>
      </c>
      <c r="CB402">
        <v>216</v>
      </c>
      <c r="CC402">
        <v>583.59379999999999</v>
      </c>
      <c r="CD402">
        <v>1</v>
      </c>
      <c r="CE402">
        <v>1</v>
      </c>
      <c r="CF402">
        <v>0</v>
      </c>
      <c r="CG402">
        <v>1</v>
      </c>
      <c r="CH402">
        <v>0</v>
      </c>
      <c r="CI402">
        <v>0</v>
      </c>
      <c r="CJ402">
        <v>0</v>
      </c>
      <c r="CK402">
        <v>2</v>
      </c>
      <c r="CL402">
        <v>0</v>
      </c>
      <c r="CM402">
        <v>2</v>
      </c>
      <c r="CN402">
        <v>0</v>
      </c>
      <c r="CO402">
        <v>6</v>
      </c>
      <c r="CP402" t="s">
        <v>119</v>
      </c>
      <c r="CQ402">
        <v>145</v>
      </c>
      <c r="CR402">
        <v>1</v>
      </c>
      <c r="CW402">
        <v>8912258</v>
      </c>
      <c r="CY402">
        <v>0</v>
      </c>
      <c r="CZ402">
        <v>0</v>
      </c>
      <c r="DA402">
        <v>1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</row>
    <row r="403" spans="1:113" x14ac:dyDescent="0.3">
      <c r="A403" t="str">
        <f>"02/13/2022 18:37:39.712"</f>
        <v>02/13/2022 18:37:39.712</v>
      </c>
      <c r="C403" t="str">
        <f t="shared" si="42"/>
        <v>FFDFD7C0</v>
      </c>
      <c r="D403" t="s">
        <v>113</v>
      </c>
      <c r="E403">
        <v>3</v>
      </c>
      <c r="F403">
        <v>1003</v>
      </c>
      <c r="G403" t="s">
        <v>114</v>
      </c>
      <c r="J403" t="s">
        <v>115</v>
      </c>
      <c r="K403">
        <v>0</v>
      </c>
      <c r="L403">
        <v>3</v>
      </c>
      <c r="M403">
        <v>0</v>
      </c>
      <c r="N403">
        <v>2</v>
      </c>
      <c r="O403">
        <v>1</v>
      </c>
      <c r="P403">
        <v>0</v>
      </c>
      <c r="Q403">
        <v>0</v>
      </c>
      <c r="S403" t="str">
        <f>"18:37:39.414"</f>
        <v>18:37:39.414</v>
      </c>
      <c r="T403" t="str">
        <f>"18:37:39.214"</f>
        <v>18:37:39.214</v>
      </c>
      <c r="U403" t="str">
        <f t="shared" si="41"/>
        <v>AAB6EE</v>
      </c>
      <c r="V403">
        <v>0</v>
      </c>
      <c r="W403">
        <v>0</v>
      </c>
      <c r="X403">
        <v>4</v>
      </c>
      <c r="Z403">
        <v>0</v>
      </c>
      <c r="AA403">
        <v>8</v>
      </c>
      <c r="AB403">
        <v>3</v>
      </c>
      <c r="AC403">
        <v>0</v>
      </c>
      <c r="AD403">
        <v>10</v>
      </c>
      <c r="AE403">
        <v>0</v>
      </c>
      <c r="AF403">
        <v>0</v>
      </c>
      <c r="AG403">
        <v>1</v>
      </c>
      <c r="AH403">
        <v>1</v>
      </c>
      <c r="AI403" t="s">
        <v>389</v>
      </c>
      <c r="AJ403">
        <v>35.478586999999997</v>
      </c>
      <c r="AK403" t="s">
        <v>390</v>
      </c>
      <c r="AL403">
        <v>-76.059465000000003</v>
      </c>
      <c r="AM403">
        <v>25</v>
      </c>
      <c r="AN403">
        <v>3425</v>
      </c>
      <c r="AO403" t="s">
        <v>118</v>
      </c>
      <c r="AP403">
        <v>-93</v>
      </c>
      <c r="AQ403">
        <v>-186</v>
      </c>
      <c r="AR403">
        <v>0</v>
      </c>
      <c r="AZ403">
        <v>1200</v>
      </c>
      <c r="BA403">
        <v>1</v>
      </c>
      <c r="BB403" t="str">
        <f t="shared" si="44"/>
        <v xml:space="preserve">N79NX   </v>
      </c>
      <c r="BC403">
        <v>1</v>
      </c>
      <c r="BE403">
        <v>0</v>
      </c>
      <c r="BF403">
        <v>0</v>
      </c>
      <c r="BG403">
        <v>0</v>
      </c>
      <c r="BH403">
        <v>3300</v>
      </c>
      <c r="BI403">
        <v>0</v>
      </c>
      <c r="BJ403">
        <v>0</v>
      </c>
      <c r="BK403">
        <v>0</v>
      </c>
      <c r="BL403">
        <v>0</v>
      </c>
      <c r="BO403">
        <v>0</v>
      </c>
      <c r="BP403">
        <v>0</v>
      </c>
      <c r="BW403" t="str">
        <f>"18:37:39.420"</f>
        <v>18:37:39.420</v>
      </c>
      <c r="BZ403">
        <v>0</v>
      </c>
      <c r="CA403">
        <v>3488</v>
      </c>
      <c r="CB403">
        <v>216</v>
      </c>
      <c r="CC403">
        <v>583.59379999999999</v>
      </c>
      <c r="CD403">
        <v>1</v>
      </c>
      <c r="CE403">
        <v>1</v>
      </c>
      <c r="CF403">
        <v>0</v>
      </c>
      <c r="CG403">
        <v>1</v>
      </c>
      <c r="CH403">
        <v>0</v>
      </c>
      <c r="CI403">
        <v>0</v>
      </c>
      <c r="CJ403">
        <v>0</v>
      </c>
      <c r="CK403">
        <v>2</v>
      </c>
      <c r="CL403">
        <v>0</v>
      </c>
      <c r="CM403">
        <v>2</v>
      </c>
      <c r="CN403">
        <v>0</v>
      </c>
      <c r="CO403">
        <v>6</v>
      </c>
      <c r="CP403" t="s">
        <v>119</v>
      </c>
      <c r="CQ403">
        <v>145</v>
      </c>
      <c r="CR403">
        <v>1</v>
      </c>
      <c r="CW403">
        <v>8912258</v>
      </c>
      <c r="CY403">
        <v>0</v>
      </c>
      <c r="CZ403">
        <v>0</v>
      </c>
      <c r="DA403">
        <v>1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</row>
    <row r="404" spans="1:113" x14ac:dyDescent="0.3">
      <c r="A404" t="str">
        <f>"02/13/2022 18:37:40.620"</f>
        <v>02/13/2022 18:37:40.620</v>
      </c>
      <c r="C404" t="str">
        <f t="shared" si="42"/>
        <v>FFDFD7C0</v>
      </c>
      <c r="D404" t="s">
        <v>121</v>
      </c>
      <c r="E404">
        <v>2</v>
      </c>
      <c r="H404">
        <v>158</v>
      </c>
      <c r="I404" t="s">
        <v>120</v>
      </c>
      <c r="J404" t="s">
        <v>122</v>
      </c>
      <c r="K404">
        <v>0</v>
      </c>
      <c r="L404">
        <v>3</v>
      </c>
      <c r="M404">
        <v>0</v>
      </c>
      <c r="N404">
        <v>2</v>
      </c>
      <c r="O404">
        <v>1</v>
      </c>
      <c r="P404">
        <v>0</v>
      </c>
      <c r="Q404">
        <v>0</v>
      </c>
      <c r="S404" t="str">
        <f>"18:37:40.328"</f>
        <v>18:37:40.328</v>
      </c>
      <c r="T404" t="str">
        <f>"18:37:40.128"</f>
        <v>18:37:40.128</v>
      </c>
      <c r="U404" t="str">
        <f t="shared" si="41"/>
        <v>AAB6EE</v>
      </c>
      <c r="V404">
        <v>0</v>
      </c>
      <c r="W404">
        <v>0</v>
      </c>
      <c r="X404">
        <v>4</v>
      </c>
      <c r="Z404">
        <v>0</v>
      </c>
      <c r="AA404">
        <v>8</v>
      </c>
      <c r="AB404">
        <v>3</v>
      </c>
      <c r="AC404">
        <v>0</v>
      </c>
      <c r="AD404">
        <v>10</v>
      </c>
      <c r="AE404">
        <v>0</v>
      </c>
      <c r="AF404">
        <v>0</v>
      </c>
      <c r="AG404">
        <v>1</v>
      </c>
      <c r="AH404">
        <v>1</v>
      </c>
      <c r="AI404" t="s">
        <v>391</v>
      </c>
      <c r="AJ404">
        <v>35.477792999999998</v>
      </c>
      <c r="AK404" t="s">
        <v>392</v>
      </c>
      <c r="AL404">
        <v>-76.059959000000006</v>
      </c>
      <c r="AM404">
        <v>25</v>
      </c>
      <c r="AN404">
        <v>3425</v>
      </c>
      <c r="AO404" t="s">
        <v>118</v>
      </c>
      <c r="AP404">
        <v>-93</v>
      </c>
      <c r="AQ404">
        <v>-186</v>
      </c>
      <c r="AR404">
        <v>0</v>
      </c>
      <c r="AZ404">
        <v>1200</v>
      </c>
      <c r="BA404">
        <v>1</v>
      </c>
      <c r="BB404" t="str">
        <f t="shared" si="44"/>
        <v xml:space="preserve">N79NX   </v>
      </c>
      <c r="BC404">
        <v>1</v>
      </c>
      <c r="BE404">
        <v>0</v>
      </c>
      <c r="BF404">
        <v>0</v>
      </c>
      <c r="BG404">
        <v>0</v>
      </c>
      <c r="BH404">
        <v>3300</v>
      </c>
      <c r="BI404">
        <v>0</v>
      </c>
      <c r="BJ404">
        <v>0</v>
      </c>
      <c r="BK404">
        <v>0</v>
      </c>
      <c r="BL404">
        <v>0</v>
      </c>
      <c r="BO404">
        <v>0</v>
      </c>
      <c r="BP404">
        <v>0</v>
      </c>
      <c r="BW404" t="str">
        <f>"18:37:40.330"</f>
        <v>18:37:40.330</v>
      </c>
      <c r="BZ404">
        <v>0</v>
      </c>
      <c r="CA404">
        <v>3488</v>
      </c>
      <c r="CB404">
        <v>216</v>
      </c>
      <c r="CC404">
        <v>583.59379999999999</v>
      </c>
      <c r="CD404">
        <v>1</v>
      </c>
      <c r="CE404">
        <v>1</v>
      </c>
      <c r="CF404">
        <v>0</v>
      </c>
      <c r="CG404">
        <v>1</v>
      </c>
      <c r="CH404">
        <v>0</v>
      </c>
      <c r="CI404">
        <v>0</v>
      </c>
      <c r="CJ404">
        <v>0</v>
      </c>
      <c r="CK404">
        <v>2</v>
      </c>
      <c r="CL404">
        <v>0</v>
      </c>
      <c r="CM404">
        <v>2</v>
      </c>
      <c r="CN404">
        <v>0</v>
      </c>
      <c r="CO404">
        <v>6</v>
      </c>
      <c r="CP404" t="s">
        <v>119</v>
      </c>
      <c r="CQ404">
        <v>145</v>
      </c>
      <c r="CR404">
        <v>1</v>
      </c>
      <c r="CW404">
        <v>8912665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</row>
    <row r="405" spans="1:113" x14ac:dyDescent="0.3">
      <c r="A405" t="str">
        <f>"02/13/2022 18:37:40.620"</f>
        <v>02/13/2022 18:37:40.620</v>
      </c>
      <c r="C405" t="str">
        <f t="shared" si="42"/>
        <v>FFDFD7C0</v>
      </c>
      <c r="D405" t="s">
        <v>113</v>
      </c>
      <c r="E405">
        <v>4</v>
      </c>
      <c r="F405">
        <v>1004</v>
      </c>
      <c r="G405" t="s">
        <v>120</v>
      </c>
      <c r="J405" t="s">
        <v>115</v>
      </c>
      <c r="K405">
        <v>0</v>
      </c>
      <c r="L405">
        <v>3</v>
      </c>
      <c r="M405">
        <v>0</v>
      </c>
      <c r="N405">
        <v>2</v>
      </c>
      <c r="O405">
        <v>1</v>
      </c>
      <c r="P405">
        <v>0</v>
      </c>
      <c r="Q405">
        <v>0</v>
      </c>
      <c r="S405" t="str">
        <f>"18:37:40.328"</f>
        <v>18:37:40.328</v>
      </c>
      <c r="T405" t="str">
        <f>"18:37:40.128"</f>
        <v>18:37:40.128</v>
      </c>
      <c r="U405" t="str">
        <f t="shared" si="41"/>
        <v>AAB6EE</v>
      </c>
      <c r="V405">
        <v>0</v>
      </c>
      <c r="W405">
        <v>0</v>
      </c>
      <c r="X405">
        <v>4</v>
      </c>
      <c r="Z405">
        <v>0</v>
      </c>
      <c r="AA405">
        <v>8</v>
      </c>
      <c r="AB405">
        <v>3</v>
      </c>
      <c r="AC405">
        <v>0</v>
      </c>
      <c r="AD405">
        <v>10</v>
      </c>
      <c r="AE405">
        <v>0</v>
      </c>
      <c r="AF405">
        <v>0</v>
      </c>
      <c r="AG405">
        <v>1</v>
      </c>
      <c r="AH405">
        <v>1</v>
      </c>
      <c r="AI405" t="s">
        <v>391</v>
      </c>
      <c r="AJ405">
        <v>35.477792999999998</v>
      </c>
      <c r="AK405" t="s">
        <v>392</v>
      </c>
      <c r="AL405">
        <v>-76.059959000000006</v>
      </c>
      <c r="AM405">
        <v>25</v>
      </c>
      <c r="AN405">
        <v>3425</v>
      </c>
      <c r="AO405" t="s">
        <v>118</v>
      </c>
      <c r="AP405">
        <v>-93</v>
      </c>
      <c r="AQ405">
        <v>-186</v>
      </c>
      <c r="AR405">
        <v>0</v>
      </c>
      <c r="AZ405">
        <v>1200</v>
      </c>
      <c r="BA405">
        <v>1</v>
      </c>
      <c r="BB405" t="str">
        <f t="shared" si="44"/>
        <v xml:space="preserve">N79NX   </v>
      </c>
      <c r="BC405">
        <v>1</v>
      </c>
      <c r="BE405">
        <v>0</v>
      </c>
      <c r="BF405">
        <v>0</v>
      </c>
      <c r="BG405">
        <v>0</v>
      </c>
      <c r="BH405">
        <v>3300</v>
      </c>
      <c r="BI405">
        <v>0</v>
      </c>
      <c r="BJ405">
        <v>0</v>
      </c>
      <c r="BK405">
        <v>0</v>
      </c>
      <c r="BL405">
        <v>0</v>
      </c>
      <c r="BO405">
        <v>0</v>
      </c>
      <c r="BP405">
        <v>0</v>
      </c>
      <c r="BW405" t="str">
        <f>"18:37:40.330"</f>
        <v>18:37:40.330</v>
      </c>
      <c r="BZ405">
        <v>0</v>
      </c>
      <c r="CA405">
        <v>3488</v>
      </c>
      <c r="CB405">
        <v>216</v>
      </c>
      <c r="CC405">
        <v>583.59379999999999</v>
      </c>
      <c r="CD405">
        <v>1</v>
      </c>
      <c r="CE405">
        <v>1</v>
      </c>
      <c r="CF405">
        <v>0</v>
      </c>
      <c r="CG405">
        <v>1</v>
      </c>
      <c r="CH405">
        <v>0</v>
      </c>
      <c r="CI405">
        <v>0</v>
      </c>
      <c r="CJ405">
        <v>0</v>
      </c>
      <c r="CK405">
        <v>2</v>
      </c>
      <c r="CL405">
        <v>0</v>
      </c>
      <c r="CM405">
        <v>2</v>
      </c>
      <c r="CN405">
        <v>0</v>
      </c>
      <c r="CO405">
        <v>6</v>
      </c>
      <c r="CP405" t="s">
        <v>119</v>
      </c>
      <c r="CQ405">
        <v>145</v>
      </c>
      <c r="CR405">
        <v>1</v>
      </c>
      <c r="CW405">
        <v>8912665</v>
      </c>
      <c r="CY405">
        <v>0</v>
      </c>
      <c r="CZ405">
        <v>0</v>
      </c>
      <c r="DA405">
        <v>1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</row>
    <row r="406" spans="1:113" x14ac:dyDescent="0.3">
      <c r="A406" t="str">
        <f>"02/13/2022 18:37:40.620"</f>
        <v>02/13/2022 18:37:40.620</v>
      </c>
      <c r="C406" t="str">
        <f t="shared" si="42"/>
        <v>FFDFD7C0</v>
      </c>
      <c r="D406" t="s">
        <v>113</v>
      </c>
      <c r="E406">
        <v>3</v>
      </c>
      <c r="F406">
        <v>1003</v>
      </c>
      <c r="G406" t="s">
        <v>114</v>
      </c>
      <c r="J406" t="s">
        <v>115</v>
      </c>
      <c r="K406">
        <v>0</v>
      </c>
      <c r="L406">
        <v>3</v>
      </c>
      <c r="M406">
        <v>0</v>
      </c>
      <c r="N406">
        <v>2</v>
      </c>
      <c r="O406">
        <v>1</v>
      </c>
      <c r="P406">
        <v>0</v>
      </c>
      <c r="Q406">
        <v>0</v>
      </c>
      <c r="S406" t="str">
        <f>"18:37:40.328"</f>
        <v>18:37:40.328</v>
      </c>
      <c r="T406" t="str">
        <f>"18:37:40.128"</f>
        <v>18:37:40.128</v>
      </c>
      <c r="U406" t="str">
        <f t="shared" si="41"/>
        <v>AAB6EE</v>
      </c>
      <c r="V406">
        <v>0</v>
      </c>
      <c r="W406">
        <v>0</v>
      </c>
      <c r="X406">
        <v>4</v>
      </c>
      <c r="Z406">
        <v>0</v>
      </c>
      <c r="AA406">
        <v>8</v>
      </c>
      <c r="AB406">
        <v>3</v>
      </c>
      <c r="AC406">
        <v>0</v>
      </c>
      <c r="AD406">
        <v>10</v>
      </c>
      <c r="AE406">
        <v>0</v>
      </c>
      <c r="AF406">
        <v>0</v>
      </c>
      <c r="AG406">
        <v>1</v>
      </c>
      <c r="AH406">
        <v>1</v>
      </c>
      <c r="AI406" t="s">
        <v>391</v>
      </c>
      <c r="AJ406">
        <v>35.477792999999998</v>
      </c>
      <c r="AK406" t="s">
        <v>392</v>
      </c>
      <c r="AL406">
        <v>-76.059959000000006</v>
      </c>
      <c r="AM406">
        <v>25</v>
      </c>
      <c r="AN406">
        <v>3425</v>
      </c>
      <c r="AO406" t="s">
        <v>118</v>
      </c>
      <c r="AP406">
        <v>-93</v>
      </c>
      <c r="AQ406">
        <v>-186</v>
      </c>
      <c r="AR406">
        <v>0</v>
      </c>
      <c r="AZ406">
        <v>1200</v>
      </c>
      <c r="BA406">
        <v>1</v>
      </c>
      <c r="BB406" t="str">
        <f t="shared" si="44"/>
        <v xml:space="preserve">N79NX   </v>
      </c>
      <c r="BC406">
        <v>1</v>
      </c>
      <c r="BE406">
        <v>0</v>
      </c>
      <c r="BF406">
        <v>0</v>
      </c>
      <c r="BG406">
        <v>0</v>
      </c>
      <c r="BH406">
        <v>3300</v>
      </c>
      <c r="BI406">
        <v>0</v>
      </c>
      <c r="BJ406">
        <v>0</v>
      </c>
      <c r="BK406">
        <v>0</v>
      </c>
      <c r="BL406">
        <v>0</v>
      </c>
      <c r="BO406">
        <v>0</v>
      </c>
      <c r="BP406">
        <v>0</v>
      </c>
      <c r="BW406" t="str">
        <f>"18:37:40.330"</f>
        <v>18:37:40.330</v>
      </c>
      <c r="BZ406">
        <v>0</v>
      </c>
      <c r="CA406">
        <v>3488</v>
      </c>
      <c r="CB406">
        <v>216</v>
      </c>
      <c r="CC406">
        <v>583.59379999999999</v>
      </c>
      <c r="CD406">
        <v>1</v>
      </c>
      <c r="CE406">
        <v>1</v>
      </c>
      <c r="CF406">
        <v>0</v>
      </c>
      <c r="CG406">
        <v>1</v>
      </c>
      <c r="CH406">
        <v>0</v>
      </c>
      <c r="CI406">
        <v>0</v>
      </c>
      <c r="CJ406">
        <v>0</v>
      </c>
      <c r="CK406">
        <v>2</v>
      </c>
      <c r="CL406">
        <v>0</v>
      </c>
      <c r="CM406">
        <v>2</v>
      </c>
      <c r="CN406">
        <v>0</v>
      </c>
      <c r="CO406">
        <v>6</v>
      </c>
      <c r="CP406" t="s">
        <v>119</v>
      </c>
      <c r="CQ406">
        <v>145</v>
      </c>
      <c r="CR406">
        <v>1</v>
      </c>
      <c r="CW406">
        <v>8912665</v>
      </c>
      <c r="CY406">
        <v>0</v>
      </c>
      <c r="CZ406">
        <v>0</v>
      </c>
      <c r="DA406">
        <v>1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</row>
    <row r="407" spans="1:113" x14ac:dyDescent="0.3">
      <c r="A407" t="str">
        <f>"02/13/2022 18:37:41.620"</f>
        <v>02/13/2022 18:37:41.620</v>
      </c>
      <c r="C407" t="str">
        <f t="shared" si="42"/>
        <v>FFDFD7C0</v>
      </c>
      <c r="D407" t="s">
        <v>121</v>
      </c>
      <c r="E407">
        <v>2</v>
      </c>
      <c r="H407">
        <v>158</v>
      </c>
      <c r="I407" t="s">
        <v>120</v>
      </c>
      <c r="J407" t="s">
        <v>122</v>
      </c>
      <c r="K407">
        <v>0</v>
      </c>
      <c r="L407">
        <v>3</v>
      </c>
      <c r="M407">
        <v>0</v>
      </c>
      <c r="N407">
        <v>2</v>
      </c>
      <c r="O407">
        <v>1</v>
      </c>
      <c r="P407">
        <v>0</v>
      </c>
      <c r="Q407">
        <v>0</v>
      </c>
      <c r="S407" t="str">
        <f>"18:37:41.375"</f>
        <v>18:37:41.375</v>
      </c>
      <c r="T407" t="str">
        <f>"18:37:41.075"</f>
        <v>18:37:41.075</v>
      </c>
      <c r="U407" t="str">
        <f t="shared" si="41"/>
        <v>AAB6EE</v>
      </c>
      <c r="V407">
        <v>0</v>
      </c>
      <c r="W407">
        <v>0</v>
      </c>
      <c r="X407">
        <v>4</v>
      </c>
      <c r="Z407">
        <v>0</v>
      </c>
      <c r="AA407">
        <v>8</v>
      </c>
      <c r="AB407">
        <v>3</v>
      </c>
      <c r="AC407">
        <v>0</v>
      </c>
      <c r="AD407">
        <v>10</v>
      </c>
      <c r="AE407">
        <v>0</v>
      </c>
      <c r="AF407">
        <v>0</v>
      </c>
      <c r="AG407">
        <v>1</v>
      </c>
      <c r="AH407">
        <v>1</v>
      </c>
      <c r="AI407" t="s">
        <v>393</v>
      </c>
      <c r="AJ407">
        <v>35.476913000000003</v>
      </c>
      <c r="AK407" t="s">
        <v>394</v>
      </c>
      <c r="AL407">
        <v>-76.060473999999999</v>
      </c>
      <c r="AM407">
        <v>25</v>
      </c>
      <c r="AN407">
        <v>3425</v>
      </c>
      <c r="AO407" t="s">
        <v>118</v>
      </c>
      <c r="AP407">
        <v>-93</v>
      </c>
      <c r="AQ407">
        <v>-187</v>
      </c>
      <c r="AR407">
        <v>0</v>
      </c>
      <c r="AZ407">
        <v>1200</v>
      </c>
      <c r="BA407">
        <v>1</v>
      </c>
      <c r="BB407" t="str">
        <f t="shared" si="44"/>
        <v xml:space="preserve">N79NX   </v>
      </c>
      <c r="BC407">
        <v>1</v>
      </c>
      <c r="BE407">
        <v>0</v>
      </c>
      <c r="BF407">
        <v>0</v>
      </c>
      <c r="BG407">
        <v>0</v>
      </c>
      <c r="BH407">
        <v>3300</v>
      </c>
      <c r="BI407">
        <v>0</v>
      </c>
      <c r="BJ407">
        <v>0</v>
      </c>
      <c r="BK407">
        <v>0</v>
      </c>
      <c r="BL407">
        <v>0</v>
      </c>
      <c r="BO407">
        <v>0</v>
      </c>
      <c r="BP407">
        <v>0</v>
      </c>
      <c r="BW407" t="str">
        <f>"18:37:41.380"</f>
        <v>18:37:41.380</v>
      </c>
      <c r="BZ407">
        <v>0</v>
      </c>
      <c r="CA407">
        <v>3488</v>
      </c>
      <c r="CB407">
        <v>216</v>
      </c>
      <c r="CC407">
        <v>583.59379999999999</v>
      </c>
      <c r="CD407">
        <v>1</v>
      </c>
      <c r="CE407">
        <v>1</v>
      </c>
      <c r="CF407">
        <v>0</v>
      </c>
      <c r="CG407">
        <v>1</v>
      </c>
      <c r="CH407">
        <v>0</v>
      </c>
      <c r="CI407">
        <v>0</v>
      </c>
      <c r="CJ407">
        <v>0</v>
      </c>
      <c r="CK407">
        <v>2</v>
      </c>
      <c r="CL407">
        <v>0</v>
      </c>
      <c r="CM407">
        <v>2</v>
      </c>
      <c r="CN407">
        <v>0</v>
      </c>
      <c r="CO407">
        <v>6</v>
      </c>
      <c r="CP407" t="s">
        <v>119</v>
      </c>
      <c r="CQ407">
        <v>145</v>
      </c>
      <c r="CR407">
        <v>1</v>
      </c>
      <c r="CW407">
        <v>8913132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</row>
    <row r="408" spans="1:113" x14ac:dyDescent="0.3">
      <c r="A408" t="str">
        <f>"02/13/2022 18:37:41.635"</f>
        <v>02/13/2022 18:37:41.635</v>
      </c>
      <c r="C408" t="str">
        <f t="shared" si="42"/>
        <v>FFDFD7C0</v>
      </c>
      <c r="D408" t="s">
        <v>113</v>
      </c>
      <c r="E408">
        <v>4</v>
      </c>
      <c r="F408">
        <v>1004</v>
      </c>
      <c r="G408" t="s">
        <v>120</v>
      </c>
      <c r="J408" t="s">
        <v>115</v>
      </c>
      <c r="K408">
        <v>0</v>
      </c>
      <c r="L408">
        <v>3</v>
      </c>
      <c r="M408">
        <v>0</v>
      </c>
      <c r="N408">
        <v>2</v>
      </c>
      <c r="O408">
        <v>1</v>
      </c>
      <c r="P408">
        <v>0</v>
      </c>
      <c r="Q408">
        <v>0</v>
      </c>
      <c r="S408" t="str">
        <f>"18:37:41.375"</f>
        <v>18:37:41.375</v>
      </c>
      <c r="T408" t="str">
        <f>"18:37:41.075"</f>
        <v>18:37:41.075</v>
      </c>
      <c r="U408" t="str">
        <f t="shared" si="41"/>
        <v>AAB6EE</v>
      </c>
      <c r="V408">
        <v>0</v>
      </c>
      <c r="W408">
        <v>0</v>
      </c>
      <c r="X408">
        <v>4</v>
      </c>
      <c r="Z408">
        <v>0</v>
      </c>
      <c r="AA408">
        <v>8</v>
      </c>
      <c r="AB408">
        <v>3</v>
      </c>
      <c r="AC408">
        <v>0</v>
      </c>
      <c r="AD408">
        <v>10</v>
      </c>
      <c r="AE408">
        <v>0</v>
      </c>
      <c r="AF408">
        <v>0</v>
      </c>
      <c r="AG408">
        <v>1</v>
      </c>
      <c r="AH408">
        <v>1</v>
      </c>
      <c r="AI408" t="s">
        <v>393</v>
      </c>
      <c r="AJ408">
        <v>35.476913000000003</v>
      </c>
      <c r="AK408" t="s">
        <v>394</v>
      </c>
      <c r="AL408">
        <v>-76.060473999999999</v>
      </c>
      <c r="AM408">
        <v>25</v>
      </c>
      <c r="AN408">
        <v>3425</v>
      </c>
      <c r="AO408" t="s">
        <v>118</v>
      </c>
      <c r="AP408">
        <v>-93</v>
      </c>
      <c r="AQ408">
        <v>-187</v>
      </c>
      <c r="AR408">
        <v>0</v>
      </c>
      <c r="AZ408">
        <v>1200</v>
      </c>
      <c r="BA408">
        <v>1</v>
      </c>
      <c r="BB408" t="str">
        <f t="shared" si="44"/>
        <v xml:space="preserve">N79NX   </v>
      </c>
      <c r="BC408">
        <v>1</v>
      </c>
      <c r="BE408">
        <v>0</v>
      </c>
      <c r="BF408">
        <v>0</v>
      </c>
      <c r="BG408">
        <v>0</v>
      </c>
      <c r="BH408">
        <v>3300</v>
      </c>
      <c r="BI408">
        <v>0</v>
      </c>
      <c r="BJ408">
        <v>0</v>
      </c>
      <c r="BK408">
        <v>0</v>
      </c>
      <c r="BL408">
        <v>0</v>
      </c>
      <c r="BO408">
        <v>0</v>
      </c>
      <c r="BP408">
        <v>0</v>
      </c>
      <c r="BW408" t="str">
        <f>"18:37:41.380"</f>
        <v>18:37:41.380</v>
      </c>
      <c r="BZ408">
        <v>0</v>
      </c>
      <c r="CA408">
        <v>3488</v>
      </c>
      <c r="CB408">
        <v>216</v>
      </c>
      <c r="CC408">
        <v>583.59379999999999</v>
      </c>
      <c r="CD408">
        <v>1</v>
      </c>
      <c r="CE408">
        <v>1</v>
      </c>
      <c r="CF408">
        <v>0</v>
      </c>
      <c r="CG408">
        <v>1</v>
      </c>
      <c r="CH408">
        <v>0</v>
      </c>
      <c r="CI408">
        <v>0</v>
      </c>
      <c r="CJ408">
        <v>0</v>
      </c>
      <c r="CK408">
        <v>2</v>
      </c>
      <c r="CL408">
        <v>0</v>
      </c>
      <c r="CM408">
        <v>2</v>
      </c>
      <c r="CN408">
        <v>0</v>
      </c>
      <c r="CO408">
        <v>6</v>
      </c>
      <c r="CP408" t="s">
        <v>119</v>
      </c>
      <c r="CQ408">
        <v>145</v>
      </c>
      <c r="CR408">
        <v>1</v>
      </c>
      <c r="CW408">
        <v>8913132</v>
      </c>
      <c r="CY408">
        <v>0</v>
      </c>
      <c r="CZ408">
        <v>0</v>
      </c>
      <c r="DA408">
        <v>1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</row>
    <row r="409" spans="1:113" x14ac:dyDescent="0.3">
      <c r="A409" t="str">
        <f>"02/13/2022 18:37:41.635"</f>
        <v>02/13/2022 18:37:41.635</v>
      </c>
      <c r="C409" t="str">
        <f t="shared" si="42"/>
        <v>FFDFD7C0</v>
      </c>
      <c r="D409" t="s">
        <v>113</v>
      </c>
      <c r="E409">
        <v>3</v>
      </c>
      <c r="F409">
        <v>1003</v>
      </c>
      <c r="G409" t="s">
        <v>114</v>
      </c>
      <c r="J409" t="s">
        <v>115</v>
      </c>
      <c r="K409">
        <v>0</v>
      </c>
      <c r="L409">
        <v>3</v>
      </c>
      <c r="M409">
        <v>0</v>
      </c>
      <c r="N409">
        <v>2</v>
      </c>
      <c r="O409">
        <v>1</v>
      </c>
      <c r="P409">
        <v>0</v>
      </c>
      <c r="Q409">
        <v>0</v>
      </c>
      <c r="S409" t="str">
        <f>"18:37:41.375"</f>
        <v>18:37:41.375</v>
      </c>
      <c r="T409" t="str">
        <f>"18:37:41.075"</f>
        <v>18:37:41.075</v>
      </c>
      <c r="U409" t="str">
        <f t="shared" si="41"/>
        <v>AAB6EE</v>
      </c>
      <c r="V409">
        <v>0</v>
      </c>
      <c r="W409">
        <v>0</v>
      </c>
      <c r="X409">
        <v>4</v>
      </c>
      <c r="Z409">
        <v>0</v>
      </c>
      <c r="AA409">
        <v>8</v>
      </c>
      <c r="AB409">
        <v>3</v>
      </c>
      <c r="AC409">
        <v>0</v>
      </c>
      <c r="AD409">
        <v>10</v>
      </c>
      <c r="AE409">
        <v>0</v>
      </c>
      <c r="AF409">
        <v>0</v>
      </c>
      <c r="AG409">
        <v>1</v>
      </c>
      <c r="AH409">
        <v>1</v>
      </c>
      <c r="AI409" t="s">
        <v>393</v>
      </c>
      <c r="AJ409">
        <v>35.476913000000003</v>
      </c>
      <c r="AK409" t="s">
        <v>394</v>
      </c>
      <c r="AL409">
        <v>-76.060473999999999</v>
      </c>
      <c r="AM409">
        <v>25</v>
      </c>
      <c r="AN409">
        <v>3425</v>
      </c>
      <c r="AO409" t="s">
        <v>118</v>
      </c>
      <c r="AP409">
        <v>-93</v>
      </c>
      <c r="AQ409">
        <v>-187</v>
      </c>
      <c r="AR409">
        <v>0</v>
      </c>
      <c r="AZ409">
        <v>1200</v>
      </c>
      <c r="BA409">
        <v>1</v>
      </c>
      <c r="BB409" t="str">
        <f t="shared" si="44"/>
        <v xml:space="preserve">N79NX   </v>
      </c>
      <c r="BC409">
        <v>1</v>
      </c>
      <c r="BE409">
        <v>0</v>
      </c>
      <c r="BF409">
        <v>0</v>
      </c>
      <c r="BG409">
        <v>0</v>
      </c>
      <c r="BH409">
        <v>3300</v>
      </c>
      <c r="BI409">
        <v>0</v>
      </c>
      <c r="BJ409">
        <v>0</v>
      </c>
      <c r="BK409">
        <v>0</v>
      </c>
      <c r="BL409">
        <v>0</v>
      </c>
      <c r="BO409">
        <v>0</v>
      </c>
      <c r="BP409">
        <v>0</v>
      </c>
      <c r="BW409" t="str">
        <f>"18:37:41.380"</f>
        <v>18:37:41.380</v>
      </c>
      <c r="BZ409">
        <v>0</v>
      </c>
      <c r="CA409">
        <v>3488</v>
      </c>
      <c r="CB409">
        <v>216</v>
      </c>
      <c r="CC409">
        <v>583.59379999999999</v>
      </c>
      <c r="CD409">
        <v>1</v>
      </c>
      <c r="CE409">
        <v>1</v>
      </c>
      <c r="CF409">
        <v>0</v>
      </c>
      <c r="CG409">
        <v>1</v>
      </c>
      <c r="CH409">
        <v>0</v>
      </c>
      <c r="CI409">
        <v>0</v>
      </c>
      <c r="CJ409">
        <v>0</v>
      </c>
      <c r="CK409">
        <v>2</v>
      </c>
      <c r="CL409">
        <v>0</v>
      </c>
      <c r="CM409">
        <v>2</v>
      </c>
      <c r="CN409">
        <v>0</v>
      </c>
      <c r="CO409">
        <v>6</v>
      </c>
      <c r="CP409" t="s">
        <v>119</v>
      </c>
      <c r="CQ409">
        <v>145</v>
      </c>
      <c r="CR409">
        <v>1</v>
      </c>
      <c r="CW409">
        <v>8913132</v>
      </c>
      <c r="CY409">
        <v>0</v>
      </c>
      <c r="CZ409">
        <v>0</v>
      </c>
      <c r="DA409">
        <v>1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</row>
    <row r="410" spans="1:113" x14ac:dyDescent="0.3">
      <c r="A410" t="str">
        <f>"02/13/2022 18:37:42.510"</f>
        <v>02/13/2022 18:37:42.510</v>
      </c>
      <c r="C410" t="str">
        <f t="shared" si="42"/>
        <v>FFDFD7C0</v>
      </c>
      <c r="D410" t="s">
        <v>113</v>
      </c>
      <c r="E410">
        <v>3</v>
      </c>
      <c r="F410">
        <v>1003</v>
      </c>
      <c r="G410" t="s">
        <v>114</v>
      </c>
      <c r="J410" t="s">
        <v>115</v>
      </c>
      <c r="K410">
        <v>0</v>
      </c>
      <c r="L410">
        <v>3</v>
      </c>
      <c r="M410">
        <v>0</v>
      </c>
      <c r="N410">
        <v>2</v>
      </c>
      <c r="O410">
        <v>1</v>
      </c>
      <c r="P410">
        <v>0</v>
      </c>
      <c r="Q410">
        <v>0</v>
      </c>
      <c r="S410" t="str">
        <f>"18:37:42.320"</f>
        <v>18:37:42.320</v>
      </c>
      <c r="T410" t="str">
        <f>"18:37:41.920"</f>
        <v>18:37:41.920</v>
      </c>
      <c r="U410" t="str">
        <f t="shared" si="41"/>
        <v>AAB6EE</v>
      </c>
      <c r="V410">
        <v>0</v>
      </c>
      <c r="W410">
        <v>0</v>
      </c>
      <c r="X410">
        <v>4</v>
      </c>
      <c r="Z410">
        <v>0</v>
      </c>
      <c r="AA410">
        <v>8</v>
      </c>
      <c r="AB410">
        <v>3</v>
      </c>
      <c r="AC410">
        <v>0</v>
      </c>
      <c r="AD410">
        <v>10</v>
      </c>
      <c r="AE410">
        <v>0</v>
      </c>
      <c r="AF410">
        <v>0</v>
      </c>
      <c r="AG410">
        <v>1</v>
      </c>
      <c r="AH410">
        <v>1</v>
      </c>
      <c r="AI410" t="s">
        <v>395</v>
      </c>
      <c r="AJ410">
        <v>35.476033999999999</v>
      </c>
      <c r="AK410" t="s">
        <v>396</v>
      </c>
      <c r="AL410">
        <v>-76.060989000000006</v>
      </c>
      <c r="AM410">
        <v>25</v>
      </c>
      <c r="AN410">
        <v>3425</v>
      </c>
      <c r="AO410" t="s">
        <v>118</v>
      </c>
      <c r="AP410">
        <v>-93</v>
      </c>
      <c r="AQ410">
        <v>-187</v>
      </c>
      <c r="AR410">
        <v>-64</v>
      </c>
      <c r="AZ410">
        <v>1200</v>
      </c>
      <c r="BA410">
        <v>1</v>
      </c>
      <c r="BB410" t="str">
        <f t="shared" si="44"/>
        <v xml:space="preserve">N79NX   </v>
      </c>
      <c r="BC410">
        <v>1</v>
      </c>
      <c r="BE410">
        <v>0</v>
      </c>
      <c r="BF410">
        <v>0</v>
      </c>
      <c r="BG410">
        <v>0</v>
      </c>
      <c r="BH410">
        <v>3275</v>
      </c>
      <c r="BI410">
        <v>0</v>
      </c>
      <c r="BJ410">
        <v>0</v>
      </c>
      <c r="BK410">
        <v>0</v>
      </c>
      <c r="BL410">
        <v>0</v>
      </c>
      <c r="BO410">
        <v>0</v>
      </c>
      <c r="BP410">
        <v>0</v>
      </c>
      <c r="BW410" t="str">
        <f>"18:37:42.320"</f>
        <v>18:37:42.320</v>
      </c>
      <c r="BZ410">
        <v>0</v>
      </c>
      <c r="CA410">
        <v>3488</v>
      </c>
      <c r="CB410">
        <v>216</v>
      </c>
      <c r="CC410">
        <v>583.59379999999999</v>
      </c>
      <c r="CD410">
        <v>1</v>
      </c>
      <c r="CE410">
        <v>1</v>
      </c>
      <c r="CF410">
        <v>0</v>
      </c>
      <c r="CG410">
        <v>1</v>
      </c>
      <c r="CH410">
        <v>0</v>
      </c>
      <c r="CI410">
        <v>0</v>
      </c>
      <c r="CJ410">
        <v>0</v>
      </c>
      <c r="CK410">
        <v>2</v>
      </c>
      <c r="CL410">
        <v>0</v>
      </c>
      <c r="CM410">
        <v>2</v>
      </c>
      <c r="CN410">
        <v>0</v>
      </c>
      <c r="CO410">
        <v>6</v>
      </c>
      <c r="CP410" t="s">
        <v>119</v>
      </c>
      <c r="CQ410">
        <v>145</v>
      </c>
      <c r="CR410">
        <v>1</v>
      </c>
      <c r="CW410">
        <v>8913603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</row>
    <row r="411" spans="1:113" x14ac:dyDescent="0.3">
      <c r="A411" t="str">
        <f>"02/13/2022 18:37:42.510"</f>
        <v>02/13/2022 18:37:42.510</v>
      </c>
      <c r="C411" t="str">
        <f t="shared" si="42"/>
        <v>FFDFD7C0</v>
      </c>
      <c r="D411" t="s">
        <v>121</v>
      </c>
      <c r="E411">
        <v>2</v>
      </c>
      <c r="H411">
        <v>158</v>
      </c>
      <c r="I411" t="s">
        <v>120</v>
      </c>
      <c r="J411" t="s">
        <v>122</v>
      </c>
      <c r="K411">
        <v>0</v>
      </c>
      <c r="L411">
        <v>3</v>
      </c>
      <c r="M411">
        <v>0</v>
      </c>
      <c r="N411">
        <v>2</v>
      </c>
      <c r="O411">
        <v>1</v>
      </c>
      <c r="P411">
        <v>0</v>
      </c>
      <c r="Q411">
        <v>0</v>
      </c>
      <c r="S411" t="str">
        <f>"18:37:42.320"</f>
        <v>18:37:42.320</v>
      </c>
      <c r="T411" t="str">
        <f>"18:37:41.920"</f>
        <v>18:37:41.920</v>
      </c>
      <c r="U411" t="str">
        <f t="shared" si="41"/>
        <v>AAB6EE</v>
      </c>
      <c r="V411">
        <v>0</v>
      </c>
      <c r="W411">
        <v>0</v>
      </c>
      <c r="X411">
        <v>4</v>
      </c>
      <c r="Z411">
        <v>0</v>
      </c>
      <c r="AA411">
        <v>8</v>
      </c>
      <c r="AB411">
        <v>3</v>
      </c>
      <c r="AC411">
        <v>0</v>
      </c>
      <c r="AD411">
        <v>10</v>
      </c>
      <c r="AE411">
        <v>0</v>
      </c>
      <c r="AF411">
        <v>0</v>
      </c>
      <c r="AG411">
        <v>1</v>
      </c>
      <c r="AH411">
        <v>1</v>
      </c>
      <c r="AI411" t="s">
        <v>395</v>
      </c>
      <c r="AJ411">
        <v>35.476033999999999</v>
      </c>
      <c r="AK411" t="s">
        <v>396</v>
      </c>
      <c r="AL411">
        <v>-76.060989000000006</v>
      </c>
      <c r="AM411">
        <v>25</v>
      </c>
      <c r="AN411">
        <v>3425</v>
      </c>
      <c r="AO411" t="s">
        <v>118</v>
      </c>
      <c r="AP411">
        <v>-93</v>
      </c>
      <c r="AQ411">
        <v>-187</v>
      </c>
      <c r="AR411">
        <v>-64</v>
      </c>
      <c r="AZ411">
        <v>1200</v>
      </c>
      <c r="BA411">
        <v>1</v>
      </c>
      <c r="BB411" t="str">
        <f t="shared" si="44"/>
        <v xml:space="preserve">N79NX   </v>
      </c>
      <c r="BC411">
        <v>1</v>
      </c>
      <c r="BE411">
        <v>0</v>
      </c>
      <c r="BF411">
        <v>0</v>
      </c>
      <c r="BG411">
        <v>0</v>
      </c>
      <c r="BH411">
        <v>3275</v>
      </c>
      <c r="BI411">
        <v>0</v>
      </c>
      <c r="BJ411">
        <v>0</v>
      </c>
      <c r="BK411">
        <v>0</v>
      </c>
      <c r="BL411">
        <v>0</v>
      </c>
      <c r="BO411">
        <v>0</v>
      </c>
      <c r="BP411">
        <v>0</v>
      </c>
      <c r="BW411" t="str">
        <f>"18:37:42.320"</f>
        <v>18:37:42.320</v>
      </c>
      <c r="BZ411">
        <v>0</v>
      </c>
      <c r="CA411">
        <v>3488</v>
      </c>
      <c r="CB411">
        <v>216</v>
      </c>
      <c r="CC411">
        <v>583.59379999999999</v>
      </c>
      <c r="CD411">
        <v>1</v>
      </c>
      <c r="CE411">
        <v>1</v>
      </c>
      <c r="CF411">
        <v>0</v>
      </c>
      <c r="CG411">
        <v>1</v>
      </c>
      <c r="CH411">
        <v>0</v>
      </c>
      <c r="CI411">
        <v>0</v>
      </c>
      <c r="CJ411">
        <v>0</v>
      </c>
      <c r="CK411">
        <v>2</v>
      </c>
      <c r="CL411">
        <v>0</v>
      </c>
      <c r="CM411">
        <v>2</v>
      </c>
      <c r="CN411">
        <v>0</v>
      </c>
      <c r="CO411">
        <v>6</v>
      </c>
      <c r="CP411" t="s">
        <v>119</v>
      </c>
      <c r="CQ411">
        <v>145</v>
      </c>
      <c r="CR411">
        <v>1</v>
      </c>
      <c r="CW411">
        <v>8913603</v>
      </c>
      <c r="CY411">
        <v>0</v>
      </c>
      <c r="CZ411">
        <v>0</v>
      </c>
      <c r="DA411">
        <v>1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</row>
    <row r="412" spans="1:113" x14ac:dyDescent="0.3">
      <c r="A412" t="str">
        <f>"02/13/2022 18:37:42.510"</f>
        <v>02/13/2022 18:37:42.510</v>
      </c>
      <c r="C412" t="str">
        <f t="shared" si="42"/>
        <v>FFDFD7C0</v>
      </c>
      <c r="D412" t="s">
        <v>113</v>
      </c>
      <c r="E412">
        <v>4</v>
      </c>
      <c r="F412">
        <v>1004</v>
      </c>
      <c r="G412" t="s">
        <v>120</v>
      </c>
      <c r="J412" t="s">
        <v>115</v>
      </c>
      <c r="K412">
        <v>0</v>
      </c>
      <c r="L412">
        <v>3</v>
      </c>
      <c r="M412">
        <v>0</v>
      </c>
      <c r="N412">
        <v>2</v>
      </c>
      <c r="O412">
        <v>1</v>
      </c>
      <c r="P412">
        <v>0</v>
      </c>
      <c r="Q412">
        <v>0</v>
      </c>
      <c r="S412" t="str">
        <f>"18:37:42.320"</f>
        <v>18:37:42.320</v>
      </c>
      <c r="T412" t="str">
        <f>"18:37:41.920"</f>
        <v>18:37:41.920</v>
      </c>
      <c r="U412" t="str">
        <f t="shared" si="41"/>
        <v>AAB6EE</v>
      </c>
      <c r="V412">
        <v>0</v>
      </c>
      <c r="W412">
        <v>0</v>
      </c>
      <c r="X412">
        <v>4</v>
      </c>
      <c r="Z412">
        <v>0</v>
      </c>
      <c r="AA412">
        <v>8</v>
      </c>
      <c r="AB412">
        <v>3</v>
      </c>
      <c r="AC412">
        <v>0</v>
      </c>
      <c r="AD412">
        <v>10</v>
      </c>
      <c r="AE412">
        <v>0</v>
      </c>
      <c r="AF412">
        <v>0</v>
      </c>
      <c r="AG412">
        <v>1</v>
      </c>
      <c r="AH412">
        <v>1</v>
      </c>
      <c r="AI412" t="s">
        <v>395</v>
      </c>
      <c r="AJ412">
        <v>35.476033999999999</v>
      </c>
      <c r="AK412" t="s">
        <v>396</v>
      </c>
      <c r="AL412">
        <v>-76.060989000000006</v>
      </c>
      <c r="AM412">
        <v>25</v>
      </c>
      <c r="AN412">
        <v>3425</v>
      </c>
      <c r="AO412" t="s">
        <v>118</v>
      </c>
      <c r="AP412">
        <v>-93</v>
      </c>
      <c r="AQ412">
        <v>-187</v>
      </c>
      <c r="AR412">
        <v>-64</v>
      </c>
      <c r="AZ412">
        <v>1200</v>
      </c>
      <c r="BA412">
        <v>1</v>
      </c>
      <c r="BB412" t="str">
        <f t="shared" si="44"/>
        <v xml:space="preserve">N79NX   </v>
      </c>
      <c r="BC412">
        <v>1</v>
      </c>
      <c r="BE412">
        <v>0</v>
      </c>
      <c r="BF412">
        <v>0</v>
      </c>
      <c r="BG412">
        <v>0</v>
      </c>
      <c r="BH412">
        <v>3275</v>
      </c>
      <c r="BI412">
        <v>0</v>
      </c>
      <c r="BJ412">
        <v>0</v>
      </c>
      <c r="BK412">
        <v>0</v>
      </c>
      <c r="BL412">
        <v>0</v>
      </c>
      <c r="BO412">
        <v>0</v>
      </c>
      <c r="BP412">
        <v>0</v>
      </c>
      <c r="BW412" t="str">
        <f>"18:37:42.320"</f>
        <v>18:37:42.320</v>
      </c>
      <c r="BZ412">
        <v>0</v>
      </c>
      <c r="CA412">
        <v>3488</v>
      </c>
      <c r="CB412">
        <v>216</v>
      </c>
      <c r="CC412">
        <v>583.59379999999999</v>
      </c>
      <c r="CD412">
        <v>1</v>
      </c>
      <c r="CE412">
        <v>1</v>
      </c>
      <c r="CF412">
        <v>0</v>
      </c>
      <c r="CG412">
        <v>1</v>
      </c>
      <c r="CH412">
        <v>0</v>
      </c>
      <c r="CI412">
        <v>0</v>
      </c>
      <c r="CJ412">
        <v>0</v>
      </c>
      <c r="CK412">
        <v>2</v>
      </c>
      <c r="CL412">
        <v>0</v>
      </c>
      <c r="CM412">
        <v>2</v>
      </c>
      <c r="CN412">
        <v>0</v>
      </c>
      <c r="CO412">
        <v>6</v>
      </c>
      <c r="CP412" t="s">
        <v>119</v>
      </c>
      <c r="CQ412">
        <v>145</v>
      </c>
      <c r="CR412">
        <v>1</v>
      </c>
      <c r="CW412">
        <v>8913603</v>
      </c>
      <c r="CY412">
        <v>0</v>
      </c>
      <c r="CZ412">
        <v>0</v>
      </c>
      <c r="DA412">
        <v>1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</row>
    <row r="413" spans="1:113" x14ac:dyDescent="0.3">
      <c r="A413" t="str">
        <f>"02/13/2022 18:37:43.526"</f>
        <v>02/13/2022 18:37:43.526</v>
      </c>
      <c r="C413" t="str">
        <f t="shared" si="42"/>
        <v>FFDFD7C0</v>
      </c>
      <c r="D413" t="s">
        <v>113</v>
      </c>
      <c r="E413">
        <v>4</v>
      </c>
      <c r="F413">
        <v>1004</v>
      </c>
      <c r="G413" t="s">
        <v>120</v>
      </c>
      <c r="J413" t="s">
        <v>115</v>
      </c>
      <c r="K413">
        <v>0</v>
      </c>
      <c r="L413">
        <v>3</v>
      </c>
      <c r="M413">
        <v>0</v>
      </c>
      <c r="N413">
        <v>2</v>
      </c>
      <c r="O413">
        <v>1</v>
      </c>
      <c r="P413">
        <v>0</v>
      </c>
      <c r="Q413">
        <v>0</v>
      </c>
      <c r="S413" t="str">
        <f>"18:37:43.258"</f>
        <v>18:37:43.258</v>
      </c>
      <c r="T413" t="str">
        <f>"18:37:42.958"</f>
        <v>18:37:42.958</v>
      </c>
      <c r="U413" t="str">
        <f t="shared" si="41"/>
        <v>AAB6EE</v>
      </c>
      <c r="V413">
        <v>0</v>
      </c>
      <c r="W413">
        <v>0</v>
      </c>
      <c r="X413">
        <v>4</v>
      </c>
      <c r="Z413">
        <v>0</v>
      </c>
      <c r="AA413">
        <v>8</v>
      </c>
      <c r="AB413">
        <v>3</v>
      </c>
      <c r="AC413">
        <v>0</v>
      </c>
      <c r="AD413">
        <v>10</v>
      </c>
      <c r="AE413">
        <v>0</v>
      </c>
      <c r="AF413">
        <v>0</v>
      </c>
      <c r="AG413">
        <v>1</v>
      </c>
      <c r="AH413">
        <v>1</v>
      </c>
      <c r="AI413" t="s">
        <v>397</v>
      </c>
      <c r="AJ413">
        <v>35.475282999999997</v>
      </c>
      <c r="AK413" t="s">
        <v>398</v>
      </c>
      <c r="AL413">
        <v>-76.061503999999999</v>
      </c>
      <c r="AM413">
        <v>25</v>
      </c>
      <c r="AN413">
        <v>3425</v>
      </c>
      <c r="AO413" t="s">
        <v>118</v>
      </c>
      <c r="AP413">
        <v>-93</v>
      </c>
      <c r="AQ413">
        <v>-188</v>
      </c>
      <c r="AR413">
        <v>0</v>
      </c>
      <c r="AZ413">
        <v>1200</v>
      </c>
      <c r="BA413">
        <v>1</v>
      </c>
      <c r="BB413" t="str">
        <f t="shared" si="44"/>
        <v xml:space="preserve">N79NX   </v>
      </c>
      <c r="BC413">
        <v>1</v>
      </c>
      <c r="BE413">
        <v>0</v>
      </c>
      <c r="BF413">
        <v>0</v>
      </c>
      <c r="BG413">
        <v>0</v>
      </c>
      <c r="BH413">
        <v>3300</v>
      </c>
      <c r="BI413">
        <v>0</v>
      </c>
      <c r="BJ413">
        <v>0</v>
      </c>
      <c r="BK413">
        <v>0</v>
      </c>
      <c r="BL413">
        <v>0</v>
      </c>
      <c r="BO413">
        <v>0</v>
      </c>
      <c r="BP413">
        <v>0</v>
      </c>
      <c r="BW413" t="str">
        <f>"18:37:43.260"</f>
        <v>18:37:43.260</v>
      </c>
      <c r="BZ413">
        <v>0</v>
      </c>
      <c r="CA413">
        <v>3488</v>
      </c>
      <c r="CB413">
        <v>216</v>
      </c>
      <c r="CC413">
        <v>583.59379999999999</v>
      </c>
      <c r="CD413">
        <v>1</v>
      </c>
      <c r="CE413">
        <v>1</v>
      </c>
      <c r="CF413">
        <v>0</v>
      </c>
      <c r="CG413">
        <v>1</v>
      </c>
      <c r="CH413">
        <v>0</v>
      </c>
      <c r="CI413">
        <v>0</v>
      </c>
      <c r="CJ413">
        <v>0</v>
      </c>
      <c r="CK413">
        <v>2</v>
      </c>
      <c r="CL413">
        <v>0</v>
      </c>
      <c r="CM413">
        <v>2</v>
      </c>
      <c r="CN413">
        <v>0</v>
      </c>
      <c r="CO413">
        <v>6</v>
      </c>
      <c r="CP413" t="s">
        <v>119</v>
      </c>
      <c r="CQ413">
        <v>145</v>
      </c>
      <c r="CR413">
        <v>1</v>
      </c>
      <c r="CW413">
        <v>8914064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</row>
    <row r="414" spans="1:113" x14ac:dyDescent="0.3">
      <c r="A414" t="str">
        <f>"02/13/2022 18:37:43.573"</f>
        <v>02/13/2022 18:37:43.573</v>
      </c>
      <c r="C414" t="str">
        <f t="shared" si="42"/>
        <v>FFDFD7C0</v>
      </c>
      <c r="D414" t="s">
        <v>113</v>
      </c>
      <c r="E414">
        <v>3</v>
      </c>
      <c r="F414">
        <v>1003</v>
      </c>
      <c r="G414" t="s">
        <v>114</v>
      </c>
      <c r="J414" t="s">
        <v>115</v>
      </c>
      <c r="K414">
        <v>0</v>
      </c>
      <c r="L414">
        <v>3</v>
      </c>
      <c r="M414">
        <v>0</v>
      </c>
      <c r="N414">
        <v>2</v>
      </c>
      <c r="O414">
        <v>1</v>
      </c>
      <c r="P414">
        <v>0</v>
      </c>
      <c r="Q414">
        <v>0</v>
      </c>
      <c r="S414" t="str">
        <f>"18:37:43.258"</f>
        <v>18:37:43.258</v>
      </c>
      <c r="T414" t="str">
        <f>"18:37:42.958"</f>
        <v>18:37:42.958</v>
      </c>
      <c r="U414" t="str">
        <f t="shared" si="41"/>
        <v>AAB6EE</v>
      </c>
      <c r="V414">
        <v>0</v>
      </c>
      <c r="W414">
        <v>0</v>
      </c>
      <c r="X414">
        <v>4</v>
      </c>
      <c r="Z414">
        <v>0</v>
      </c>
      <c r="AA414">
        <v>8</v>
      </c>
      <c r="AB414">
        <v>3</v>
      </c>
      <c r="AC414">
        <v>0</v>
      </c>
      <c r="AD414">
        <v>10</v>
      </c>
      <c r="AE414">
        <v>0</v>
      </c>
      <c r="AF414">
        <v>0</v>
      </c>
      <c r="AG414">
        <v>1</v>
      </c>
      <c r="AH414">
        <v>1</v>
      </c>
      <c r="AI414" t="s">
        <v>397</v>
      </c>
      <c r="AJ414">
        <v>35.475282999999997</v>
      </c>
      <c r="AK414" t="s">
        <v>398</v>
      </c>
      <c r="AL414">
        <v>-76.061503999999999</v>
      </c>
      <c r="AM414">
        <v>25</v>
      </c>
      <c r="AN414">
        <v>3425</v>
      </c>
      <c r="AO414" t="s">
        <v>118</v>
      </c>
      <c r="AP414">
        <v>-93</v>
      </c>
      <c r="AQ414">
        <v>-188</v>
      </c>
      <c r="AR414">
        <v>0</v>
      </c>
      <c r="AZ414">
        <v>1200</v>
      </c>
      <c r="BA414">
        <v>1</v>
      </c>
      <c r="BB414" t="str">
        <f t="shared" si="44"/>
        <v xml:space="preserve">N79NX   </v>
      </c>
      <c r="BC414">
        <v>1</v>
      </c>
      <c r="BE414">
        <v>0</v>
      </c>
      <c r="BF414">
        <v>0</v>
      </c>
      <c r="BG414">
        <v>0</v>
      </c>
      <c r="BH414">
        <v>3300</v>
      </c>
      <c r="BI414">
        <v>0</v>
      </c>
      <c r="BJ414">
        <v>0</v>
      </c>
      <c r="BK414">
        <v>0</v>
      </c>
      <c r="BL414">
        <v>0</v>
      </c>
      <c r="BO414">
        <v>0</v>
      </c>
      <c r="BP414">
        <v>0</v>
      </c>
      <c r="BW414" t="str">
        <f>"18:37:43.260"</f>
        <v>18:37:43.260</v>
      </c>
      <c r="BZ414">
        <v>0</v>
      </c>
      <c r="CA414">
        <v>3488</v>
      </c>
      <c r="CB414">
        <v>216</v>
      </c>
      <c r="CC414">
        <v>583.59379999999999</v>
      </c>
      <c r="CD414">
        <v>1</v>
      </c>
      <c r="CE414">
        <v>1</v>
      </c>
      <c r="CF414">
        <v>0</v>
      </c>
      <c r="CG414">
        <v>1</v>
      </c>
      <c r="CH414">
        <v>0</v>
      </c>
      <c r="CI414">
        <v>0</v>
      </c>
      <c r="CJ414">
        <v>0</v>
      </c>
      <c r="CK414">
        <v>2</v>
      </c>
      <c r="CL414">
        <v>0</v>
      </c>
      <c r="CM414">
        <v>2</v>
      </c>
      <c r="CN414">
        <v>0</v>
      </c>
      <c r="CO414">
        <v>6</v>
      </c>
      <c r="CP414" t="s">
        <v>119</v>
      </c>
      <c r="CQ414">
        <v>145</v>
      </c>
      <c r="CR414">
        <v>1</v>
      </c>
      <c r="CW414">
        <v>8914064</v>
      </c>
      <c r="CY414">
        <v>0</v>
      </c>
      <c r="CZ414">
        <v>0</v>
      </c>
      <c r="DA414">
        <v>1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</row>
    <row r="415" spans="1:113" x14ac:dyDescent="0.3">
      <c r="A415" t="str">
        <f>"02/13/2022 18:37:43.573"</f>
        <v>02/13/2022 18:37:43.573</v>
      </c>
      <c r="C415" t="str">
        <f t="shared" si="42"/>
        <v>FFDFD7C0</v>
      </c>
      <c r="D415" t="s">
        <v>121</v>
      </c>
      <c r="E415">
        <v>2</v>
      </c>
      <c r="H415">
        <v>158</v>
      </c>
      <c r="I415" t="s">
        <v>120</v>
      </c>
      <c r="J415" t="s">
        <v>122</v>
      </c>
      <c r="K415">
        <v>0</v>
      </c>
      <c r="L415">
        <v>3</v>
      </c>
      <c r="M415">
        <v>0</v>
      </c>
      <c r="N415">
        <v>2</v>
      </c>
      <c r="O415">
        <v>1</v>
      </c>
      <c r="P415">
        <v>0</v>
      </c>
      <c r="Q415">
        <v>0</v>
      </c>
      <c r="S415" t="str">
        <f>"18:37:43.258"</f>
        <v>18:37:43.258</v>
      </c>
      <c r="T415" t="str">
        <f>"18:37:42.958"</f>
        <v>18:37:42.958</v>
      </c>
      <c r="U415" t="str">
        <f t="shared" si="41"/>
        <v>AAB6EE</v>
      </c>
      <c r="V415">
        <v>0</v>
      </c>
      <c r="W415">
        <v>0</v>
      </c>
      <c r="X415">
        <v>4</v>
      </c>
      <c r="Z415">
        <v>0</v>
      </c>
      <c r="AA415">
        <v>8</v>
      </c>
      <c r="AB415">
        <v>3</v>
      </c>
      <c r="AC415">
        <v>0</v>
      </c>
      <c r="AD415">
        <v>10</v>
      </c>
      <c r="AE415">
        <v>0</v>
      </c>
      <c r="AF415">
        <v>0</v>
      </c>
      <c r="AG415">
        <v>1</v>
      </c>
      <c r="AH415">
        <v>1</v>
      </c>
      <c r="AI415" t="s">
        <v>397</v>
      </c>
      <c r="AJ415">
        <v>35.475282999999997</v>
      </c>
      <c r="AK415" t="s">
        <v>398</v>
      </c>
      <c r="AL415">
        <v>-76.061503999999999</v>
      </c>
      <c r="AM415">
        <v>25</v>
      </c>
      <c r="AN415">
        <v>3425</v>
      </c>
      <c r="AO415" t="s">
        <v>118</v>
      </c>
      <c r="AP415">
        <v>-93</v>
      </c>
      <c r="AQ415">
        <v>-188</v>
      </c>
      <c r="AR415">
        <v>0</v>
      </c>
      <c r="AZ415">
        <v>1200</v>
      </c>
      <c r="BA415">
        <v>1</v>
      </c>
      <c r="BB415" t="str">
        <f t="shared" si="44"/>
        <v xml:space="preserve">N79NX   </v>
      </c>
      <c r="BC415">
        <v>1</v>
      </c>
      <c r="BE415">
        <v>0</v>
      </c>
      <c r="BF415">
        <v>0</v>
      </c>
      <c r="BG415">
        <v>0</v>
      </c>
      <c r="BH415">
        <v>3300</v>
      </c>
      <c r="BI415">
        <v>0</v>
      </c>
      <c r="BJ415">
        <v>0</v>
      </c>
      <c r="BK415">
        <v>0</v>
      </c>
      <c r="BL415">
        <v>0</v>
      </c>
      <c r="BO415">
        <v>0</v>
      </c>
      <c r="BP415">
        <v>0</v>
      </c>
      <c r="BW415" t="str">
        <f>"18:37:43.260"</f>
        <v>18:37:43.260</v>
      </c>
      <c r="BZ415">
        <v>0</v>
      </c>
      <c r="CA415">
        <v>3488</v>
      </c>
      <c r="CB415">
        <v>216</v>
      </c>
      <c r="CC415">
        <v>583.59379999999999</v>
      </c>
      <c r="CD415">
        <v>1</v>
      </c>
      <c r="CE415">
        <v>1</v>
      </c>
      <c r="CF415">
        <v>0</v>
      </c>
      <c r="CG415">
        <v>1</v>
      </c>
      <c r="CH415">
        <v>0</v>
      </c>
      <c r="CI415">
        <v>0</v>
      </c>
      <c r="CJ415">
        <v>0</v>
      </c>
      <c r="CK415">
        <v>2</v>
      </c>
      <c r="CL415">
        <v>0</v>
      </c>
      <c r="CM415">
        <v>2</v>
      </c>
      <c r="CN415">
        <v>0</v>
      </c>
      <c r="CO415">
        <v>6</v>
      </c>
      <c r="CP415" t="s">
        <v>119</v>
      </c>
      <c r="CQ415">
        <v>145</v>
      </c>
      <c r="CR415">
        <v>1</v>
      </c>
      <c r="CW415">
        <v>8914064</v>
      </c>
      <c r="CY415">
        <v>0</v>
      </c>
      <c r="CZ415">
        <v>0</v>
      </c>
      <c r="DA415">
        <v>1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</row>
    <row r="416" spans="1:113" x14ac:dyDescent="0.3">
      <c r="A416" t="str">
        <f>"02/13/2022 18:37:44.276"</f>
        <v>02/13/2022 18:37:44.276</v>
      </c>
      <c r="C416" t="str">
        <f t="shared" si="42"/>
        <v>FFDFD7C0</v>
      </c>
      <c r="D416" t="s">
        <v>113</v>
      </c>
      <c r="E416">
        <v>4</v>
      </c>
      <c r="F416">
        <v>1004</v>
      </c>
      <c r="G416" t="s">
        <v>120</v>
      </c>
      <c r="J416" t="s">
        <v>115</v>
      </c>
      <c r="K416">
        <v>0</v>
      </c>
      <c r="L416">
        <v>3</v>
      </c>
      <c r="M416">
        <v>0</v>
      </c>
      <c r="N416">
        <v>2</v>
      </c>
      <c r="O416">
        <v>1</v>
      </c>
      <c r="P416">
        <v>0</v>
      </c>
      <c r="Q416">
        <v>0</v>
      </c>
      <c r="S416" t="str">
        <f t="shared" ref="S416:T418" si="45">"18:37:44.086"</f>
        <v>18:37:44.086</v>
      </c>
      <c r="T416" t="str">
        <f t="shared" si="45"/>
        <v>18:37:44.086</v>
      </c>
      <c r="U416" t="str">
        <f t="shared" si="41"/>
        <v>AAB6EE</v>
      </c>
      <c r="V416">
        <v>0</v>
      </c>
      <c r="W416">
        <v>0</v>
      </c>
      <c r="X416">
        <v>4</v>
      </c>
      <c r="Z416">
        <v>0</v>
      </c>
      <c r="AA416">
        <v>8</v>
      </c>
      <c r="AB416">
        <v>3</v>
      </c>
      <c r="AC416">
        <v>0</v>
      </c>
      <c r="AD416">
        <v>10</v>
      </c>
      <c r="AE416">
        <v>0</v>
      </c>
      <c r="AF416">
        <v>0</v>
      </c>
      <c r="AG416">
        <v>1</v>
      </c>
      <c r="AH416">
        <v>1</v>
      </c>
      <c r="AI416" t="s">
        <v>399</v>
      </c>
      <c r="AJ416">
        <v>35.474575000000002</v>
      </c>
      <c r="AK416" t="s">
        <v>400</v>
      </c>
      <c r="AL416">
        <v>-76.061912000000007</v>
      </c>
      <c r="AM416">
        <v>25</v>
      </c>
      <c r="AN416">
        <v>3425</v>
      </c>
      <c r="AO416" t="s">
        <v>118</v>
      </c>
      <c r="AP416">
        <v>-93</v>
      </c>
      <c r="AQ416">
        <v>-188</v>
      </c>
      <c r="AR416">
        <v>0</v>
      </c>
      <c r="AZ416">
        <v>1200</v>
      </c>
      <c r="BA416">
        <v>1</v>
      </c>
      <c r="BB416" t="str">
        <f t="shared" si="44"/>
        <v xml:space="preserve">N79NX   </v>
      </c>
      <c r="BC416">
        <v>1</v>
      </c>
      <c r="BE416">
        <v>0</v>
      </c>
      <c r="BF416">
        <v>0</v>
      </c>
      <c r="BG416">
        <v>0</v>
      </c>
      <c r="BH416">
        <v>3300</v>
      </c>
      <c r="BI416">
        <v>0</v>
      </c>
      <c r="BJ416">
        <v>0</v>
      </c>
      <c r="BK416">
        <v>0</v>
      </c>
      <c r="BL416">
        <v>0</v>
      </c>
      <c r="BO416">
        <v>0</v>
      </c>
      <c r="BP416">
        <v>0</v>
      </c>
      <c r="BW416" t="str">
        <f>"18:37:44.090"</f>
        <v>18:37:44.090</v>
      </c>
      <c r="BZ416">
        <v>0</v>
      </c>
      <c r="CA416">
        <v>3488</v>
      </c>
      <c r="CB416">
        <v>216</v>
      </c>
      <c r="CC416">
        <v>583.59379999999999</v>
      </c>
      <c r="CD416">
        <v>1</v>
      </c>
      <c r="CE416">
        <v>1</v>
      </c>
      <c r="CF416">
        <v>0</v>
      </c>
      <c r="CG416">
        <v>1</v>
      </c>
      <c r="CH416">
        <v>0</v>
      </c>
      <c r="CI416">
        <v>0</v>
      </c>
      <c r="CJ416">
        <v>0</v>
      </c>
      <c r="CK416">
        <v>2</v>
      </c>
      <c r="CL416">
        <v>0</v>
      </c>
      <c r="CM416">
        <v>2</v>
      </c>
      <c r="CN416">
        <v>0</v>
      </c>
      <c r="CO416">
        <v>6</v>
      </c>
      <c r="CP416" t="s">
        <v>119</v>
      </c>
      <c r="CQ416">
        <v>145</v>
      </c>
      <c r="CR416">
        <v>1</v>
      </c>
      <c r="CW416">
        <v>8914460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</row>
    <row r="417" spans="1:113" x14ac:dyDescent="0.3">
      <c r="A417" t="str">
        <f>"02/13/2022 18:37:44.276"</f>
        <v>02/13/2022 18:37:44.276</v>
      </c>
      <c r="C417" t="str">
        <f t="shared" si="42"/>
        <v>FFDFD7C0</v>
      </c>
      <c r="D417" t="s">
        <v>113</v>
      </c>
      <c r="E417">
        <v>3</v>
      </c>
      <c r="F417">
        <v>1003</v>
      </c>
      <c r="G417" t="s">
        <v>114</v>
      </c>
      <c r="J417" t="s">
        <v>115</v>
      </c>
      <c r="K417">
        <v>0</v>
      </c>
      <c r="L417">
        <v>3</v>
      </c>
      <c r="M417">
        <v>0</v>
      </c>
      <c r="N417">
        <v>2</v>
      </c>
      <c r="O417">
        <v>1</v>
      </c>
      <c r="P417">
        <v>0</v>
      </c>
      <c r="Q417">
        <v>0</v>
      </c>
      <c r="S417" t="str">
        <f t="shared" si="45"/>
        <v>18:37:44.086</v>
      </c>
      <c r="T417" t="str">
        <f t="shared" si="45"/>
        <v>18:37:44.086</v>
      </c>
      <c r="U417" t="str">
        <f t="shared" si="41"/>
        <v>AAB6EE</v>
      </c>
      <c r="V417">
        <v>0</v>
      </c>
      <c r="W417">
        <v>0</v>
      </c>
      <c r="X417">
        <v>4</v>
      </c>
      <c r="Z417">
        <v>0</v>
      </c>
      <c r="AA417">
        <v>8</v>
      </c>
      <c r="AB417">
        <v>3</v>
      </c>
      <c r="AC417">
        <v>0</v>
      </c>
      <c r="AD417">
        <v>10</v>
      </c>
      <c r="AE417">
        <v>0</v>
      </c>
      <c r="AF417">
        <v>0</v>
      </c>
      <c r="AG417">
        <v>1</v>
      </c>
      <c r="AH417">
        <v>1</v>
      </c>
      <c r="AI417" t="s">
        <v>399</v>
      </c>
      <c r="AJ417">
        <v>35.474575000000002</v>
      </c>
      <c r="AK417" t="s">
        <v>400</v>
      </c>
      <c r="AL417">
        <v>-76.061912000000007</v>
      </c>
      <c r="AM417">
        <v>25</v>
      </c>
      <c r="AN417">
        <v>3425</v>
      </c>
      <c r="AO417" t="s">
        <v>118</v>
      </c>
      <c r="AP417">
        <v>-93</v>
      </c>
      <c r="AQ417">
        <v>-188</v>
      </c>
      <c r="AR417">
        <v>0</v>
      </c>
      <c r="AZ417">
        <v>1200</v>
      </c>
      <c r="BA417">
        <v>1</v>
      </c>
      <c r="BB417" t="str">
        <f t="shared" si="44"/>
        <v xml:space="preserve">N79NX   </v>
      </c>
      <c r="BC417">
        <v>1</v>
      </c>
      <c r="BE417">
        <v>0</v>
      </c>
      <c r="BF417">
        <v>0</v>
      </c>
      <c r="BG417">
        <v>0</v>
      </c>
      <c r="BH417">
        <v>3300</v>
      </c>
      <c r="BI417">
        <v>0</v>
      </c>
      <c r="BJ417">
        <v>0</v>
      </c>
      <c r="BK417">
        <v>0</v>
      </c>
      <c r="BL417">
        <v>0</v>
      </c>
      <c r="BO417">
        <v>0</v>
      </c>
      <c r="BP417">
        <v>0</v>
      </c>
      <c r="BW417" t="str">
        <f>"18:37:44.090"</f>
        <v>18:37:44.090</v>
      </c>
      <c r="BZ417">
        <v>0</v>
      </c>
      <c r="CA417">
        <v>3488</v>
      </c>
      <c r="CB417">
        <v>216</v>
      </c>
      <c r="CC417">
        <v>583.59379999999999</v>
      </c>
      <c r="CD417">
        <v>1</v>
      </c>
      <c r="CE417">
        <v>1</v>
      </c>
      <c r="CF417">
        <v>0</v>
      </c>
      <c r="CG417">
        <v>1</v>
      </c>
      <c r="CH417">
        <v>0</v>
      </c>
      <c r="CI417">
        <v>0</v>
      </c>
      <c r="CJ417">
        <v>0</v>
      </c>
      <c r="CK417">
        <v>2</v>
      </c>
      <c r="CL417">
        <v>0</v>
      </c>
      <c r="CM417">
        <v>2</v>
      </c>
      <c r="CN417">
        <v>0</v>
      </c>
      <c r="CO417">
        <v>6</v>
      </c>
      <c r="CP417" t="s">
        <v>119</v>
      </c>
      <c r="CQ417">
        <v>145</v>
      </c>
      <c r="CR417">
        <v>1</v>
      </c>
      <c r="CW417">
        <v>8914460</v>
      </c>
      <c r="CY417">
        <v>0</v>
      </c>
      <c r="CZ417">
        <v>0</v>
      </c>
      <c r="DA417">
        <v>1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</row>
    <row r="418" spans="1:113" x14ac:dyDescent="0.3">
      <c r="A418" t="str">
        <f>"02/13/2022 18:37:44.276"</f>
        <v>02/13/2022 18:37:44.276</v>
      </c>
      <c r="C418" t="str">
        <f t="shared" si="42"/>
        <v>FFDFD7C0</v>
      </c>
      <c r="D418" t="s">
        <v>121</v>
      </c>
      <c r="E418">
        <v>2</v>
      </c>
      <c r="H418">
        <v>158</v>
      </c>
      <c r="I418" t="s">
        <v>120</v>
      </c>
      <c r="J418" t="s">
        <v>122</v>
      </c>
      <c r="K418">
        <v>0</v>
      </c>
      <c r="L418">
        <v>3</v>
      </c>
      <c r="M418">
        <v>0</v>
      </c>
      <c r="N418">
        <v>2</v>
      </c>
      <c r="O418">
        <v>1</v>
      </c>
      <c r="P418">
        <v>0</v>
      </c>
      <c r="Q418">
        <v>0</v>
      </c>
      <c r="S418" t="str">
        <f t="shared" si="45"/>
        <v>18:37:44.086</v>
      </c>
      <c r="T418" t="str">
        <f t="shared" si="45"/>
        <v>18:37:44.086</v>
      </c>
      <c r="U418" t="str">
        <f t="shared" si="41"/>
        <v>AAB6EE</v>
      </c>
      <c r="V418">
        <v>0</v>
      </c>
      <c r="W418">
        <v>0</v>
      </c>
      <c r="X418">
        <v>4</v>
      </c>
      <c r="Z418">
        <v>0</v>
      </c>
      <c r="AA418">
        <v>8</v>
      </c>
      <c r="AB418">
        <v>3</v>
      </c>
      <c r="AC418">
        <v>0</v>
      </c>
      <c r="AD418">
        <v>10</v>
      </c>
      <c r="AE418">
        <v>0</v>
      </c>
      <c r="AF418">
        <v>0</v>
      </c>
      <c r="AG418">
        <v>1</v>
      </c>
      <c r="AH418">
        <v>1</v>
      </c>
      <c r="AI418" t="s">
        <v>399</v>
      </c>
      <c r="AJ418">
        <v>35.474575000000002</v>
      </c>
      <c r="AK418" t="s">
        <v>400</v>
      </c>
      <c r="AL418">
        <v>-76.061912000000007</v>
      </c>
      <c r="AM418">
        <v>25</v>
      </c>
      <c r="AN418">
        <v>3425</v>
      </c>
      <c r="AO418" t="s">
        <v>118</v>
      </c>
      <c r="AP418">
        <v>-93</v>
      </c>
      <c r="AQ418">
        <v>-188</v>
      </c>
      <c r="AR418">
        <v>0</v>
      </c>
      <c r="AZ418">
        <v>1200</v>
      </c>
      <c r="BA418">
        <v>1</v>
      </c>
      <c r="BB418" t="str">
        <f t="shared" si="44"/>
        <v xml:space="preserve">N79NX   </v>
      </c>
      <c r="BC418">
        <v>1</v>
      </c>
      <c r="BE418">
        <v>0</v>
      </c>
      <c r="BF418">
        <v>0</v>
      </c>
      <c r="BG418">
        <v>0</v>
      </c>
      <c r="BH418">
        <v>3300</v>
      </c>
      <c r="BI418">
        <v>0</v>
      </c>
      <c r="BJ418">
        <v>0</v>
      </c>
      <c r="BK418">
        <v>0</v>
      </c>
      <c r="BL418">
        <v>0</v>
      </c>
      <c r="BO418">
        <v>0</v>
      </c>
      <c r="BP418">
        <v>0</v>
      </c>
      <c r="BW418" t="str">
        <f>"18:37:44.090"</f>
        <v>18:37:44.090</v>
      </c>
      <c r="BZ418">
        <v>0</v>
      </c>
      <c r="CA418">
        <v>3488</v>
      </c>
      <c r="CB418">
        <v>216</v>
      </c>
      <c r="CC418">
        <v>583.59379999999999</v>
      </c>
      <c r="CD418">
        <v>1</v>
      </c>
      <c r="CE418">
        <v>1</v>
      </c>
      <c r="CF418">
        <v>0</v>
      </c>
      <c r="CG418">
        <v>1</v>
      </c>
      <c r="CH418">
        <v>0</v>
      </c>
      <c r="CI418">
        <v>0</v>
      </c>
      <c r="CJ418">
        <v>0</v>
      </c>
      <c r="CK418">
        <v>2</v>
      </c>
      <c r="CL418">
        <v>0</v>
      </c>
      <c r="CM418">
        <v>2</v>
      </c>
      <c r="CN418">
        <v>0</v>
      </c>
      <c r="CO418">
        <v>6</v>
      </c>
      <c r="CP418" t="s">
        <v>119</v>
      </c>
      <c r="CQ418">
        <v>145</v>
      </c>
      <c r="CR418">
        <v>1</v>
      </c>
      <c r="CW418">
        <v>8914460</v>
      </c>
      <c r="CY418">
        <v>0</v>
      </c>
      <c r="CZ418">
        <v>0</v>
      </c>
      <c r="DA418">
        <v>1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</row>
    <row r="419" spans="1:113" x14ac:dyDescent="0.3">
      <c r="A419" t="str">
        <f>"02/13/2022 18:37:45.592"</f>
        <v>02/13/2022 18:37:45.592</v>
      </c>
      <c r="C419" t="str">
        <f t="shared" si="42"/>
        <v>FFDFD7C0</v>
      </c>
      <c r="D419" t="s">
        <v>113</v>
      </c>
      <c r="E419">
        <v>4</v>
      </c>
      <c r="F419">
        <v>1004</v>
      </c>
      <c r="G419" t="s">
        <v>120</v>
      </c>
      <c r="J419" t="s">
        <v>115</v>
      </c>
      <c r="K419">
        <v>0</v>
      </c>
      <c r="L419">
        <v>3</v>
      </c>
      <c r="M419">
        <v>0</v>
      </c>
      <c r="N419">
        <v>2</v>
      </c>
      <c r="O419">
        <v>1</v>
      </c>
      <c r="P419">
        <v>0</v>
      </c>
      <c r="Q419">
        <v>0</v>
      </c>
      <c r="S419" t="str">
        <f>"18:37:45.133"</f>
        <v>18:37:45.133</v>
      </c>
      <c r="T419" t="str">
        <f>"18:37:44.633"</f>
        <v>18:37:44.633</v>
      </c>
      <c r="U419" t="str">
        <f t="shared" si="41"/>
        <v>AAB6EE</v>
      </c>
      <c r="V419">
        <v>0</v>
      </c>
      <c r="W419">
        <v>0</v>
      </c>
      <c r="X419">
        <v>4</v>
      </c>
      <c r="Z419">
        <v>0</v>
      </c>
      <c r="AA419">
        <v>8</v>
      </c>
      <c r="AB419">
        <v>3</v>
      </c>
      <c r="AC419">
        <v>0</v>
      </c>
      <c r="AD419">
        <v>10</v>
      </c>
      <c r="AE419">
        <v>0</v>
      </c>
      <c r="AF419">
        <v>0</v>
      </c>
      <c r="AG419">
        <v>1</v>
      </c>
      <c r="AH419">
        <v>1</v>
      </c>
      <c r="AI419" t="s">
        <v>401</v>
      </c>
      <c r="AJ419">
        <v>35.473609000000003</v>
      </c>
      <c r="AK419" t="s">
        <v>402</v>
      </c>
      <c r="AL419">
        <v>-76.062468999999993</v>
      </c>
      <c r="AM419">
        <v>25</v>
      </c>
      <c r="AN419">
        <v>3450</v>
      </c>
      <c r="AO419" t="s">
        <v>118</v>
      </c>
      <c r="AP419">
        <v>-93</v>
      </c>
      <c r="AQ419">
        <v>-188</v>
      </c>
      <c r="AR419">
        <v>0</v>
      </c>
      <c r="AZ419">
        <v>1200</v>
      </c>
      <c r="BA419">
        <v>1</v>
      </c>
      <c r="BB419" t="str">
        <f t="shared" si="44"/>
        <v xml:space="preserve">N79NX   </v>
      </c>
      <c r="BC419">
        <v>1</v>
      </c>
      <c r="BE419">
        <v>0</v>
      </c>
      <c r="BF419">
        <v>0</v>
      </c>
      <c r="BG419">
        <v>0</v>
      </c>
      <c r="BH419">
        <v>3300</v>
      </c>
      <c r="BI419">
        <v>0</v>
      </c>
      <c r="BJ419">
        <v>0</v>
      </c>
      <c r="BK419">
        <v>0</v>
      </c>
      <c r="BL419">
        <v>0</v>
      </c>
      <c r="BO419">
        <v>0</v>
      </c>
      <c r="BP419">
        <v>0</v>
      </c>
      <c r="BW419" t="str">
        <f>"18:37:45.140"</f>
        <v>18:37:45.140</v>
      </c>
      <c r="BZ419">
        <v>0</v>
      </c>
      <c r="CA419">
        <v>3488</v>
      </c>
      <c r="CB419">
        <v>216</v>
      </c>
      <c r="CC419">
        <v>583.59379999999999</v>
      </c>
      <c r="CD419">
        <v>1</v>
      </c>
      <c r="CE419">
        <v>1</v>
      </c>
      <c r="CF419">
        <v>0</v>
      </c>
      <c r="CG419">
        <v>1</v>
      </c>
      <c r="CH419">
        <v>0</v>
      </c>
      <c r="CI419">
        <v>0</v>
      </c>
      <c r="CJ419">
        <v>0</v>
      </c>
      <c r="CK419">
        <v>2</v>
      </c>
      <c r="CL419">
        <v>0</v>
      </c>
      <c r="CM419">
        <v>2</v>
      </c>
      <c r="CN419">
        <v>0</v>
      </c>
      <c r="CO419">
        <v>6</v>
      </c>
      <c r="CP419" t="s">
        <v>119</v>
      </c>
      <c r="CQ419">
        <v>145</v>
      </c>
      <c r="CR419">
        <v>1</v>
      </c>
      <c r="CW419">
        <v>8914838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</row>
    <row r="420" spans="1:113" x14ac:dyDescent="0.3">
      <c r="A420" t="str">
        <f>"02/13/2022 18:37:45.592"</f>
        <v>02/13/2022 18:37:45.592</v>
      </c>
      <c r="C420" t="str">
        <f t="shared" si="42"/>
        <v>FFDFD7C0</v>
      </c>
      <c r="D420" t="s">
        <v>113</v>
      </c>
      <c r="E420">
        <v>3</v>
      </c>
      <c r="F420">
        <v>1003</v>
      </c>
      <c r="G420" t="s">
        <v>114</v>
      </c>
      <c r="J420" t="s">
        <v>115</v>
      </c>
      <c r="K420">
        <v>0</v>
      </c>
      <c r="L420">
        <v>3</v>
      </c>
      <c r="M420">
        <v>0</v>
      </c>
      <c r="N420">
        <v>2</v>
      </c>
      <c r="O420">
        <v>1</v>
      </c>
      <c r="P420">
        <v>0</v>
      </c>
      <c r="Q420">
        <v>0</v>
      </c>
      <c r="S420" t="str">
        <f>"18:37:45.133"</f>
        <v>18:37:45.133</v>
      </c>
      <c r="T420" t="str">
        <f>"18:37:44.633"</f>
        <v>18:37:44.633</v>
      </c>
      <c r="U420" t="str">
        <f t="shared" si="41"/>
        <v>AAB6EE</v>
      </c>
      <c r="V420">
        <v>0</v>
      </c>
      <c r="W420">
        <v>0</v>
      </c>
      <c r="X420">
        <v>4</v>
      </c>
      <c r="Z420">
        <v>0</v>
      </c>
      <c r="AA420">
        <v>8</v>
      </c>
      <c r="AB420">
        <v>3</v>
      </c>
      <c r="AC420">
        <v>0</v>
      </c>
      <c r="AD420">
        <v>10</v>
      </c>
      <c r="AE420">
        <v>0</v>
      </c>
      <c r="AF420">
        <v>0</v>
      </c>
      <c r="AG420">
        <v>1</v>
      </c>
      <c r="AH420">
        <v>1</v>
      </c>
      <c r="AI420" t="s">
        <v>401</v>
      </c>
      <c r="AJ420">
        <v>35.473609000000003</v>
      </c>
      <c r="AK420" t="s">
        <v>402</v>
      </c>
      <c r="AL420">
        <v>-76.062468999999993</v>
      </c>
      <c r="AM420">
        <v>25</v>
      </c>
      <c r="AN420">
        <v>3450</v>
      </c>
      <c r="AO420" t="s">
        <v>118</v>
      </c>
      <c r="AP420">
        <v>-93</v>
      </c>
      <c r="AQ420">
        <v>-188</v>
      </c>
      <c r="AR420">
        <v>0</v>
      </c>
      <c r="AZ420">
        <v>1200</v>
      </c>
      <c r="BA420">
        <v>1</v>
      </c>
      <c r="BB420" t="str">
        <f t="shared" si="44"/>
        <v xml:space="preserve">N79NX   </v>
      </c>
      <c r="BC420">
        <v>1</v>
      </c>
      <c r="BE420">
        <v>0</v>
      </c>
      <c r="BF420">
        <v>0</v>
      </c>
      <c r="BG420">
        <v>0</v>
      </c>
      <c r="BH420">
        <v>3300</v>
      </c>
      <c r="BI420">
        <v>0</v>
      </c>
      <c r="BJ420">
        <v>0</v>
      </c>
      <c r="BK420">
        <v>0</v>
      </c>
      <c r="BL420">
        <v>0</v>
      </c>
      <c r="BO420">
        <v>0</v>
      </c>
      <c r="BP420">
        <v>0</v>
      </c>
      <c r="BW420" t="str">
        <f>"18:37:45.140"</f>
        <v>18:37:45.140</v>
      </c>
      <c r="BZ420">
        <v>0</v>
      </c>
      <c r="CA420">
        <v>3488</v>
      </c>
      <c r="CB420">
        <v>216</v>
      </c>
      <c r="CC420">
        <v>583.59379999999999</v>
      </c>
      <c r="CD420">
        <v>1</v>
      </c>
      <c r="CE420">
        <v>1</v>
      </c>
      <c r="CF420">
        <v>0</v>
      </c>
      <c r="CG420">
        <v>1</v>
      </c>
      <c r="CH420">
        <v>0</v>
      </c>
      <c r="CI420">
        <v>0</v>
      </c>
      <c r="CJ420">
        <v>0</v>
      </c>
      <c r="CK420">
        <v>2</v>
      </c>
      <c r="CL420">
        <v>0</v>
      </c>
      <c r="CM420">
        <v>2</v>
      </c>
      <c r="CN420">
        <v>0</v>
      </c>
      <c r="CO420">
        <v>6</v>
      </c>
      <c r="CP420" t="s">
        <v>119</v>
      </c>
      <c r="CQ420">
        <v>145</v>
      </c>
      <c r="CR420">
        <v>1</v>
      </c>
      <c r="CW420">
        <v>8914838</v>
      </c>
      <c r="CY420">
        <v>0</v>
      </c>
      <c r="CZ420">
        <v>0</v>
      </c>
      <c r="DA420">
        <v>1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</row>
    <row r="421" spans="1:113" x14ac:dyDescent="0.3">
      <c r="A421" t="str">
        <f>"02/13/2022 18:37:45.592"</f>
        <v>02/13/2022 18:37:45.592</v>
      </c>
      <c r="C421" t="str">
        <f t="shared" si="42"/>
        <v>FFDFD7C0</v>
      </c>
      <c r="D421" t="s">
        <v>121</v>
      </c>
      <c r="E421">
        <v>2</v>
      </c>
      <c r="H421">
        <v>158</v>
      </c>
      <c r="I421" t="s">
        <v>120</v>
      </c>
      <c r="J421" t="s">
        <v>122</v>
      </c>
      <c r="K421">
        <v>0</v>
      </c>
      <c r="L421">
        <v>3</v>
      </c>
      <c r="M421">
        <v>0</v>
      </c>
      <c r="N421">
        <v>2</v>
      </c>
      <c r="O421">
        <v>1</v>
      </c>
      <c r="P421">
        <v>0</v>
      </c>
      <c r="Q421">
        <v>0</v>
      </c>
      <c r="S421" t="str">
        <f>"18:37:45.133"</f>
        <v>18:37:45.133</v>
      </c>
      <c r="T421" t="str">
        <f>"18:37:44.633"</f>
        <v>18:37:44.633</v>
      </c>
      <c r="U421" t="str">
        <f t="shared" si="41"/>
        <v>AAB6EE</v>
      </c>
      <c r="V421">
        <v>0</v>
      </c>
      <c r="W421">
        <v>0</v>
      </c>
      <c r="X421">
        <v>4</v>
      </c>
      <c r="Z421">
        <v>0</v>
      </c>
      <c r="AA421">
        <v>8</v>
      </c>
      <c r="AB421">
        <v>3</v>
      </c>
      <c r="AC421">
        <v>0</v>
      </c>
      <c r="AD421">
        <v>10</v>
      </c>
      <c r="AE421">
        <v>0</v>
      </c>
      <c r="AF421">
        <v>0</v>
      </c>
      <c r="AG421">
        <v>1</v>
      </c>
      <c r="AH421">
        <v>1</v>
      </c>
      <c r="AI421" t="s">
        <v>401</v>
      </c>
      <c r="AJ421">
        <v>35.473609000000003</v>
      </c>
      <c r="AK421" t="s">
        <v>402</v>
      </c>
      <c r="AL421">
        <v>-76.062468999999993</v>
      </c>
      <c r="AM421">
        <v>25</v>
      </c>
      <c r="AN421">
        <v>3450</v>
      </c>
      <c r="AO421" t="s">
        <v>118</v>
      </c>
      <c r="AP421">
        <v>-93</v>
      </c>
      <c r="AQ421">
        <v>-188</v>
      </c>
      <c r="AR421">
        <v>0</v>
      </c>
      <c r="AZ421">
        <v>1200</v>
      </c>
      <c r="BA421">
        <v>1</v>
      </c>
      <c r="BB421" t="str">
        <f t="shared" si="44"/>
        <v xml:space="preserve">N79NX   </v>
      </c>
      <c r="BC421">
        <v>1</v>
      </c>
      <c r="BE421">
        <v>0</v>
      </c>
      <c r="BF421">
        <v>0</v>
      </c>
      <c r="BG421">
        <v>0</v>
      </c>
      <c r="BH421">
        <v>3300</v>
      </c>
      <c r="BI421">
        <v>0</v>
      </c>
      <c r="BJ421">
        <v>0</v>
      </c>
      <c r="BK421">
        <v>0</v>
      </c>
      <c r="BL421">
        <v>0</v>
      </c>
      <c r="BO421">
        <v>0</v>
      </c>
      <c r="BP421">
        <v>0</v>
      </c>
      <c r="BW421" t="str">
        <f>"18:37:45.140"</f>
        <v>18:37:45.140</v>
      </c>
      <c r="BZ421">
        <v>0</v>
      </c>
      <c r="CA421">
        <v>3488</v>
      </c>
      <c r="CB421">
        <v>216</v>
      </c>
      <c r="CC421">
        <v>583.59379999999999</v>
      </c>
      <c r="CD421">
        <v>1</v>
      </c>
      <c r="CE421">
        <v>1</v>
      </c>
      <c r="CF421">
        <v>0</v>
      </c>
      <c r="CG421">
        <v>1</v>
      </c>
      <c r="CH421">
        <v>0</v>
      </c>
      <c r="CI421">
        <v>0</v>
      </c>
      <c r="CJ421">
        <v>0</v>
      </c>
      <c r="CK421">
        <v>2</v>
      </c>
      <c r="CL421">
        <v>0</v>
      </c>
      <c r="CM421">
        <v>2</v>
      </c>
      <c r="CN421">
        <v>0</v>
      </c>
      <c r="CO421">
        <v>6</v>
      </c>
      <c r="CP421" t="s">
        <v>119</v>
      </c>
      <c r="CQ421">
        <v>145</v>
      </c>
      <c r="CR421">
        <v>1</v>
      </c>
      <c r="CW421">
        <v>8914838</v>
      </c>
      <c r="CY421">
        <v>0</v>
      </c>
      <c r="CZ421">
        <v>0</v>
      </c>
      <c r="DA421">
        <v>1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</row>
    <row r="422" spans="1:113" x14ac:dyDescent="0.3">
      <c r="A422" t="str">
        <f>"02/13/2022 18:37:46.623"</f>
        <v>02/13/2022 18:37:46.623</v>
      </c>
      <c r="C422" t="str">
        <f t="shared" si="42"/>
        <v>FFDFD7C0</v>
      </c>
      <c r="D422" t="s">
        <v>113</v>
      </c>
      <c r="E422">
        <v>4</v>
      </c>
      <c r="F422">
        <v>1004</v>
      </c>
      <c r="G422" t="s">
        <v>120</v>
      </c>
      <c r="J422" t="s">
        <v>115</v>
      </c>
      <c r="K422">
        <v>0</v>
      </c>
      <c r="L422">
        <v>3</v>
      </c>
      <c r="M422">
        <v>0</v>
      </c>
      <c r="N422">
        <v>2</v>
      </c>
      <c r="O422">
        <v>1</v>
      </c>
      <c r="P422">
        <v>0</v>
      </c>
      <c r="Q422">
        <v>0</v>
      </c>
      <c r="S422" t="str">
        <f>"18:37:46.219"</f>
        <v>18:37:46.219</v>
      </c>
      <c r="T422" t="str">
        <f>"18:37:45.819"</f>
        <v>18:37:45.819</v>
      </c>
      <c r="U422" t="str">
        <f t="shared" si="41"/>
        <v>AAB6EE</v>
      </c>
      <c r="V422">
        <v>0</v>
      </c>
      <c r="W422">
        <v>0</v>
      </c>
      <c r="X422">
        <v>4</v>
      </c>
      <c r="Z422">
        <v>0</v>
      </c>
      <c r="AA422">
        <v>8</v>
      </c>
      <c r="AB422">
        <v>3</v>
      </c>
      <c r="AC422">
        <v>0</v>
      </c>
      <c r="AD422">
        <v>10</v>
      </c>
      <c r="AE422">
        <v>0</v>
      </c>
      <c r="AF422">
        <v>0</v>
      </c>
      <c r="AG422">
        <v>1</v>
      </c>
      <c r="AH422">
        <v>1</v>
      </c>
      <c r="AI422" t="s">
        <v>403</v>
      </c>
      <c r="AJ422">
        <v>35.472664999999999</v>
      </c>
      <c r="AK422" t="s">
        <v>404</v>
      </c>
      <c r="AL422">
        <v>-76.063091999999997</v>
      </c>
      <c r="AM422">
        <v>25</v>
      </c>
      <c r="AN422">
        <v>3425</v>
      </c>
      <c r="AO422" t="s">
        <v>118</v>
      </c>
      <c r="AP422">
        <v>-93</v>
      </c>
      <c r="AQ422">
        <v>-188</v>
      </c>
      <c r="AR422">
        <v>0</v>
      </c>
      <c r="AZ422">
        <v>1200</v>
      </c>
      <c r="BA422">
        <v>1</v>
      </c>
      <c r="BB422" t="str">
        <f t="shared" si="44"/>
        <v xml:space="preserve">N79NX   </v>
      </c>
      <c r="BC422">
        <v>1</v>
      </c>
      <c r="BE422">
        <v>0</v>
      </c>
      <c r="BF422">
        <v>0</v>
      </c>
      <c r="BG422">
        <v>0</v>
      </c>
      <c r="BH422">
        <v>3325</v>
      </c>
      <c r="BI422">
        <v>0</v>
      </c>
      <c r="BJ422">
        <v>0</v>
      </c>
      <c r="BK422">
        <v>0</v>
      </c>
      <c r="BL422">
        <v>0</v>
      </c>
      <c r="BO422">
        <v>0</v>
      </c>
      <c r="BP422">
        <v>0</v>
      </c>
      <c r="BW422" t="str">
        <f>"18:37:46.220"</f>
        <v>18:37:46.220</v>
      </c>
      <c r="BZ422">
        <v>0</v>
      </c>
      <c r="CA422">
        <v>3488</v>
      </c>
      <c r="CB422">
        <v>216</v>
      </c>
      <c r="CC422">
        <v>583.59379999999999</v>
      </c>
      <c r="CD422">
        <v>1</v>
      </c>
      <c r="CE422">
        <v>1</v>
      </c>
      <c r="CF422">
        <v>0</v>
      </c>
      <c r="CG422">
        <v>1</v>
      </c>
      <c r="CH422">
        <v>0</v>
      </c>
      <c r="CI422">
        <v>0</v>
      </c>
      <c r="CJ422">
        <v>0</v>
      </c>
      <c r="CK422">
        <v>2</v>
      </c>
      <c r="CL422">
        <v>0</v>
      </c>
      <c r="CM422">
        <v>2</v>
      </c>
      <c r="CN422">
        <v>0</v>
      </c>
      <c r="CO422">
        <v>6</v>
      </c>
      <c r="CP422" t="s">
        <v>119</v>
      </c>
      <c r="CQ422">
        <v>145</v>
      </c>
      <c r="CR422">
        <v>1</v>
      </c>
      <c r="CW422">
        <v>8915303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</row>
    <row r="423" spans="1:113" x14ac:dyDescent="0.3">
      <c r="A423" t="str">
        <f>"02/13/2022 18:37:46.623"</f>
        <v>02/13/2022 18:37:46.623</v>
      </c>
      <c r="C423" t="str">
        <f t="shared" si="42"/>
        <v>FFDFD7C0</v>
      </c>
      <c r="D423" t="s">
        <v>113</v>
      </c>
      <c r="E423">
        <v>3</v>
      </c>
      <c r="F423">
        <v>1003</v>
      </c>
      <c r="G423" t="s">
        <v>114</v>
      </c>
      <c r="J423" t="s">
        <v>115</v>
      </c>
      <c r="K423">
        <v>0</v>
      </c>
      <c r="L423">
        <v>3</v>
      </c>
      <c r="M423">
        <v>0</v>
      </c>
      <c r="N423">
        <v>2</v>
      </c>
      <c r="O423">
        <v>1</v>
      </c>
      <c r="P423">
        <v>0</v>
      </c>
      <c r="Q423">
        <v>0</v>
      </c>
      <c r="S423" t="str">
        <f>"18:37:46.219"</f>
        <v>18:37:46.219</v>
      </c>
      <c r="T423" t="str">
        <f>"18:37:45.819"</f>
        <v>18:37:45.819</v>
      </c>
      <c r="U423" t="str">
        <f t="shared" si="41"/>
        <v>AAB6EE</v>
      </c>
      <c r="V423">
        <v>0</v>
      </c>
      <c r="W423">
        <v>0</v>
      </c>
      <c r="X423">
        <v>4</v>
      </c>
      <c r="Z423">
        <v>0</v>
      </c>
      <c r="AA423">
        <v>8</v>
      </c>
      <c r="AB423">
        <v>3</v>
      </c>
      <c r="AC423">
        <v>0</v>
      </c>
      <c r="AD423">
        <v>10</v>
      </c>
      <c r="AE423">
        <v>0</v>
      </c>
      <c r="AF423">
        <v>0</v>
      </c>
      <c r="AG423">
        <v>1</v>
      </c>
      <c r="AH423">
        <v>1</v>
      </c>
      <c r="AI423" t="s">
        <v>403</v>
      </c>
      <c r="AJ423">
        <v>35.472664999999999</v>
      </c>
      <c r="AK423" t="s">
        <v>404</v>
      </c>
      <c r="AL423">
        <v>-76.063091999999997</v>
      </c>
      <c r="AM423">
        <v>25</v>
      </c>
      <c r="AN423">
        <v>3425</v>
      </c>
      <c r="AO423" t="s">
        <v>118</v>
      </c>
      <c r="AP423">
        <v>-93</v>
      </c>
      <c r="AQ423">
        <v>-188</v>
      </c>
      <c r="AR423">
        <v>0</v>
      </c>
      <c r="AZ423">
        <v>1200</v>
      </c>
      <c r="BA423">
        <v>1</v>
      </c>
      <c r="BB423" t="str">
        <f t="shared" si="44"/>
        <v xml:space="preserve">N79NX   </v>
      </c>
      <c r="BC423">
        <v>1</v>
      </c>
      <c r="BE423">
        <v>0</v>
      </c>
      <c r="BF423">
        <v>0</v>
      </c>
      <c r="BG423">
        <v>0</v>
      </c>
      <c r="BH423">
        <v>3325</v>
      </c>
      <c r="BI423">
        <v>0</v>
      </c>
      <c r="BJ423">
        <v>0</v>
      </c>
      <c r="BK423">
        <v>0</v>
      </c>
      <c r="BL423">
        <v>0</v>
      </c>
      <c r="BO423">
        <v>0</v>
      </c>
      <c r="BP423">
        <v>0</v>
      </c>
      <c r="BW423" t="str">
        <f>"18:37:46.220"</f>
        <v>18:37:46.220</v>
      </c>
      <c r="BZ423">
        <v>0</v>
      </c>
      <c r="CA423">
        <v>3488</v>
      </c>
      <c r="CB423">
        <v>216</v>
      </c>
      <c r="CC423">
        <v>583.59379999999999</v>
      </c>
      <c r="CD423">
        <v>1</v>
      </c>
      <c r="CE423">
        <v>1</v>
      </c>
      <c r="CF423">
        <v>0</v>
      </c>
      <c r="CG423">
        <v>1</v>
      </c>
      <c r="CH423">
        <v>0</v>
      </c>
      <c r="CI423">
        <v>0</v>
      </c>
      <c r="CJ423">
        <v>0</v>
      </c>
      <c r="CK423">
        <v>2</v>
      </c>
      <c r="CL423">
        <v>0</v>
      </c>
      <c r="CM423">
        <v>2</v>
      </c>
      <c r="CN423">
        <v>0</v>
      </c>
      <c r="CO423">
        <v>6</v>
      </c>
      <c r="CP423" t="s">
        <v>119</v>
      </c>
      <c r="CQ423">
        <v>145</v>
      </c>
      <c r="CR423">
        <v>1</v>
      </c>
      <c r="CW423">
        <v>8915303</v>
      </c>
      <c r="CY423">
        <v>0</v>
      </c>
      <c r="CZ423">
        <v>0</v>
      </c>
      <c r="DA423">
        <v>1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</row>
    <row r="424" spans="1:113" x14ac:dyDescent="0.3">
      <c r="A424" t="str">
        <f>"02/13/2022 18:37:46.623"</f>
        <v>02/13/2022 18:37:46.623</v>
      </c>
      <c r="C424" t="str">
        <f t="shared" si="42"/>
        <v>FFDFD7C0</v>
      </c>
      <c r="D424" t="s">
        <v>121</v>
      </c>
      <c r="E424">
        <v>2</v>
      </c>
      <c r="H424">
        <v>158</v>
      </c>
      <c r="I424" t="s">
        <v>120</v>
      </c>
      <c r="J424" t="s">
        <v>122</v>
      </c>
      <c r="K424">
        <v>0</v>
      </c>
      <c r="L424">
        <v>3</v>
      </c>
      <c r="M424">
        <v>0</v>
      </c>
      <c r="N424">
        <v>2</v>
      </c>
      <c r="O424">
        <v>1</v>
      </c>
      <c r="P424">
        <v>0</v>
      </c>
      <c r="Q424">
        <v>0</v>
      </c>
      <c r="S424" t="str">
        <f>"18:37:46.219"</f>
        <v>18:37:46.219</v>
      </c>
      <c r="T424" t="str">
        <f>"18:37:45.819"</f>
        <v>18:37:45.819</v>
      </c>
      <c r="U424" t="str">
        <f t="shared" si="41"/>
        <v>AAB6EE</v>
      </c>
      <c r="V424">
        <v>0</v>
      </c>
      <c r="W424">
        <v>0</v>
      </c>
      <c r="X424">
        <v>4</v>
      </c>
      <c r="Z424">
        <v>0</v>
      </c>
      <c r="AA424">
        <v>8</v>
      </c>
      <c r="AB424">
        <v>3</v>
      </c>
      <c r="AC424">
        <v>0</v>
      </c>
      <c r="AD424">
        <v>10</v>
      </c>
      <c r="AE424">
        <v>0</v>
      </c>
      <c r="AF424">
        <v>0</v>
      </c>
      <c r="AG424">
        <v>1</v>
      </c>
      <c r="AH424">
        <v>1</v>
      </c>
      <c r="AI424" t="s">
        <v>403</v>
      </c>
      <c r="AJ424">
        <v>35.472664999999999</v>
      </c>
      <c r="AK424" t="s">
        <v>404</v>
      </c>
      <c r="AL424">
        <v>-76.063091999999997</v>
      </c>
      <c r="AM424">
        <v>25</v>
      </c>
      <c r="AN424">
        <v>3425</v>
      </c>
      <c r="AO424" t="s">
        <v>118</v>
      </c>
      <c r="AP424">
        <v>-93</v>
      </c>
      <c r="AQ424">
        <v>-188</v>
      </c>
      <c r="AR424">
        <v>0</v>
      </c>
      <c r="AZ424">
        <v>1200</v>
      </c>
      <c r="BA424">
        <v>1</v>
      </c>
      <c r="BB424" t="str">
        <f t="shared" si="44"/>
        <v xml:space="preserve">N79NX   </v>
      </c>
      <c r="BC424">
        <v>1</v>
      </c>
      <c r="BE424">
        <v>0</v>
      </c>
      <c r="BF424">
        <v>0</v>
      </c>
      <c r="BG424">
        <v>0</v>
      </c>
      <c r="BH424">
        <v>3325</v>
      </c>
      <c r="BI424">
        <v>0</v>
      </c>
      <c r="BJ424">
        <v>0</v>
      </c>
      <c r="BK424">
        <v>0</v>
      </c>
      <c r="BL424">
        <v>0</v>
      </c>
      <c r="BO424">
        <v>0</v>
      </c>
      <c r="BP424">
        <v>0</v>
      </c>
      <c r="BW424" t="str">
        <f>"18:37:46.220"</f>
        <v>18:37:46.220</v>
      </c>
      <c r="BZ424">
        <v>0</v>
      </c>
      <c r="CA424">
        <v>3488</v>
      </c>
      <c r="CB424">
        <v>216</v>
      </c>
      <c r="CC424">
        <v>583.59379999999999</v>
      </c>
      <c r="CD424">
        <v>1</v>
      </c>
      <c r="CE424">
        <v>1</v>
      </c>
      <c r="CF424">
        <v>0</v>
      </c>
      <c r="CG424">
        <v>1</v>
      </c>
      <c r="CH424">
        <v>0</v>
      </c>
      <c r="CI424">
        <v>0</v>
      </c>
      <c r="CJ424">
        <v>0</v>
      </c>
      <c r="CK424">
        <v>2</v>
      </c>
      <c r="CL424">
        <v>0</v>
      </c>
      <c r="CM424">
        <v>2</v>
      </c>
      <c r="CN424">
        <v>0</v>
      </c>
      <c r="CO424">
        <v>6</v>
      </c>
      <c r="CP424" t="s">
        <v>119</v>
      </c>
      <c r="CQ424">
        <v>145</v>
      </c>
      <c r="CR424">
        <v>1</v>
      </c>
      <c r="CW424">
        <v>8915303</v>
      </c>
      <c r="CY424">
        <v>0</v>
      </c>
      <c r="CZ424">
        <v>0</v>
      </c>
      <c r="DA424">
        <v>1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</row>
    <row r="425" spans="1:113" x14ac:dyDescent="0.3">
      <c r="A425" t="str">
        <f>"02/13/2022 18:37:47.405"</f>
        <v>02/13/2022 18:37:47.405</v>
      </c>
      <c r="C425" t="str">
        <f t="shared" si="42"/>
        <v>FFDFD7C0</v>
      </c>
      <c r="D425" t="s">
        <v>121</v>
      </c>
      <c r="E425">
        <v>2</v>
      </c>
      <c r="H425">
        <v>158</v>
      </c>
      <c r="I425" t="s">
        <v>120</v>
      </c>
      <c r="J425" t="s">
        <v>122</v>
      </c>
      <c r="K425">
        <v>0</v>
      </c>
      <c r="L425">
        <v>3</v>
      </c>
      <c r="M425">
        <v>0</v>
      </c>
      <c r="N425">
        <v>2</v>
      </c>
      <c r="O425">
        <v>1</v>
      </c>
      <c r="P425">
        <v>0</v>
      </c>
      <c r="Q425">
        <v>0</v>
      </c>
      <c r="S425" t="str">
        <f>"18:37:47.148"</f>
        <v>18:37:47.148</v>
      </c>
      <c r="T425" t="str">
        <f>"18:37:46.848"</f>
        <v>18:37:46.848</v>
      </c>
      <c r="U425" t="str">
        <f t="shared" si="41"/>
        <v>AAB6EE</v>
      </c>
      <c r="V425">
        <v>0</v>
      </c>
      <c r="W425">
        <v>0</v>
      </c>
      <c r="X425">
        <v>4</v>
      </c>
      <c r="Z425">
        <v>0</v>
      </c>
      <c r="AA425">
        <v>8</v>
      </c>
      <c r="AB425">
        <v>3</v>
      </c>
      <c r="AC425">
        <v>0</v>
      </c>
      <c r="AD425">
        <v>10</v>
      </c>
      <c r="AE425">
        <v>0</v>
      </c>
      <c r="AF425">
        <v>0</v>
      </c>
      <c r="AG425">
        <v>1</v>
      </c>
      <c r="AH425">
        <v>1</v>
      </c>
      <c r="AI425" t="s">
        <v>405</v>
      </c>
      <c r="AJ425">
        <v>35.471871</v>
      </c>
      <c r="AK425" t="s">
        <v>406</v>
      </c>
      <c r="AL425">
        <v>-76.063564</v>
      </c>
      <c r="AM425">
        <v>25</v>
      </c>
      <c r="AN425">
        <v>3425</v>
      </c>
      <c r="AO425" t="s">
        <v>118</v>
      </c>
      <c r="AP425">
        <v>-93</v>
      </c>
      <c r="AQ425">
        <v>-189</v>
      </c>
      <c r="AR425">
        <v>0</v>
      </c>
      <c r="AZ425">
        <v>1200</v>
      </c>
      <c r="BA425">
        <v>1</v>
      </c>
      <c r="BB425" t="str">
        <f t="shared" si="44"/>
        <v xml:space="preserve">N79NX   </v>
      </c>
      <c r="BC425">
        <v>1</v>
      </c>
      <c r="BE425">
        <v>0</v>
      </c>
      <c r="BF425">
        <v>0</v>
      </c>
      <c r="BG425">
        <v>0</v>
      </c>
      <c r="BH425">
        <v>3300</v>
      </c>
      <c r="BI425">
        <v>0</v>
      </c>
      <c r="BJ425">
        <v>0</v>
      </c>
      <c r="BK425">
        <v>0</v>
      </c>
      <c r="BL425">
        <v>0</v>
      </c>
      <c r="BO425">
        <v>0</v>
      </c>
      <c r="BP425">
        <v>0</v>
      </c>
      <c r="BW425" t="str">
        <f>"18:37:47.150"</f>
        <v>18:37:47.150</v>
      </c>
      <c r="BZ425">
        <v>0</v>
      </c>
      <c r="CA425">
        <v>3488</v>
      </c>
      <c r="CB425">
        <v>216</v>
      </c>
      <c r="CC425">
        <v>583.59379999999999</v>
      </c>
      <c r="CD425">
        <v>1</v>
      </c>
      <c r="CE425">
        <v>1</v>
      </c>
      <c r="CF425">
        <v>0</v>
      </c>
      <c r="CG425">
        <v>1</v>
      </c>
      <c r="CH425">
        <v>0</v>
      </c>
      <c r="CI425">
        <v>0</v>
      </c>
      <c r="CJ425">
        <v>0</v>
      </c>
      <c r="CK425">
        <v>2</v>
      </c>
      <c r="CL425">
        <v>0</v>
      </c>
      <c r="CM425">
        <v>2</v>
      </c>
      <c r="CN425">
        <v>0</v>
      </c>
      <c r="CO425">
        <v>6</v>
      </c>
      <c r="CP425" t="s">
        <v>119</v>
      </c>
      <c r="CQ425">
        <v>145</v>
      </c>
      <c r="CR425">
        <v>1</v>
      </c>
      <c r="CW425">
        <v>8915745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</row>
    <row r="426" spans="1:113" x14ac:dyDescent="0.3">
      <c r="A426" t="str">
        <f>"02/13/2022 18:37:47.405"</f>
        <v>02/13/2022 18:37:47.405</v>
      </c>
      <c r="C426" t="str">
        <f t="shared" si="42"/>
        <v>FFDFD7C0</v>
      </c>
      <c r="D426" t="s">
        <v>113</v>
      </c>
      <c r="E426">
        <v>4</v>
      </c>
      <c r="F426">
        <v>1004</v>
      </c>
      <c r="G426" t="s">
        <v>120</v>
      </c>
      <c r="J426" t="s">
        <v>115</v>
      </c>
      <c r="K426">
        <v>0</v>
      </c>
      <c r="L426">
        <v>3</v>
      </c>
      <c r="M426">
        <v>0</v>
      </c>
      <c r="N426">
        <v>2</v>
      </c>
      <c r="O426">
        <v>1</v>
      </c>
      <c r="P426">
        <v>0</v>
      </c>
      <c r="Q426">
        <v>0</v>
      </c>
      <c r="S426" t="str">
        <f>"18:37:47.148"</f>
        <v>18:37:47.148</v>
      </c>
      <c r="T426" t="str">
        <f>"18:37:46.848"</f>
        <v>18:37:46.848</v>
      </c>
      <c r="U426" t="str">
        <f t="shared" si="41"/>
        <v>AAB6EE</v>
      </c>
      <c r="V426">
        <v>0</v>
      </c>
      <c r="W426">
        <v>0</v>
      </c>
      <c r="X426">
        <v>4</v>
      </c>
      <c r="Z426">
        <v>0</v>
      </c>
      <c r="AA426">
        <v>8</v>
      </c>
      <c r="AB426">
        <v>3</v>
      </c>
      <c r="AC426">
        <v>0</v>
      </c>
      <c r="AD426">
        <v>10</v>
      </c>
      <c r="AE426">
        <v>0</v>
      </c>
      <c r="AF426">
        <v>0</v>
      </c>
      <c r="AG426">
        <v>1</v>
      </c>
      <c r="AH426">
        <v>1</v>
      </c>
      <c r="AI426" t="s">
        <v>405</v>
      </c>
      <c r="AJ426">
        <v>35.471871</v>
      </c>
      <c r="AK426" t="s">
        <v>406</v>
      </c>
      <c r="AL426">
        <v>-76.063564</v>
      </c>
      <c r="AM426">
        <v>25</v>
      </c>
      <c r="AN426">
        <v>3425</v>
      </c>
      <c r="AO426" t="s">
        <v>118</v>
      </c>
      <c r="AP426">
        <v>-93</v>
      </c>
      <c r="AQ426">
        <v>-189</v>
      </c>
      <c r="AR426">
        <v>0</v>
      </c>
      <c r="AZ426">
        <v>1200</v>
      </c>
      <c r="BA426">
        <v>1</v>
      </c>
      <c r="BB426" t="str">
        <f t="shared" si="44"/>
        <v xml:space="preserve">N79NX   </v>
      </c>
      <c r="BC426">
        <v>1</v>
      </c>
      <c r="BE426">
        <v>0</v>
      </c>
      <c r="BF426">
        <v>0</v>
      </c>
      <c r="BG426">
        <v>0</v>
      </c>
      <c r="BH426">
        <v>3300</v>
      </c>
      <c r="BI426">
        <v>0</v>
      </c>
      <c r="BJ426">
        <v>0</v>
      </c>
      <c r="BK426">
        <v>0</v>
      </c>
      <c r="BL426">
        <v>0</v>
      </c>
      <c r="BO426">
        <v>0</v>
      </c>
      <c r="BP426">
        <v>0</v>
      </c>
      <c r="BW426" t="str">
        <f>"18:37:47.150"</f>
        <v>18:37:47.150</v>
      </c>
      <c r="BZ426">
        <v>0</v>
      </c>
      <c r="CA426">
        <v>3488</v>
      </c>
      <c r="CB426">
        <v>216</v>
      </c>
      <c r="CC426">
        <v>583.59379999999999</v>
      </c>
      <c r="CD426">
        <v>1</v>
      </c>
      <c r="CE426">
        <v>1</v>
      </c>
      <c r="CF426">
        <v>0</v>
      </c>
      <c r="CG426">
        <v>1</v>
      </c>
      <c r="CH426">
        <v>0</v>
      </c>
      <c r="CI426">
        <v>0</v>
      </c>
      <c r="CJ426">
        <v>0</v>
      </c>
      <c r="CK426">
        <v>2</v>
      </c>
      <c r="CL426">
        <v>0</v>
      </c>
      <c r="CM426">
        <v>2</v>
      </c>
      <c r="CN426">
        <v>0</v>
      </c>
      <c r="CO426">
        <v>6</v>
      </c>
      <c r="CP426" t="s">
        <v>119</v>
      </c>
      <c r="CQ426">
        <v>145</v>
      </c>
      <c r="CR426">
        <v>1</v>
      </c>
      <c r="CW426">
        <v>8915745</v>
      </c>
      <c r="CY426">
        <v>0</v>
      </c>
      <c r="CZ426">
        <v>0</v>
      </c>
      <c r="DA426">
        <v>1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</row>
    <row r="427" spans="1:113" x14ac:dyDescent="0.3">
      <c r="A427" t="str">
        <f>"02/13/2022 18:37:47.405"</f>
        <v>02/13/2022 18:37:47.405</v>
      </c>
      <c r="C427" t="str">
        <f t="shared" si="42"/>
        <v>FFDFD7C0</v>
      </c>
      <c r="D427" t="s">
        <v>113</v>
      </c>
      <c r="E427">
        <v>3</v>
      </c>
      <c r="F427">
        <v>1003</v>
      </c>
      <c r="G427" t="s">
        <v>114</v>
      </c>
      <c r="J427" t="s">
        <v>115</v>
      </c>
      <c r="K427">
        <v>0</v>
      </c>
      <c r="L427">
        <v>3</v>
      </c>
      <c r="M427">
        <v>0</v>
      </c>
      <c r="N427">
        <v>2</v>
      </c>
      <c r="O427">
        <v>1</v>
      </c>
      <c r="P427">
        <v>0</v>
      </c>
      <c r="Q427">
        <v>0</v>
      </c>
      <c r="S427" t="str">
        <f>"18:37:47.148"</f>
        <v>18:37:47.148</v>
      </c>
      <c r="T427" t="str">
        <f>"18:37:46.848"</f>
        <v>18:37:46.848</v>
      </c>
      <c r="U427" t="str">
        <f t="shared" si="41"/>
        <v>AAB6EE</v>
      </c>
      <c r="V427">
        <v>0</v>
      </c>
      <c r="W427">
        <v>0</v>
      </c>
      <c r="X427">
        <v>4</v>
      </c>
      <c r="Z427">
        <v>0</v>
      </c>
      <c r="AA427">
        <v>8</v>
      </c>
      <c r="AB427">
        <v>3</v>
      </c>
      <c r="AC427">
        <v>0</v>
      </c>
      <c r="AD427">
        <v>10</v>
      </c>
      <c r="AE427">
        <v>0</v>
      </c>
      <c r="AF427">
        <v>0</v>
      </c>
      <c r="AG427">
        <v>1</v>
      </c>
      <c r="AH427">
        <v>1</v>
      </c>
      <c r="AI427" t="s">
        <v>405</v>
      </c>
      <c r="AJ427">
        <v>35.471871</v>
      </c>
      <c r="AK427" t="s">
        <v>406</v>
      </c>
      <c r="AL427">
        <v>-76.063564</v>
      </c>
      <c r="AM427">
        <v>25</v>
      </c>
      <c r="AN427">
        <v>3425</v>
      </c>
      <c r="AO427" t="s">
        <v>118</v>
      </c>
      <c r="AP427">
        <v>-93</v>
      </c>
      <c r="AQ427">
        <v>-189</v>
      </c>
      <c r="AR427">
        <v>0</v>
      </c>
      <c r="AZ427">
        <v>1200</v>
      </c>
      <c r="BA427">
        <v>1</v>
      </c>
      <c r="BB427" t="str">
        <f t="shared" si="44"/>
        <v xml:space="preserve">N79NX   </v>
      </c>
      <c r="BC427">
        <v>1</v>
      </c>
      <c r="BE427">
        <v>0</v>
      </c>
      <c r="BF427">
        <v>0</v>
      </c>
      <c r="BG427">
        <v>0</v>
      </c>
      <c r="BH427">
        <v>3300</v>
      </c>
      <c r="BI427">
        <v>0</v>
      </c>
      <c r="BJ427">
        <v>0</v>
      </c>
      <c r="BK427">
        <v>0</v>
      </c>
      <c r="BL427">
        <v>0</v>
      </c>
      <c r="BO427">
        <v>0</v>
      </c>
      <c r="BP427">
        <v>0</v>
      </c>
      <c r="BW427" t="str">
        <f>"18:37:47.150"</f>
        <v>18:37:47.150</v>
      </c>
      <c r="BZ427">
        <v>0</v>
      </c>
      <c r="CA427">
        <v>3488</v>
      </c>
      <c r="CB427">
        <v>216</v>
      </c>
      <c r="CC427">
        <v>583.59379999999999</v>
      </c>
      <c r="CD427">
        <v>1</v>
      </c>
      <c r="CE427">
        <v>1</v>
      </c>
      <c r="CF427">
        <v>0</v>
      </c>
      <c r="CG427">
        <v>1</v>
      </c>
      <c r="CH427">
        <v>0</v>
      </c>
      <c r="CI427">
        <v>0</v>
      </c>
      <c r="CJ427">
        <v>0</v>
      </c>
      <c r="CK427">
        <v>2</v>
      </c>
      <c r="CL427">
        <v>0</v>
      </c>
      <c r="CM427">
        <v>2</v>
      </c>
      <c r="CN427">
        <v>0</v>
      </c>
      <c r="CO427">
        <v>6</v>
      </c>
      <c r="CP427" t="s">
        <v>119</v>
      </c>
      <c r="CQ427">
        <v>145</v>
      </c>
      <c r="CR427">
        <v>1</v>
      </c>
      <c r="CW427">
        <v>8915745</v>
      </c>
      <c r="CY427">
        <v>0</v>
      </c>
      <c r="CZ427">
        <v>0</v>
      </c>
      <c r="DA427">
        <v>1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</row>
    <row r="428" spans="1:113" x14ac:dyDescent="0.3">
      <c r="A428" t="str">
        <f>"02/13/2022 18:37:48.311"</f>
        <v>02/13/2022 18:37:48.311</v>
      </c>
      <c r="C428" t="str">
        <f t="shared" si="42"/>
        <v>FFDFD7C0</v>
      </c>
      <c r="D428" t="s">
        <v>121</v>
      </c>
      <c r="E428">
        <v>2</v>
      </c>
      <c r="H428">
        <v>158</v>
      </c>
      <c r="I428" t="s">
        <v>120</v>
      </c>
      <c r="J428" t="s">
        <v>122</v>
      </c>
      <c r="K428">
        <v>0</v>
      </c>
      <c r="L428">
        <v>3</v>
      </c>
      <c r="M428">
        <v>0</v>
      </c>
      <c r="N428">
        <v>2</v>
      </c>
      <c r="O428">
        <v>1</v>
      </c>
      <c r="P428">
        <v>0</v>
      </c>
      <c r="Q428">
        <v>0</v>
      </c>
      <c r="S428" t="str">
        <f>"18:37:48.086"</f>
        <v>18:37:48.086</v>
      </c>
      <c r="T428" t="str">
        <f>"18:37:47.886"</f>
        <v>18:37:47.886</v>
      </c>
      <c r="U428" t="str">
        <f t="shared" si="41"/>
        <v>AAB6EE</v>
      </c>
      <c r="V428">
        <v>0</v>
      </c>
      <c r="W428">
        <v>0</v>
      </c>
      <c r="X428">
        <v>4</v>
      </c>
      <c r="Z428">
        <v>0</v>
      </c>
      <c r="AA428">
        <v>8</v>
      </c>
      <c r="AB428">
        <v>3</v>
      </c>
      <c r="AC428">
        <v>0</v>
      </c>
      <c r="AD428">
        <v>10</v>
      </c>
      <c r="AE428">
        <v>0</v>
      </c>
      <c r="AF428">
        <v>0</v>
      </c>
      <c r="AG428">
        <v>1</v>
      </c>
      <c r="AH428">
        <v>1</v>
      </c>
      <c r="AI428" t="s">
        <v>407</v>
      </c>
      <c r="AJ428">
        <v>35.471077000000001</v>
      </c>
      <c r="AK428" t="s">
        <v>408</v>
      </c>
      <c r="AL428">
        <v>-76.064014</v>
      </c>
      <c r="AM428">
        <v>25</v>
      </c>
      <c r="AN428">
        <v>3425</v>
      </c>
      <c r="AO428" t="s">
        <v>118</v>
      </c>
      <c r="AP428">
        <v>-93</v>
      </c>
      <c r="AQ428">
        <v>-189</v>
      </c>
      <c r="AR428">
        <v>0</v>
      </c>
      <c r="AZ428">
        <v>1200</v>
      </c>
      <c r="BA428">
        <v>1</v>
      </c>
      <c r="BB428" t="str">
        <f t="shared" si="44"/>
        <v xml:space="preserve">N79NX   </v>
      </c>
      <c r="BC428">
        <v>1</v>
      </c>
      <c r="BE428">
        <v>0</v>
      </c>
      <c r="BF428">
        <v>0</v>
      </c>
      <c r="BG428">
        <v>0</v>
      </c>
      <c r="BH428">
        <v>3275</v>
      </c>
      <c r="BI428">
        <v>0</v>
      </c>
      <c r="BJ428">
        <v>0</v>
      </c>
      <c r="BK428">
        <v>0</v>
      </c>
      <c r="BL428">
        <v>0</v>
      </c>
      <c r="BO428">
        <v>0</v>
      </c>
      <c r="BP428">
        <v>0</v>
      </c>
      <c r="BW428" t="str">
        <f>"18:37:48.090"</f>
        <v>18:37:48.090</v>
      </c>
      <c r="BZ428">
        <v>0</v>
      </c>
      <c r="CA428">
        <v>3488</v>
      </c>
      <c r="CB428">
        <v>216</v>
      </c>
      <c r="CC428">
        <v>583.59379999999999</v>
      </c>
      <c r="CD428">
        <v>1</v>
      </c>
      <c r="CE428">
        <v>1</v>
      </c>
      <c r="CF428">
        <v>0</v>
      </c>
      <c r="CG428">
        <v>1</v>
      </c>
      <c r="CH428">
        <v>0</v>
      </c>
      <c r="CI428">
        <v>0</v>
      </c>
      <c r="CJ428">
        <v>0</v>
      </c>
      <c r="CK428">
        <v>2</v>
      </c>
      <c r="CL428">
        <v>0</v>
      </c>
      <c r="CM428">
        <v>2</v>
      </c>
      <c r="CN428">
        <v>0</v>
      </c>
      <c r="CO428">
        <v>6</v>
      </c>
      <c r="CP428" t="s">
        <v>119</v>
      </c>
      <c r="CQ428">
        <v>145</v>
      </c>
      <c r="CR428">
        <v>1</v>
      </c>
      <c r="CW428">
        <v>8916233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</row>
    <row r="429" spans="1:113" x14ac:dyDescent="0.3">
      <c r="A429" t="str">
        <f>"02/13/2022 18:37:48.342"</f>
        <v>02/13/2022 18:37:48.342</v>
      </c>
      <c r="C429" t="str">
        <f t="shared" si="42"/>
        <v>FFDFD7C0</v>
      </c>
      <c r="D429" t="s">
        <v>113</v>
      </c>
      <c r="E429">
        <v>4</v>
      </c>
      <c r="F429">
        <v>1004</v>
      </c>
      <c r="G429" t="s">
        <v>120</v>
      </c>
      <c r="J429" t="s">
        <v>115</v>
      </c>
      <c r="K429">
        <v>0</v>
      </c>
      <c r="L429">
        <v>3</v>
      </c>
      <c r="M429">
        <v>0</v>
      </c>
      <c r="N429">
        <v>2</v>
      </c>
      <c r="O429">
        <v>1</v>
      </c>
      <c r="P429">
        <v>0</v>
      </c>
      <c r="Q429">
        <v>0</v>
      </c>
      <c r="S429" t="str">
        <f>"18:37:48.086"</f>
        <v>18:37:48.086</v>
      </c>
      <c r="T429" t="str">
        <f>"18:37:47.886"</f>
        <v>18:37:47.886</v>
      </c>
      <c r="U429" t="str">
        <f t="shared" si="41"/>
        <v>AAB6EE</v>
      </c>
      <c r="V429">
        <v>0</v>
      </c>
      <c r="W429">
        <v>0</v>
      </c>
      <c r="X429">
        <v>4</v>
      </c>
      <c r="Z429">
        <v>0</v>
      </c>
      <c r="AA429">
        <v>8</v>
      </c>
      <c r="AB429">
        <v>3</v>
      </c>
      <c r="AC429">
        <v>0</v>
      </c>
      <c r="AD429">
        <v>10</v>
      </c>
      <c r="AE429">
        <v>0</v>
      </c>
      <c r="AF429">
        <v>0</v>
      </c>
      <c r="AG429">
        <v>1</v>
      </c>
      <c r="AH429">
        <v>1</v>
      </c>
      <c r="AI429" t="s">
        <v>407</v>
      </c>
      <c r="AJ429">
        <v>35.471077000000001</v>
      </c>
      <c r="AK429" t="s">
        <v>408</v>
      </c>
      <c r="AL429">
        <v>-76.064014</v>
      </c>
      <c r="AM429">
        <v>25</v>
      </c>
      <c r="AN429">
        <v>3425</v>
      </c>
      <c r="AO429" t="s">
        <v>118</v>
      </c>
      <c r="AP429">
        <v>-93</v>
      </c>
      <c r="AQ429">
        <v>-189</v>
      </c>
      <c r="AR429">
        <v>0</v>
      </c>
      <c r="AZ429">
        <v>1200</v>
      </c>
      <c r="BA429">
        <v>1</v>
      </c>
      <c r="BB429" t="str">
        <f t="shared" si="44"/>
        <v xml:space="preserve">N79NX   </v>
      </c>
      <c r="BC429">
        <v>1</v>
      </c>
      <c r="BE429">
        <v>0</v>
      </c>
      <c r="BF429">
        <v>0</v>
      </c>
      <c r="BG429">
        <v>0</v>
      </c>
      <c r="BH429">
        <v>3275</v>
      </c>
      <c r="BI429">
        <v>0</v>
      </c>
      <c r="BJ429">
        <v>0</v>
      </c>
      <c r="BK429">
        <v>0</v>
      </c>
      <c r="BL429">
        <v>0</v>
      </c>
      <c r="BO429">
        <v>0</v>
      </c>
      <c r="BP429">
        <v>0</v>
      </c>
      <c r="BW429" t="str">
        <f>"18:37:48.090"</f>
        <v>18:37:48.090</v>
      </c>
      <c r="BZ429">
        <v>0</v>
      </c>
      <c r="CA429">
        <v>3488</v>
      </c>
      <c r="CB429">
        <v>216</v>
      </c>
      <c r="CC429">
        <v>583.59379999999999</v>
      </c>
      <c r="CD429">
        <v>1</v>
      </c>
      <c r="CE429">
        <v>1</v>
      </c>
      <c r="CF429">
        <v>0</v>
      </c>
      <c r="CG429">
        <v>1</v>
      </c>
      <c r="CH429">
        <v>0</v>
      </c>
      <c r="CI429">
        <v>0</v>
      </c>
      <c r="CJ429">
        <v>0</v>
      </c>
      <c r="CK429">
        <v>2</v>
      </c>
      <c r="CL429">
        <v>0</v>
      </c>
      <c r="CM429">
        <v>2</v>
      </c>
      <c r="CN429">
        <v>0</v>
      </c>
      <c r="CO429">
        <v>6</v>
      </c>
      <c r="CP429" t="s">
        <v>119</v>
      </c>
      <c r="CQ429">
        <v>145</v>
      </c>
      <c r="CR429">
        <v>1</v>
      </c>
      <c r="CW429">
        <v>8916233</v>
      </c>
      <c r="CY429">
        <v>0</v>
      </c>
      <c r="CZ429">
        <v>0</v>
      </c>
      <c r="DA429">
        <v>1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</row>
    <row r="430" spans="1:113" x14ac:dyDescent="0.3">
      <c r="A430" t="str">
        <f>"02/13/2022 18:37:48.342"</f>
        <v>02/13/2022 18:37:48.342</v>
      </c>
      <c r="C430" t="str">
        <f t="shared" si="42"/>
        <v>FFDFD7C0</v>
      </c>
      <c r="D430" t="s">
        <v>113</v>
      </c>
      <c r="E430">
        <v>3</v>
      </c>
      <c r="F430">
        <v>1003</v>
      </c>
      <c r="G430" t="s">
        <v>114</v>
      </c>
      <c r="J430" t="s">
        <v>115</v>
      </c>
      <c r="K430">
        <v>0</v>
      </c>
      <c r="L430">
        <v>3</v>
      </c>
      <c r="M430">
        <v>0</v>
      </c>
      <c r="N430">
        <v>2</v>
      </c>
      <c r="O430">
        <v>1</v>
      </c>
      <c r="P430">
        <v>0</v>
      </c>
      <c r="Q430">
        <v>0</v>
      </c>
      <c r="S430" t="str">
        <f>"18:37:48.086"</f>
        <v>18:37:48.086</v>
      </c>
      <c r="T430" t="str">
        <f>"18:37:47.886"</f>
        <v>18:37:47.886</v>
      </c>
      <c r="U430" t="str">
        <f t="shared" si="41"/>
        <v>AAB6EE</v>
      </c>
      <c r="V430">
        <v>0</v>
      </c>
      <c r="W430">
        <v>0</v>
      </c>
      <c r="X430">
        <v>4</v>
      </c>
      <c r="Z430">
        <v>0</v>
      </c>
      <c r="AA430">
        <v>8</v>
      </c>
      <c r="AB430">
        <v>3</v>
      </c>
      <c r="AC430">
        <v>0</v>
      </c>
      <c r="AD430">
        <v>10</v>
      </c>
      <c r="AE430">
        <v>0</v>
      </c>
      <c r="AF430">
        <v>0</v>
      </c>
      <c r="AG430">
        <v>1</v>
      </c>
      <c r="AH430">
        <v>1</v>
      </c>
      <c r="AI430" t="s">
        <v>407</v>
      </c>
      <c r="AJ430">
        <v>35.471077000000001</v>
      </c>
      <c r="AK430" t="s">
        <v>408</v>
      </c>
      <c r="AL430">
        <v>-76.064014</v>
      </c>
      <c r="AM430">
        <v>25</v>
      </c>
      <c r="AN430">
        <v>3425</v>
      </c>
      <c r="AO430" t="s">
        <v>118</v>
      </c>
      <c r="AP430">
        <v>-93</v>
      </c>
      <c r="AQ430">
        <v>-189</v>
      </c>
      <c r="AR430">
        <v>0</v>
      </c>
      <c r="AZ430">
        <v>1200</v>
      </c>
      <c r="BA430">
        <v>1</v>
      </c>
      <c r="BB430" t="str">
        <f t="shared" si="44"/>
        <v xml:space="preserve">N79NX   </v>
      </c>
      <c r="BC430">
        <v>1</v>
      </c>
      <c r="BE430">
        <v>0</v>
      </c>
      <c r="BF430">
        <v>0</v>
      </c>
      <c r="BG430">
        <v>0</v>
      </c>
      <c r="BH430">
        <v>3275</v>
      </c>
      <c r="BI430">
        <v>0</v>
      </c>
      <c r="BJ430">
        <v>0</v>
      </c>
      <c r="BK430">
        <v>0</v>
      </c>
      <c r="BL430">
        <v>0</v>
      </c>
      <c r="BO430">
        <v>0</v>
      </c>
      <c r="BP430">
        <v>0</v>
      </c>
      <c r="BW430" t="str">
        <f>"18:37:48.090"</f>
        <v>18:37:48.090</v>
      </c>
      <c r="BZ430">
        <v>0</v>
      </c>
      <c r="CA430">
        <v>3488</v>
      </c>
      <c r="CB430">
        <v>216</v>
      </c>
      <c r="CC430">
        <v>583.59379999999999</v>
      </c>
      <c r="CD430">
        <v>1</v>
      </c>
      <c r="CE430">
        <v>1</v>
      </c>
      <c r="CF430">
        <v>0</v>
      </c>
      <c r="CG430">
        <v>1</v>
      </c>
      <c r="CH430">
        <v>0</v>
      </c>
      <c r="CI430">
        <v>0</v>
      </c>
      <c r="CJ430">
        <v>0</v>
      </c>
      <c r="CK430">
        <v>2</v>
      </c>
      <c r="CL430">
        <v>0</v>
      </c>
      <c r="CM430">
        <v>2</v>
      </c>
      <c r="CN430">
        <v>0</v>
      </c>
      <c r="CO430">
        <v>6</v>
      </c>
      <c r="CP430" t="s">
        <v>119</v>
      </c>
      <c r="CQ430">
        <v>145</v>
      </c>
      <c r="CR430">
        <v>1</v>
      </c>
      <c r="CW430">
        <v>8916233</v>
      </c>
      <c r="CY430">
        <v>0</v>
      </c>
      <c r="CZ430">
        <v>0</v>
      </c>
      <c r="DA430">
        <v>1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</row>
    <row r="431" spans="1:113" x14ac:dyDescent="0.3">
      <c r="A431" t="str">
        <f>"02/13/2022 18:37:49.139"</f>
        <v>02/13/2022 18:37:49.139</v>
      </c>
      <c r="C431" t="str">
        <f t="shared" si="42"/>
        <v>FFDFD7C0</v>
      </c>
      <c r="D431" t="s">
        <v>113</v>
      </c>
      <c r="E431">
        <v>4</v>
      </c>
      <c r="F431">
        <v>1004</v>
      </c>
      <c r="G431" t="s">
        <v>120</v>
      </c>
      <c r="J431" t="s">
        <v>115</v>
      </c>
      <c r="K431">
        <v>0</v>
      </c>
      <c r="L431">
        <v>3</v>
      </c>
      <c r="M431">
        <v>0</v>
      </c>
      <c r="N431">
        <v>2</v>
      </c>
      <c r="O431">
        <v>1</v>
      </c>
      <c r="P431">
        <v>0</v>
      </c>
      <c r="Q431">
        <v>0</v>
      </c>
      <c r="S431" t="str">
        <f>"18:37:48.914"</f>
        <v>18:37:48.914</v>
      </c>
      <c r="T431" t="str">
        <f>"18:37:48.514"</f>
        <v>18:37:48.514</v>
      </c>
      <c r="U431" t="str">
        <f t="shared" si="41"/>
        <v>AAB6EE</v>
      </c>
      <c r="V431">
        <v>0</v>
      </c>
      <c r="W431">
        <v>0</v>
      </c>
      <c r="X431">
        <v>4</v>
      </c>
      <c r="Z431">
        <v>0</v>
      </c>
      <c r="AA431">
        <v>8</v>
      </c>
      <c r="AB431">
        <v>3</v>
      </c>
      <c r="AC431">
        <v>0</v>
      </c>
      <c r="AD431">
        <v>10</v>
      </c>
      <c r="AE431">
        <v>0</v>
      </c>
      <c r="AF431">
        <v>0</v>
      </c>
      <c r="AG431">
        <v>1</v>
      </c>
      <c r="AH431">
        <v>1</v>
      </c>
      <c r="AI431" t="s">
        <v>409</v>
      </c>
      <c r="AJ431">
        <v>35.470283000000002</v>
      </c>
      <c r="AK431" t="s">
        <v>410</v>
      </c>
      <c r="AL431">
        <v>-76.064464999999998</v>
      </c>
      <c r="AM431">
        <v>25</v>
      </c>
      <c r="AN431">
        <v>3450</v>
      </c>
      <c r="AO431" t="s">
        <v>118</v>
      </c>
      <c r="AP431">
        <v>-93</v>
      </c>
      <c r="AQ431">
        <v>-189</v>
      </c>
      <c r="AR431">
        <v>0</v>
      </c>
      <c r="AZ431">
        <v>1200</v>
      </c>
      <c r="BA431">
        <v>1</v>
      </c>
      <c r="BB431" t="str">
        <f t="shared" si="44"/>
        <v xml:space="preserve">N79NX   </v>
      </c>
      <c r="BC431">
        <v>1</v>
      </c>
      <c r="BE431">
        <v>0</v>
      </c>
      <c r="BF431">
        <v>0</v>
      </c>
      <c r="BG431">
        <v>0</v>
      </c>
      <c r="BH431">
        <v>3300</v>
      </c>
      <c r="BI431">
        <v>0</v>
      </c>
      <c r="BJ431">
        <v>0</v>
      </c>
      <c r="BK431">
        <v>0</v>
      </c>
      <c r="BL431">
        <v>0</v>
      </c>
      <c r="BO431">
        <v>0</v>
      </c>
      <c r="BP431">
        <v>0</v>
      </c>
      <c r="BW431" t="str">
        <f>"18:37:48.920"</f>
        <v>18:37:48.920</v>
      </c>
      <c r="BZ431">
        <v>0</v>
      </c>
      <c r="CA431">
        <v>3488</v>
      </c>
      <c r="CB431">
        <v>216</v>
      </c>
      <c r="CC431">
        <v>583.59379999999999</v>
      </c>
      <c r="CD431">
        <v>1</v>
      </c>
      <c r="CE431">
        <v>1</v>
      </c>
      <c r="CF431">
        <v>0</v>
      </c>
      <c r="CG431">
        <v>1</v>
      </c>
      <c r="CH431">
        <v>0</v>
      </c>
      <c r="CI431">
        <v>0</v>
      </c>
      <c r="CJ431">
        <v>0</v>
      </c>
      <c r="CK431">
        <v>2</v>
      </c>
      <c r="CL431">
        <v>0</v>
      </c>
      <c r="CM431">
        <v>2</v>
      </c>
      <c r="CN431">
        <v>0</v>
      </c>
      <c r="CO431">
        <v>6</v>
      </c>
      <c r="CP431" t="s">
        <v>119</v>
      </c>
      <c r="CQ431">
        <v>145</v>
      </c>
      <c r="CR431">
        <v>1</v>
      </c>
      <c r="CW431">
        <v>8916643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</row>
    <row r="432" spans="1:113" x14ac:dyDescent="0.3">
      <c r="A432" t="str">
        <f>"02/13/2022 18:37:49.139"</f>
        <v>02/13/2022 18:37:49.139</v>
      </c>
      <c r="C432" t="str">
        <f t="shared" si="42"/>
        <v>FFDFD7C0</v>
      </c>
      <c r="D432" t="s">
        <v>113</v>
      </c>
      <c r="E432">
        <v>3</v>
      </c>
      <c r="F432">
        <v>1003</v>
      </c>
      <c r="G432" t="s">
        <v>114</v>
      </c>
      <c r="J432" t="s">
        <v>115</v>
      </c>
      <c r="K432">
        <v>0</v>
      </c>
      <c r="L432">
        <v>3</v>
      </c>
      <c r="M432">
        <v>0</v>
      </c>
      <c r="N432">
        <v>2</v>
      </c>
      <c r="O432">
        <v>1</v>
      </c>
      <c r="P432">
        <v>0</v>
      </c>
      <c r="Q432">
        <v>0</v>
      </c>
      <c r="S432" t="str">
        <f>"18:37:48.914"</f>
        <v>18:37:48.914</v>
      </c>
      <c r="T432" t="str">
        <f>"18:37:48.514"</f>
        <v>18:37:48.514</v>
      </c>
      <c r="U432" t="str">
        <f t="shared" si="41"/>
        <v>AAB6EE</v>
      </c>
      <c r="V432">
        <v>0</v>
      </c>
      <c r="W432">
        <v>0</v>
      </c>
      <c r="X432">
        <v>4</v>
      </c>
      <c r="Z432">
        <v>0</v>
      </c>
      <c r="AA432">
        <v>8</v>
      </c>
      <c r="AB432">
        <v>3</v>
      </c>
      <c r="AC432">
        <v>0</v>
      </c>
      <c r="AD432">
        <v>10</v>
      </c>
      <c r="AE432">
        <v>0</v>
      </c>
      <c r="AF432">
        <v>0</v>
      </c>
      <c r="AG432">
        <v>1</v>
      </c>
      <c r="AH432">
        <v>1</v>
      </c>
      <c r="AI432" t="s">
        <v>409</v>
      </c>
      <c r="AJ432">
        <v>35.470283000000002</v>
      </c>
      <c r="AK432" t="s">
        <v>410</v>
      </c>
      <c r="AL432">
        <v>-76.064464999999998</v>
      </c>
      <c r="AM432">
        <v>25</v>
      </c>
      <c r="AN432">
        <v>3450</v>
      </c>
      <c r="AO432" t="s">
        <v>118</v>
      </c>
      <c r="AP432">
        <v>-93</v>
      </c>
      <c r="AQ432">
        <v>-189</v>
      </c>
      <c r="AR432">
        <v>0</v>
      </c>
      <c r="AZ432">
        <v>1200</v>
      </c>
      <c r="BA432">
        <v>1</v>
      </c>
      <c r="BB432" t="str">
        <f t="shared" si="44"/>
        <v xml:space="preserve">N79NX   </v>
      </c>
      <c r="BC432">
        <v>1</v>
      </c>
      <c r="BE432">
        <v>0</v>
      </c>
      <c r="BF432">
        <v>0</v>
      </c>
      <c r="BG432">
        <v>0</v>
      </c>
      <c r="BH432">
        <v>3300</v>
      </c>
      <c r="BI432">
        <v>0</v>
      </c>
      <c r="BJ432">
        <v>0</v>
      </c>
      <c r="BK432">
        <v>0</v>
      </c>
      <c r="BL432">
        <v>0</v>
      </c>
      <c r="BO432">
        <v>0</v>
      </c>
      <c r="BP432">
        <v>0</v>
      </c>
      <c r="BW432" t="str">
        <f>"18:37:48.920"</f>
        <v>18:37:48.920</v>
      </c>
      <c r="BZ432">
        <v>0</v>
      </c>
      <c r="CA432">
        <v>3488</v>
      </c>
      <c r="CB432">
        <v>216</v>
      </c>
      <c r="CC432">
        <v>583.59379999999999</v>
      </c>
      <c r="CD432">
        <v>1</v>
      </c>
      <c r="CE432">
        <v>1</v>
      </c>
      <c r="CF432">
        <v>0</v>
      </c>
      <c r="CG432">
        <v>1</v>
      </c>
      <c r="CH432">
        <v>0</v>
      </c>
      <c r="CI432">
        <v>0</v>
      </c>
      <c r="CJ432">
        <v>0</v>
      </c>
      <c r="CK432">
        <v>2</v>
      </c>
      <c r="CL432">
        <v>0</v>
      </c>
      <c r="CM432">
        <v>2</v>
      </c>
      <c r="CN432">
        <v>0</v>
      </c>
      <c r="CO432">
        <v>6</v>
      </c>
      <c r="CP432" t="s">
        <v>119</v>
      </c>
      <c r="CQ432">
        <v>145</v>
      </c>
      <c r="CR432">
        <v>1</v>
      </c>
      <c r="CW432">
        <v>8916643</v>
      </c>
      <c r="CY432">
        <v>0</v>
      </c>
      <c r="CZ432">
        <v>0</v>
      </c>
      <c r="DA432">
        <v>1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</row>
    <row r="433" spans="1:113" x14ac:dyDescent="0.3">
      <c r="A433" t="str">
        <f>"02/13/2022 18:37:49.139"</f>
        <v>02/13/2022 18:37:49.139</v>
      </c>
      <c r="C433" t="str">
        <f t="shared" si="42"/>
        <v>FFDFD7C0</v>
      </c>
      <c r="D433" t="s">
        <v>121</v>
      </c>
      <c r="E433">
        <v>2</v>
      </c>
      <c r="H433">
        <v>158</v>
      </c>
      <c r="I433" t="s">
        <v>120</v>
      </c>
      <c r="J433" t="s">
        <v>122</v>
      </c>
      <c r="K433">
        <v>0</v>
      </c>
      <c r="L433">
        <v>3</v>
      </c>
      <c r="M433">
        <v>0</v>
      </c>
      <c r="N433">
        <v>2</v>
      </c>
      <c r="O433">
        <v>1</v>
      </c>
      <c r="P433">
        <v>0</v>
      </c>
      <c r="Q433">
        <v>0</v>
      </c>
      <c r="S433" t="str">
        <f>"18:37:48.914"</f>
        <v>18:37:48.914</v>
      </c>
      <c r="T433" t="str">
        <f>"18:37:48.514"</f>
        <v>18:37:48.514</v>
      </c>
      <c r="U433" t="str">
        <f t="shared" si="41"/>
        <v>AAB6EE</v>
      </c>
      <c r="V433">
        <v>0</v>
      </c>
      <c r="W433">
        <v>0</v>
      </c>
      <c r="X433">
        <v>4</v>
      </c>
      <c r="Z433">
        <v>0</v>
      </c>
      <c r="AA433">
        <v>8</v>
      </c>
      <c r="AB433">
        <v>3</v>
      </c>
      <c r="AC433">
        <v>0</v>
      </c>
      <c r="AD433">
        <v>10</v>
      </c>
      <c r="AE433">
        <v>0</v>
      </c>
      <c r="AF433">
        <v>0</v>
      </c>
      <c r="AG433">
        <v>1</v>
      </c>
      <c r="AH433">
        <v>1</v>
      </c>
      <c r="AI433" t="s">
        <v>409</v>
      </c>
      <c r="AJ433">
        <v>35.470283000000002</v>
      </c>
      <c r="AK433" t="s">
        <v>410</v>
      </c>
      <c r="AL433">
        <v>-76.064464999999998</v>
      </c>
      <c r="AM433">
        <v>25</v>
      </c>
      <c r="AN433">
        <v>3450</v>
      </c>
      <c r="AO433" t="s">
        <v>118</v>
      </c>
      <c r="AP433">
        <v>-93</v>
      </c>
      <c r="AQ433">
        <v>-189</v>
      </c>
      <c r="AR433">
        <v>0</v>
      </c>
      <c r="AZ433">
        <v>1200</v>
      </c>
      <c r="BA433">
        <v>1</v>
      </c>
      <c r="BB433" t="str">
        <f t="shared" si="44"/>
        <v xml:space="preserve">N79NX   </v>
      </c>
      <c r="BC433">
        <v>1</v>
      </c>
      <c r="BE433">
        <v>0</v>
      </c>
      <c r="BF433">
        <v>0</v>
      </c>
      <c r="BG433">
        <v>0</v>
      </c>
      <c r="BH433">
        <v>3300</v>
      </c>
      <c r="BI433">
        <v>0</v>
      </c>
      <c r="BJ433">
        <v>0</v>
      </c>
      <c r="BK433">
        <v>0</v>
      </c>
      <c r="BL433">
        <v>0</v>
      </c>
      <c r="BO433">
        <v>0</v>
      </c>
      <c r="BP433">
        <v>0</v>
      </c>
      <c r="BW433" t="str">
        <f>"18:37:48.920"</f>
        <v>18:37:48.920</v>
      </c>
      <c r="BZ433">
        <v>0</v>
      </c>
      <c r="CA433">
        <v>3488</v>
      </c>
      <c r="CB433">
        <v>216</v>
      </c>
      <c r="CC433">
        <v>583.59379999999999</v>
      </c>
      <c r="CD433">
        <v>1</v>
      </c>
      <c r="CE433">
        <v>1</v>
      </c>
      <c r="CF433">
        <v>0</v>
      </c>
      <c r="CG433">
        <v>1</v>
      </c>
      <c r="CH433">
        <v>0</v>
      </c>
      <c r="CI433">
        <v>0</v>
      </c>
      <c r="CJ433">
        <v>0</v>
      </c>
      <c r="CK433">
        <v>2</v>
      </c>
      <c r="CL433">
        <v>0</v>
      </c>
      <c r="CM433">
        <v>2</v>
      </c>
      <c r="CN433">
        <v>0</v>
      </c>
      <c r="CO433">
        <v>6</v>
      </c>
      <c r="CP433" t="s">
        <v>119</v>
      </c>
      <c r="CQ433">
        <v>145</v>
      </c>
      <c r="CR433">
        <v>1</v>
      </c>
      <c r="CW433">
        <v>8916643</v>
      </c>
      <c r="CY433">
        <v>0</v>
      </c>
      <c r="CZ433">
        <v>0</v>
      </c>
      <c r="DA433">
        <v>1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</row>
    <row r="434" spans="1:113" x14ac:dyDescent="0.3">
      <c r="A434" t="str">
        <f>"02/13/2022 18:37:50.173"</f>
        <v>02/13/2022 18:37:50.173</v>
      </c>
      <c r="C434" t="str">
        <f t="shared" si="42"/>
        <v>FFDFD7C0</v>
      </c>
      <c r="D434" t="s">
        <v>121</v>
      </c>
      <c r="E434">
        <v>2</v>
      </c>
      <c r="H434">
        <v>158</v>
      </c>
      <c r="I434" t="s">
        <v>120</v>
      </c>
      <c r="J434" t="s">
        <v>122</v>
      </c>
      <c r="K434">
        <v>0</v>
      </c>
      <c r="L434">
        <v>3</v>
      </c>
      <c r="M434">
        <v>0</v>
      </c>
      <c r="N434">
        <v>2</v>
      </c>
      <c r="O434">
        <v>1</v>
      </c>
      <c r="P434">
        <v>0</v>
      </c>
      <c r="Q434">
        <v>0</v>
      </c>
      <c r="S434" t="str">
        <f t="shared" ref="S434:T436" si="46">"18:37:49.969"</f>
        <v>18:37:49.969</v>
      </c>
      <c r="T434" t="str">
        <f t="shared" si="46"/>
        <v>18:37:49.969</v>
      </c>
      <c r="U434" t="str">
        <f t="shared" si="41"/>
        <v>AAB6EE</v>
      </c>
      <c r="V434">
        <v>0</v>
      </c>
      <c r="W434">
        <v>0</v>
      </c>
      <c r="X434">
        <v>4</v>
      </c>
      <c r="Z434">
        <v>0</v>
      </c>
      <c r="AA434">
        <v>8</v>
      </c>
      <c r="AB434">
        <v>3</v>
      </c>
      <c r="AC434">
        <v>0</v>
      </c>
      <c r="AD434">
        <v>10</v>
      </c>
      <c r="AE434">
        <v>0</v>
      </c>
      <c r="AF434">
        <v>0</v>
      </c>
      <c r="AG434">
        <v>1</v>
      </c>
      <c r="AH434">
        <v>1</v>
      </c>
      <c r="AI434" t="s">
        <v>411</v>
      </c>
      <c r="AJ434">
        <v>35.469403</v>
      </c>
      <c r="AK434" t="s">
        <v>412</v>
      </c>
      <c r="AL434">
        <v>-76.064980000000006</v>
      </c>
      <c r="AM434">
        <v>25</v>
      </c>
      <c r="AN434">
        <v>3425</v>
      </c>
      <c r="AO434" t="s">
        <v>118</v>
      </c>
      <c r="AP434">
        <v>-93</v>
      </c>
      <c r="AQ434">
        <v>-189</v>
      </c>
      <c r="AR434">
        <v>0</v>
      </c>
      <c r="AZ434">
        <v>1200</v>
      </c>
      <c r="BA434">
        <v>1</v>
      </c>
      <c r="BB434" t="str">
        <f t="shared" si="44"/>
        <v xml:space="preserve">N79NX   </v>
      </c>
      <c r="BC434">
        <v>1</v>
      </c>
      <c r="BE434">
        <v>0</v>
      </c>
      <c r="BF434">
        <v>0</v>
      </c>
      <c r="BG434">
        <v>0</v>
      </c>
      <c r="BH434">
        <v>3325</v>
      </c>
      <c r="BI434">
        <v>0</v>
      </c>
      <c r="BJ434">
        <v>0</v>
      </c>
      <c r="BK434">
        <v>0</v>
      </c>
      <c r="BL434">
        <v>0</v>
      </c>
      <c r="BO434">
        <v>0</v>
      </c>
      <c r="BP434">
        <v>0</v>
      </c>
      <c r="BW434" t="str">
        <f>"18:37:49.970"</f>
        <v>18:37:49.970</v>
      </c>
      <c r="BZ434">
        <v>0</v>
      </c>
      <c r="CA434">
        <v>3488</v>
      </c>
      <c r="CB434">
        <v>216</v>
      </c>
      <c r="CC434">
        <v>583.59379999999999</v>
      </c>
      <c r="CD434">
        <v>1</v>
      </c>
      <c r="CE434">
        <v>1</v>
      </c>
      <c r="CF434">
        <v>0</v>
      </c>
      <c r="CG434">
        <v>1</v>
      </c>
      <c r="CH434">
        <v>0</v>
      </c>
      <c r="CI434">
        <v>0</v>
      </c>
      <c r="CJ434">
        <v>0</v>
      </c>
      <c r="CK434">
        <v>2</v>
      </c>
      <c r="CL434">
        <v>0</v>
      </c>
      <c r="CM434">
        <v>2</v>
      </c>
      <c r="CN434">
        <v>0</v>
      </c>
      <c r="CO434">
        <v>6</v>
      </c>
      <c r="CP434" t="s">
        <v>119</v>
      </c>
      <c r="CQ434">
        <v>145</v>
      </c>
      <c r="CR434">
        <v>1</v>
      </c>
      <c r="CW434">
        <v>8917073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</row>
    <row r="435" spans="1:113" x14ac:dyDescent="0.3">
      <c r="A435" t="str">
        <f>"02/13/2022 18:37:50.173"</f>
        <v>02/13/2022 18:37:50.173</v>
      </c>
      <c r="C435" t="str">
        <f t="shared" si="42"/>
        <v>FFDFD7C0</v>
      </c>
      <c r="D435" t="s">
        <v>113</v>
      </c>
      <c r="E435">
        <v>4</v>
      </c>
      <c r="F435">
        <v>1004</v>
      </c>
      <c r="G435" t="s">
        <v>120</v>
      </c>
      <c r="J435" t="s">
        <v>115</v>
      </c>
      <c r="K435">
        <v>0</v>
      </c>
      <c r="L435">
        <v>3</v>
      </c>
      <c r="M435">
        <v>0</v>
      </c>
      <c r="N435">
        <v>2</v>
      </c>
      <c r="O435">
        <v>1</v>
      </c>
      <c r="P435">
        <v>0</v>
      </c>
      <c r="Q435">
        <v>0</v>
      </c>
      <c r="S435" t="str">
        <f t="shared" si="46"/>
        <v>18:37:49.969</v>
      </c>
      <c r="T435" t="str">
        <f t="shared" si="46"/>
        <v>18:37:49.969</v>
      </c>
      <c r="U435" t="str">
        <f t="shared" si="41"/>
        <v>AAB6EE</v>
      </c>
      <c r="V435">
        <v>0</v>
      </c>
      <c r="W435">
        <v>0</v>
      </c>
      <c r="X435">
        <v>4</v>
      </c>
      <c r="Z435">
        <v>0</v>
      </c>
      <c r="AA435">
        <v>8</v>
      </c>
      <c r="AB435">
        <v>3</v>
      </c>
      <c r="AC435">
        <v>0</v>
      </c>
      <c r="AD435">
        <v>10</v>
      </c>
      <c r="AE435">
        <v>0</v>
      </c>
      <c r="AF435">
        <v>0</v>
      </c>
      <c r="AG435">
        <v>1</v>
      </c>
      <c r="AH435">
        <v>1</v>
      </c>
      <c r="AI435" t="s">
        <v>411</v>
      </c>
      <c r="AJ435">
        <v>35.469403</v>
      </c>
      <c r="AK435" t="s">
        <v>412</v>
      </c>
      <c r="AL435">
        <v>-76.064980000000006</v>
      </c>
      <c r="AM435">
        <v>25</v>
      </c>
      <c r="AN435">
        <v>3425</v>
      </c>
      <c r="AO435" t="s">
        <v>118</v>
      </c>
      <c r="AP435">
        <v>-93</v>
      </c>
      <c r="AQ435">
        <v>-189</v>
      </c>
      <c r="AR435">
        <v>0</v>
      </c>
      <c r="AZ435">
        <v>1200</v>
      </c>
      <c r="BA435">
        <v>1</v>
      </c>
      <c r="BB435" t="str">
        <f t="shared" si="44"/>
        <v xml:space="preserve">N79NX   </v>
      </c>
      <c r="BC435">
        <v>1</v>
      </c>
      <c r="BE435">
        <v>0</v>
      </c>
      <c r="BF435">
        <v>0</v>
      </c>
      <c r="BG435">
        <v>0</v>
      </c>
      <c r="BH435">
        <v>3325</v>
      </c>
      <c r="BI435">
        <v>0</v>
      </c>
      <c r="BJ435">
        <v>0</v>
      </c>
      <c r="BK435">
        <v>0</v>
      </c>
      <c r="BL435">
        <v>0</v>
      </c>
      <c r="BO435">
        <v>0</v>
      </c>
      <c r="BP435">
        <v>0</v>
      </c>
      <c r="BW435" t="str">
        <f>"18:37:49.970"</f>
        <v>18:37:49.970</v>
      </c>
      <c r="BZ435">
        <v>0</v>
      </c>
      <c r="CA435">
        <v>3488</v>
      </c>
      <c r="CB435">
        <v>216</v>
      </c>
      <c r="CC435">
        <v>583.59379999999999</v>
      </c>
      <c r="CD435">
        <v>1</v>
      </c>
      <c r="CE435">
        <v>1</v>
      </c>
      <c r="CF435">
        <v>0</v>
      </c>
      <c r="CG435">
        <v>1</v>
      </c>
      <c r="CH435">
        <v>0</v>
      </c>
      <c r="CI435">
        <v>0</v>
      </c>
      <c r="CJ435">
        <v>0</v>
      </c>
      <c r="CK435">
        <v>2</v>
      </c>
      <c r="CL435">
        <v>0</v>
      </c>
      <c r="CM435">
        <v>2</v>
      </c>
      <c r="CN435">
        <v>0</v>
      </c>
      <c r="CO435">
        <v>6</v>
      </c>
      <c r="CP435" t="s">
        <v>119</v>
      </c>
      <c r="CQ435">
        <v>145</v>
      </c>
      <c r="CR435">
        <v>1</v>
      </c>
      <c r="CW435">
        <v>8917073</v>
      </c>
      <c r="CY435">
        <v>0</v>
      </c>
      <c r="CZ435">
        <v>0</v>
      </c>
      <c r="DA435">
        <v>1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</row>
    <row r="436" spans="1:113" x14ac:dyDescent="0.3">
      <c r="A436" t="str">
        <f>"02/13/2022 18:37:50.173"</f>
        <v>02/13/2022 18:37:50.173</v>
      </c>
      <c r="C436" t="str">
        <f t="shared" si="42"/>
        <v>FFDFD7C0</v>
      </c>
      <c r="D436" t="s">
        <v>113</v>
      </c>
      <c r="E436">
        <v>3</v>
      </c>
      <c r="F436">
        <v>1003</v>
      </c>
      <c r="G436" t="s">
        <v>114</v>
      </c>
      <c r="J436" t="s">
        <v>115</v>
      </c>
      <c r="K436">
        <v>0</v>
      </c>
      <c r="L436">
        <v>3</v>
      </c>
      <c r="M436">
        <v>0</v>
      </c>
      <c r="N436">
        <v>2</v>
      </c>
      <c r="O436">
        <v>1</v>
      </c>
      <c r="P436">
        <v>0</v>
      </c>
      <c r="Q436">
        <v>0</v>
      </c>
      <c r="S436" t="str">
        <f t="shared" si="46"/>
        <v>18:37:49.969</v>
      </c>
      <c r="T436" t="str">
        <f t="shared" si="46"/>
        <v>18:37:49.969</v>
      </c>
      <c r="U436" t="str">
        <f t="shared" si="41"/>
        <v>AAB6EE</v>
      </c>
      <c r="V436">
        <v>0</v>
      </c>
      <c r="W436">
        <v>0</v>
      </c>
      <c r="X436">
        <v>4</v>
      </c>
      <c r="Z436">
        <v>0</v>
      </c>
      <c r="AA436">
        <v>8</v>
      </c>
      <c r="AB436">
        <v>3</v>
      </c>
      <c r="AC436">
        <v>0</v>
      </c>
      <c r="AD436">
        <v>10</v>
      </c>
      <c r="AE436">
        <v>0</v>
      </c>
      <c r="AF436">
        <v>0</v>
      </c>
      <c r="AG436">
        <v>1</v>
      </c>
      <c r="AH436">
        <v>1</v>
      </c>
      <c r="AI436" t="s">
        <v>411</v>
      </c>
      <c r="AJ436">
        <v>35.469403</v>
      </c>
      <c r="AK436" t="s">
        <v>412</v>
      </c>
      <c r="AL436">
        <v>-76.064980000000006</v>
      </c>
      <c r="AM436">
        <v>25</v>
      </c>
      <c r="AN436">
        <v>3425</v>
      </c>
      <c r="AO436" t="s">
        <v>118</v>
      </c>
      <c r="AP436">
        <v>-93</v>
      </c>
      <c r="AQ436">
        <v>-189</v>
      </c>
      <c r="AR436">
        <v>0</v>
      </c>
      <c r="AZ436">
        <v>1200</v>
      </c>
      <c r="BA436">
        <v>1</v>
      </c>
      <c r="BB436" t="str">
        <f t="shared" si="44"/>
        <v xml:space="preserve">N79NX   </v>
      </c>
      <c r="BC436">
        <v>1</v>
      </c>
      <c r="BE436">
        <v>0</v>
      </c>
      <c r="BF436">
        <v>0</v>
      </c>
      <c r="BG436">
        <v>0</v>
      </c>
      <c r="BH436">
        <v>3325</v>
      </c>
      <c r="BI436">
        <v>0</v>
      </c>
      <c r="BJ436">
        <v>0</v>
      </c>
      <c r="BK436">
        <v>0</v>
      </c>
      <c r="BL436">
        <v>0</v>
      </c>
      <c r="BO436">
        <v>0</v>
      </c>
      <c r="BP436">
        <v>0</v>
      </c>
      <c r="BW436" t="str">
        <f>"18:37:49.970"</f>
        <v>18:37:49.970</v>
      </c>
      <c r="BZ436">
        <v>0</v>
      </c>
      <c r="CA436">
        <v>3488</v>
      </c>
      <c r="CB436">
        <v>216</v>
      </c>
      <c r="CC436">
        <v>583.59379999999999</v>
      </c>
      <c r="CD436">
        <v>1</v>
      </c>
      <c r="CE436">
        <v>1</v>
      </c>
      <c r="CF436">
        <v>0</v>
      </c>
      <c r="CG436">
        <v>1</v>
      </c>
      <c r="CH436">
        <v>0</v>
      </c>
      <c r="CI436">
        <v>0</v>
      </c>
      <c r="CJ436">
        <v>0</v>
      </c>
      <c r="CK436">
        <v>2</v>
      </c>
      <c r="CL436">
        <v>0</v>
      </c>
      <c r="CM436">
        <v>2</v>
      </c>
      <c r="CN436">
        <v>0</v>
      </c>
      <c r="CO436">
        <v>6</v>
      </c>
      <c r="CP436" t="s">
        <v>119</v>
      </c>
      <c r="CQ436">
        <v>145</v>
      </c>
      <c r="CR436">
        <v>1</v>
      </c>
      <c r="CW436">
        <v>8917073</v>
      </c>
      <c r="CY436">
        <v>0</v>
      </c>
      <c r="CZ436">
        <v>0</v>
      </c>
      <c r="DA436">
        <v>1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</row>
    <row r="437" spans="1:113" x14ac:dyDescent="0.3">
      <c r="A437" t="str">
        <f>"02/13/2022 18:37:51.267"</f>
        <v>02/13/2022 18:37:51.267</v>
      </c>
      <c r="C437" t="str">
        <f t="shared" si="42"/>
        <v>FFDFD7C0</v>
      </c>
      <c r="D437" t="s">
        <v>121</v>
      </c>
      <c r="E437">
        <v>2</v>
      </c>
      <c r="H437">
        <v>158</v>
      </c>
      <c r="I437" t="s">
        <v>120</v>
      </c>
      <c r="J437" t="s">
        <v>122</v>
      </c>
      <c r="K437">
        <v>0</v>
      </c>
      <c r="L437">
        <v>3</v>
      </c>
      <c r="M437">
        <v>0</v>
      </c>
      <c r="N437">
        <v>2</v>
      </c>
      <c r="O437">
        <v>1</v>
      </c>
      <c r="P437">
        <v>0</v>
      </c>
      <c r="Q437">
        <v>0</v>
      </c>
      <c r="S437" t="str">
        <f>"18:37:51.047"</f>
        <v>18:37:51.047</v>
      </c>
      <c r="T437" t="str">
        <f>"18:37:50.947"</f>
        <v>18:37:50.947</v>
      </c>
      <c r="U437" t="str">
        <f t="shared" si="41"/>
        <v>AAB6EE</v>
      </c>
      <c r="V437">
        <v>0</v>
      </c>
      <c r="W437">
        <v>0</v>
      </c>
      <c r="X437">
        <v>4</v>
      </c>
      <c r="Z437">
        <v>0</v>
      </c>
      <c r="AA437">
        <v>8</v>
      </c>
      <c r="AB437">
        <v>3</v>
      </c>
      <c r="AC437">
        <v>0</v>
      </c>
      <c r="AD437">
        <v>10</v>
      </c>
      <c r="AE437">
        <v>0</v>
      </c>
      <c r="AF437">
        <v>0</v>
      </c>
      <c r="AG437">
        <v>1</v>
      </c>
      <c r="AH437">
        <v>1</v>
      </c>
      <c r="AI437" t="s">
        <v>413</v>
      </c>
      <c r="AJ437">
        <v>35.468437999999999</v>
      </c>
      <c r="AK437" t="s">
        <v>414</v>
      </c>
      <c r="AL437">
        <v>-76.065601999999998</v>
      </c>
      <c r="AM437">
        <v>25</v>
      </c>
      <c r="AN437">
        <v>3425</v>
      </c>
      <c r="AO437" t="s">
        <v>118</v>
      </c>
      <c r="AP437">
        <v>-93</v>
      </c>
      <c r="AQ437">
        <v>-190</v>
      </c>
      <c r="AR437">
        <v>0</v>
      </c>
      <c r="AZ437">
        <v>1200</v>
      </c>
      <c r="BA437">
        <v>1</v>
      </c>
      <c r="BB437" t="str">
        <f t="shared" si="44"/>
        <v xml:space="preserve">N79NX   </v>
      </c>
      <c r="BC437">
        <v>1</v>
      </c>
      <c r="BE437">
        <v>0</v>
      </c>
      <c r="BF437">
        <v>0</v>
      </c>
      <c r="BG437">
        <v>0</v>
      </c>
      <c r="BH437">
        <v>3275</v>
      </c>
      <c r="BI437">
        <v>0</v>
      </c>
      <c r="BJ437">
        <v>0</v>
      </c>
      <c r="BK437">
        <v>0</v>
      </c>
      <c r="BL437">
        <v>0</v>
      </c>
      <c r="BO437">
        <v>0</v>
      </c>
      <c r="BP437">
        <v>0</v>
      </c>
      <c r="BW437" t="str">
        <f>"18:37:51.050"</f>
        <v>18:37:51.050</v>
      </c>
      <c r="BZ437">
        <v>0</v>
      </c>
      <c r="CA437">
        <v>3488</v>
      </c>
      <c r="CB437">
        <v>216</v>
      </c>
      <c r="CC437">
        <v>583.59379999999999</v>
      </c>
      <c r="CD437">
        <v>1</v>
      </c>
      <c r="CE437">
        <v>1</v>
      </c>
      <c r="CF437">
        <v>0</v>
      </c>
      <c r="CG437">
        <v>1</v>
      </c>
      <c r="CH437">
        <v>0</v>
      </c>
      <c r="CI437">
        <v>0</v>
      </c>
      <c r="CJ437">
        <v>0</v>
      </c>
      <c r="CK437">
        <v>2</v>
      </c>
      <c r="CL437">
        <v>0</v>
      </c>
      <c r="CM437">
        <v>2</v>
      </c>
      <c r="CN437">
        <v>0</v>
      </c>
      <c r="CO437">
        <v>6</v>
      </c>
      <c r="CP437" t="s">
        <v>119</v>
      </c>
      <c r="CQ437">
        <v>145</v>
      </c>
      <c r="CR437">
        <v>1</v>
      </c>
      <c r="CW437">
        <v>8917549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</row>
    <row r="438" spans="1:113" x14ac:dyDescent="0.3">
      <c r="A438" t="str">
        <f>"02/13/2022 18:37:51.283"</f>
        <v>02/13/2022 18:37:51.283</v>
      </c>
      <c r="C438" t="str">
        <f t="shared" si="42"/>
        <v>FFDFD7C0</v>
      </c>
      <c r="D438" t="s">
        <v>113</v>
      </c>
      <c r="E438">
        <v>4</v>
      </c>
      <c r="F438">
        <v>1004</v>
      </c>
      <c r="G438" t="s">
        <v>120</v>
      </c>
      <c r="J438" t="s">
        <v>115</v>
      </c>
      <c r="K438">
        <v>0</v>
      </c>
      <c r="L438">
        <v>3</v>
      </c>
      <c r="M438">
        <v>0</v>
      </c>
      <c r="N438">
        <v>2</v>
      </c>
      <c r="O438">
        <v>1</v>
      </c>
      <c r="P438">
        <v>0</v>
      </c>
      <c r="Q438">
        <v>0</v>
      </c>
      <c r="S438" t="str">
        <f>"18:37:51.047"</f>
        <v>18:37:51.047</v>
      </c>
      <c r="T438" t="str">
        <f>"18:37:50.947"</f>
        <v>18:37:50.947</v>
      </c>
      <c r="U438" t="str">
        <f t="shared" si="41"/>
        <v>AAB6EE</v>
      </c>
      <c r="V438">
        <v>0</v>
      </c>
      <c r="W438">
        <v>0</v>
      </c>
      <c r="X438">
        <v>4</v>
      </c>
      <c r="Z438">
        <v>0</v>
      </c>
      <c r="AA438">
        <v>8</v>
      </c>
      <c r="AB438">
        <v>3</v>
      </c>
      <c r="AC438">
        <v>0</v>
      </c>
      <c r="AD438">
        <v>10</v>
      </c>
      <c r="AE438">
        <v>0</v>
      </c>
      <c r="AF438">
        <v>0</v>
      </c>
      <c r="AG438">
        <v>1</v>
      </c>
      <c r="AH438">
        <v>1</v>
      </c>
      <c r="AI438" t="s">
        <v>413</v>
      </c>
      <c r="AJ438">
        <v>35.468437999999999</v>
      </c>
      <c r="AK438" t="s">
        <v>414</v>
      </c>
      <c r="AL438">
        <v>-76.065601999999998</v>
      </c>
      <c r="AM438">
        <v>25</v>
      </c>
      <c r="AN438">
        <v>3425</v>
      </c>
      <c r="AO438" t="s">
        <v>118</v>
      </c>
      <c r="AP438">
        <v>-93</v>
      </c>
      <c r="AQ438">
        <v>-190</v>
      </c>
      <c r="AR438">
        <v>0</v>
      </c>
      <c r="AZ438">
        <v>1200</v>
      </c>
      <c r="BA438">
        <v>1</v>
      </c>
      <c r="BB438" t="str">
        <f t="shared" si="44"/>
        <v xml:space="preserve">N79NX   </v>
      </c>
      <c r="BC438">
        <v>1</v>
      </c>
      <c r="BE438">
        <v>0</v>
      </c>
      <c r="BF438">
        <v>0</v>
      </c>
      <c r="BG438">
        <v>0</v>
      </c>
      <c r="BH438">
        <v>3275</v>
      </c>
      <c r="BI438">
        <v>0</v>
      </c>
      <c r="BJ438">
        <v>0</v>
      </c>
      <c r="BK438">
        <v>0</v>
      </c>
      <c r="BL438">
        <v>0</v>
      </c>
      <c r="BO438">
        <v>0</v>
      </c>
      <c r="BP438">
        <v>0</v>
      </c>
      <c r="BW438" t="str">
        <f>"18:37:51.050"</f>
        <v>18:37:51.050</v>
      </c>
      <c r="BZ438">
        <v>0</v>
      </c>
      <c r="CA438">
        <v>3488</v>
      </c>
      <c r="CB438">
        <v>216</v>
      </c>
      <c r="CC438">
        <v>583.59379999999999</v>
      </c>
      <c r="CD438">
        <v>1</v>
      </c>
      <c r="CE438">
        <v>1</v>
      </c>
      <c r="CF438">
        <v>0</v>
      </c>
      <c r="CG438">
        <v>1</v>
      </c>
      <c r="CH438">
        <v>0</v>
      </c>
      <c r="CI438">
        <v>0</v>
      </c>
      <c r="CJ438">
        <v>0</v>
      </c>
      <c r="CK438">
        <v>2</v>
      </c>
      <c r="CL438">
        <v>0</v>
      </c>
      <c r="CM438">
        <v>2</v>
      </c>
      <c r="CN438">
        <v>0</v>
      </c>
      <c r="CO438">
        <v>6</v>
      </c>
      <c r="CP438" t="s">
        <v>119</v>
      </c>
      <c r="CQ438">
        <v>145</v>
      </c>
      <c r="CR438">
        <v>1</v>
      </c>
      <c r="CW438">
        <v>8917549</v>
      </c>
      <c r="CY438">
        <v>0</v>
      </c>
      <c r="CZ438">
        <v>0</v>
      </c>
      <c r="DA438">
        <v>1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</row>
    <row r="439" spans="1:113" x14ac:dyDescent="0.3">
      <c r="A439" t="str">
        <f>"02/13/2022 18:37:51.283"</f>
        <v>02/13/2022 18:37:51.283</v>
      </c>
      <c r="C439" t="str">
        <f t="shared" si="42"/>
        <v>FFDFD7C0</v>
      </c>
      <c r="D439" t="s">
        <v>113</v>
      </c>
      <c r="E439">
        <v>3</v>
      </c>
      <c r="F439">
        <v>1003</v>
      </c>
      <c r="G439" t="s">
        <v>114</v>
      </c>
      <c r="J439" t="s">
        <v>115</v>
      </c>
      <c r="K439">
        <v>0</v>
      </c>
      <c r="L439">
        <v>3</v>
      </c>
      <c r="M439">
        <v>0</v>
      </c>
      <c r="N439">
        <v>2</v>
      </c>
      <c r="O439">
        <v>1</v>
      </c>
      <c r="P439">
        <v>0</v>
      </c>
      <c r="Q439">
        <v>0</v>
      </c>
      <c r="S439" t="str">
        <f>"18:37:51.047"</f>
        <v>18:37:51.047</v>
      </c>
      <c r="T439" t="str">
        <f>"18:37:50.947"</f>
        <v>18:37:50.947</v>
      </c>
      <c r="U439" t="str">
        <f t="shared" si="41"/>
        <v>AAB6EE</v>
      </c>
      <c r="V439">
        <v>0</v>
      </c>
      <c r="W439">
        <v>0</v>
      </c>
      <c r="X439">
        <v>4</v>
      </c>
      <c r="Z439">
        <v>0</v>
      </c>
      <c r="AA439">
        <v>8</v>
      </c>
      <c r="AB439">
        <v>3</v>
      </c>
      <c r="AC439">
        <v>0</v>
      </c>
      <c r="AD439">
        <v>10</v>
      </c>
      <c r="AE439">
        <v>0</v>
      </c>
      <c r="AF439">
        <v>0</v>
      </c>
      <c r="AG439">
        <v>1</v>
      </c>
      <c r="AH439">
        <v>1</v>
      </c>
      <c r="AI439" t="s">
        <v>413</v>
      </c>
      <c r="AJ439">
        <v>35.468437999999999</v>
      </c>
      <c r="AK439" t="s">
        <v>414</v>
      </c>
      <c r="AL439">
        <v>-76.065601999999998</v>
      </c>
      <c r="AM439">
        <v>25</v>
      </c>
      <c r="AN439">
        <v>3425</v>
      </c>
      <c r="AO439" t="s">
        <v>118</v>
      </c>
      <c r="AP439">
        <v>-93</v>
      </c>
      <c r="AQ439">
        <v>-190</v>
      </c>
      <c r="AR439">
        <v>0</v>
      </c>
      <c r="AZ439">
        <v>1200</v>
      </c>
      <c r="BA439">
        <v>1</v>
      </c>
      <c r="BB439" t="str">
        <f t="shared" si="44"/>
        <v xml:space="preserve">N79NX   </v>
      </c>
      <c r="BC439">
        <v>1</v>
      </c>
      <c r="BE439">
        <v>0</v>
      </c>
      <c r="BF439">
        <v>0</v>
      </c>
      <c r="BG439">
        <v>0</v>
      </c>
      <c r="BH439">
        <v>3275</v>
      </c>
      <c r="BI439">
        <v>0</v>
      </c>
      <c r="BJ439">
        <v>0</v>
      </c>
      <c r="BK439">
        <v>0</v>
      </c>
      <c r="BL439">
        <v>0</v>
      </c>
      <c r="BO439">
        <v>0</v>
      </c>
      <c r="BP439">
        <v>0</v>
      </c>
      <c r="BW439" t="str">
        <f>"18:37:51.050"</f>
        <v>18:37:51.050</v>
      </c>
      <c r="BZ439">
        <v>0</v>
      </c>
      <c r="CA439">
        <v>3488</v>
      </c>
      <c r="CB439">
        <v>216</v>
      </c>
      <c r="CC439">
        <v>583.59379999999999</v>
      </c>
      <c r="CD439">
        <v>1</v>
      </c>
      <c r="CE439">
        <v>1</v>
      </c>
      <c r="CF439">
        <v>0</v>
      </c>
      <c r="CG439">
        <v>1</v>
      </c>
      <c r="CH439">
        <v>0</v>
      </c>
      <c r="CI439">
        <v>0</v>
      </c>
      <c r="CJ439">
        <v>0</v>
      </c>
      <c r="CK439">
        <v>2</v>
      </c>
      <c r="CL439">
        <v>0</v>
      </c>
      <c r="CM439">
        <v>2</v>
      </c>
      <c r="CN439">
        <v>0</v>
      </c>
      <c r="CO439">
        <v>6</v>
      </c>
      <c r="CP439" t="s">
        <v>119</v>
      </c>
      <c r="CQ439">
        <v>145</v>
      </c>
      <c r="CR439">
        <v>1</v>
      </c>
      <c r="CW439">
        <v>8917549</v>
      </c>
      <c r="CY439">
        <v>0</v>
      </c>
      <c r="CZ439">
        <v>0</v>
      </c>
      <c r="DA439">
        <v>1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</row>
    <row r="440" spans="1:113" x14ac:dyDescent="0.3">
      <c r="A440" t="str">
        <f>"02/13/2022 18:37:52.455"</f>
        <v>02/13/2022 18:37:52.455</v>
      </c>
      <c r="C440" t="str">
        <f t="shared" si="42"/>
        <v>FFDFD7C0</v>
      </c>
      <c r="D440" t="s">
        <v>113</v>
      </c>
      <c r="E440">
        <v>3</v>
      </c>
      <c r="F440">
        <v>1003</v>
      </c>
      <c r="G440" t="s">
        <v>114</v>
      </c>
      <c r="J440" t="s">
        <v>115</v>
      </c>
      <c r="K440">
        <v>0</v>
      </c>
      <c r="L440">
        <v>3</v>
      </c>
      <c r="M440">
        <v>0</v>
      </c>
      <c r="N440">
        <v>2</v>
      </c>
      <c r="O440">
        <v>1</v>
      </c>
      <c r="P440">
        <v>0</v>
      </c>
      <c r="Q440">
        <v>0</v>
      </c>
      <c r="S440" t="str">
        <f>"18:37:52.164"</f>
        <v>18:37:52.164</v>
      </c>
      <c r="T440" t="str">
        <f>"18:37:51.864"</f>
        <v>18:37:51.864</v>
      </c>
      <c r="U440" t="str">
        <f t="shared" si="41"/>
        <v>AAB6EE</v>
      </c>
      <c r="V440">
        <v>0</v>
      </c>
      <c r="W440">
        <v>0</v>
      </c>
      <c r="X440">
        <v>4</v>
      </c>
      <c r="Z440">
        <v>0</v>
      </c>
      <c r="AA440">
        <v>8</v>
      </c>
      <c r="AB440">
        <v>3</v>
      </c>
      <c r="AC440">
        <v>0</v>
      </c>
      <c r="AD440">
        <v>10</v>
      </c>
      <c r="AE440">
        <v>0</v>
      </c>
      <c r="AF440">
        <v>0</v>
      </c>
      <c r="AG440">
        <v>1</v>
      </c>
      <c r="AH440">
        <v>1</v>
      </c>
      <c r="AI440" t="s">
        <v>415</v>
      </c>
      <c r="AJ440">
        <v>35.467494000000002</v>
      </c>
      <c r="AK440" t="s">
        <v>416</v>
      </c>
      <c r="AL440">
        <v>-76.066181999999998</v>
      </c>
      <c r="AM440">
        <v>25</v>
      </c>
      <c r="AN440">
        <v>3425</v>
      </c>
      <c r="AO440" t="s">
        <v>118</v>
      </c>
      <c r="AP440">
        <v>-94</v>
      </c>
      <c r="AQ440">
        <v>-190</v>
      </c>
      <c r="AR440">
        <v>0</v>
      </c>
      <c r="AZ440">
        <v>1200</v>
      </c>
      <c r="BA440">
        <v>1</v>
      </c>
      <c r="BB440" t="str">
        <f t="shared" si="44"/>
        <v xml:space="preserve">N79NX   </v>
      </c>
      <c r="BC440">
        <v>1</v>
      </c>
      <c r="BE440">
        <v>0</v>
      </c>
      <c r="BF440">
        <v>0</v>
      </c>
      <c r="BG440">
        <v>0</v>
      </c>
      <c r="BH440">
        <v>3300</v>
      </c>
      <c r="BI440">
        <v>0</v>
      </c>
      <c r="BJ440">
        <v>0</v>
      </c>
      <c r="BK440">
        <v>0</v>
      </c>
      <c r="BL440">
        <v>0</v>
      </c>
      <c r="BO440">
        <v>0</v>
      </c>
      <c r="BP440">
        <v>0</v>
      </c>
      <c r="BW440" t="str">
        <f>"18:37:52.170"</f>
        <v>18:37:52.170</v>
      </c>
      <c r="BZ440">
        <v>0</v>
      </c>
      <c r="CA440">
        <v>3488</v>
      </c>
      <c r="CB440">
        <v>216</v>
      </c>
      <c r="CC440">
        <v>583.59379999999999</v>
      </c>
      <c r="CD440">
        <v>1</v>
      </c>
      <c r="CE440">
        <v>1</v>
      </c>
      <c r="CF440">
        <v>0</v>
      </c>
      <c r="CG440">
        <v>1</v>
      </c>
      <c r="CH440">
        <v>0</v>
      </c>
      <c r="CI440">
        <v>0</v>
      </c>
      <c r="CJ440">
        <v>0</v>
      </c>
      <c r="CK440">
        <v>2</v>
      </c>
      <c r="CL440">
        <v>0</v>
      </c>
      <c r="CM440">
        <v>2</v>
      </c>
      <c r="CN440">
        <v>0</v>
      </c>
      <c r="CO440">
        <v>6</v>
      </c>
      <c r="CP440" t="s">
        <v>119</v>
      </c>
      <c r="CQ440">
        <v>145</v>
      </c>
      <c r="CR440">
        <v>1</v>
      </c>
      <c r="CW440">
        <v>8918081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</row>
    <row r="441" spans="1:113" x14ac:dyDescent="0.3">
      <c r="A441" t="str">
        <f>"02/13/2022 18:37:52.455"</f>
        <v>02/13/2022 18:37:52.455</v>
      </c>
      <c r="C441" t="str">
        <f t="shared" si="42"/>
        <v>FFDFD7C0</v>
      </c>
      <c r="D441" t="s">
        <v>121</v>
      </c>
      <c r="E441">
        <v>2</v>
      </c>
      <c r="H441">
        <v>158</v>
      </c>
      <c r="I441" t="s">
        <v>120</v>
      </c>
      <c r="J441" t="s">
        <v>122</v>
      </c>
      <c r="K441">
        <v>0</v>
      </c>
      <c r="L441">
        <v>3</v>
      </c>
      <c r="M441">
        <v>0</v>
      </c>
      <c r="N441">
        <v>2</v>
      </c>
      <c r="O441">
        <v>1</v>
      </c>
      <c r="P441">
        <v>0</v>
      </c>
      <c r="Q441">
        <v>0</v>
      </c>
      <c r="S441" t="str">
        <f>"18:37:52.164"</f>
        <v>18:37:52.164</v>
      </c>
      <c r="T441" t="str">
        <f>"18:37:51.864"</f>
        <v>18:37:51.864</v>
      </c>
      <c r="U441" t="str">
        <f t="shared" si="41"/>
        <v>AAB6EE</v>
      </c>
      <c r="V441">
        <v>0</v>
      </c>
      <c r="W441">
        <v>0</v>
      </c>
      <c r="X441">
        <v>4</v>
      </c>
      <c r="Z441">
        <v>0</v>
      </c>
      <c r="AA441">
        <v>8</v>
      </c>
      <c r="AB441">
        <v>3</v>
      </c>
      <c r="AC441">
        <v>0</v>
      </c>
      <c r="AD441">
        <v>10</v>
      </c>
      <c r="AE441">
        <v>0</v>
      </c>
      <c r="AF441">
        <v>0</v>
      </c>
      <c r="AG441">
        <v>1</v>
      </c>
      <c r="AH441">
        <v>1</v>
      </c>
      <c r="AI441" t="s">
        <v>415</v>
      </c>
      <c r="AJ441">
        <v>35.467494000000002</v>
      </c>
      <c r="AK441" t="s">
        <v>416</v>
      </c>
      <c r="AL441">
        <v>-76.066181999999998</v>
      </c>
      <c r="AM441">
        <v>25</v>
      </c>
      <c r="AN441">
        <v>3425</v>
      </c>
      <c r="AO441" t="s">
        <v>118</v>
      </c>
      <c r="AP441">
        <v>-94</v>
      </c>
      <c r="AQ441">
        <v>-190</v>
      </c>
      <c r="AR441">
        <v>0</v>
      </c>
      <c r="AZ441">
        <v>1200</v>
      </c>
      <c r="BA441">
        <v>1</v>
      </c>
      <c r="BB441" t="str">
        <f t="shared" si="44"/>
        <v xml:space="preserve">N79NX   </v>
      </c>
      <c r="BC441">
        <v>1</v>
      </c>
      <c r="BE441">
        <v>0</v>
      </c>
      <c r="BF441">
        <v>0</v>
      </c>
      <c r="BG441">
        <v>0</v>
      </c>
      <c r="BH441">
        <v>3300</v>
      </c>
      <c r="BI441">
        <v>0</v>
      </c>
      <c r="BJ441">
        <v>0</v>
      </c>
      <c r="BK441">
        <v>0</v>
      </c>
      <c r="BL441">
        <v>0</v>
      </c>
      <c r="BO441">
        <v>0</v>
      </c>
      <c r="BP441">
        <v>0</v>
      </c>
      <c r="BW441" t="str">
        <f>"18:37:52.170"</f>
        <v>18:37:52.170</v>
      </c>
      <c r="BZ441">
        <v>0</v>
      </c>
      <c r="CA441">
        <v>3488</v>
      </c>
      <c r="CB441">
        <v>216</v>
      </c>
      <c r="CC441">
        <v>583.59379999999999</v>
      </c>
      <c r="CD441">
        <v>1</v>
      </c>
      <c r="CE441">
        <v>1</v>
      </c>
      <c r="CF441">
        <v>0</v>
      </c>
      <c r="CG441">
        <v>1</v>
      </c>
      <c r="CH441">
        <v>0</v>
      </c>
      <c r="CI441">
        <v>0</v>
      </c>
      <c r="CJ441">
        <v>0</v>
      </c>
      <c r="CK441">
        <v>2</v>
      </c>
      <c r="CL441">
        <v>0</v>
      </c>
      <c r="CM441">
        <v>2</v>
      </c>
      <c r="CN441">
        <v>0</v>
      </c>
      <c r="CO441">
        <v>6</v>
      </c>
      <c r="CP441" t="s">
        <v>119</v>
      </c>
      <c r="CQ441">
        <v>145</v>
      </c>
      <c r="CR441">
        <v>1</v>
      </c>
      <c r="CW441">
        <v>8918081</v>
      </c>
      <c r="CY441">
        <v>0</v>
      </c>
      <c r="CZ441">
        <v>0</v>
      </c>
      <c r="DA441">
        <v>1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</row>
    <row r="442" spans="1:113" x14ac:dyDescent="0.3">
      <c r="A442" t="str">
        <f>"02/13/2022 18:37:52.455"</f>
        <v>02/13/2022 18:37:52.455</v>
      </c>
      <c r="C442" t="str">
        <f t="shared" si="42"/>
        <v>FFDFD7C0</v>
      </c>
      <c r="D442" t="s">
        <v>113</v>
      </c>
      <c r="E442">
        <v>4</v>
      </c>
      <c r="F442">
        <v>1004</v>
      </c>
      <c r="G442" t="s">
        <v>120</v>
      </c>
      <c r="J442" t="s">
        <v>115</v>
      </c>
      <c r="K442">
        <v>0</v>
      </c>
      <c r="L442">
        <v>3</v>
      </c>
      <c r="M442">
        <v>0</v>
      </c>
      <c r="N442">
        <v>2</v>
      </c>
      <c r="O442">
        <v>1</v>
      </c>
      <c r="P442">
        <v>0</v>
      </c>
      <c r="Q442">
        <v>0</v>
      </c>
      <c r="S442" t="str">
        <f>"18:37:52.164"</f>
        <v>18:37:52.164</v>
      </c>
      <c r="T442" t="str">
        <f>"18:37:51.864"</f>
        <v>18:37:51.864</v>
      </c>
      <c r="U442" t="str">
        <f t="shared" si="41"/>
        <v>AAB6EE</v>
      </c>
      <c r="V442">
        <v>0</v>
      </c>
      <c r="W442">
        <v>0</v>
      </c>
      <c r="X442">
        <v>4</v>
      </c>
      <c r="Z442">
        <v>0</v>
      </c>
      <c r="AA442">
        <v>8</v>
      </c>
      <c r="AB442">
        <v>3</v>
      </c>
      <c r="AC442">
        <v>0</v>
      </c>
      <c r="AD442">
        <v>10</v>
      </c>
      <c r="AE442">
        <v>0</v>
      </c>
      <c r="AF442">
        <v>0</v>
      </c>
      <c r="AG442">
        <v>1</v>
      </c>
      <c r="AH442">
        <v>1</v>
      </c>
      <c r="AI442" t="s">
        <v>415</v>
      </c>
      <c r="AJ442">
        <v>35.467494000000002</v>
      </c>
      <c r="AK442" t="s">
        <v>416</v>
      </c>
      <c r="AL442">
        <v>-76.066181999999998</v>
      </c>
      <c r="AM442">
        <v>25</v>
      </c>
      <c r="AN442">
        <v>3425</v>
      </c>
      <c r="AO442" t="s">
        <v>118</v>
      </c>
      <c r="AP442">
        <v>-94</v>
      </c>
      <c r="AQ442">
        <v>-190</v>
      </c>
      <c r="AR442">
        <v>0</v>
      </c>
      <c r="AZ442">
        <v>1200</v>
      </c>
      <c r="BA442">
        <v>1</v>
      </c>
      <c r="BB442" t="str">
        <f t="shared" si="44"/>
        <v xml:space="preserve">N79NX   </v>
      </c>
      <c r="BC442">
        <v>1</v>
      </c>
      <c r="BE442">
        <v>0</v>
      </c>
      <c r="BF442">
        <v>0</v>
      </c>
      <c r="BG442">
        <v>0</v>
      </c>
      <c r="BH442">
        <v>3300</v>
      </c>
      <c r="BI442">
        <v>0</v>
      </c>
      <c r="BJ442">
        <v>0</v>
      </c>
      <c r="BK442">
        <v>0</v>
      </c>
      <c r="BL442">
        <v>0</v>
      </c>
      <c r="BO442">
        <v>0</v>
      </c>
      <c r="BP442">
        <v>0</v>
      </c>
      <c r="BW442" t="str">
        <f>"18:37:52.170"</f>
        <v>18:37:52.170</v>
      </c>
      <c r="BZ442">
        <v>0</v>
      </c>
      <c r="CA442">
        <v>3488</v>
      </c>
      <c r="CB442">
        <v>216</v>
      </c>
      <c r="CC442">
        <v>583.59379999999999</v>
      </c>
      <c r="CD442">
        <v>1</v>
      </c>
      <c r="CE442">
        <v>1</v>
      </c>
      <c r="CF442">
        <v>0</v>
      </c>
      <c r="CG442">
        <v>1</v>
      </c>
      <c r="CH442">
        <v>0</v>
      </c>
      <c r="CI442">
        <v>0</v>
      </c>
      <c r="CJ442">
        <v>0</v>
      </c>
      <c r="CK442">
        <v>2</v>
      </c>
      <c r="CL442">
        <v>0</v>
      </c>
      <c r="CM442">
        <v>2</v>
      </c>
      <c r="CN442">
        <v>0</v>
      </c>
      <c r="CO442">
        <v>6</v>
      </c>
      <c r="CP442" t="s">
        <v>119</v>
      </c>
      <c r="CQ442">
        <v>145</v>
      </c>
      <c r="CR442">
        <v>1</v>
      </c>
      <c r="CW442">
        <v>8918081</v>
      </c>
      <c r="CY442">
        <v>0</v>
      </c>
      <c r="CZ442">
        <v>0</v>
      </c>
      <c r="DA442">
        <v>1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</row>
    <row r="443" spans="1:113" x14ac:dyDescent="0.3">
      <c r="A443" t="str">
        <f>"02/13/2022 18:37:54.441"</f>
        <v>02/13/2022 18:37:54.441</v>
      </c>
      <c r="C443" t="str">
        <f t="shared" si="42"/>
        <v>FFDFD7C0</v>
      </c>
      <c r="D443" t="s">
        <v>121</v>
      </c>
      <c r="E443">
        <v>2</v>
      </c>
      <c r="H443">
        <v>158</v>
      </c>
      <c r="I443" t="s">
        <v>120</v>
      </c>
      <c r="J443" t="s">
        <v>122</v>
      </c>
      <c r="K443">
        <v>0</v>
      </c>
      <c r="L443">
        <v>3</v>
      </c>
      <c r="M443">
        <v>0</v>
      </c>
      <c r="N443">
        <v>2</v>
      </c>
      <c r="O443">
        <v>1</v>
      </c>
      <c r="P443">
        <v>0</v>
      </c>
      <c r="Q443">
        <v>0</v>
      </c>
      <c r="S443" t="str">
        <f>"18:37:54.219"</f>
        <v>18:37:54.219</v>
      </c>
      <c r="T443" t="str">
        <f>"18:37:53.819"</f>
        <v>18:37:53.819</v>
      </c>
      <c r="U443" t="str">
        <f t="shared" si="41"/>
        <v>AAB6EE</v>
      </c>
      <c r="V443">
        <v>0</v>
      </c>
      <c r="W443">
        <v>0</v>
      </c>
      <c r="X443">
        <v>4</v>
      </c>
      <c r="Z443">
        <v>0</v>
      </c>
      <c r="AA443">
        <v>8</v>
      </c>
      <c r="AB443">
        <v>3</v>
      </c>
      <c r="AC443">
        <v>0</v>
      </c>
      <c r="AD443">
        <v>10</v>
      </c>
      <c r="AE443">
        <v>0</v>
      </c>
      <c r="AF443">
        <v>0</v>
      </c>
      <c r="AG443">
        <v>1</v>
      </c>
      <c r="AH443">
        <v>1</v>
      </c>
      <c r="AI443" t="s">
        <v>417</v>
      </c>
      <c r="AJ443">
        <v>35.465626999999998</v>
      </c>
      <c r="AK443" t="s">
        <v>418</v>
      </c>
      <c r="AL443">
        <v>-76.067296999999996</v>
      </c>
      <c r="AM443">
        <v>25</v>
      </c>
      <c r="AN443">
        <v>3450</v>
      </c>
      <c r="AO443" t="s">
        <v>118</v>
      </c>
      <c r="AP443">
        <v>-94</v>
      </c>
      <c r="AQ443">
        <v>-190</v>
      </c>
      <c r="AR443">
        <v>0</v>
      </c>
      <c r="AZ443">
        <v>1200</v>
      </c>
      <c r="BA443">
        <v>1</v>
      </c>
      <c r="BB443" t="str">
        <f t="shared" si="44"/>
        <v xml:space="preserve">N79NX   </v>
      </c>
      <c r="BC443">
        <v>1</v>
      </c>
      <c r="BE443">
        <v>0</v>
      </c>
      <c r="BF443">
        <v>0</v>
      </c>
      <c r="BG443">
        <v>0</v>
      </c>
      <c r="BH443">
        <v>3275</v>
      </c>
      <c r="BI443">
        <v>0</v>
      </c>
      <c r="BJ443">
        <v>0</v>
      </c>
      <c r="BK443">
        <v>0</v>
      </c>
      <c r="BL443">
        <v>0</v>
      </c>
      <c r="BO443">
        <v>0</v>
      </c>
      <c r="BP443">
        <v>0</v>
      </c>
      <c r="BW443" t="str">
        <f>"18:37:54.220"</f>
        <v>18:37:54.220</v>
      </c>
      <c r="BZ443">
        <v>0</v>
      </c>
      <c r="CA443">
        <v>3488</v>
      </c>
      <c r="CB443">
        <v>216</v>
      </c>
      <c r="CC443">
        <v>583.59379999999999</v>
      </c>
      <c r="CD443">
        <v>1</v>
      </c>
      <c r="CE443">
        <v>1</v>
      </c>
      <c r="CF443">
        <v>0</v>
      </c>
      <c r="CG443">
        <v>1</v>
      </c>
      <c r="CH443">
        <v>0</v>
      </c>
      <c r="CI443">
        <v>0</v>
      </c>
      <c r="CJ443">
        <v>0</v>
      </c>
      <c r="CK443">
        <v>2</v>
      </c>
      <c r="CL443">
        <v>0</v>
      </c>
      <c r="CM443">
        <v>2</v>
      </c>
      <c r="CN443">
        <v>0</v>
      </c>
      <c r="CO443">
        <v>6</v>
      </c>
      <c r="CP443" t="s">
        <v>119</v>
      </c>
      <c r="CQ443">
        <v>145</v>
      </c>
      <c r="CR443">
        <v>1</v>
      </c>
      <c r="CW443">
        <v>8919003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</row>
    <row r="444" spans="1:113" x14ac:dyDescent="0.3">
      <c r="A444" t="str">
        <f>"02/13/2022 18:37:54.441"</f>
        <v>02/13/2022 18:37:54.441</v>
      </c>
      <c r="C444" t="str">
        <f t="shared" si="42"/>
        <v>FFDFD7C0</v>
      </c>
      <c r="D444" t="s">
        <v>113</v>
      </c>
      <c r="E444">
        <v>3</v>
      </c>
      <c r="F444">
        <v>1003</v>
      </c>
      <c r="G444" t="s">
        <v>114</v>
      </c>
      <c r="J444" t="s">
        <v>115</v>
      </c>
      <c r="K444">
        <v>0</v>
      </c>
      <c r="L444">
        <v>3</v>
      </c>
      <c r="M444">
        <v>0</v>
      </c>
      <c r="N444">
        <v>2</v>
      </c>
      <c r="O444">
        <v>1</v>
      </c>
      <c r="P444">
        <v>0</v>
      </c>
      <c r="Q444">
        <v>0</v>
      </c>
      <c r="S444" t="str">
        <f>"18:37:54.219"</f>
        <v>18:37:54.219</v>
      </c>
      <c r="T444" t="str">
        <f>"18:37:53.819"</f>
        <v>18:37:53.819</v>
      </c>
      <c r="U444" t="str">
        <f t="shared" si="41"/>
        <v>AAB6EE</v>
      </c>
      <c r="V444">
        <v>0</v>
      </c>
      <c r="W444">
        <v>0</v>
      </c>
      <c r="X444">
        <v>4</v>
      </c>
      <c r="Z444">
        <v>0</v>
      </c>
      <c r="AA444">
        <v>8</v>
      </c>
      <c r="AB444">
        <v>3</v>
      </c>
      <c r="AC444">
        <v>0</v>
      </c>
      <c r="AD444">
        <v>10</v>
      </c>
      <c r="AE444">
        <v>0</v>
      </c>
      <c r="AF444">
        <v>0</v>
      </c>
      <c r="AG444">
        <v>1</v>
      </c>
      <c r="AH444">
        <v>1</v>
      </c>
      <c r="AI444" t="s">
        <v>417</v>
      </c>
      <c r="AJ444">
        <v>35.465626999999998</v>
      </c>
      <c r="AK444" t="s">
        <v>418</v>
      </c>
      <c r="AL444">
        <v>-76.067296999999996</v>
      </c>
      <c r="AM444">
        <v>25</v>
      </c>
      <c r="AN444">
        <v>3450</v>
      </c>
      <c r="AO444" t="s">
        <v>118</v>
      </c>
      <c r="AP444">
        <v>-94</v>
      </c>
      <c r="AQ444">
        <v>-190</v>
      </c>
      <c r="AR444">
        <v>0</v>
      </c>
      <c r="AZ444">
        <v>1200</v>
      </c>
      <c r="BA444">
        <v>1</v>
      </c>
      <c r="BB444" t="str">
        <f t="shared" si="44"/>
        <v xml:space="preserve">N79NX   </v>
      </c>
      <c r="BC444">
        <v>1</v>
      </c>
      <c r="BE444">
        <v>0</v>
      </c>
      <c r="BF444">
        <v>0</v>
      </c>
      <c r="BG444">
        <v>0</v>
      </c>
      <c r="BH444">
        <v>3275</v>
      </c>
      <c r="BI444">
        <v>0</v>
      </c>
      <c r="BJ444">
        <v>0</v>
      </c>
      <c r="BK444">
        <v>0</v>
      </c>
      <c r="BL444">
        <v>0</v>
      </c>
      <c r="BO444">
        <v>0</v>
      </c>
      <c r="BP444">
        <v>0</v>
      </c>
      <c r="BW444" t="str">
        <f>"18:37:54.220"</f>
        <v>18:37:54.220</v>
      </c>
      <c r="BZ444">
        <v>0</v>
      </c>
      <c r="CA444">
        <v>3488</v>
      </c>
      <c r="CB444">
        <v>216</v>
      </c>
      <c r="CC444">
        <v>583.59379999999999</v>
      </c>
      <c r="CD444">
        <v>1</v>
      </c>
      <c r="CE444">
        <v>1</v>
      </c>
      <c r="CF444">
        <v>0</v>
      </c>
      <c r="CG444">
        <v>1</v>
      </c>
      <c r="CH444">
        <v>0</v>
      </c>
      <c r="CI444">
        <v>0</v>
      </c>
      <c r="CJ444">
        <v>0</v>
      </c>
      <c r="CK444">
        <v>2</v>
      </c>
      <c r="CL444">
        <v>0</v>
      </c>
      <c r="CM444">
        <v>2</v>
      </c>
      <c r="CN444">
        <v>0</v>
      </c>
      <c r="CO444">
        <v>6</v>
      </c>
      <c r="CP444" t="s">
        <v>119</v>
      </c>
      <c r="CQ444">
        <v>145</v>
      </c>
      <c r="CR444">
        <v>1</v>
      </c>
      <c r="CW444">
        <v>8919003</v>
      </c>
      <c r="CY444">
        <v>0</v>
      </c>
      <c r="CZ444">
        <v>0</v>
      </c>
      <c r="DA444">
        <v>1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</row>
    <row r="445" spans="1:113" x14ac:dyDescent="0.3">
      <c r="A445" t="str">
        <f>"02/13/2022 18:37:54.441"</f>
        <v>02/13/2022 18:37:54.441</v>
      </c>
      <c r="C445" t="str">
        <f t="shared" si="42"/>
        <v>FFDFD7C0</v>
      </c>
      <c r="D445" t="s">
        <v>113</v>
      </c>
      <c r="E445">
        <v>4</v>
      </c>
      <c r="F445">
        <v>1004</v>
      </c>
      <c r="G445" t="s">
        <v>120</v>
      </c>
      <c r="J445" t="s">
        <v>115</v>
      </c>
      <c r="K445">
        <v>0</v>
      </c>
      <c r="L445">
        <v>3</v>
      </c>
      <c r="M445">
        <v>0</v>
      </c>
      <c r="N445">
        <v>2</v>
      </c>
      <c r="O445">
        <v>1</v>
      </c>
      <c r="P445">
        <v>0</v>
      </c>
      <c r="Q445">
        <v>0</v>
      </c>
      <c r="S445" t="str">
        <f>"18:37:54.219"</f>
        <v>18:37:54.219</v>
      </c>
      <c r="T445" t="str">
        <f>"18:37:53.819"</f>
        <v>18:37:53.819</v>
      </c>
      <c r="U445" t="str">
        <f t="shared" si="41"/>
        <v>AAB6EE</v>
      </c>
      <c r="V445">
        <v>0</v>
      </c>
      <c r="W445">
        <v>0</v>
      </c>
      <c r="X445">
        <v>4</v>
      </c>
      <c r="Z445">
        <v>0</v>
      </c>
      <c r="AA445">
        <v>8</v>
      </c>
      <c r="AB445">
        <v>3</v>
      </c>
      <c r="AC445">
        <v>0</v>
      </c>
      <c r="AD445">
        <v>10</v>
      </c>
      <c r="AE445">
        <v>0</v>
      </c>
      <c r="AF445">
        <v>0</v>
      </c>
      <c r="AG445">
        <v>1</v>
      </c>
      <c r="AH445">
        <v>1</v>
      </c>
      <c r="AI445" t="s">
        <v>417</v>
      </c>
      <c r="AJ445">
        <v>35.465626999999998</v>
      </c>
      <c r="AK445" t="s">
        <v>418</v>
      </c>
      <c r="AL445">
        <v>-76.067296999999996</v>
      </c>
      <c r="AM445">
        <v>25</v>
      </c>
      <c r="AN445">
        <v>3450</v>
      </c>
      <c r="AO445" t="s">
        <v>118</v>
      </c>
      <c r="AP445">
        <v>-94</v>
      </c>
      <c r="AQ445">
        <v>-190</v>
      </c>
      <c r="AR445">
        <v>0</v>
      </c>
      <c r="AZ445">
        <v>1200</v>
      </c>
      <c r="BA445">
        <v>1</v>
      </c>
      <c r="BB445" t="str">
        <f t="shared" si="44"/>
        <v xml:space="preserve">N79NX   </v>
      </c>
      <c r="BC445">
        <v>1</v>
      </c>
      <c r="BE445">
        <v>0</v>
      </c>
      <c r="BF445">
        <v>0</v>
      </c>
      <c r="BG445">
        <v>0</v>
      </c>
      <c r="BH445">
        <v>3275</v>
      </c>
      <c r="BI445">
        <v>0</v>
      </c>
      <c r="BJ445">
        <v>0</v>
      </c>
      <c r="BK445">
        <v>0</v>
      </c>
      <c r="BL445">
        <v>0</v>
      </c>
      <c r="BO445">
        <v>0</v>
      </c>
      <c r="BP445">
        <v>0</v>
      </c>
      <c r="BW445" t="str">
        <f>"18:37:54.220"</f>
        <v>18:37:54.220</v>
      </c>
      <c r="BZ445">
        <v>0</v>
      </c>
      <c r="CA445">
        <v>3488</v>
      </c>
      <c r="CB445">
        <v>216</v>
      </c>
      <c r="CC445">
        <v>583.59379999999999</v>
      </c>
      <c r="CD445">
        <v>1</v>
      </c>
      <c r="CE445">
        <v>1</v>
      </c>
      <c r="CF445">
        <v>0</v>
      </c>
      <c r="CG445">
        <v>1</v>
      </c>
      <c r="CH445">
        <v>0</v>
      </c>
      <c r="CI445">
        <v>0</v>
      </c>
      <c r="CJ445">
        <v>0</v>
      </c>
      <c r="CK445">
        <v>2</v>
      </c>
      <c r="CL445">
        <v>0</v>
      </c>
      <c r="CM445">
        <v>2</v>
      </c>
      <c r="CN445">
        <v>0</v>
      </c>
      <c r="CO445">
        <v>6</v>
      </c>
      <c r="CP445" t="s">
        <v>119</v>
      </c>
      <c r="CQ445">
        <v>145</v>
      </c>
      <c r="CR445">
        <v>1</v>
      </c>
      <c r="CW445">
        <v>8919003</v>
      </c>
      <c r="CY445">
        <v>0</v>
      </c>
      <c r="CZ445">
        <v>0</v>
      </c>
      <c r="DA445">
        <v>1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</row>
    <row r="446" spans="1:113" x14ac:dyDescent="0.3">
      <c r="A446" t="str">
        <f>"02/13/2022 18:37:55.429"</f>
        <v>02/13/2022 18:37:55.429</v>
      </c>
      <c r="C446" t="str">
        <f t="shared" si="42"/>
        <v>FFDFD7C0</v>
      </c>
      <c r="D446" t="s">
        <v>113</v>
      </c>
      <c r="E446">
        <v>4</v>
      </c>
      <c r="F446">
        <v>1004</v>
      </c>
      <c r="G446" t="s">
        <v>120</v>
      </c>
      <c r="J446" t="s">
        <v>115</v>
      </c>
      <c r="K446">
        <v>0</v>
      </c>
      <c r="L446">
        <v>3</v>
      </c>
      <c r="M446">
        <v>0</v>
      </c>
      <c r="N446">
        <v>2</v>
      </c>
      <c r="O446">
        <v>1</v>
      </c>
      <c r="P446">
        <v>0</v>
      </c>
      <c r="Q446">
        <v>0</v>
      </c>
      <c r="S446" t="str">
        <f t="shared" ref="S446:T448" si="47">"18:37:55.203"</f>
        <v>18:37:55.203</v>
      </c>
      <c r="T446" t="str">
        <f t="shared" si="47"/>
        <v>18:37:55.203</v>
      </c>
      <c r="U446" t="str">
        <f t="shared" si="41"/>
        <v>AAB6EE</v>
      </c>
      <c r="V446">
        <v>0</v>
      </c>
      <c r="W446">
        <v>0</v>
      </c>
      <c r="X446">
        <v>4</v>
      </c>
      <c r="Z446">
        <v>0</v>
      </c>
      <c r="AA446">
        <v>8</v>
      </c>
      <c r="AB446">
        <v>3</v>
      </c>
      <c r="AC446">
        <v>0</v>
      </c>
      <c r="AD446">
        <v>10</v>
      </c>
      <c r="AE446">
        <v>0</v>
      </c>
      <c r="AF446">
        <v>0</v>
      </c>
      <c r="AG446">
        <v>1</v>
      </c>
      <c r="AH446">
        <v>1</v>
      </c>
      <c r="AI446" t="s">
        <v>419</v>
      </c>
      <c r="AJ446">
        <v>35.464747000000003</v>
      </c>
      <c r="AK446" t="s">
        <v>420</v>
      </c>
      <c r="AL446">
        <v>-76.067812000000004</v>
      </c>
      <c r="AM446">
        <v>25</v>
      </c>
      <c r="AN446">
        <v>3425</v>
      </c>
      <c r="AO446" t="s">
        <v>118</v>
      </c>
      <c r="AP446">
        <v>-94</v>
      </c>
      <c r="AQ446">
        <v>-191</v>
      </c>
      <c r="AR446">
        <v>-64</v>
      </c>
      <c r="AZ446">
        <v>1200</v>
      </c>
      <c r="BA446">
        <v>1</v>
      </c>
      <c r="BB446" t="str">
        <f t="shared" si="44"/>
        <v xml:space="preserve">N79NX   </v>
      </c>
      <c r="BC446">
        <v>1</v>
      </c>
      <c r="BE446">
        <v>0</v>
      </c>
      <c r="BF446">
        <v>0</v>
      </c>
      <c r="BG446">
        <v>0</v>
      </c>
      <c r="BH446">
        <v>3300</v>
      </c>
      <c r="BI446">
        <v>0</v>
      </c>
      <c r="BJ446">
        <v>0</v>
      </c>
      <c r="BK446">
        <v>0</v>
      </c>
      <c r="BL446">
        <v>0</v>
      </c>
      <c r="BO446">
        <v>0</v>
      </c>
      <c r="BP446">
        <v>0</v>
      </c>
      <c r="BW446" t="str">
        <f>"18:37:55.210"</f>
        <v>18:37:55.210</v>
      </c>
      <c r="BZ446">
        <v>0</v>
      </c>
      <c r="CA446">
        <v>3488</v>
      </c>
      <c r="CB446">
        <v>216</v>
      </c>
      <c r="CC446">
        <v>583.59379999999999</v>
      </c>
      <c r="CD446">
        <v>1</v>
      </c>
      <c r="CE446">
        <v>1</v>
      </c>
      <c r="CF446">
        <v>0</v>
      </c>
      <c r="CG446">
        <v>1</v>
      </c>
      <c r="CH446">
        <v>0</v>
      </c>
      <c r="CI446">
        <v>0</v>
      </c>
      <c r="CJ446">
        <v>0</v>
      </c>
      <c r="CK446">
        <v>2</v>
      </c>
      <c r="CL446">
        <v>0</v>
      </c>
      <c r="CM446">
        <v>2</v>
      </c>
      <c r="CN446">
        <v>0</v>
      </c>
      <c r="CO446">
        <v>6</v>
      </c>
      <c r="CP446" t="s">
        <v>119</v>
      </c>
      <c r="CQ446">
        <v>145</v>
      </c>
      <c r="CR446">
        <v>1</v>
      </c>
      <c r="CW446">
        <v>8919411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</row>
    <row r="447" spans="1:113" x14ac:dyDescent="0.3">
      <c r="A447" t="str">
        <f>"02/13/2022 18:37:55.429"</f>
        <v>02/13/2022 18:37:55.429</v>
      </c>
      <c r="C447" t="str">
        <f t="shared" si="42"/>
        <v>FFDFD7C0</v>
      </c>
      <c r="D447" t="s">
        <v>113</v>
      </c>
      <c r="E447">
        <v>3</v>
      </c>
      <c r="F447">
        <v>1003</v>
      </c>
      <c r="G447" t="s">
        <v>114</v>
      </c>
      <c r="J447" t="s">
        <v>115</v>
      </c>
      <c r="K447">
        <v>0</v>
      </c>
      <c r="L447">
        <v>3</v>
      </c>
      <c r="M447">
        <v>0</v>
      </c>
      <c r="N447">
        <v>2</v>
      </c>
      <c r="O447">
        <v>1</v>
      </c>
      <c r="P447">
        <v>0</v>
      </c>
      <c r="Q447">
        <v>0</v>
      </c>
      <c r="S447" t="str">
        <f t="shared" si="47"/>
        <v>18:37:55.203</v>
      </c>
      <c r="T447" t="str">
        <f t="shared" si="47"/>
        <v>18:37:55.203</v>
      </c>
      <c r="U447" t="str">
        <f t="shared" si="41"/>
        <v>AAB6EE</v>
      </c>
      <c r="V447">
        <v>0</v>
      </c>
      <c r="W447">
        <v>0</v>
      </c>
      <c r="X447">
        <v>4</v>
      </c>
      <c r="Z447">
        <v>0</v>
      </c>
      <c r="AA447">
        <v>8</v>
      </c>
      <c r="AB447">
        <v>3</v>
      </c>
      <c r="AC447">
        <v>0</v>
      </c>
      <c r="AD447">
        <v>10</v>
      </c>
      <c r="AE447">
        <v>0</v>
      </c>
      <c r="AF447">
        <v>0</v>
      </c>
      <c r="AG447">
        <v>1</v>
      </c>
      <c r="AH447">
        <v>1</v>
      </c>
      <c r="AI447" t="s">
        <v>419</v>
      </c>
      <c r="AJ447">
        <v>35.464747000000003</v>
      </c>
      <c r="AK447" t="s">
        <v>420</v>
      </c>
      <c r="AL447">
        <v>-76.067812000000004</v>
      </c>
      <c r="AM447">
        <v>25</v>
      </c>
      <c r="AN447">
        <v>3425</v>
      </c>
      <c r="AO447" t="s">
        <v>118</v>
      </c>
      <c r="AP447">
        <v>-94</v>
      </c>
      <c r="AQ447">
        <v>-191</v>
      </c>
      <c r="AR447">
        <v>-64</v>
      </c>
      <c r="AZ447">
        <v>1200</v>
      </c>
      <c r="BA447">
        <v>1</v>
      </c>
      <c r="BB447" t="str">
        <f t="shared" si="44"/>
        <v xml:space="preserve">N79NX   </v>
      </c>
      <c r="BC447">
        <v>1</v>
      </c>
      <c r="BE447">
        <v>0</v>
      </c>
      <c r="BF447">
        <v>0</v>
      </c>
      <c r="BG447">
        <v>0</v>
      </c>
      <c r="BH447">
        <v>3300</v>
      </c>
      <c r="BI447">
        <v>0</v>
      </c>
      <c r="BJ447">
        <v>0</v>
      </c>
      <c r="BK447">
        <v>0</v>
      </c>
      <c r="BL447">
        <v>0</v>
      </c>
      <c r="BO447">
        <v>0</v>
      </c>
      <c r="BP447">
        <v>0</v>
      </c>
      <c r="BW447" t="str">
        <f>"18:37:55.210"</f>
        <v>18:37:55.210</v>
      </c>
      <c r="BZ447">
        <v>0</v>
      </c>
      <c r="CA447">
        <v>3488</v>
      </c>
      <c r="CB447">
        <v>216</v>
      </c>
      <c r="CC447">
        <v>583.59379999999999</v>
      </c>
      <c r="CD447">
        <v>1</v>
      </c>
      <c r="CE447">
        <v>1</v>
      </c>
      <c r="CF447">
        <v>0</v>
      </c>
      <c r="CG447">
        <v>1</v>
      </c>
      <c r="CH447">
        <v>0</v>
      </c>
      <c r="CI447">
        <v>0</v>
      </c>
      <c r="CJ447">
        <v>0</v>
      </c>
      <c r="CK447">
        <v>2</v>
      </c>
      <c r="CL447">
        <v>0</v>
      </c>
      <c r="CM447">
        <v>2</v>
      </c>
      <c r="CN447">
        <v>0</v>
      </c>
      <c r="CO447">
        <v>6</v>
      </c>
      <c r="CP447" t="s">
        <v>119</v>
      </c>
      <c r="CQ447">
        <v>145</v>
      </c>
      <c r="CR447">
        <v>1</v>
      </c>
      <c r="CW447">
        <v>8919411</v>
      </c>
      <c r="CY447">
        <v>0</v>
      </c>
      <c r="CZ447">
        <v>0</v>
      </c>
      <c r="DA447">
        <v>1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</row>
    <row r="448" spans="1:113" x14ac:dyDescent="0.3">
      <c r="A448" t="str">
        <f>"02/13/2022 18:37:55.507"</f>
        <v>02/13/2022 18:37:55.507</v>
      </c>
      <c r="C448" t="str">
        <f t="shared" si="42"/>
        <v>FFDFD7C0</v>
      </c>
      <c r="D448" t="s">
        <v>121</v>
      </c>
      <c r="E448">
        <v>2</v>
      </c>
      <c r="H448">
        <v>158</v>
      </c>
      <c r="I448" t="s">
        <v>120</v>
      </c>
      <c r="J448" t="s">
        <v>122</v>
      </c>
      <c r="K448">
        <v>0</v>
      </c>
      <c r="L448">
        <v>3</v>
      </c>
      <c r="M448">
        <v>0</v>
      </c>
      <c r="N448">
        <v>2</v>
      </c>
      <c r="O448">
        <v>1</v>
      </c>
      <c r="P448">
        <v>0</v>
      </c>
      <c r="Q448">
        <v>0</v>
      </c>
      <c r="S448" t="str">
        <f t="shared" si="47"/>
        <v>18:37:55.203</v>
      </c>
      <c r="T448" t="str">
        <f t="shared" si="47"/>
        <v>18:37:55.203</v>
      </c>
      <c r="U448" t="str">
        <f t="shared" si="41"/>
        <v>AAB6EE</v>
      </c>
      <c r="V448">
        <v>0</v>
      </c>
      <c r="W448">
        <v>0</v>
      </c>
      <c r="X448">
        <v>4</v>
      </c>
      <c r="Z448">
        <v>0</v>
      </c>
      <c r="AA448">
        <v>8</v>
      </c>
      <c r="AB448">
        <v>3</v>
      </c>
      <c r="AC448">
        <v>0</v>
      </c>
      <c r="AD448">
        <v>10</v>
      </c>
      <c r="AE448">
        <v>0</v>
      </c>
      <c r="AF448">
        <v>0</v>
      </c>
      <c r="AG448">
        <v>1</v>
      </c>
      <c r="AH448">
        <v>1</v>
      </c>
      <c r="AI448" t="s">
        <v>419</v>
      </c>
      <c r="AJ448">
        <v>35.464747000000003</v>
      </c>
      <c r="AK448" t="s">
        <v>420</v>
      </c>
      <c r="AL448">
        <v>-76.067812000000004</v>
      </c>
      <c r="AM448">
        <v>25</v>
      </c>
      <c r="AN448">
        <v>3425</v>
      </c>
      <c r="AO448" t="s">
        <v>118</v>
      </c>
      <c r="AP448">
        <v>-94</v>
      </c>
      <c r="AQ448">
        <v>-191</v>
      </c>
      <c r="AR448">
        <v>-64</v>
      </c>
      <c r="AZ448">
        <v>1200</v>
      </c>
      <c r="BA448">
        <v>1</v>
      </c>
      <c r="BB448" t="str">
        <f t="shared" si="44"/>
        <v xml:space="preserve">N79NX   </v>
      </c>
      <c r="BC448">
        <v>1</v>
      </c>
      <c r="BE448">
        <v>0</v>
      </c>
      <c r="BF448">
        <v>0</v>
      </c>
      <c r="BG448">
        <v>0</v>
      </c>
      <c r="BH448">
        <v>3300</v>
      </c>
      <c r="BI448">
        <v>0</v>
      </c>
      <c r="BJ448">
        <v>0</v>
      </c>
      <c r="BK448">
        <v>0</v>
      </c>
      <c r="BL448">
        <v>0</v>
      </c>
      <c r="BO448">
        <v>0</v>
      </c>
      <c r="BP448">
        <v>0</v>
      </c>
      <c r="BW448" t="str">
        <f>"18:37:55.210"</f>
        <v>18:37:55.210</v>
      </c>
      <c r="BZ448">
        <v>0</v>
      </c>
      <c r="CA448">
        <v>3488</v>
      </c>
      <c r="CB448">
        <v>216</v>
      </c>
      <c r="CC448">
        <v>583.59379999999999</v>
      </c>
      <c r="CD448">
        <v>1</v>
      </c>
      <c r="CE448">
        <v>1</v>
      </c>
      <c r="CF448">
        <v>0</v>
      </c>
      <c r="CG448">
        <v>1</v>
      </c>
      <c r="CH448">
        <v>0</v>
      </c>
      <c r="CI448">
        <v>0</v>
      </c>
      <c r="CJ448">
        <v>0</v>
      </c>
      <c r="CK448">
        <v>2</v>
      </c>
      <c r="CL448">
        <v>0</v>
      </c>
      <c r="CM448">
        <v>2</v>
      </c>
      <c r="CN448">
        <v>0</v>
      </c>
      <c r="CO448">
        <v>6</v>
      </c>
      <c r="CP448" t="s">
        <v>119</v>
      </c>
      <c r="CQ448">
        <v>145</v>
      </c>
      <c r="CR448">
        <v>1</v>
      </c>
      <c r="CW448">
        <v>8919411</v>
      </c>
      <c r="CY448">
        <v>0</v>
      </c>
      <c r="CZ448">
        <v>0</v>
      </c>
      <c r="DA448">
        <v>1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</row>
    <row r="449" spans="1:113" x14ac:dyDescent="0.3">
      <c r="A449" t="str">
        <f>"02/13/2022 18:37:56.320"</f>
        <v>02/13/2022 18:37:56.320</v>
      </c>
      <c r="C449" t="str">
        <f t="shared" si="42"/>
        <v>FFDFD7C0</v>
      </c>
      <c r="D449" t="s">
        <v>121</v>
      </c>
      <c r="E449">
        <v>2</v>
      </c>
      <c r="H449">
        <v>158</v>
      </c>
      <c r="I449" t="s">
        <v>120</v>
      </c>
      <c r="J449" t="s">
        <v>122</v>
      </c>
      <c r="K449">
        <v>0</v>
      </c>
      <c r="L449">
        <v>3</v>
      </c>
      <c r="M449">
        <v>0</v>
      </c>
      <c r="N449">
        <v>2</v>
      </c>
      <c r="O449">
        <v>1</v>
      </c>
      <c r="P449">
        <v>0</v>
      </c>
      <c r="Q449">
        <v>0</v>
      </c>
      <c r="S449" t="str">
        <f>"18:37:56.133"</f>
        <v>18:37:56.133</v>
      </c>
      <c r="T449" t="str">
        <f>"18:37:55.733"</f>
        <v>18:37:55.733</v>
      </c>
      <c r="U449" t="str">
        <f t="shared" si="41"/>
        <v>AAB6EE</v>
      </c>
      <c r="V449">
        <v>0</v>
      </c>
      <c r="W449">
        <v>0</v>
      </c>
      <c r="X449">
        <v>4</v>
      </c>
      <c r="Z449">
        <v>0</v>
      </c>
      <c r="AA449">
        <v>8</v>
      </c>
      <c r="AB449">
        <v>3</v>
      </c>
      <c r="AC449">
        <v>0</v>
      </c>
      <c r="AD449">
        <v>10</v>
      </c>
      <c r="AE449">
        <v>0</v>
      </c>
      <c r="AF449">
        <v>0</v>
      </c>
      <c r="AG449">
        <v>1</v>
      </c>
      <c r="AH449">
        <v>1</v>
      </c>
      <c r="AI449" t="s">
        <v>421</v>
      </c>
      <c r="AJ449">
        <v>35.463952999999997</v>
      </c>
      <c r="AK449" t="s">
        <v>422</v>
      </c>
      <c r="AL449">
        <v>-76.068306000000007</v>
      </c>
      <c r="AM449">
        <v>25</v>
      </c>
      <c r="AN449">
        <v>3425</v>
      </c>
      <c r="AO449" t="s">
        <v>118</v>
      </c>
      <c r="AP449">
        <v>-94</v>
      </c>
      <c r="AQ449">
        <v>-191</v>
      </c>
      <c r="AR449">
        <v>-64</v>
      </c>
      <c r="AZ449">
        <v>1200</v>
      </c>
      <c r="BA449">
        <v>1</v>
      </c>
      <c r="BB449" t="str">
        <f t="shared" si="44"/>
        <v xml:space="preserve">N79NX   </v>
      </c>
      <c r="BC449">
        <v>1</v>
      </c>
      <c r="BE449">
        <v>0</v>
      </c>
      <c r="BF449">
        <v>0</v>
      </c>
      <c r="BG449">
        <v>0</v>
      </c>
      <c r="BH449">
        <v>3275</v>
      </c>
      <c r="BI449">
        <v>0</v>
      </c>
      <c r="BJ449">
        <v>0</v>
      </c>
      <c r="BK449">
        <v>0</v>
      </c>
      <c r="BL449">
        <v>0</v>
      </c>
      <c r="BO449">
        <v>0</v>
      </c>
      <c r="BP449">
        <v>0</v>
      </c>
      <c r="BW449" t="str">
        <f>"18:37:56.140"</f>
        <v>18:37:56.140</v>
      </c>
      <c r="BZ449">
        <v>0</v>
      </c>
      <c r="CA449">
        <v>3488</v>
      </c>
      <c r="CB449">
        <v>216</v>
      </c>
      <c r="CC449">
        <v>583.59379999999999</v>
      </c>
      <c r="CD449">
        <v>1</v>
      </c>
      <c r="CE449">
        <v>1</v>
      </c>
      <c r="CF449">
        <v>0</v>
      </c>
      <c r="CG449">
        <v>1</v>
      </c>
      <c r="CH449">
        <v>0</v>
      </c>
      <c r="CI449">
        <v>0</v>
      </c>
      <c r="CJ449">
        <v>0</v>
      </c>
      <c r="CK449">
        <v>2</v>
      </c>
      <c r="CL449">
        <v>0</v>
      </c>
      <c r="CM449">
        <v>2</v>
      </c>
      <c r="CN449">
        <v>0</v>
      </c>
      <c r="CO449">
        <v>6</v>
      </c>
      <c r="CP449" t="s">
        <v>119</v>
      </c>
      <c r="CQ449">
        <v>145</v>
      </c>
      <c r="CR449">
        <v>1</v>
      </c>
      <c r="CW449">
        <v>8919882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</row>
    <row r="450" spans="1:113" x14ac:dyDescent="0.3">
      <c r="A450" t="str">
        <f>"02/13/2022 18:37:56.335"</f>
        <v>02/13/2022 18:37:56.335</v>
      </c>
      <c r="C450" t="str">
        <f t="shared" si="42"/>
        <v>FFDFD7C0</v>
      </c>
      <c r="D450" t="s">
        <v>113</v>
      </c>
      <c r="E450">
        <v>4</v>
      </c>
      <c r="F450">
        <v>1004</v>
      </c>
      <c r="G450" t="s">
        <v>120</v>
      </c>
      <c r="J450" t="s">
        <v>115</v>
      </c>
      <c r="K450">
        <v>0</v>
      </c>
      <c r="L450">
        <v>3</v>
      </c>
      <c r="M450">
        <v>0</v>
      </c>
      <c r="N450">
        <v>2</v>
      </c>
      <c r="O450">
        <v>1</v>
      </c>
      <c r="P450">
        <v>0</v>
      </c>
      <c r="Q450">
        <v>0</v>
      </c>
      <c r="S450" t="str">
        <f>"18:37:56.133"</f>
        <v>18:37:56.133</v>
      </c>
      <c r="T450" t="str">
        <f>"18:37:55.733"</f>
        <v>18:37:55.733</v>
      </c>
      <c r="U450" t="str">
        <f t="shared" ref="U450:U513" si="48">"AAB6EE"</f>
        <v>AAB6EE</v>
      </c>
      <c r="V450">
        <v>0</v>
      </c>
      <c r="W450">
        <v>0</v>
      </c>
      <c r="X450">
        <v>4</v>
      </c>
      <c r="Z450">
        <v>0</v>
      </c>
      <c r="AA450">
        <v>8</v>
      </c>
      <c r="AB450">
        <v>3</v>
      </c>
      <c r="AC450">
        <v>0</v>
      </c>
      <c r="AD450">
        <v>10</v>
      </c>
      <c r="AE450">
        <v>0</v>
      </c>
      <c r="AF450">
        <v>0</v>
      </c>
      <c r="AG450">
        <v>1</v>
      </c>
      <c r="AH450">
        <v>1</v>
      </c>
      <c r="AI450" t="s">
        <v>421</v>
      </c>
      <c r="AJ450">
        <v>35.463952999999997</v>
      </c>
      <c r="AK450" t="s">
        <v>422</v>
      </c>
      <c r="AL450">
        <v>-76.068306000000007</v>
      </c>
      <c r="AM450">
        <v>25</v>
      </c>
      <c r="AN450">
        <v>3425</v>
      </c>
      <c r="AO450" t="s">
        <v>118</v>
      </c>
      <c r="AP450">
        <v>-94</v>
      </c>
      <c r="AQ450">
        <v>-191</v>
      </c>
      <c r="AR450">
        <v>-64</v>
      </c>
      <c r="AZ450">
        <v>1200</v>
      </c>
      <c r="BA450">
        <v>1</v>
      </c>
      <c r="BB450" t="str">
        <f t="shared" si="44"/>
        <v xml:space="preserve">N79NX   </v>
      </c>
      <c r="BC450">
        <v>1</v>
      </c>
      <c r="BE450">
        <v>0</v>
      </c>
      <c r="BF450">
        <v>0</v>
      </c>
      <c r="BG450">
        <v>0</v>
      </c>
      <c r="BH450">
        <v>3275</v>
      </c>
      <c r="BI450">
        <v>0</v>
      </c>
      <c r="BJ450">
        <v>0</v>
      </c>
      <c r="BK450">
        <v>0</v>
      </c>
      <c r="BL450">
        <v>0</v>
      </c>
      <c r="BO450">
        <v>0</v>
      </c>
      <c r="BP450">
        <v>0</v>
      </c>
      <c r="BW450" t="str">
        <f>"18:37:56.140"</f>
        <v>18:37:56.140</v>
      </c>
      <c r="BZ450">
        <v>0</v>
      </c>
      <c r="CA450">
        <v>3488</v>
      </c>
      <c r="CB450">
        <v>216</v>
      </c>
      <c r="CC450">
        <v>583.59379999999999</v>
      </c>
      <c r="CD450">
        <v>1</v>
      </c>
      <c r="CE450">
        <v>1</v>
      </c>
      <c r="CF450">
        <v>0</v>
      </c>
      <c r="CG450">
        <v>1</v>
      </c>
      <c r="CH450">
        <v>0</v>
      </c>
      <c r="CI450">
        <v>0</v>
      </c>
      <c r="CJ450">
        <v>0</v>
      </c>
      <c r="CK450">
        <v>2</v>
      </c>
      <c r="CL450">
        <v>0</v>
      </c>
      <c r="CM450">
        <v>2</v>
      </c>
      <c r="CN450">
        <v>0</v>
      </c>
      <c r="CO450">
        <v>6</v>
      </c>
      <c r="CP450" t="s">
        <v>119</v>
      </c>
      <c r="CQ450">
        <v>145</v>
      </c>
      <c r="CR450">
        <v>1</v>
      </c>
      <c r="CW450">
        <v>8919882</v>
      </c>
      <c r="CY450">
        <v>0</v>
      </c>
      <c r="CZ450">
        <v>0</v>
      </c>
      <c r="DA450">
        <v>1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</row>
    <row r="451" spans="1:113" x14ac:dyDescent="0.3">
      <c r="A451" t="str">
        <f>"02/13/2022 18:37:56.335"</f>
        <v>02/13/2022 18:37:56.335</v>
      </c>
      <c r="C451" t="str">
        <f t="shared" si="42"/>
        <v>FFDFD7C0</v>
      </c>
      <c r="D451" t="s">
        <v>113</v>
      </c>
      <c r="E451">
        <v>3</v>
      </c>
      <c r="F451">
        <v>1003</v>
      </c>
      <c r="G451" t="s">
        <v>114</v>
      </c>
      <c r="J451" t="s">
        <v>115</v>
      </c>
      <c r="K451">
        <v>0</v>
      </c>
      <c r="L451">
        <v>3</v>
      </c>
      <c r="M451">
        <v>0</v>
      </c>
      <c r="N451">
        <v>2</v>
      </c>
      <c r="O451">
        <v>1</v>
      </c>
      <c r="P451">
        <v>0</v>
      </c>
      <c r="Q451">
        <v>0</v>
      </c>
      <c r="S451" t="str">
        <f>"18:37:56.133"</f>
        <v>18:37:56.133</v>
      </c>
      <c r="T451" t="str">
        <f>"18:37:55.733"</f>
        <v>18:37:55.733</v>
      </c>
      <c r="U451" t="str">
        <f t="shared" si="48"/>
        <v>AAB6EE</v>
      </c>
      <c r="V451">
        <v>0</v>
      </c>
      <c r="W451">
        <v>0</v>
      </c>
      <c r="X451">
        <v>4</v>
      </c>
      <c r="Z451">
        <v>0</v>
      </c>
      <c r="AA451">
        <v>8</v>
      </c>
      <c r="AB451">
        <v>3</v>
      </c>
      <c r="AC451">
        <v>0</v>
      </c>
      <c r="AD451">
        <v>10</v>
      </c>
      <c r="AE451">
        <v>0</v>
      </c>
      <c r="AF451">
        <v>0</v>
      </c>
      <c r="AG451">
        <v>1</v>
      </c>
      <c r="AH451">
        <v>1</v>
      </c>
      <c r="AI451" t="s">
        <v>421</v>
      </c>
      <c r="AJ451">
        <v>35.463952999999997</v>
      </c>
      <c r="AK451" t="s">
        <v>422</v>
      </c>
      <c r="AL451">
        <v>-76.068306000000007</v>
      </c>
      <c r="AM451">
        <v>25</v>
      </c>
      <c r="AN451">
        <v>3425</v>
      </c>
      <c r="AO451" t="s">
        <v>118</v>
      </c>
      <c r="AP451">
        <v>-94</v>
      </c>
      <c r="AQ451">
        <v>-191</v>
      </c>
      <c r="AR451">
        <v>-64</v>
      </c>
      <c r="AZ451">
        <v>1200</v>
      </c>
      <c r="BA451">
        <v>1</v>
      </c>
      <c r="BB451" t="str">
        <f t="shared" si="44"/>
        <v xml:space="preserve">N79NX   </v>
      </c>
      <c r="BC451">
        <v>1</v>
      </c>
      <c r="BE451">
        <v>0</v>
      </c>
      <c r="BF451">
        <v>0</v>
      </c>
      <c r="BG451">
        <v>0</v>
      </c>
      <c r="BH451">
        <v>3275</v>
      </c>
      <c r="BI451">
        <v>0</v>
      </c>
      <c r="BJ451">
        <v>0</v>
      </c>
      <c r="BK451">
        <v>0</v>
      </c>
      <c r="BL451">
        <v>0</v>
      </c>
      <c r="BO451">
        <v>0</v>
      </c>
      <c r="BP451">
        <v>0</v>
      </c>
      <c r="BW451" t="str">
        <f>"18:37:56.140"</f>
        <v>18:37:56.140</v>
      </c>
      <c r="BZ451">
        <v>0</v>
      </c>
      <c r="CA451">
        <v>3488</v>
      </c>
      <c r="CB451">
        <v>216</v>
      </c>
      <c r="CC451">
        <v>583.59379999999999</v>
      </c>
      <c r="CD451">
        <v>1</v>
      </c>
      <c r="CE451">
        <v>1</v>
      </c>
      <c r="CF451">
        <v>0</v>
      </c>
      <c r="CG451">
        <v>1</v>
      </c>
      <c r="CH451">
        <v>0</v>
      </c>
      <c r="CI451">
        <v>0</v>
      </c>
      <c r="CJ451">
        <v>0</v>
      </c>
      <c r="CK451">
        <v>2</v>
      </c>
      <c r="CL451">
        <v>0</v>
      </c>
      <c r="CM451">
        <v>2</v>
      </c>
      <c r="CN451">
        <v>0</v>
      </c>
      <c r="CO451">
        <v>6</v>
      </c>
      <c r="CP451" t="s">
        <v>119</v>
      </c>
      <c r="CQ451">
        <v>145</v>
      </c>
      <c r="CR451">
        <v>1</v>
      </c>
      <c r="CW451">
        <v>8919882</v>
      </c>
      <c r="CY451">
        <v>0</v>
      </c>
      <c r="CZ451">
        <v>0</v>
      </c>
      <c r="DA451">
        <v>1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</row>
    <row r="452" spans="1:113" x14ac:dyDescent="0.3">
      <c r="A452" t="str">
        <f>"02/13/2022 18:37:57.351"</f>
        <v>02/13/2022 18:37:57.351</v>
      </c>
      <c r="C452" t="str">
        <f t="shared" si="42"/>
        <v>FFDFD7C0</v>
      </c>
      <c r="D452" t="s">
        <v>121</v>
      </c>
      <c r="E452">
        <v>2</v>
      </c>
      <c r="H452">
        <v>158</v>
      </c>
      <c r="I452" t="s">
        <v>120</v>
      </c>
      <c r="J452" t="s">
        <v>122</v>
      </c>
      <c r="K452">
        <v>0</v>
      </c>
      <c r="L452">
        <v>3</v>
      </c>
      <c r="M452">
        <v>0</v>
      </c>
      <c r="N452">
        <v>2</v>
      </c>
      <c r="O452">
        <v>1</v>
      </c>
      <c r="P452">
        <v>0</v>
      </c>
      <c r="Q452">
        <v>0</v>
      </c>
      <c r="S452" t="str">
        <f>"18:37:57.148"</f>
        <v>18:37:57.148</v>
      </c>
      <c r="T452" t="str">
        <f>"18:37:56.848"</f>
        <v>18:37:56.848</v>
      </c>
      <c r="U452" t="str">
        <f t="shared" si="48"/>
        <v>AAB6EE</v>
      </c>
      <c r="V452">
        <v>0</v>
      </c>
      <c r="W452">
        <v>0</v>
      </c>
      <c r="X452">
        <v>4</v>
      </c>
      <c r="Z452">
        <v>0</v>
      </c>
      <c r="AA452">
        <v>8</v>
      </c>
      <c r="AB452">
        <v>3</v>
      </c>
      <c r="AC452">
        <v>0</v>
      </c>
      <c r="AD452">
        <v>10</v>
      </c>
      <c r="AE452">
        <v>0</v>
      </c>
      <c r="AF452">
        <v>0</v>
      </c>
      <c r="AG452">
        <v>1</v>
      </c>
      <c r="AH452">
        <v>1</v>
      </c>
      <c r="AI452" t="s">
        <v>423</v>
      </c>
      <c r="AJ452">
        <v>35.463051999999998</v>
      </c>
      <c r="AK452" t="s">
        <v>424</v>
      </c>
      <c r="AL452">
        <v>-76.068821</v>
      </c>
      <c r="AM452">
        <v>25</v>
      </c>
      <c r="AN452">
        <v>3425</v>
      </c>
      <c r="AO452" t="s">
        <v>118</v>
      </c>
      <c r="AP452">
        <v>-94</v>
      </c>
      <c r="AQ452">
        <v>-191</v>
      </c>
      <c r="AR452">
        <v>-64</v>
      </c>
      <c r="AZ452">
        <v>1200</v>
      </c>
      <c r="BA452">
        <v>1</v>
      </c>
      <c r="BB452" t="str">
        <f t="shared" si="44"/>
        <v xml:space="preserve">N79NX   </v>
      </c>
      <c r="BC452">
        <v>1</v>
      </c>
      <c r="BE452">
        <v>0</v>
      </c>
      <c r="BF452">
        <v>0</v>
      </c>
      <c r="BG452">
        <v>0</v>
      </c>
      <c r="BH452">
        <v>3300</v>
      </c>
      <c r="BI452">
        <v>0</v>
      </c>
      <c r="BJ452">
        <v>0</v>
      </c>
      <c r="BK452">
        <v>0</v>
      </c>
      <c r="BL452">
        <v>0</v>
      </c>
      <c r="BO452">
        <v>0</v>
      </c>
      <c r="BP452">
        <v>0</v>
      </c>
      <c r="BW452" t="str">
        <f>"18:37:57.150"</f>
        <v>18:37:57.150</v>
      </c>
      <c r="BZ452">
        <v>0</v>
      </c>
      <c r="CA452">
        <v>3488</v>
      </c>
      <c r="CB452">
        <v>216</v>
      </c>
      <c r="CC452">
        <v>583.59379999999999</v>
      </c>
      <c r="CD452">
        <v>1</v>
      </c>
      <c r="CE452">
        <v>1</v>
      </c>
      <c r="CF452">
        <v>0</v>
      </c>
      <c r="CG452">
        <v>1</v>
      </c>
      <c r="CH452">
        <v>0</v>
      </c>
      <c r="CI452">
        <v>0</v>
      </c>
      <c r="CJ452">
        <v>0</v>
      </c>
      <c r="CK452">
        <v>2</v>
      </c>
      <c r="CL452">
        <v>0</v>
      </c>
      <c r="CM452">
        <v>2</v>
      </c>
      <c r="CN452">
        <v>0</v>
      </c>
      <c r="CO452">
        <v>6</v>
      </c>
      <c r="CP452" t="s">
        <v>119</v>
      </c>
      <c r="CQ452">
        <v>145</v>
      </c>
      <c r="CR452">
        <v>1</v>
      </c>
      <c r="CW452">
        <v>8920369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</row>
    <row r="453" spans="1:113" x14ac:dyDescent="0.3">
      <c r="A453" t="str">
        <f>"02/13/2022 18:37:57.351"</f>
        <v>02/13/2022 18:37:57.351</v>
      </c>
      <c r="C453" t="str">
        <f t="shared" ref="C453:C516" si="49">"FFDFD7C0"</f>
        <v>FFDFD7C0</v>
      </c>
      <c r="D453" t="s">
        <v>113</v>
      </c>
      <c r="E453">
        <v>3</v>
      </c>
      <c r="F453">
        <v>1003</v>
      </c>
      <c r="G453" t="s">
        <v>114</v>
      </c>
      <c r="J453" t="s">
        <v>115</v>
      </c>
      <c r="K453">
        <v>0</v>
      </c>
      <c r="L453">
        <v>3</v>
      </c>
      <c r="M453">
        <v>0</v>
      </c>
      <c r="N453">
        <v>2</v>
      </c>
      <c r="O453">
        <v>1</v>
      </c>
      <c r="P453">
        <v>0</v>
      </c>
      <c r="Q453">
        <v>0</v>
      </c>
      <c r="S453" t="str">
        <f>"18:37:57.148"</f>
        <v>18:37:57.148</v>
      </c>
      <c r="T453" t="str">
        <f>"18:37:56.848"</f>
        <v>18:37:56.848</v>
      </c>
      <c r="U453" t="str">
        <f t="shared" si="48"/>
        <v>AAB6EE</v>
      </c>
      <c r="V453">
        <v>0</v>
      </c>
      <c r="W453">
        <v>0</v>
      </c>
      <c r="X453">
        <v>4</v>
      </c>
      <c r="Z453">
        <v>0</v>
      </c>
      <c r="AA453">
        <v>8</v>
      </c>
      <c r="AB453">
        <v>3</v>
      </c>
      <c r="AC453">
        <v>0</v>
      </c>
      <c r="AD453">
        <v>10</v>
      </c>
      <c r="AE453">
        <v>0</v>
      </c>
      <c r="AF453">
        <v>0</v>
      </c>
      <c r="AG453">
        <v>1</v>
      </c>
      <c r="AH453">
        <v>1</v>
      </c>
      <c r="AI453" t="s">
        <v>423</v>
      </c>
      <c r="AJ453">
        <v>35.463051999999998</v>
      </c>
      <c r="AK453" t="s">
        <v>424</v>
      </c>
      <c r="AL453">
        <v>-76.068821</v>
      </c>
      <c r="AM453">
        <v>25</v>
      </c>
      <c r="AN453">
        <v>3425</v>
      </c>
      <c r="AO453" t="s">
        <v>118</v>
      </c>
      <c r="AP453">
        <v>-94</v>
      </c>
      <c r="AQ453">
        <v>-191</v>
      </c>
      <c r="AR453">
        <v>-64</v>
      </c>
      <c r="AZ453">
        <v>1200</v>
      </c>
      <c r="BA453">
        <v>1</v>
      </c>
      <c r="BB453" t="str">
        <f t="shared" ref="BB453:BB516" si="50">"N79NX   "</f>
        <v xml:space="preserve">N79NX   </v>
      </c>
      <c r="BC453">
        <v>1</v>
      </c>
      <c r="BE453">
        <v>0</v>
      </c>
      <c r="BF453">
        <v>0</v>
      </c>
      <c r="BG453">
        <v>0</v>
      </c>
      <c r="BH453">
        <v>3300</v>
      </c>
      <c r="BI453">
        <v>0</v>
      </c>
      <c r="BJ453">
        <v>0</v>
      </c>
      <c r="BK453">
        <v>0</v>
      </c>
      <c r="BL453">
        <v>0</v>
      </c>
      <c r="BO453">
        <v>0</v>
      </c>
      <c r="BP453">
        <v>0</v>
      </c>
      <c r="BW453" t="str">
        <f>"18:37:57.150"</f>
        <v>18:37:57.150</v>
      </c>
      <c r="BZ453">
        <v>0</v>
      </c>
      <c r="CA453">
        <v>3488</v>
      </c>
      <c r="CB453">
        <v>216</v>
      </c>
      <c r="CC453">
        <v>583.59379999999999</v>
      </c>
      <c r="CD453">
        <v>1</v>
      </c>
      <c r="CE453">
        <v>1</v>
      </c>
      <c r="CF453">
        <v>0</v>
      </c>
      <c r="CG453">
        <v>1</v>
      </c>
      <c r="CH453">
        <v>0</v>
      </c>
      <c r="CI453">
        <v>0</v>
      </c>
      <c r="CJ453">
        <v>0</v>
      </c>
      <c r="CK453">
        <v>2</v>
      </c>
      <c r="CL453">
        <v>0</v>
      </c>
      <c r="CM453">
        <v>2</v>
      </c>
      <c r="CN453">
        <v>0</v>
      </c>
      <c r="CO453">
        <v>6</v>
      </c>
      <c r="CP453" t="s">
        <v>119</v>
      </c>
      <c r="CQ453">
        <v>145</v>
      </c>
      <c r="CR453">
        <v>1</v>
      </c>
      <c r="CW453">
        <v>8920369</v>
      </c>
      <c r="CY453">
        <v>0</v>
      </c>
      <c r="CZ453">
        <v>0</v>
      </c>
      <c r="DA453">
        <v>1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</row>
    <row r="454" spans="1:113" x14ac:dyDescent="0.3">
      <c r="A454" t="str">
        <f>"02/13/2022 18:37:57.351"</f>
        <v>02/13/2022 18:37:57.351</v>
      </c>
      <c r="C454" t="str">
        <f t="shared" si="49"/>
        <v>FFDFD7C0</v>
      </c>
      <c r="D454" t="s">
        <v>113</v>
      </c>
      <c r="E454">
        <v>4</v>
      </c>
      <c r="F454">
        <v>1004</v>
      </c>
      <c r="G454" t="s">
        <v>120</v>
      </c>
      <c r="J454" t="s">
        <v>115</v>
      </c>
      <c r="K454">
        <v>0</v>
      </c>
      <c r="L454">
        <v>3</v>
      </c>
      <c r="M454">
        <v>0</v>
      </c>
      <c r="N454">
        <v>2</v>
      </c>
      <c r="O454">
        <v>1</v>
      </c>
      <c r="P454">
        <v>0</v>
      </c>
      <c r="Q454">
        <v>0</v>
      </c>
      <c r="S454" t="str">
        <f>"18:37:57.148"</f>
        <v>18:37:57.148</v>
      </c>
      <c r="T454" t="str">
        <f>"18:37:56.848"</f>
        <v>18:37:56.848</v>
      </c>
      <c r="U454" t="str">
        <f t="shared" si="48"/>
        <v>AAB6EE</v>
      </c>
      <c r="V454">
        <v>0</v>
      </c>
      <c r="W454">
        <v>0</v>
      </c>
      <c r="X454">
        <v>4</v>
      </c>
      <c r="Z454">
        <v>0</v>
      </c>
      <c r="AA454">
        <v>8</v>
      </c>
      <c r="AB454">
        <v>3</v>
      </c>
      <c r="AC454">
        <v>0</v>
      </c>
      <c r="AD454">
        <v>10</v>
      </c>
      <c r="AE454">
        <v>0</v>
      </c>
      <c r="AF454">
        <v>0</v>
      </c>
      <c r="AG454">
        <v>1</v>
      </c>
      <c r="AH454">
        <v>1</v>
      </c>
      <c r="AI454" t="s">
        <v>423</v>
      </c>
      <c r="AJ454">
        <v>35.463051999999998</v>
      </c>
      <c r="AK454" t="s">
        <v>424</v>
      </c>
      <c r="AL454">
        <v>-76.068821</v>
      </c>
      <c r="AM454">
        <v>25</v>
      </c>
      <c r="AN454">
        <v>3425</v>
      </c>
      <c r="AO454" t="s">
        <v>118</v>
      </c>
      <c r="AP454">
        <v>-94</v>
      </c>
      <c r="AQ454">
        <v>-191</v>
      </c>
      <c r="AR454">
        <v>-64</v>
      </c>
      <c r="AZ454">
        <v>1200</v>
      </c>
      <c r="BA454">
        <v>1</v>
      </c>
      <c r="BB454" t="str">
        <f t="shared" si="50"/>
        <v xml:space="preserve">N79NX   </v>
      </c>
      <c r="BC454">
        <v>1</v>
      </c>
      <c r="BE454">
        <v>0</v>
      </c>
      <c r="BF454">
        <v>0</v>
      </c>
      <c r="BG454">
        <v>0</v>
      </c>
      <c r="BH454">
        <v>3300</v>
      </c>
      <c r="BI454">
        <v>0</v>
      </c>
      <c r="BJ454">
        <v>0</v>
      </c>
      <c r="BK454">
        <v>0</v>
      </c>
      <c r="BL454">
        <v>0</v>
      </c>
      <c r="BO454">
        <v>0</v>
      </c>
      <c r="BP454">
        <v>0</v>
      </c>
      <c r="BW454" t="str">
        <f>"18:37:57.150"</f>
        <v>18:37:57.150</v>
      </c>
      <c r="BZ454">
        <v>0</v>
      </c>
      <c r="CA454">
        <v>3488</v>
      </c>
      <c r="CB454">
        <v>216</v>
      </c>
      <c r="CC454">
        <v>583.59379999999999</v>
      </c>
      <c r="CD454">
        <v>1</v>
      </c>
      <c r="CE454">
        <v>1</v>
      </c>
      <c r="CF454">
        <v>0</v>
      </c>
      <c r="CG454">
        <v>1</v>
      </c>
      <c r="CH454">
        <v>0</v>
      </c>
      <c r="CI454">
        <v>0</v>
      </c>
      <c r="CJ454">
        <v>0</v>
      </c>
      <c r="CK454">
        <v>2</v>
      </c>
      <c r="CL454">
        <v>0</v>
      </c>
      <c r="CM454">
        <v>2</v>
      </c>
      <c r="CN454">
        <v>0</v>
      </c>
      <c r="CO454">
        <v>6</v>
      </c>
      <c r="CP454" t="s">
        <v>119</v>
      </c>
      <c r="CQ454">
        <v>145</v>
      </c>
      <c r="CR454">
        <v>1</v>
      </c>
      <c r="CW454">
        <v>8920369</v>
      </c>
      <c r="CY454">
        <v>0</v>
      </c>
      <c r="CZ454">
        <v>0</v>
      </c>
      <c r="DA454">
        <v>1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</row>
    <row r="455" spans="1:113" x14ac:dyDescent="0.3">
      <c r="A455" t="str">
        <f>"02/13/2022 18:37:58.398"</f>
        <v>02/13/2022 18:37:58.398</v>
      </c>
      <c r="C455" t="str">
        <f t="shared" si="49"/>
        <v>FFDFD7C0</v>
      </c>
      <c r="D455" t="s">
        <v>121</v>
      </c>
      <c r="E455">
        <v>2</v>
      </c>
      <c r="H455">
        <v>158</v>
      </c>
      <c r="I455" t="s">
        <v>120</v>
      </c>
      <c r="J455" t="s">
        <v>122</v>
      </c>
      <c r="K455">
        <v>0</v>
      </c>
      <c r="L455">
        <v>3</v>
      </c>
      <c r="M455">
        <v>0</v>
      </c>
      <c r="N455">
        <v>2</v>
      </c>
      <c r="O455">
        <v>1</v>
      </c>
      <c r="P455">
        <v>0</v>
      </c>
      <c r="Q455">
        <v>0</v>
      </c>
      <c r="S455" t="str">
        <f>"18:37:58.078"</f>
        <v>18:37:58.078</v>
      </c>
      <c r="T455" t="str">
        <f>"18:37:57.778"</f>
        <v>18:37:57.778</v>
      </c>
      <c r="U455" t="str">
        <f t="shared" si="48"/>
        <v>AAB6EE</v>
      </c>
      <c r="V455">
        <v>0</v>
      </c>
      <c r="W455">
        <v>0</v>
      </c>
      <c r="X455">
        <v>4</v>
      </c>
      <c r="Z455">
        <v>0</v>
      </c>
      <c r="AA455">
        <v>8</v>
      </c>
      <c r="AB455">
        <v>3</v>
      </c>
      <c r="AC455">
        <v>0</v>
      </c>
      <c r="AD455">
        <v>10</v>
      </c>
      <c r="AE455">
        <v>0</v>
      </c>
      <c r="AF455">
        <v>0</v>
      </c>
      <c r="AG455">
        <v>1</v>
      </c>
      <c r="AH455">
        <v>1</v>
      </c>
      <c r="AI455" t="s">
        <v>425</v>
      </c>
      <c r="AJ455">
        <v>35.462235999999997</v>
      </c>
      <c r="AK455" t="s">
        <v>426</v>
      </c>
      <c r="AL455">
        <v>-76.069336000000007</v>
      </c>
      <c r="AM455">
        <v>25</v>
      </c>
      <c r="AN455">
        <v>3425</v>
      </c>
      <c r="AO455" t="s">
        <v>118</v>
      </c>
      <c r="AP455">
        <v>-94</v>
      </c>
      <c r="AQ455">
        <v>-192</v>
      </c>
      <c r="AR455">
        <v>0</v>
      </c>
      <c r="AZ455">
        <v>1200</v>
      </c>
      <c r="BA455">
        <v>1</v>
      </c>
      <c r="BB455" t="str">
        <f t="shared" si="50"/>
        <v xml:space="preserve">N79NX   </v>
      </c>
      <c r="BC455">
        <v>1</v>
      </c>
      <c r="BE455">
        <v>0</v>
      </c>
      <c r="BF455">
        <v>0</v>
      </c>
      <c r="BG455">
        <v>0</v>
      </c>
      <c r="BH455">
        <v>3300</v>
      </c>
      <c r="BI455">
        <v>0</v>
      </c>
      <c r="BJ455">
        <v>0</v>
      </c>
      <c r="BK455">
        <v>0</v>
      </c>
      <c r="BL455">
        <v>0</v>
      </c>
      <c r="BO455">
        <v>0</v>
      </c>
      <c r="BP455">
        <v>0</v>
      </c>
      <c r="BW455" t="str">
        <f>"18:37:58.080"</f>
        <v>18:37:58.080</v>
      </c>
      <c r="BZ455">
        <v>0</v>
      </c>
      <c r="CA455">
        <v>3488</v>
      </c>
      <c r="CB455">
        <v>216</v>
      </c>
      <c r="CC455">
        <v>583.59379999999999</v>
      </c>
      <c r="CD455">
        <v>1</v>
      </c>
      <c r="CE455">
        <v>1</v>
      </c>
      <c r="CF455">
        <v>0</v>
      </c>
      <c r="CG455">
        <v>1</v>
      </c>
      <c r="CH455">
        <v>0</v>
      </c>
      <c r="CI455">
        <v>0</v>
      </c>
      <c r="CJ455">
        <v>0</v>
      </c>
      <c r="CK455">
        <v>2</v>
      </c>
      <c r="CL455">
        <v>0</v>
      </c>
      <c r="CM455">
        <v>2</v>
      </c>
      <c r="CN455">
        <v>0</v>
      </c>
      <c r="CO455">
        <v>6</v>
      </c>
      <c r="CP455" t="s">
        <v>119</v>
      </c>
      <c r="CQ455">
        <v>145</v>
      </c>
      <c r="CR455">
        <v>1</v>
      </c>
      <c r="CW455">
        <v>8920801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</row>
    <row r="456" spans="1:113" x14ac:dyDescent="0.3">
      <c r="A456" t="str">
        <f>"02/13/2022 18:37:58.398"</f>
        <v>02/13/2022 18:37:58.398</v>
      </c>
      <c r="C456" t="str">
        <f t="shared" si="49"/>
        <v>FFDFD7C0</v>
      </c>
      <c r="D456" t="s">
        <v>113</v>
      </c>
      <c r="E456">
        <v>3</v>
      </c>
      <c r="F456">
        <v>1003</v>
      </c>
      <c r="G456" t="s">
        <v>114</v>
      </c>
      <c r="J456" t="s">
        <v>115</v>
      </c>
      <c r="K456">
        <v>0</v>
      </c>
      <c r="L456">
        <v>3</v>
      </c>
      <c r="M456">
        <v>0</v>
      </c>
      <c r="N456">
        <v>2</v>
      </c>
      <c r="O456">
        <v>1</v>
      </c>
      <c r="P456">
        <v>0</v>
      </c>
      <c r="Q456">
        <v>0</v>
      </c>
      <c r="S456" t="str">
        <f>"18:37:58.078"</f>
        <v>18:37:58.078</v>
      </c>
      <c r="T456" t="str">
        <f>"18:37:57.778"</f>
        <v>18:37:57.778</v>
      </c>
      <c r="U456" t="str">
        <f t="shared" si="48"/>
        <v>AAB6EE</v>
      </c>
      <c r="V456">
        <v>0</v>
      </c>
      <c r="W456">
        <v>0</v>
      </c>
      <c r="X456">
        <v>4</v>
      </c>
      <c r="Z456">
        <v>0</v>
      </c>
      <c r="AA456">
        <v>8</v>
      </c>
      <c r="AB456">
        <v>3</v>
      </c>
      <c r="AC456">
        <v>0</v>
      </c>
      <c r="AD456">
        <v>10</v>
      </c>
      <c r="AE456">
        <v>0</v>
      </c>
      <c r="AF456">
        <v>0</v>
      </c>
      <c r="AG456">
        <v>1</v>
      </c>
      <c r="AH456">
        <v>1</v>
      </c>
      <c r="AI456" t="s">
        <v>425</v>
      </c>
      <c r="AJ456">
        <v>35.462235999999997</v>
      </c>
      <c r="AK456" t="s">
        <v>426</v>
      </c>
      <c r="AL456">
        <v>-76.069336000000007</v>
      </c>
      <c r="AM456">
        <v>25</v>
      </c>
      <c r="AN456">
        <v>3425</v>
      </c>
      <c r="AO456" t="s">
        <v>118</v>
      </c>
      <c r="AP456">
        <v>-94</v>
      </c>
      <c r="AQ456">
        <v>-192</v>
      </c>
      <c r="AR456">
        <v>0</v>
      </c>
      <c r="AZ456">
        <v>1200</v>
      </c>
      <c r="BA456">
        <v>1</v>
      </c>
      <c r="BB456" t="str">
        <f t="shared" si="50"/>
        <v xml:space="preserve">N79NX   </v>
      </c>
      <c r="BC456">
        <v>1</v>
      </c>
      <c r="BE456">
        <v>0</v>
      </c>
      <c r="BF456">
        <v>0</v>
      </c>
      <c r="BG456">
        <v>0</v>
      </c>
      <c r="BH456">
        <v>3300</v>
      </c>
      <c r="BI456">
        <v>0</v>
      </c>
      <c r="BJ456">
        <v>0</v>
      </c>
      <c r="BK456">
        <v>0</v>
      </c>
      <c r="BL456">
        <v>0</v>
      </c>
      <c r="BO456">
        <v>0</v>
      </c>
      <c r="BP456">
        <v>0</v>
      </c>
      <c r="BW456" t="str">
        <f>"18:37:58.080"</f>
        <v>18:37:58.080</v>
      </c>
      <c r="BZ456">
        <v>0</v>
      </c>
      <c r="CA456">
        <v>3488</v>
      </c>
      <c r="CB456">
        <v>216</v>
      </c>
      <c r="CC456">
        <v>583.59379999999999</v>
      </c>
      <c r="CD456">
        <v>1</v>
      </c>
      <c r="CE456">
        <v>1</v>
      </c>
      <c r="CF456">
        <v>0</v>
      </c>
      <c r="CG456">
        <v>1</v>
      </c>
      <c r="CH456">
        <v>0</v>
      </c>
      <c r="CI456">
        <v>0</v>
      </c>
      <c r="CJ456">
        <v>0</v>
      </c>
      <c r="CK456">
        <v>2</v>
      </c>
      <c r="CL456">
        <v>0</v>
      </c>
      <c r="CM456">
        <v>2</v>
      </c>
      <c r="CN456">
        <v>0</v>
      </c>
      <c r="CO456">
        <v>6</v>
      </c>
      <c r="CP456" t="s">
        <v>119</v>
      </c>
      <c r="CQ456">
        <v>145</v>
      </c>
      <c r="CR456">
        <v>1</v>
      </c>
      <c r="CW456">
        <v>8920801</v>
      </c>
      <c r="CY456">
        <v>0</v>
      </c>
      <c r="CZ456">
        <v>0</v>
      </c>
      <c r="DA456">
        <v>1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</row>
    <row r="457" spans="1:113" x14ac:dyDescent="0.3">
      <c r="A457" t="str">
        <f>"02/13/2022 18:37:58.398"</f>
        <v>02/13/2022 18:37:58.398</v>
      </c>
      <c r="C457" t="str">
        <f t="shared" si="49"/>
        <v>FFDFD7C0</v>
      </c>
      <c r="D457" t="s">
        <v>113</v>
      </c>
      <c r="E457">
        <v>4</v>
      </c>
      <c r="F457">
        <v>1004</v>
      </c>
      <c r="G457" t="s">
        <v>120</v>
      </c>
      <c r="J457" t="s">
        <v>115</v>
      </c>
      <c r="K457">
        <v>0</v>
      </c>
      <c r="L457">
        <v>3</v>
      </c>
      <c r="M457">
        <v>0</v>
      </c>
      <c r="N457">
        <v>2</v>
      </c>
      <c r="O457">
        <v>1</v>
      </c>
      <c r="P457">
        <v>0</v>
      </c>
      <c r="Q457">
        <v>0</v>
      </c>
      <c r="S457" t="str">
        <f>"18:37:58.078"</f>
        <v>18:37:58.078</v>
      </c>
      <c r="T457" t="str">
        <f>"18:37:57.778"</f>
        <v>18:37:57.778</v>
      </c>
      <c r="U457" t="str">
        <f t="shared" si="48"/>
        <v>AAB6EE</v>
      </c>
      <c r="V457">
        <v>0</v>
      </c>
      <c r="W457">
        <v>0</v>
      </c>
      <c r="X457">
        <v>4</v>
      </c>
      <c r="Z457">
        <v>0</v>
      </c>
      <c r="AA457">
        <v>8</v>
      </c>
      <c r="AB457">
        <v>3</v>
      </c>
      <c r="AC457">
        <v>0</v>
      </c>
      <c r="AD457">
        <v>10</v>
      </c>
      <c r="AE457">
        <v>0</v>
      </c>
      <c r="AF457">
        <v>0</v>
      </c>
      <c r="AG457">
        <v>1</v>
      </c>
      <c r="AH457">
        <v>1</v>
      </c>
      <c r="AI457" t="s">
        <v>425</v>
      </c>
      <c r="AJ457">
        <v>35.462235999999997</v>
      </c>
      <c r="AK457" t="s">
        <v>426</v>
      </c>
      <c r="AL457">
        <v>-76.069336000000007</v>
      </c>
      <c r="AM457">
        <v>25</v>
      </c>
      <c r="AN457">
        <v>3425</v>
      </c>
      <c r="AO457" t="s">
        <v>118</v>
      </c>
      <c r="AP457">
        <v>-94</v>
      </c>
      <c r="AQ457">
        <v>-192</v>
      </c>
      <c r="AR457">
        <v>0</v>
      </c>
      <c r="AZ457">
        <v>1200</v>
      </c>
      <c r="BA457">
        <v>1</v>
      </c>
      <c r="BB457" t="str">
        <f t="shared" si="50"/>
        <v xml:space="preserve">N79NX   </v>
      </c>
      <c r="BC457">
        <v>1</v>
      </c>
      <c r="BE457">
        <v>0</v>
      </c>
      <c r="BF457">
        <v>0</v>
      </c>
      <c r="BG457">
        <v>0</v>
      </c>
      <c r="BH457">
        <v>3300</v>
      </c>
      <c r="BI457">
        <v>0</v>
      </c>
      <c r="BJ457">
        <v>0</v>
      </c>
      <c r="BK457">
        <v>0</v>
      </c>
      <c r="BL457">
        <v>0</v>
      </c>
      <c r="BO457">
        <v>0</v>
      </c>
      <c r="BP457">
        <v>0</v>
      </c>
      <c r="BW457" t="str">
        <f>"18:37:58.080"</f>
        <v>18:37:58.080</v>
      </c>
      <c r="BZ457">
        <v>0</v>
      </c>
      <c r="CA457">
        <v>3488</v>
      </c>
      <c r="CB457">
        <v>216</v>
      </c>
      <c r="CC457">
        <v>583.59379999999999</v>
      </c>
      <c r="CD457">
        <v>1</v>
      </c>
      <c r="CE457">
        <v>1</v>
      </c>
      <c r="CF457">
        <v>0</v>
      </c>
      <c r="CG457">
        <v>1</v>
      </c>
      <c r="CH457">
        <v>0</v>
      </c>
      <c r="CI457">
        <v>0</v>
      </c>
      <c r="CJ457">
        <v>0</v>
      </c>
      <c r="CK457">
        <v>2</v>
      </c>
      <c r="CL457">
        <v>0</v>
      </c>
      <c r="CM457">
        <v>2</v>
      </c>
      <c r="CN457">
        <v>0</v>
      </c>
      <c r="CO457">
        <v>6</v>
      </c>
      <c r="CP457" t="s">
        <v>119</v>
      </c>
      <c r="CQ457">
        <v>145</v>
      </c>
      <c r="CR457">
        <v>1</v>
      </c>
      <c r="CW457">
        <v>8920801</v>
      </c>
      <c r="CY457">
        <v>0</v>
      </c>
      <c r="CZ457">
        <v>0</v>
      </c>
      <c r="DA457">
        <v>1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</row>
    <row r="458" spans="1:113" x14ac:dyDescent="0.3">
      <c r="A458" t="str">
        <f>"02/13/2022 18:37:59.212"</f>
        <v>02/13/2022 18:37:59.212</v>
      </c>
      <c r="C458" t="str">
        <f t="shared" si="49"/>
        <v>FFDFD7C0</v>
      </c>
      <c r="D458" t="s">
        <v>113</v>
      </c>
      <c r="E458">
        <v>4</v>
      </c>
      <c r="F458">
        <v>1004</v>
      </c>
      <c r="G458" t="s">
        <v>120</v>
      </c>
      <c r="J458" t="s">
        <v>115</v>
      </c>
      <c r="K458">
        <v>0</v>
      </c>
      <c r="L458">
        <v>3</v>
      </c>
      <c r="M458">
        <v>0</v>
      </c>
      <c r="N458">
        <v>2</v>
      </c>
      <c r="O458">
        <v>1</v>
      </c>
      <c r="P458">
        <v>0</v>
      </c>
      <c r="Q458">
        <v>0</v>
      </c>
      <c r="S458" t="str">
        <f>"18:37:58.984"</f>
        <v>18:37:58.984</v>
      </c>
      <c r="T458" t="str">
        <f>"18:37:58.784"</f>
        <v>18:37:58.784</v>
      </c>
      <c r="U458" t="str">
        <f t="shared" si="48"/>
        <v>AAB6EE</v>
      </c>
      <c r="V458">
        <v>0</v>
      </c>
      <c r="W458">
        <v>0</v>
      </c>
      <c r="X458">
        <v>4</v>
      </c>
      <c r="Z458">
        <v>0</v>
      </c>
      <c r="AA458">
        <v>8</v>
      </c>
      <c r="AB458">
        <v>3</v>
      </c>
      <c r="AC458">
        <v>0</v>
      </c>
      <c r="AD458">
        <v>10</v>
      </c>
      <c r="AE458">
        <v>0</v>
      </c>
      <c r="AF458">
        <v>0</v>
      </c>
      <c r="AG458">
        <v>1</v>
      </c>
      <c r="AH458">
        <v>1</v>
      </c>
      <c r="AI458" t="s">
        <v>427</v>
      </c>
      <c r="AJ458">
        <v>35.461441999999998</v>
      </c>
      <c r="AK458" t="s">
        <v>428</v>
      </c>
      <c r="AL458">
        <v>-76.069787000000005</v>
      </c>
      <c r="AM458">
        <v>25</v>
      </c>
      <c r="AN458">
        <v>3425</v>
      </c>
      <c r="AO458" t="s">
        <v>118</v>
      </c>
      <c r="AP458">
        <v>-94</v>
      </c>
      <c r="AQ458">
        <v>-192</v>
      </c>
      <c r="AR458">
        <v>0</v>
      </c>
      <c r="AZ458">
        <v>1200</v>
      </c>
      <c r="BA458">
        <v>1</v>
      </c>
      <c r="BB458" t="str">
        <f t="shared" si="50"/>
        <v xml:space="preserve">N79NX   </v>
      </c>
      <c r="BC458">
        <v>1</v>
      </c>
      <c r="BE458">
        <v>0</v>
      </c>
      <c r="BF458">
        <v>0</v>
      </c>
      <c r="BG458">
        <v>0</v>
      </c>
      <c r="BH458">
        <v>3300</v>
      </c>
      <c r="BI458">
        <v>0</v>
      </c>
      <c r="BJ458">
        <v>0</v>
      </c>
      <c r="BK458">
        <v>0</v>
      </c>
      <c r="BL458">
        <v>0</v>
      </c>
      <c r="BO458">
        <v>0</v>
      </c>
      <c r="BP458">
        <v>0</v>
      </c>
      <c r="BW458" t="str">
        <f>"18:37:58.990"</f>
        <v>18:37:58.990</v>
      </c>
      <c r="BZ458">
        <v>0</v>
      </c>
      <c r="CA458">
        <v>3488</v>
      </c>
      <c r="CB458">
        <v>216</v>
      </c>
      <c r="CC458">
        <v>583.59379999999999</v>
      </c>
      <c r="CD458">
        <v>1</v>
      </c>
      <c r="CE458">
        <v>1</v>
      </c>
      <c r="CF458">
        <v>0</v>
      </c>
      <c r="CG458">
        <v>1</v>
      </c>
      <c r="CH458">
        <v>0</v>
      </c>
      <c r="CI458">
        <v>0</v>
      </c>
      <c r="CJ458">
        <v>0</v>
      </c>
      <c r="CK458">
        <v>2</v>
      </c>
      <c r="CL458">
        <v>0</v>
      </c>
      <c r="CM458">
        <v>2</v>
      </c>
      <c r="CN458">
        <v>0</v>
      </c>
      <c r="CO458">
        <v>6</v>
      </c>
      <c r="CP458" t="s">
        <v>119</v>
      </c>
      <c r="CQ458">
        <v>145</v>
      </c>
      <c r="CR458">
        <v>1</v>
      </c>
      <c r="CW458">
        <v>8921200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</row>
    <row r="459" spans="1:113" x14ac:dyDescent="0.3">
      <c r="A459" t="str">
        <f>"02/13/2022 18:37:59.212"</f>
        <v>02/13/2022 18:37:59.212</v>
      </c>
      <c r="C459" t="str">
        <f t="shared" si="49"/>
        <v>FFDFD7C0</v>
      </c>
      <c r="D459" t="s">
        <v>121</v>
      </c>
      <c r="E459">
        <v>2</v>
      </c>
      <c r="H459">
        <v>158</v>
      </c>
      <c r="I459" t="s">
        <v>120</v>
      </c>
      <c r="J459" t="s">
        <v>122</v>
      </c>
      <c r="K459">
        <v>0</v>
      </c>
      <c r="L459">
        <v>3</v>
      </c>
      <c r="M459">
        <v>0</v>
      </c>
      <c r="N459">
        <v>2</v>
      </c>
      <c r="O459">
        <v>1</v>
      </c>
      <c r="P459">
        <v>0</v>
      </c>
      <c r="Q459">
        <v>0</v>
      </c>
      <c r="S459" t="str">
        <f>"18:37:58.984"</f>
        <v>18:37:58.984</v>
      </c>
      <c r="T459" t="str">
        <f>"18:37:58.784"</f>
        <v>18:37:58.784</v>
      </c>
      <c r="U459" t="str">
        <f t="shared" si="48"/>
        <v>AAB6EE</v>
      </c>
      <c r="V459">
        <v>0</v>
      </c>
      <c r="W459">
        <v>0</v>
      </c>
      <c r="X459">
        <v>4</v>
      </c>
      <c r="Z459">
        <v>0</v>
      </c>
      <c r="AA459">
        <v>8</v>
      </c>
      <c r="AB459">
        <v>3</v>
      </c>
      <c r="AC459">
        <v>0</v>
      </c>
      <c r="AD459">
        <v>10</v>
      </c>
      <c r="AE459">
        <v>0</v>
      </c>
      <c r="AF459">
        <v>0</v>
      </c>
      <c r="AG459">
        <v>1</v>
      </c>
      <c r="AH459">
        <v>1</v>
      </c>
      <c r="AI459" t="s">
        <v>427</v>
      </c>
      <c r="AJ459">
        <v>35.461441999999998</v>
      </c>
      <c r="AK459" t="s">
        <v>428</v>
      </c>
      <c r="AL459">
        <v>-76.069787000000005</v>
      </c>
      <c r="AM459">
        <v>25</v>
      </c>
      <c r="AN459">
        <v>3425</v>
      </c>
      <c r="AO459" t="s">
        <v>118</v>
      </c>
      <c r="AP459">
        <v>-94</v>
      </c>
      <c r="AQ459">
        <v>-192</v>
      </c>
      <c r="AR459">
        <v>0</v>
      </c>
      <c r="AZ459">
        <v>1200</v>
      </c>
      <c r="BA459">
        <v>1</v>
      </c>
      <c r="BB459" t="str">
        <f t="shared" si="50"/>
        <v xml:space="preserve">N79NX   </v>
      </c>
      <c r="BC459">
        <v>1</v>
      </c>
      <c r="BE459">
        <v>0</v>
      </c>
      <c r="BF459">
        <v>0</v>
      </c>
      <c r="BG459">
        <v>0</v>
      </c>
      <c r="BH459">
        <v>3300</v>
      </c>
      <c r="BI459">
        <v>0</v>
      </c>
      <c r="BJ459">
        <v>0</v>
      </c>
      <c r="BK459">
        <v>0</v>
      </c>
      <c r="BL459">
        <v>0</v>
      </c>
      <c r="BO459">
        <v>0</v>
      </c>
      <c r="BP459">
        <v>0</v>
      </c>
      <c r="BW459" t="str">
        <f>"18:37:58.990"</f>
        <v>18:37:58.990</v>
      </c>
      <c r="BZ459">
        <v>0</v>
      </c>
      <c r="CA459">
        <v>3488</v>
      </c>
      <c r="CB459">
        <v>216</v>
      </c>
      <c r="CC459">
        <v>583.59379999999999</v>
      </c>
      <c r="CD459">
        <v>1</v>
      </c>
      <c r="CE459">
        <v>1</v>
      </c>
      <c r="CF459">
        <v>0</v>
      </c>
      <c r="CG459">
        <v>1</v>
      </c>
      <c r="CH459">
        <v>0</v>
      </c>
      <c r="CI459">
        <v>0</v>
      </c>
      <c r="CJ459">
        <v>0</v>
      </c>
      <c r="CK459">
        <v>2</v>
      </c>
      <c r="CL459">
        <v>0</v>
      </c>
      <c r="CM459">
        <v>2</v>
      </c>
      <c r="CN459">
        <v>0</v>
      </c>
      <c r="CO459">
        <v>6</v>
      </c>
      <c r="CP459" t="s">
        <v>119</v>
      </c>
      <c r="CQ459">
        <v>145</v>
      </c>
      <c r="CR459">
        <v>1</v>
      </c>
      <c r="CW459">
        <v>8921200</v>
      </c>
      <c r="CY459">
        <v>0</v>
      </c>
      <c r="CZ459">
        <v>0</v>
      </c>
      <c r="DA459">
        <v>1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</row>
    <row r="460" spans="1:113" x14ac:dyDescent="0.3">
      <c r="A460" t="str">
        <f>"02/13/2022 18:37:59.212"</f>
        <v>02/13/2022 18:37:59.212</v>
      </c>
      <c r="C460" t="str">
        <f t="shared" si="49"/>
        <v>FFDFD7C0</v>
      </c>
      <c r="D460" t="s">
        <v>113</v>
      </c>
      <c r="E460">
        <v>3</v>
      </c>
      <c r="F460">
        <v>1003</v>
      </c>
      <c r="G460" t="s">
        <v>114</v>
      </c>
      <c r="J460" t="s">
        <v>115</v>
      </c>
      <c r="K460">
        <v>0</v>
      </c>
      <c r="L460">
        <v>3</v>
      </c>
      <c r="M460">
        <v>0</v>
      </c>
      <c r="N460">
        <v>2</v>
      </c>
      <c r="O460">
        <v>1</v>
      </c>
      <c r="P460">
        <v>0</v>
      </c>
      <c r="Q460">
        <v>0</v>
      </c>
      <c r="S460" t="str">
        <f>"18:37:58.984"</f>
        <v>18:37:58.984</v>
      </c>
      <c r="T460" t="str">
        <f>"18:37:58.784"</f>
        <v>18:37:58.784</v>
      </c>
      <c r="U460" t="str">
        <f t="shared" si="48"/>
        <v>AAB6EE</v>
      </c>
      <c r="V460">
        <v>0</v>
      </c>
      <c r="W460">
        <v>0</v>
      </c>
      <c r="X460">
        <v>4</v>
      </c>
      <c r="Z460">
        <v>0</v>
      </c>
      <c r="AA460">
        <v>8</v>
      </c>
      <c r="AB460">
        <v>3</v>
      </c>
      <c r="AC460">
        <v>0</v>
      </c>
      <c r="AD460">
        <v>10</v>
      </c>
      <c r="AE460">
        <v>0</v>
      </c>
      <c r="AF460">
        <v>0</v>
      </c>
      <c r="AG460">
        <v>1</v>
      </c>
      <c r="AH460">
        <v>1</v>
      </c>
      <c r="AI460" t="s">
        <v>427</v>
      </c>
      <c r="AJ460">
        <v>35.461441999999998</v>
      </c>
      <c r="AK460" t="s">
        <v>428</v>
      </c>
      <c r="AL460">
        <v>-76.069787000000005</v>
      </c>
      <c r="AM460">
        <v>25</v>
      </c>
      <c r="AN460">
        <v>3425</v>
      </c>
      <c r="AO460" t="s">
        <v>118</v>
      </c>
      <c r="AP460">
        <v>-94</v>
      </c>
      <c r="AQ460">
        <v>-192</v>
      </c>
      <c r="AR460">
        <v>0</v>
      </c>
      <c r="AZ460">
        <v>1200</v>
      </c>
      <c r="BA460">
        <v>1</v>
      </c>
      <c r="BB460" t="str">
        <f t="shared" si="50"/>
        <v xml:space="preserve">N79NX   </v>
      </c>
      <c r="BC460">
        <v>1</v>
      </c>
      <c r="BE460">
        <v>0</v>
      </c>
      <c r="BF460">
        <v>0</v>
      </c>
      <c r="BG460">
        <v>0</v>
      </c>
      <c r="BH460">
        <v>3300</v>
      </c>
      <c r="BI460">
        <v>0</v>
      </c>
      <c r="BJ460">
        <v>0</v>
      </c>
      <c r="BK460">
        <v>0</v>
      </c>
      <c r="BL460">
        <v>0</v>
      </c>
      <c r="BO460">
        <v>0</v>
      </c>
      <c r="BP460">
        <v>0</v>
      </c>
      <c r="BW460" t="str">
        <f>"18:37:58.990"</f>
        <v>18:37:58.990</v>
      </c>
      <c r="BZ460">
        <v>0</v>
      </c>
      <c r="CA460">
        <v>3488</v>
      </c>
      <c r="CB460">
        <v>216</v>
      </c>
      <c r="CC460">
        <v>583.59379999999999</v>
      </c>
      <c r="CD460">
        <v>1</v>
      </c>
      <c r="CE460">
        <v>1</v>
      </c>
      <c r="CF460">
        <v>0</v>
      </c>
      <c r="CG460">
        <v>1</v>
      </c>
      <c r="CH460">
        <v>0</v>
      </c>
      <c r="CI460">
        <v>0</v>
      </c>
      <c r="CJ460">
        <v>0</v>
      </c>
      <c r="CK460">
        <v>2</v>
      </c>
      <c r="CL460">
        <v>0</v>
      </c>
      <c r="CM460">
        <v>2</v>
      </c>
      <c r="CN460">
        <v>0</v>
      </c>
      <c r="CO460">
        <v>6</v>
      </c>
      <c r="CP460" t="s">
        <v>119</v>
      </c>
      <c r="CQ460">
        <v>145</v>
      </c>
      <c r="CR460">
        <v>1</v>
      </c>
      <c r="CW460">
        <v>8921200</v>
      </c>
      <c r="CY460">
        <v>0</v>
      </c>
      <c r="CZ460">
        <v>0</v>
      </c>
      <c r="DA460">
        <v>1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</row>
    <row r="461" spans="1:113" x14ac:dyDescent="0.3">
      <c r="A461" t="str">
        <f>"02/13/2022 18:38:00.386"</f>
        <v>02/13/2022 18:38:00.386</v>
      </c>
      <c r="C461" t="str">
        <f t="shared" si="49"/>
        <v>FFDFD7C0</v>
      </c>
      <c r="D461" t="s">
        <v>113</v>
      </c>
      <c r="E461">
        <v>3</v>
      </c>
      <c r="F461">
        <v>1003</v>
      </c>
      <c r="G461" t="s">
        <v>114</v>
      </c>
      <c r="J461" t="s">
        <v>115</v>
      </c>
      <c r="K461">
        <v>0</v>
      </c>
      <c r="L461">
        <v>3</v>
      </c>
      <c r="M461">
        <v>0</v>
      </c>
      <c r="N461">
        <v>2</v>
      </c>
      <c r="O461">
        <v>1</v>
      </c>
      <c r="P461">
        <v>0</v>
      </c>
      <c r="Q461">
        <v>0</v>
      </c>
      <c r="S461" t="str">
        <f>"18:38:00.133"</f>
        <v>18:38:00.133</v>
      </c>
      <c r="T461" t="str">
        <f>"18:37:59.633"</f>
        <v>18:37:59.633</v>
      </c>
      <c r="U461" t="str">
        <f t="shared" si="48"/>
        <v>AAB6EE</v>
      </c>
      <c r="V461">
        <v>0</v>
      </c>
      <c r="W461">
        <v>0</v>
      </c>
      <c r="X461">
        <v>4</v>
      </c>
      <c r="Z461">
        <v>0</v>
      </c>
      <c r="AA461">
        <v>8</v>
      </c>
      <c r="AB461">
        <v>3</v>
      </c>
      <c r="AC461">
        <v>0</v>
      </c>
      <c r="AD461">
        <v>10</v>
      </c>
      <c r="AE461">
        <v>0</v>
      </c>
      <c r="AF461">
        <v>0</v>
      </c>
      <c r="AG461">
        <v>1</v>
      </c>
      <c r="AH461">
        <v>1</v>
      </c>
      <c r="AI461" t="s">
        <v>429</v>
      </c>
      <c r="AJ461">
        <v>35.460391000000001</v>
      </c>
      <c r="AK461" t="s">
        <v>430</v>
      </c>
      <c r="AL461">
        <v>-76.070430000000002</v>
      </c>
      <c r="AM461">
        <v>25</v>
      </c>
      <c r="AN461">
        <v>3425</v>
      </c>
      <c r="AO461" t="s">
        <v>118</v>
      </c>
      <c r="AP461">
        <v>-94</v>
      </c>
      <c r="AQ461">
        <v>-192</v>
      </c>
      <c r="AR461">
        <v>0</v>
      </c>
      <c r="AZ461">
        <v>1200</v>
      </c>
      <c r="BA461">
        <v>1</v>
      </c>
      <c r="BB461" t="str">
        <f t="shared" si="50"/>
        <v xml:space="preserve">N79NX   </v>
      </c>
      <c r="BC461">
        <v>1</v>
      </c>
      <c r="BE461">
        <v>0</v>
      </c>
      <c r="BF461">
        <v>0</v>
      </c>
      <c r="BG461">
        <v>0</v>
      </c>
      <c r="BH461">
        <v>3300</v>
      </c>
      <c r="BI461">
        <v>0</v>
      </c>
      <c r="BJ461">
        <v>0</v>
      </c>
      <c r="BK461">
        <v>0</v>
      </c>
      <c r="BL461">
        <v>0</v>
      </c>
      <c r="BO461">
        <v>0</v>
      </c>
      <c r="BP461">
        <v>0</v>
      </c>
      <c r="BW461" t="str">
        <f>"18:38:00.140"</f>
        <v>18:38:00.140</v>
      </c>
      <c r="BZ461">
        <v>0</v>
      </c>
      <c r="CA461">
        <v>3488</v>
      </c>
      <c r="CB461">
        <v>216</v>
      </c>
      <c r="CC461">
        <v>583.59379999999999</v>
      </c>
      <c r="CD461">
        <v>1</v>
      </c>
      <c r="CE461">
        <v>1</v>
      </c>
      <c r="CF461">
        <v>0</v>
      </c>
      <c r="CG461">
        <v>1</v>
      </c>
      <c r="CH461">
        <v>0</v>
      </c>
      <c r="CI461">
        <v>0</v>
      </c>
      <c r="CJ461">
        <v>0</v>
      </c>
      <c r="CK461">
        <v>2</v>
      </c>
      <c r="CL461">
        <v>0</v>
      </c>
      <c r="CM461">
        <v>2</v>
      </c>
      <c r="CN461">
        <v>0</v>
      </c>
      <c r="CO461">
        <v>6</v>
      </c>
      <c r="CP461" t="s">
        <v>119</v>
      </c>
      <c r="CQ461">
        <v>145</v>
      </c>
      <c r="CR461">
        <v>1</v>
      </c>
      <c r="CW461">
        <v>8921711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</row>
    <row r="462" spans="1:113" x14ac:dyDescent="0.3">
      <c r="A462" t="str">
        <f>"02/13/2022 18:38:00.389"</f>
        <v>02/13/2022 18:38:00.389</v>
      </c>
      <c r="C462" t="str">
        <f t="shared" si="49"/>
        <v>FFDFD7C0</v>
      </c>
      <c r="D462" t="s">
        <v>121</v>
      </c>
      <c r="E462">
        <v>2</v>
      </c>
      <c r="H462">
        <v>158</v>
      </c>
      <c r="I462" t="s">
        <v>120</v>
      </c>
      <c r="J462" t="s">
        <v>122</v>
      </c>
      <c r="K462">
        <v>0</v>
      </c>
      <c r="L462">
        <v>3</v>
      </c>
      <c r="M462">
        <v>0</v>
      </c>
      <c r="N462">
        <v>2</v>
      </c>
      <c r="O462">
        <v>1</v>
      </c>
      <c r="P462">
        <v>0</v>
      </c>
      <c r="Q462">
        <v>0</v>
      </c>
      <c r="S462" t="str">
        <f>"18:38:00.133"</f>
        <v>18:38:00.133</v>
      </c>
      <c r="T462" t="str">
        <f>"18:37:59.633"</f>
        <v>18:37:59.633</v>
      </c>
      <c r="U462" t="str">
        <f t="shared" si="48"/>
        <v>AAB6EE</v>
      </c>
      <c r="V462">
        <v>0</v>
      </c>
      <c r="W462">
        <v>0</v>
      </c>
      <c r="X462">
        <v>4</v>
      </c>
      <c r="Z462">
        <v>0</v>
      </c>
      <c r="AA462">
        <v>8</v>
      </c>
      <c r="AB462">
        <v>3</v>
      </c>
      <c r="AC462">
        <v>0</v>
      </c>
      <c r="AD462">
        <v>10</v>
      </c>
      <c r="AE462">
        <v>0</v>
      </c>
      <c r="AF462">
        <v>0</v>
      </c>
      <c r="AG462">
        <v>1</v>
      </c>
      <c r="AH462">
        <v>1</v>
      </c>
      <c r="AI462" t="s">
        <v>429</v>
      </c>
      <c r="AJ462">
        <v>35.460391000000001</v>
      </c>
      <c r="AK462" t="s">
        <v>430</v>
      </c>
      <c r="AL462">
        <v>-76.070430000000002</v>
      </c>
      <c r="AM462">
        <v>25</v>
      </c>
      <c r="AN462">
        <v>3425</v>
      </c>
      <c r="AO462" t="s">
        <v>118</v>
      </c>
      <c r="AP462">
        <v>-94</v>
      </c>
      <c r="AQ462">
        <v>-192</v>
      </c>
      <c r="AR462">
        <v>0</v>
      </c>
      <c r="AZ462">
        <v>1200</v>
      </c>
      <c r="BA462">
        <v>1</v>
      </c>
      <c r="BB462" t="str">
        <f t="shared" si="50"/>
        <v xml:space="preserve">N79NX   </v>
      </c>
      <c r="BC462">
        <v>1</v>
      </c>
      <c r="BE462">
        <v>0</v>
      </c>
      <c r="BF462">
        <v>0</v>
      </c>
      <c r="BG462">
        <v>0</v>
      </c>
      <c r="BH462">
        <v>3300</v>
      </c>
      <c r="BI462">
        <v>0</v>
      </c>
      <c r="BJ462">
        <v>0</v>
      </c>
      <c r="BK462">
        <v>0</v>
      </c>
      <c r="BL462">
        <v>0</v>
      </c>
      <c r="BO462">
        <v>0</v>
      </c>
      <c r="BP462">
        <v>0</v>
      </c>
      <c r="BW462" t="str">
        <f>"18:38:00.140"</f>
        <v>18:38:00.140</v>
      </c>
      <c r="BZ462">
        <v>0</v>
      </c>
      <c r="CA462">
        <v>3488</v>
      </c>
      <c r="CB462">
        <v>216</v>
      </c>
      <c r="CC462">
        <v>583.59379999999999</v>
      </c>
      <c r="CD462">
        <v>1</v>
      </c>
      <c r="CE462">
        <v>1</v>
      </c>
      <c r="CF462">
        <v>0</v>
      </c>
      <c r="CG462">
        <v>1</v>
      </c>
      <c r="CH462">
        <v>0</v>
      </c>
      <c r="CI462">
        <v>0</v>
      </c>
      <c r="CJ462">
        <v>0</v>
      </c>
      <c r="CK462">
        <v>2</v>
      </c>
      <c r="CL462">
        <v>0</v>
      </c>
      <c r="CM462">
        <v>2</v>
      </c>
      <c r="CN462">
        <v>0</v>
      </c>
      <c r="CO462">
        <v>6</v>
      </c>
      <c r="CP462" t="s">
        <v>119</v>
      </c>
      <c r="CQ462">
        <v>145</v>
      </c>
      <c r="CR462">
        <v>1</v>
      </c>
      <c r="CW462">
        <v>8921711</v>
      </c>
      <c r="CY462">
        <v>0</v>
      </c>
      <c r="CZ462">
        <v>0</v>
      </c>
      <c r="DA462">
        <v>1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</row>
    <row r="463" spans="1:113" x14ac:dyDescent="0.3">
      <c r="A463" t="str">
        <f>"02/13/2022 18:38:00.386"</f>
        <v>02/13/2022 18:38:00.386</v>
      </c>
      <c r="C463" t="str">
        <f t="shared" si="49"/>
        <v>FFDFD7C0</v>
      </c>
      <c r="D463" t="s">
        <v>113</v>
      </c>
      <c r="E463">
        <v>4</v>
      </c>
      <c r="F463">
        <v>1004</v>
      </c>
      <c r="G463" t="s">
        <v>120</v>
      </c>
      <c r="J463" t="s">
        <v>115</v>
      </c>
      <c r="K463">
        <v>0</v>
      </c>
      <c r="L463">
        <v>3</v>
      </c>
      <c r="M463">
        <v>0</v>
      </c>
      <c r="N463">
        <v>2</v>
      </c>
      <c r="O463">
        <v>1</v>
      </c>
      <c r="P463">
        <v>0</v>
      </c>
      <c r="Q463">
        <v>0</v>
      </c>
      <c r="S463" t="str">
        <f>"18:38:00.133"</f>
        <v>18:38:00.133</v>
      </c>
      <c r="T463" t="str">
        <f>"18:37:59.633"</f>
        <v>18:37:59.633</v>
      </c>
      <c r="U463" t="str">
        <f t="shared" si="48"/>
        <v>AAB6EE</v>
      </c>
      <c r="V463">
        <v>0</v>
      </c>
      <c r="W463">
        <v>0</v>
      </c>
      <c r="X463">
        <v>4</v>
      </c>
      <c r="Z463">
        <v>0</v>
      </c>
      <c r="AA463">
        <v>8</v>
      </c>
      <c r="AB463">
        <v>3</v>
      </c>
      <c r="AC463">
        <v>0</v>
      </c>
      <c r="AD463">
        <v>10</v>
      </c>
      <c r="AE463">
        <v>0</v>
      </c>
      <c r="AF463">
        <v>0</v>
      </c>
      <c r="AG463">
        <v>1</v>
      </c>
      <c r="AH463">
        <v>1</v>
      </c>
      <c r="AI463" t="s">
        <v>429</v>
      </c>
      <c r="AJ463">
        <v>35.460391000000001</v>
      </c>
      <c r="AK463" t="s">
        <v>430</v>
      </c>
      <c r="AL463">
        <v>-76.070430000000002</v>
      </c>
      <c r="AM463">
        <v>25</v>
      </c>
      <c r="AN463">
        <v>3425</v>
      </c>
      <c r="AO463" t="s">
        <v>118</v>
      </c>
      <c r="AP463">
        <v>-94</v>
      </c>
      <c r="AQ463">
        <v>-192</v>
      </c>
      <c r="AR463">
        <v>0</v>
      </c>
      <c r="AZ463">
        <v>1200</v>
      </c>
      <c r="BA463">
        <v>1</v>
      </c>
      <c r="BB463" t="str">
        <f t="shared" si="50"/>
        <v xml:space="preserve">N79NX   </v>
      </c>
      <c r="BC463">
        <v>1</v>
      </c>
      <c r="BE463">
        <v>0</v>
      </c>
      <c r="BF463">
        <v>0</v>
      </c>
      <c r="BG463">
        <v>0</v>
      </c>
      <c r="BH463">
        <v>3300</v>
      </c>
      <c r="BI463">
        <v>0</v>
      </c>
      <c r="BJ463">
        <v>0</v>
      </c>
      <c r="BK463">
        <v>0</v>
      </c>
      <c r="BL463">
        <v>0</v>
      </c>
      <c r="BO463">
        <v>0</v>
      </c>
      <c r="BP463">
        <v>0</v>
      </c>
      <c r="BW463" t="str">
        <f>"18:38:00.140"</f>
        <v>18:38:00.140</v>
      </c>
      <c r="BZ463">
        <v>0</v>
      </c>
      <c r="CA463">
        <v>3488</v>
      </c>
      <c r="CB463">
        <v>216</v>
      </c>
      <c r="CC463">
        <v>583.59379999999999</v>
      </c>
      <c r="CD463">
        <v>1</v>
      </c>
      <c r="CE463">
        <v>1</v>
      </c>
      <c r="CF463">
        <v>0</v>
      </c>
      <c r="CG463">
        <v>1</v>
      </c>
      <c r="CH463">
        <v>0</v>
      </c>
      <c r="CI463">
        <v>0</v>
      </c>
      <c r="CJ463">
        <v>0</v>
      </c>
      <c r="CK463">
        <v>2</v>
      </c>
      <c r="CL463">
        <v>0</v>
      </c>
      <c r="CM463">
        <v>2</v>
      </c>
      <c r="CN463">
        <v>0</v>
      </c>
      <c r="CO463">
        <v>6</v>
      </c>
      <c r="CP463" t="s">
        <v>119</v>
      </c>
      <c r="CQ463">
        <v>145</v>
      </c>
      <c r="CR463">
        <v>1</v>
      </c>
      <c r="CW463">
        <v>8921711</v>
      </c>
      <c r="CY463">
        <v>0</v>
      </c>
      <c r="CZ463">
        <v>0</v>
      </c>
      <c r="DA463">
        <v>1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</row>
    <row r="464" spans="1:113" x14ac:dyDescent="0.3">
      <c r="A464" t="str">
        <f>"02/13/2022 18:38:01.361"</f>
        <v>02/13/2022 18:38:01.361</v>
      </c>
      <c r="C464" t="str">
        <f t="shared" si="49"/>
        <v>FFDFD7C0</v>
      </c>
      <c r="D464" t="s">
        <v>121</v>
      </c>
      <c r="E464">
        <v>2</v>
      </c>
      <c r="H464">
        <v>158</v>
      </c>
      <c r="I464" t="s">
        <v>120</v>
      </c>
      <c r="J464" t="s">
        <v>122</v>
      </c>
      <c r="K464">
        <v>0</v>
      </c>
      <c r="L464">
        <v>3</v>
      </c>
      <c r="M464">
        <v>0</v>
      </c>
      <c r="N464">
        <v>2</v>
      </c>
      <c r="O464">
        <v>1</v>
      </c>
      <c r="P464">
        <v>0</v>
      </c>
      <c r="Q464">
        <v>0</v>
      </c>
      <c r="S464" t="str">
        <f t="shared" ref="S464:T466" si="51">"18:38:01.148"</f>
        <v>18:38:01.148</v>
      </c>
      <c r="T464" t="str">
        <f t="shared" si="51"/>
        <v>18:38:01.148</v>
      </c>
      <c r="U464" t="str">
        <f t="shared" si="48"/>
        <v>AAB6EE</v>
      </c>
      <c r="V464">
        <v>0</v>
      </c>
      <c r="W464">
        <v>0</v>
      </c>
      <c r="X464">
        <v>4</v>
      </c>
      <c r="Z464">
        <v>0</v>
      </c>
      <c r="AA464">
        <v>8</v>
      </c>
      <c r="AB464">
        <v>3</v>
      </c>
      <c r="AC464">
        <v>0</v>
      </c>
      <c r="AD464">
        <v>10</v>
      </c>
      <c r="AE464">
        <v>0</v>
      </c>
      <c r="AF464">
        <v>0</v>
      </c>
      <c r="AG464">
        <v>1</v>
      </c>
      <c r="AH464">
        <v>1</v>
      </c>
      <c r="AI464" t="s">
        <v>431</v>
      </c>
      <c r="AJ464">
        <v>35.459510999999999</v>
      </c>
      <c r="AK464" t="s">
        <v>432</v>
      </c>
      <c r="AL464">
        <v>-76.070944999999995</v>
      </c>
      <c r="AM464">
        <v>25</v>
      </c>
      <c r="AN464">
        <v>3425</v>
      </c>
      <c r="AO464" t="s">
        <v>118</v>
      </c>
      <c r="AP464">
        <v>-94</v>
      </c>
      <c r="AQ464">
        <v>-192</v>
      </c>
      <c r="AR464">
        <v>0</v>
      </c>
      <c r="AZ464">
        <v>1200</v>
      </c>
      <c r="BA464">
        <v>1</v>
      </c>
      <c r="BB464" t="str">
        <f t="shared" si="50"/>
        <v xml:space="preserve">N79NX   </v>
      </c>
      <c r="BC464">
        <v>1</v>
      </c>
      <c r="BE464">
        <v>0</v>
      </c>
      <c r="BF464">
        <v>0</v>
      </c>
      <c r="BG464">
        <v>0</v>
      </c>
      <c r="BH464">
        <v>3300</v>
      </c>
      <c r="BI464">
        <v>0</v>
      </c>
      <c r="BJ464">
        <v>0</v>
      </c>
      <c r="BK464">
        <v>0</v>
      </c>
      <c r="BL464">
        <v>0</v>
      </c>
      <c r="BO464">
        <v>0</v>
      </c>
      <c r="BP464">
        <v>0</v>
      </c>
      <c r="BW464" t="str">
        <f>"18:38:01.150"</f>
        <v>18:38:01.150</v>
      </c>
      <c r="BZ464">
        <v>0</v>
      </c>
      <c r="CA464">
        <v>3488</v>
      </c>
      <c r="CB464">
        <v>216</v>
      </c>
      <c r="CC464">
        <v>583.59379999999999</v>
      </c>
      <c r="CD464">
        <v>1</v>
      </c>
      <c r="CE464">
        <v>1</v>
      </c>
      <c r="CF464">
        <v>0</v>
      </c>
      <c r="CG464">
        <v>1</v>
      </c>
      <c r="CH464">
        <v>0</v>
      </c>
      <c r="CI464">
        <v>0</v>
      </c>
      <c r="CJ464">
        <v>0</v>
      </c>
      <c r="CK464">
        <v>2</v>
      </c>
      <c r="CL464">
        <v>0</v>
      </c>
      <c r="CM464">
        <v>2</v>
      </c>
      <c r="CN464">
        <v>0</v>
      </c>
      <c r="CO464">
        <v>6</v>
      </c>
      <c r="CP464" t="s">
        <v>119</v>
      </c>
      <c r="CQ464">
        <v>145</v>
      </c>
      <c r="CR464">
        <v>1</v>
      </c>
      <c r="CW464">
        <v>8922240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</row>
    <row r="465" spans="1:113" x14ac:dyDescent="0.3">
      <c r="A465" t="str">
        <f>"02/13/2022 18:38:01.393"</f>
        <v>02/13/2022 18:38:01.393</v>
      </c>
      <c r="C465" t="str">
        <f t="shared" si="49"/>
        <v>FFDFD7C0</v>
      </c>
      <c r="D465" t="s">
        <v>113</v>
      </c>
      <c r="E465">
        <v>4</v>
      </c>
      <c r="F465">
        <v>1004</v>
      </c>
      <c r="G465" t="s">
        <v>120</v>
      </c>
      <c r="J465" t="s">
        <v>115</v>
      </c>
      <c r="K465">
        <v>0</v>
      </c>
      <c r="L465">
        <v>3</v>
      </c>
      <c r="M465">
        <v>0</v>
      </c>
      <c r="N465">
        <v>2</v>
      </c>
      <c r="O465">
        <v>1</v>
      </c>
      <c r="P465">
        <v>0</v>
      </c>
      <c r="Q465">
        <v>0</v>
      </c>
      <c r="S465" t="str">
        <f t="shared" si="51"/>
        <v>18:38:01.148</v>
      </c>
      <c r="T465" t="str">
        <f t="shared" si="51"/>
        <v>18:38:01.148</v>
      </c>
      <c r="U465" t="str">
        <f t="shared" si="48"/>
        <v>AAB6EE</v>
      </c>
      <c r="V465">
        <v>0</v>
      </c>
      <c r="W465">
        <v>0</v>
      </c>
      <c r="X465">
        <v>4</v>
      </c>
      <c r="Z465">
        <v>0</v>
      </c>
      <c r="AA465">
        <v>8</v>
      </c>
      <c r="AB465">
        <v>3</v>
      </c>
      <c r="AC465">
        <v>0</v>
      </c>
      <c r="AD465">
        <v>10</v>
      </c>
      <c r="AE465">
        <v>0</v>
      </c>
      <c r="AF465">
        <v>0</v>
      </c>
      <c r="AG465">
        <v>1</v>
      </c>
      <c r="AH465">
        <v>1</v>
      </c>
      <c r="AI465" t="s">
        <v>431</v>
      </c>
      <c r="AJ465">
        <v>35.459510999999999</v>
      </c>
      <c r="AK465" t="s">
        <v>432</v>
      </c>
      <c r="AL465">
        <v>-76.070944999999995</v>
      </c>
      <c r="AM465">
        <v>25</v>
      </c>
      <c r="AN465">
        <v>3425</v>
      </c>
      <c r="AO465" t="s">
        <v>118</v>
      </c>
      <c r="AP465">
        <v>-94</v>
      </c>
      <c r="AQ465">
        <v>-192</v>
      </c>
      <c r="AR465">
        <v>0</v>
      </c>
      <c r="AZ465">
        <v>1200</v>
      </c>
      <c r="BA465">
        <v>1</v>
      </c>
      <c r="BB465" t="str">
        <f t="shared" si="50"/>
        <v xml:space="preserve">N79NX   </v>
      </c>
      <c r="BC465">
        <v>1</v>
      </c>
      <c r="BE465">
        <v>0</v>
      </c>
      <c r="BF465">
        <v>0</v>
      </c>
      <c r="BG465">
        <v>0</v>
      </c>
      <c r="BH465">
        <v>3300</v>
      </c>
      <c r="BI465">
        <v>0</v>
      </c>
      <c r="BJ465">
        <v>0</v>
      </c>
      <c r="BK465">
        <v>0</v>
      </c>
      <c r="BL465">
        <v>0</v>
      </c>
      <c r="BO465">
        <v>0</v>
      </c>
      <c r="BP465">
        <v>0</v>
      </c>
      <c r="BW465" t="str">
        <f>"18:38:01.150"</f>
        <v>18:38:01.150</v>
      </c>
      <c r="BZ465">
        <v>0</v>
      </c>
      <c r="CA465">
        <v>3488</v>
      </c>
      <c r="CB465">
        <v>216</v>
      </c>
      <c r="CC465">
        <v>583.59379999999999</v>
      </c>
      <c r="CD465">
        <v>1</v>
      </c>
      <c r="CE465">
        <v>1</v>
      </c>
      <c r="CF465">
        <v>0</v>
      </c>
      <c r="CG465">
        <v>1</v>
      </c>
      <c r="CH465">
        <v>0</v>
      </c>
      <c r="CI465">
        <v>0</v>
      </c>
      <c r="CJ465">
        <v>0</v>
      </c>
      <c r="CK465">
        <v>2</v>
      </c>
      <c r="CL465">
        <v>0</v>
      </c>
      <c r="CM465">
        <v>2</v>
      </c>
      <c r="CN465">
        <v>0</v>
      </c>
      <c r="CO465">
        <v>6</v>
      </c>
      <c r="CP465" t="s">
        <v>119</v>
      </c>
      <c r="CQ465">
        <v>145</v>
      </c>
      <c r="CR465">
        <v>1</v>
      </c>
      <c r="CW465">
        <v>8922240</v>
      </c>
      <c r="CY465">
        <v>0</v>
      </c>
      <c r="CZ465">
        <v>0</v>
      </c>
      <c r="DA465">
        <v>1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</row>
    <row r="466" spans="1:113" x14ac:dyDescent="0.3">
      <c r="A466" t="str">
        <f>"02/13/2022 18:38:01.393"</f>
        <v>02/13/2022 18:38:01.393</v>
      </c>
      <c r="C466" t="str">
        <f t="shared" si="49"/>
        <v>FFDFD7C0</v>
      </c>
      <c r="D466" t="s">
        <v>113</v>
      </c>
      <c r="E466">
        <v>3</v>
      </c>
      <c r="F466">
        <v>1003</v>
      </c>
      <c r="G466" t="s">
        <v>114</v>
      </c>
      <c r="J466" t="s">
        <v>115</v>
      </c>
      <c r="K466">
        <v>0</v>
      </c>
      <c r="L466">
        <v>3</v>
      </c>
      <c r="M466">
        <v>0</v>
      </c>
      <c r="N466">
        <v>2</v>
      </c>
      <c r="O466">
        <v>1</v>
      </c>
      <c r="P466">
        <v>0</v>
      </c>
      <c r="Q466">
        <v>0</v>
      </c>
      <c r="S466" t="str">
        <f t="shared" si="51"/>
        <v>18:38:01.148</v>
      </c>
      <c r="T466" t="str">
        <f t="shared" si="51"/>
        <v>18:38:01.148</v>
      </c>
      <c r="U466" t="str">
        <f t="shared" si="48"/>
        <v>AAB6EE</v>
      </c>
      <c r="V466">
        <v>0</v>
      </c>
      <c r="W466">
        <v>0</v>
      </c>
      <c r="X466">
        <v>4</v>
      </c>
      <c r="Z466">
        <v>0</v>
      </c>
      <c r="AA466">
        <v>8</v>
      </c>
      <c r="AB466">
        <v>3</v>
      </c>
      <c r="AC466">
        <v>0</v>
      </c>
      <c r="AD466">
        <v>10</v>
      </c>
      <c r="AE466">
        <v>0</v>
      </c>
      <c r="AF466">
        <v>0</v>
      </c>
      <c r="AG466">
        <v>1</v>
      </c>
      <c r="AH466">
        <v>1</v>
      </c>
      <c r="AI466" t="s">
        <v>431</v>
      </c>
      <c r="AJ466">
        <v>35.459510999999999</v>
      </c>
      <c r="AK466" t="s">
        <v>432</v>
      </c>
      <c r="AL466">
        <v>-76.070944999999995</v>
      </c>
      <c r="AM466">
        <v>25</v>
      </c>
      <c r="AN466">
        <v>3425</v>
      </c>
      <c r="AO466" t="s">
        <v>118</v>
      </c>
      <c r="AP466">
        <v>-94</v>
      </c>
      <c r="AQ466">
        <v>-192</v>
      </c>
      <c r="AR466">
        <v>0</v>
      </c>
      <c r="AZ466">
        <v>1200</v>
      </c>
      <c r="BA466">
        <v>1</v>
      </c>
      <c r="BB466" t="str">
        <f t="shared" si="50"/>
        <v xml:space="preserve">N79NX   </v>
      </c>
      <c r="BC466">
        <v>1</v>
      </c>
      <c r="BE466">
        <v>0</v>
      </c>
      <c r="BF466">
        <v>0</v>
      </c>
      <c r="BG466">
        <v>0</v>
      </c>
      <c r="BH466">
        <v>3300</v>
      </c>
      <c r="BI466">
        <v>0</v>
      </c>
      <c r="BJ466">
        <v>0</v>
      </c>
      <c r="BK466">
        <v>0</v>
      </c>
      <c r="BL466">
        <v>0</v>
      </c>
      <c r="BO466">
        <v>0</v>
      </c>
      <c r="BP466">
        <v>0</v>
      </c>
      <c r="BW466" t="str">
        <f>"18:38:01.150"</f>
        <v>18:38:01.150</v>
      </c>
      <c r="BZ466">
        <v>0</v>
      </c>
      <c r="CA466">
        <v>3488</v>
      </c>
      <c r="CB466">
        <v>216</v>
      </c>
      <c r="CC466">
        <v>583.59379999999999</v>
      </c>
      <c r="CD466">
        <v>1</v>
      </c>
      <c r="CE466">
        <v>1</v>
      </c>
      <c r="CF466">
        <v>0</v>
      </c>
      <c r="CG466">
        <v>1</v>
      </c>
      <c r="CH466">
        <v>0</v>
      </c>
      <c r="CI466">
        <v>0</v>
      </c>
      <c r="CJ466">
        <v>0</v>
      </c>
      <c r="CK466">
        <v>2</v>
      </c>
      <c r="CL466">
        <v>0</v>
      </c>
      <c r="CM466">
        <v>2</v>
      </c>
      <c r="CN466">
        <v>0</v>
      </c>
      <c r="CO466">
        <v>6</v>
      </c>
      <c r="CP466" t="s">
        <v>119</v>
      </c>
      <c r="CQ466">
        <v>145</v>
      </c>
      <c r="CR466">
        <v>1</v>
      </c>
      <c r="CW466">
        <v>8922240</v>
      </c>
      <c r="CY466">
        <v>0</v>
      </c>
      <c r="CZ466">
        <v>0</v>
      </c>
      <c r="DA466">
        <v>1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</row>
    <row r="467" spans="1:113" x14ac:dyDescent="0.3">
      <c r="A467" t="str">
        <f>"02/13/2022 18:38:02.471"</f>
        <v>02/13/2022 18:38:02.471</v>
      </c>
      <c r="C467" t="str">
        <f t="shared" si="49"/>
        <v>FFDFD7C0</v>
      </c>
      <c r="D467" t="s">
        <v>113</v>
      </c>
      <c r="E467">
        <v>4</v>
      </c>
      <c r="F467">
        <v>1004</v>
      </c>
      <c r="G467" t="s">
        <v>120</v>
      </c>
      <c r="J467" t="s">
        <v>115</v>
      </c>
      <c r="K467">
        <v>0</v>
      </c>
      <c r="L467">
        <v>3</v>
      </c>
      <c r="M467">
        <v>0</v>
      </c>
      <c r="N467">
        <v>2</v>
      </c>
      <c r="O467">
        <v>1</v>
      </c>
      <c r="P467">
        <v>0</v>
      </c>
      <c r="Q467">
        <v>0</v>
      </c>
      <c r="S467" t="str">
        <f>"18:38:02.305"</f>
        <v>18:38:02.305</v>
      </c>
      <c r="T467" t="str">
        <f>"18:38:02.105"</f>
        <v>18:38:02.105</v>
      </c>
      <c r="U467" t="str">
        <f t="shared" si="48"/>
        <v>AAB6EE</v>
      </c>
      <c r="V467">
        <v>0</v>
      </c>
      <c r="W467">
        <v>0</v>
      </c>
      <c r="X467">
        <v>4</v>
      </c>
      <c r="Z467">
        <v>0</v>
      </c>
      <c r="AA467">
        <v>8</v>
      </c>
      <c r="AB467">
        <v>3</v>
      </c>
      <c r="AC467">
        <v>0</v>
      </c>
      <c r="AD467">
        <v>10</v>
      </c>
      <c r="AE467">
        <v>0</v>
      </c>
      <c r="AF467">
        <v>0</v>
      </c>
      <c r="AG467">
        <v>1</v>
      </c>
      <c r="AH467">
        <v>1</v>
      </c>
      <c r="AI467" t="s">
        <v>433</v>
      </c>
      <c r="AJ467">
        <v>35.458416999999997</v>
      </c>
      <c r="AK467" t="s">
        <v>434</v>
      </c>
      <c r="AL467">
        <v>-76.071631999999994</v>
      </c>
      <c r="AM467">
        <v>25</v>
      </c>
      <c r="AN467">
        <v>3425</v>
      </c>
      <c r="AO467" t="s">
        <v>118</v>
      </c>
      <c r="AP467">
        <v>-94</v>
      </c>
      <c r="AQ467">
        <v>-192</v>
      </c>
      <c r="AR467">
        <v>0</v>
      </c>
      <c r="AZ467">
        <v>1200</v>
      </c>
      <c r="BA467">
        <v>1</v>
      </c>
      <c r="BB467" t="str">
        <f t="shared" si="50"/>
        <v xml:space="preserve">N79NX   </v>
      </c>
      <c r="BC467">
        <v>1</v>
      </c>
      <c r="BE467">
        <v>0</v>
      </c>
      <c r="BF467">
        <v>0</v>
      </c>
      <c r="BG467">
        <v>0</v>
      </c>
      <c r="BH467">
        <v>3300</v>
      </c>
      <c r="BI467">
        <v>0</v>
      </c>
      <c r="BJ467">
        <v>0</v>
      </c>
      <c r="BK467">
        <v>0</v>
      </c>
      <c r="BL467">
        <v>0</v>
      </c>
      <c r="BO467">
        <v>0</v>
      </c>
      <c r="BP467">
        <v>0</v>
      </c>
      <c r="BW467" t="str">
        <f>"18:38:02.311"</f>
        <v>18:38:02.311</v>
      </c>
      <c r="BZ467">
        <v>0</v>
      </c>
      <c r="CA467">
        <v>3488</v>
      </c>
      <c r="CB467">
        <v>216</v>
      </c>
      <c r="CC467">
        <v>583.59379999999999</v>
      </c>
      <c r="CD467">
        <v>1</v>
      </c>
      <c r="CE467">
        <v>1</v>
      </c>
      <c r="CF467">
        <v>0</v>
      </c>
      <c r="CG467">
        <v>1</v>
      </c>
      <c r="CH467">
        <v>0</v>
      </c>
      <c r="CI467">
        <v>0</v>
      </c>
      <c r="CJ467">
        <v>0</v>
      </c>
      <c r="CK467">
        <v>2</v>
      </c>
      <c r="CL467">
        <v>0</v>
      </c>
      <c r="CM467">
        <v>2</v>
      </c>
      <c r="CN467">
        <v>0</v>
      </c>
      <c r="CO467">
        <v>6</v>
      </c>
      <c r="CP467" t="s">
        <v>119</v>
      </c>
      <c r="CQ467">
        <v>145</v>
      </c>
      <c r="CR467">
        <v>1</v>
      </c>
      <c r="CW467">
        <v>8922822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</row>
    <row r="468" spans="1:113" x14ac:dyDescent="0.3">
      <c r="A468" t="str">
        <f>"02/13/2022 18:38:02.471"</f>
        <v>02/13/2022 18:38:02.471</v>
      </c>
      <c r="C468" t="str">
        <f t="shared" si="49"/>
        <v>FFDFD7C0</v>
      </c>
      <c r="D468" t="s">
        <v>113</v>
      </c>
      <c r="E468">
        <v>3</v>
      </c>
      <c r="F468">
        <v>1003</v>
      </c>
      <c r="G468" t="s">
        <v>114</v>
      </c>
      <c r="J468" t="s">
        <v>115</v>
      </c>
      <c r="K468">
        <v>0</v>
      </c>
      <c r="L468">
        <v>3</v>
      </c>
      <c r="M468">
        <v>0</v>
      </c>
      <c r="N468">
        <v>2</v>
      </c>
      <c r="O468">
        <v>1</v>
      </c>
      <c r="P468">
        <v>0</v>
      </c>
      <c r="Q468">
        <v>0</v>
      </c>
      <c r="S468" t="str">
        <f>"18:38:02.305"</f>
        <v>18:38:02.305</v>
      </c>
      <c r="T468" t="str">
        <f>"18:38:02.105"</f>
        <v>18:38:02.105</v>
      </c>
      <c r="U468" t="str">
        <f t="shared" si="48"/>
        <v>AAB6EE</v>
      </c>
      <c r="V468">
        <v>0</v>
      </c>
      <c r="W468">
        <v>0</v>
      </c>
      <c r="X468">
        <v>4</v>
      </c>
      <c r="Z468">
        <v>0</v>
      </c>
      <c r="AA468">
        <v>8</v>
      </c>
      <c r="AB468">
        <v>3</v>
      </c>
      <c r="AC468">
        <v>0</v>
      </c>
      <c r="AD468">
        <v>10</v>
      </c>
      <c r="AE468">
        <v>0</v>
      </c>
      <c r="AF468">
        <v>0</v>
      </c>
      <c r="AG468">
        <v>1</v>
      </c>
      <c r="AH468">
        <v>1</v>
      </c>
      <c r="AI468" t="s">
        <v>433</v>
      </c>
      <c r="AJ468">
        <v>35.458416999999997</v>
      </c>
      <c r="AK468" t="s">
        <v>434</v>
      </c>
      <c r="AL468">
        <v>-76.071631999999994</v>
      </c>
      <c r="AM468">
        <v>25</v>
      </c>
      <c r="AN468">
        <v>3425</v>
      </c>
      <c r="AO468" t="s">
        <v>118</v>
      </c>
      <c r="AP468">
        <v>-94</v>
      </c>
      <c r="AQ468">
        <v>-192</v>
      </c>
      <c r="AR468">
        <v>0</v>
      </c>
      <c r="AZ468">
        <v>1200</v>
      </c>
      <c r="BA468">
        <v>1</v>
      </c>
      <c r="BB468" t="str">
        <f t="shared" si="50"/>
        <v xml:space="preserve">N79NX   </v>
      </c>
      <c r="BC468">
        <v>1</v>
      </c>
      <c r="BE468">
        <v>0</v>
      </c>
      <c r="BF468">
        <v>0</v>
      </c>
      <c r="BG468">
        <v>0</v>
      </c>
      <c r="BH468">
        <v>3300</v>
      </c>
      <c r="BI468">
        <v>0</v>
      </c>
      <c r="BJ468">
        <v>0</v>
      </c>
      <c r="BK468">
        <v>0</v>
      </c>
      <c r="BL468">
        <v>0</v>
      </c>
      <c r="BO468">
        <v>0</v>
      </c>
      <c r="BP468">
        <v>0</v>
      </c>
      <c r="BW468" t="str">
        <f>"18:38:02.311"</f>
        <v>18:38:02.311</v>
      </c>
      <c r="BZ468">
        <v>0</v>
      </c>
      <c r="CA468">
        <v>3488</v>
      </c>
      <c r="CB468">
        <v>216</v>
      </c>
      <c r="CC468">
        <v>583.59379999999999</v>
      </c>
      <c r="CD468">
        <v>1</v>
      </c>
      <c r="CE468">
        <v>1</v>
      </c>
      <c r="CF468">
        <v>0</v>
      </c>
      <c r="CG468">
        <v>1</v>
      </c>
      <c r="CH468">
        <v>0</v>
      </c>
      <c r="CI468">
        <v>0</v>
      </c>
      <c r="CJ468">
        <v>0</v>
      </c>
      <c r="CK468">
        <v>2</v>
      </c>
      <c r="CL468">
        <v>0</v>
      </c>
      <c r="CM468">
        <v>2</v>
      </c>
      <c r="CN468">
        <v>0</v>
      </c>
      <c r="CO468">
        <v>6</v>
      </c>
      <c r="CP468" t="s">
        <v>119</v>
      </c>
      <c r="CQ468">
        <v>145</v>
      </c>
      <c r="CR468">
        <v>1</v>
      </c>
      <c r="CW468">
        <v>8922822</v>
      </c>
      <c r="CY468">
        <v>0</v>
      </c>
      <c r="CZ468">
        <v>0</v>
      </c>
      <c r="DA468">
        <v>1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</row>
    <row r="469" spans="1:113" x14ac:dyDescent="0.3">
      <c r="A469" t="str">
        <f>"02/13/2022 18:38:02.518"</f>
        <v>02/13/2022 18:38:02.518</v>
      </c>
      <c r="C469" t="str">
        <f t="shared" si="49"/>
        <v>FFDFD7C0</v>
      </c>
      <c r="D469" t="s">
        <v>121</v>
      </c>
      <c r="E469">
        <v>2</v>
      </c>
      <c r="H469">
        <v>158</v>
      </c>
      <c r="I469" t="s">
        <v>120</v>
      </c>
      <c r="J469" t="s">
        <v>122</v>
      </c>
      <c r="K469">
        <v>0</v>
      </c>
      <c r="L469">
        <v>3</v>
      </c>
      <c r="M469">
        <v>0</v>
      </c>
      <c r="N469">
        <v>2</v>
      </c>
      <c r="O469">
        <v>1</v>
      </c>
      <c r="P469">
        <v>0</v>
      </c>
      <c r="Q469">
        <v>0</v>
      </c>
      <c r="S469" t="str">
        <f>"18:38:02.305"</f>
        <v>18:38:02.305</v>
      </c>
      <c r="T469" t="str">
        <f>"18:38:02.105"</f>
        <v>18:38:02.105</v>
      </c>
      <c r="U469" t="str">
        <f t="shared" si="48"/>
        <v>AAB6EE</v>
      </c>
      <c r="V469">
        <v>0</v>
      </c>
      <c r="W469">
        <v>0</v>
      </c>
      <c r="X469">
        <v>4</v>
      </c>
      <c r="Z469">
        <v>0</v>
      </c>
      <c r="AA469">
        <v>8</v>
      </c>
      <c r="AB469">
        <v>3</v>
      </c>
      <c r="AC469">
        <v>0</v>
      </c>
      <c r="AD469">
        <v>10</v>
      </c>
      <c r="AE469">
        <v>0</v>
      </c>
      <c r="AF469">
        <v>0</v>
      </c>
      <c r="AG469">
        <v>1</v>
      </c>
      <c r="AH469">
        <v>1</v>
      </c>
      <c r="AI469" t="s">
        <v>433</v>
      </c>
      <c r="AJ469">
        <v>35.458416999999997</v>
      </c>
      <c r="AK469" t="s">
        <v>434</v>
      </c>
      <c r="AL469">
        <v>-76.071631999999994</v>
      </c>
      <c r="AM469">
        <v>25</v>
      </c>
      <c r="AN469">
        <v>3425</v>
      </c>
      <c r="AO469" t="s">
        <v>118</v>
      </c>
      <c r="AP469">
        <v>-94</v>
      </c>
      <c r="AQ469">
        <v>-192</v>
      </c>
      <c r="AR469">
        <v>0</v>
      </c>
      <c r="AZ469">
        <v>1200</v>
      </c>
      <c r="BA469">
        <v>1</v>
      </c>
      <c r="BB469" t="str">
        <f t="shared" si="50"/>
        <v xml:space="preserve">N79NX   </v>
      </c>
      <c r="BC469">
        <v>1</v>
      </c>
      <c r="BE469">
        <v>0</v>
      </c>
      <c r="BF469">
        <v>0</v>
      </c>
      <c r="BG469">
        <v>0</v>
      </c>
      <c r="BH469">
        <v>3300</v>
      </c>
      <c r="BI469">
        <v>0</v>
      </c>
      <c r="BJ469">
        <v>0</v>
      </c>
      <c r="BK469">
        <v>0</v>
      </c>
      <c r="BL469">
        <v>0</v>
      </c>
      <c r="BO469">
        <v>0</v>
      </c>
      <c r="BP469">
        <v>0</v>
      </c>
      <c r="BW469" t="str">
        <f>"18:38:02.311"</f>
        <v>18:38:02.311</v>
      </c>
      <c r="BZ469">
        <v>0</v>
      </c>
      <c r="CA469">
        <v>3488</v>
      </c>
      <c r="CB469">
        <v>216</v>
      </c>
      <c r="CC469">
        <v>583.59379999999999</v>
      </c>
      <c r="CD469">
        <v>1</v>
      </c>
      <c r="CE469">
        <v>1</v>
      </c>
      <c r="CF469">
        <v>0</v>
      </c>
      <c r="CG469">
        <v>1</v>
      </c>
      <c r="CH469">
        <v>0</v>
      </c>
      <c r="CI469">
        <v>0</v>
      </c>
      <c r="CJ469">
        <v>0</v>
      </c>
      <c r="CK469">
        <v>2</v>
      </c>
      <c r="CL469">
        <v>0</v>
      </c>
      <c r="CM469">
        <v>2</v>
      </c>
      <c r="CN469">
        <v>0</v>
      </c>
      <c r="CO469">
        <v>6</v>
      </c>
      <c r="CP469" t="s">
        <v>119</v>
      </c>
      <c r="CQ469">
        <v>145</v>
      </c>
      <c r="CR469">
        <v>1</v>
      </c>
      <c r="CW469">
        <v>8922822</v>
      </c>
      <c r="CY469">
        <v>0</v>
      </c>
      <c r="CZ469">
        <v>0</v>
      </c>
      <c r="DA469">
        <v>1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</row>
    <row r="470" spans="1:113" x14ac:dyDescent="0.3">
      <c r="A470" t="str">
        <f>"02/13/2022 18:38:04.018"</f>
        <v>02/13/2022 18:38:04.018</v>
      </c>
      <c r="C470" t="str">
        <f t="shared" si="49"/>
        <v>FFDFD7C0</v>
      </c>
      <c r="D470" t="s">
        <v>113</v>
      </c>
      <c r="E470">
        <v>4</v>
      </c>
      <c r="F470">
        <v>1004</v>
      </c>
      <c r="G470" t="s">
        <v>120</v>
      </c>
      <c r="J470" t="s">
        <v>115</v>
      </c>
      <c r="K470">
        <v>0</v>
      </c>
      <c r="L470">
        <v>3</v>
      </c>
      <c r="M470">
        <v>0</v>
      </c>
      <c r="N470">
        <v>2</v>
      </c>
      <c r="O470">
        <v>1</v>
      </c>
      <c r="P470">
        <v>0</v>
      </c>
      <c r="Q470">
        <v>0</v>
      </c>
      <c r="S470" t="str">
        <f>"18:38:03.789"</f>
        <v>18:38:03.789</v>
      </c>
      <c r="T470" t="str">
        <f>"18:38:03.489"</f>
        <v>18:38:03.489</v>
      </c>
      <c r="U470" t="str">
        <f t="shared" si="48"/>
        <v>AAB6EE</v>
      </c>
      <c r="V470">
        <v>0</v>
      </c>
      <c r="W470">
        <v>0</v>
      </c>
      <c r="X470">
        <v>4</v>
      </c>
      <c r="Z470">
        <v>0</v>
      </c>
      <c r="AA470">
        <v>8</v>
      </c>
      <c r="AB470">
        <v>3</v>
      </c>
      <c r="AC470">
        <v>0</v>
      </c>
      <c r="AD470">
        <v>10</v>
      </c>
      <c r="AE470">
        <v>0</v>
      </c>
      <c r="AF470">
        <v>0</v>
      </c>
      <c r="AG470">
        <v>1</v>
      </c>
      <c r="AH470">
        <v>1</v>
      </c>
      <c r="AI470" t="s">
        <v>435</v>
      </c>
      <c r="AJ470">
        <v>35.457194000000001</v>
      </c>
      <c r="AK470" t="s">
        <v>436</v>
      </c>
      <c r="AL470">
        <v>-76.072361000000001</v>
      </c>
      <c r="AM470">
        <v>25</v>
      </c>
      <c r="AN470">
        <v>3425</v>
      </c>
      <c r="AO470" t="s">
        <v>118</v>
      </c>
      <c r="AP470">
        <v>-94</v>
      </c>
      <c r="AQ470">
        <v>-193</v>
      </c>
      <c r="AR470">
        <v>0</v>
      </c>
      <c r="AZ470">
        <v>1200</v>
      </c>
      <c r="BA470">
        <v>1</v>
      </c>
      <c r="BB470" t="str">
        <f t="shared" si="50"/>
        <v xml:space="preserve">N79NX   </v>
      </c>
      <c r="BC470">
        <v>1</v>
      </c>
      <c r="BE470">
        <v>0</v>
      </c>
      <c r="BF470">
        <v>0</v>
      </c>
      <c r="BG470">
        <v>0</v>
      </c>
      <c r="BH470">
        <v>3275</v>
      </c>
      <c r="BI470">
        <v>0</v>
      </c>
      <c r="BJ470">
        <v>0</v>
      </c>
      <c r="BK470">
        <v>0</v>
      </c>
      <c r="BL470">
        <v>0</v>
      </c>
      <c r="BO470">
        <v>0</v>
      </c>
      <c r="BP470">
        <v>0</v>
      </c>
      <c r="BW470" t="str">
        <f>"18:38:03.790"</f>
        <v>18:38:03.790</v>
      </c>
      <c r="BZ470">
        <v>0</v>
      </c>
      <c r="CA470">
        <v>3488</v>
      </c>
      <c r="CB470">
        <v>216</v>
      </c>
      <c r="CC470">
        <v>583.59379999999999</v>
      </c>
      <c r="CD470">
        <v>1</v>
      </c>
      <c r="CE470">
        <v>1</v>
      </c>
      <c r="CF470">
        <v>0</v>
      </c>
      <c r="CG470">
        <v>1</v>
      </c>
      <c r="CH470">
        <v>0</v>
      </c>
      <c r="CI470">
        <v>0</v>
      </c>
      <c r="CJ470">
        <v>0</v>
      </c>
      <c r="CK470">
        <v>2</v>
      </c>
      <c r="CL470">
        <v>0</v>
      </c>
      <c r="CM470">
        <v>2</v>
      </c>
      <c r="CN470">
        <v>0</v>
      </c>
      <c r="CO470">
        <v>5</v>
      </c>
      <c r="CP470" t="s">
        <v>119</v>
      </c>
      <c r="CQ470">
        <v>145</v>
      </c>
      <c r="CR470">
        <v>1</v>
      </c>
      <c r="CW470">
        <v>8923511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</row>
    <row r="471" spans="1:113" x14ac:dyDescent="0.3">
      <c r="A471" t="str">
        <f>"02/13/2022 18:38:04.018"</f>
        <v>02/13/2022 18:38:04.018</v>
      </c>
      <c r="C471" t="str">
        <f t="shared" si="49"/>
        <v>FFDFD7C0</v>
      </c>
      <c r="D471" t="s">
        <v>113</v>
      </c>
      <c r="E471">
        <v>3</v>
      </c>
      <c r="F471">
        <v>1003</v>
      </c>
      <c r="G471" t="s">
        <v>114</v>
      </c>
      <c r="J471" t="s">
        <v>115</v>
      </c>
      <c r="K471">
        <v>0</v>
      </c>
      <c r="L471">
        <v>3</v>
      </c>
      <c r="M471">
        <v>0</v>
      </c>
      <c r="N471">
        <v>2</v>
      </c>
      <c r="O471">
        <v>1</v>
      </c>
      <c r="P471">
        <v>0</v>
      </c>
      <c r="Q471">
        <v>0</v>
      </c>
      <c r="S471" t="str">
        <f>"18:38:03.789"</f>
        <v>18:38:03.789</v>
      </c>
      <c r="T471" t="str">
        <f>"18:38:03.489"</f>
        <v>18:38:03.489</v>
      </c>
      <c r="U471" t="str">
        <f t="shared" si="48"/>
        <v>AAB6EE</v>
      </c>
      <c r="V471">
        <v>0</v>
      </c>
      <c r="W471">
        <v>0</v>
      </c>
      <c r="X471">
        <v>4</v>
      </c>
      <c r="Z471">
        <v>0</v>
      </c>
      <c r="AA471">
        <v>8</v>
      </c>
      <c r="AB471">
        <v>3</v>
      </c>
      <c r="AC471">
        <v>0</v>
      </c>
      <c r="AD471">
        <v>10</v>
      </c>
      <c r="AE471">
        <v>0</v>
      </c>
      <c r="AF471">
        <v>0</v>
      </c>
      <c r="AG471">
        <v>1</v>
      </c>
      <c r="AH471">
        <v>1</v>
      </c>
      <c r="AI471" t="s">
        <v>435</v>
      </c>
      <c r="AJ471">
        <v>35.457194000000001</v>
      </c>
      <c r="AK471" t="s">
        <v>436</v>
      </c>
      <c r="AL471">
        <v>-76.072361000000001</v>
      </c>
      <c r="AM471">
        <v>25</v>
      </c>
      <c r="AN471">
        <v>3425</v>
      </c>
      <c r="AO471" t="s">
        <v>118</v>
      </c>
      <c r="AP471">
        <v>-94</v>
      </c>
      <c r="AQ471">
        <v>-193</v>
      </c>
      <c r="AR471">
        <v>0</v>
      </c>
      <c r="AZ471">
        <v>1200</v>
      </c>
      <c r="BA471">
        <v>1</v>
      </c>
      <c r="BB471" t="str">
        <f t="shared" si="50"/>
        <v xml:space="preserve">N79NX   </v>
      </c>
      <c r="BC471">
        <v>1</v>
      </c>
      <c r="BE471">
        <v>0</v>
      </c>
      <c r="BF471">
        <v>0</v>
      </c>
      <c r="BG471">
        <v>0</v>
      </c>
      <c r="BH471">
        <v>3275</v>
      </c>
      <c r="BI471">
        <v>0</v>
      </c>
      <c r="BJ471">
        <v>0</v>
      </c>
      <c r="BK471">
        <v>0</v>
      </c>
      <c r="BL471">
        <v>0</v>
      </c>
      <c r="BO471">
        <v>0</v>
      </c>
      <c r="BP471">
        <v>0</v>
      </c>
      <c r="BW471" t="str">
        <f>"18:38:03.790"</f>
        <v>18:38:03.790</v>
      </c>
      <c r="BZ471">
        <v>0</v>
      </c>
      <c r="CA471">
        <v>3488</v>
      </c>
      <c r="CB471">
        <v>216</v>
      </c>
      <c r="CC471">
        <v>583.59379999999999</v>
      </c>
      <c r="CD471">
        <v>1</v>
      </c>
      <c r="CE471">
        <v>1</v>
      </c>
      <c r="CF471">
        <v>0</v>
      </c>
      <c r="CG471">
        <v>1</v>
      </c>
      <c r="CH471">
        <v>0</v>
      </c>
      <c r="CI471">
        <v>0</v>
      </c>
      <c r="CJ471">
        <v>0</v>
      </c>
      <c r="CK471">
        <v>2</v>
      </c>
      <c r="CL471">
        <v>0</v>
      </c>
      <c r="CM471">
        <v>2</v>
      </c>
      <c r="CN471">
        <v>0</v>
      </c>
      <c r="CO471">
        <v>5</v>
      </c>
      <c r="CP471" t="s">
        <v>119</v>
      </c>
      <c r="CQ471">
        <v>145</v>
      </c>
      <c r="CR471">
        <v>1</v>
      </c>
      <c r="CW471">
        <v>8923511</v>
      </c>
      <c r="CY471">
        <v>0</v>
      </c>
      <c r="CZ471">
        <v>0</v>
      </c>
      <c r="DA471">
        <v>1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</row>
    <row r="472" spans="1:113" x14ac:dyDescent="0.3">
      <c r="A472" t="str">
        <f>"02/13/2022 18:38:04.018"</f>
        <v>02/13/2022 18:38:04.018</v>
      </c>
      <c r="C472" t="str">
        <f t="shared" si="49"/>
        <v>FFDFD7C0</v>
      </c>
      <c r="D472" t="s">
        <v>121</v>
      </c>
      <c r="E472">
        <v>2</v>
      </c>
      <c r="H472">
        <v>158</v>
      </c>
      <c r="I472" t="s">
        <v>120</v>
      </c>
      <c r="J472" t="s">
        <v>122</v>
      </c>
      <c r="K472">
        <v>0</v>
      </c>
      <c r="L472">
        <v>3</v>
      </c>
      <c r="M472">
        <v>0</v>
      </c>
      <c r="N472">
        <v>2</v>
      </c>
      <c r="O472">
        <v>1</v>
      </c>
      <c r="P472">
        <v>0</v>
      </c>
      <c r="Q472">
        <v>0</v>
      </c>
      <c r="S472" t="str">
        <f>"18:38:03.789"</f>
        <v>18:38:03.789</v>
      </c>
      <c r="T472" t="str">
        <f>"18:38:03.489"</f>
        <v>18:38:03.489</v>
      </c>
      <c r="U472" t="str">
        <f t="shared" si="48"/>
        <v>AAB6EE</v>
      </c>
      <c r="V472">
        <v>0</v>
      </c>
      <c r="W472">
        <v>0</v>
      </c>
      <c r="X472">
        <v>4</v>
      </c>
      <c r="Z472">
        <v>0</v>
      </c>
      <c r="AA472">
        <v>8</v>
      </c>
      <c r="AB472">
        <v>3</v>
      </c>
      <c r="AC472">
        <v>0</v>
      </c>
      <c r="AD472">
        <v>10</v>
      </c>
      <c r="AE472">
        <v>0</v>
      </c>
      <c r="AF472">
        <v>0</v>
      </c>
      <c r="AG472">
        <v>1</v>
      </c>
      <c r="AH472">
        <v>1</v>
      </c>
      <c r="AI472" t="s">
        <v>435</v>
      </c>
      <c r="AJ472">
        <v>35.457194000000001</v>
      </c>
      <c r="AK472" t="s">
        <v>436</v>
      </c>
      <c r="AL472">
        <v>-76.072361000000001</v>
      </c>
      <c r="AM472">
        <v>25</v>
      </c>
      <c r="AN472">
        <v>3425</v>
      </c>
      <c r="AO472" t="s">
        <v>118</v>
      </c>
      <c r="AP472">
        <v>-94</v>
      </c>
      <c r="AQ472">
        <v>-193</v>
      </c>
      <c r="AR472">
        <v>0</v>
      </c>
      <c r="AZ472">
        <v>1200</v>
      </c>
      <c r="BA472">
        <v>1</v>
      </c>
      <c r="BB472" t="str">
        <f t="shared" si="50"/>
        <v xml:space="preserve">N79NX   </v>
      </c>
      <c r="BC472">
        <v>1</v>
      </c>
      <c r="BE472">
        <v>0</v>
      </c>
      <c r="BF472">
        <v>0</v>
      </c>
      <c r="BG472">
        <v>0</v>
      </c>
      <c r="BH472">
        <v>3275</v>
      </c>
      <c r="BI472">
        <v>0</v>
      </c>
      <c r="BJ472">
        <v>0</v>
      </c>
      <c r="BK472">
        <v>0</v>
      </c>
      <c r="BL472">
        <v>0</v>
      </c>
      <c r="BO472">
        <v>0</v>
      </c>
      <c r="BP472">
        <v>0</v>
      </c>
      <c r="BW472" t="str">
        <f>"18:38:03.790"</f>
        <v>18:38:03.790</v>
      </c>
      <c r="BZ472">
        <v>0</v>
      </c>
      <c r="CA472">
        <v>3488</v>
      </c>
      <c r="CB472">
        <v>216</v>
      </c>
      <c r="CC472">
        <v>583.59379999999999</v>
      </c>
      <c r="CD472">
        <v>1</v>
      </c>
      <c r="CE472">
        <v>1</v>
      </c>
      <c r="CF472">
        <v>0</v>
      </c>
      <c r="CG472">
        <v>1</v>
      </c>
      <c r="CH472">
        <v>0</v>
      </c>
      <c r="CI472">
        <v>0</v>
      </c>
      <c r="CJ472">
        <v>0</v>
      </c>
      <c r="CK472">
        <v>2</v>
      </c>
      <c r="CL472">
        <v>0</v>
      </c>
      <c r="CM472">
        <v>2</v>
      </c>
      <c r="CN472">
        <v>0</v>
      </c>
      <c r="CO472">
        <v>5</v>
      </c>
      <c r="CP472" t="s">
        <v>119</v>
      </c>
      <c r="CQ472">
        <v>145</v>
      </c>
      <c r="CR472">
        <v>1</v>
      </c>
      <c r="CW472">
        <v>8923511</v>
      </c>
      <c r="CY472">
        <v>0</v>
      </c>
      <c r="CZ472">
        <v>0</v>
      </c>
      <c r="DA472">
        <v>1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</row>
    <row r="473" spans="1:113" x14ac:dyDescent="0.3">
      <c r="A473" t="str">
        <f>"02/13/2022 18:38:04.974"</f>
        <v>02/13/2022 18:38:04.974</v>
      </c>
      <c r="C473" t="str">
        <f t="shared" si="49"/>
        <v>FFDFD7C0</v>
      </c>
      <c r="D473" t="s">
        <v>121</v>
      </c>
      <c r="E473">
        <v>2</v>
      </c>
      <c r="H473">
        <v>158</v>
      </c>
      <c r="I473" t="s">
        <v>120</v>
      </c>
      <c r="J473" t="s">
        <v>122</v>
      </c>
      <c r="K473">
        <v>0</v>
      </c>
      <c r="L473">
        <v>3</v>
      </c>
      <c r="M473">
        <v>0</v>
      </c>
      <c r="N473">
        <v>2</v>
      </c>
      <c r="O473">
        <v>1</v>
      </c>
      <c r="P473">
        <v>0</v>
      </c>
      <c r="Q473">
        <v>0</v>
      </c>
      <c r="S473" t="str">
        <f>"18:38:04.773"</f>
        <v>18:38:04.773</v>
      </c>
      <c r="T473" t="str">
        <f>"18:38:04.573"</f>
        <v>18:38:04.573</v>
      </c>
      <c r="U473" t="str">
        <f t="shared" si="48"/>
        <v>AAB6EE</v>
      </c>
      <c r="V473">
        <v>0</v>
      </c>
      <c r="W473">
        <v>0</v>
      </c>
      <c r="X473">
        <v>4</v>
      </c>
      <c r="Z473">
        <v>0</v>
      </c>
      <c r="AA473">
        <v>8</v>
      </c>
      <c r="AB473">
        <v>3</v>
      </c>
      <c r="AC473">
        <v>0</v>
      </c>
      <c r="AD473">
        <v>10</v>
      </c>
      <c r="AE473">
        <v>0</v>
      </c>
      <c r="AF473">
        <v>0</v>
      </c>
      <c r="AG473">
        <v>1</v>
      </c>
      <c r="AH473">
        <v>1</v>
      </c>
      <c r="AI473" t="s">
        <v>437</v>
      </c>
      <c r="AJ473">
        <v>35.456271000000001</v>
      </c>
      <c r="AK473" t="s">
        <v>438</v>
      </c>
      <c r="AL473">
        <v>-76.072875999999994</v>
      </c>
      <c r="AM473">
        <v>25</v>
      </c>
      <c r="AN473">
        <v>3425</v>
      </c>
      <c r="AO473" t="s">
        <v>118</v>
      </c>
      <c r="AP473">
        <v>-95</v>
      </c>
      <c r="AQ473">
        <v>-193</v>
      </c>
      <c r="AR473">
        <v>64</v>
      </c>
      <c r="AZ473">
        <v>1200</v>
      </c>
      <c r="BA473">
        <v>1</v>
      </c>
      <c r="BB473" t="str">
        <f t="shared" si="50"/>
        <v xml:space="preserve">N79NX   </v>
      </c>
      <c r="BC473">
        <v>1</v>
      </c>
      <c r="BE473">
        <v>0</v>
      </c>
      <c r="BF473">
        <v>0</v>
      </c>
      <c r="BG473">
        <v>0</v>
      </c>
      <c r="BH473">
        <v>3275</v>
      </c>
      <c r="BI473">
        <v>0</v>
      </c>
      <c r="BJ473">
        <v>0</v>
      </c>
      <c r="BK473">
        <v>0</v>
      </c>
      <c r="BL473">
        <v>0</v>
      </c>
      <c r="BO473">
        <v>0</v>
      </c>
      <c r="BP473">
        <v>0</v>
      </c>
      <c r="BW473" t="str">
        <f>"18:38:04.780"</f>
        <v>18:38:04.780</v>
      </c>
      <c r="BZ473">
        <v>0</v>
      </c>
      <c r="CA473">
        <v>3488</v>
      </c>
      <c r="CB473">
        <v>216</v>
      </c>
      <c r="CC473">
        <v>583.59379999999999</v>
      </c>
      <c r="CD473">
        <v>1</v>
      </c>
      <c r="CE473">
        <v>1</v>
      </c>
      <c r="CF473">
        <v>0</v>
      </c>
      <c r="CG473">
        <v>1</v>
      </c>
      <c r="CH473">
        <v>0</v>
      </c>
      <c r="CI473">
        <v>0</v>
      </c>
      <c r="CJ473">
        <v>0</v>
      </c>
      <c r="CK473">
        <v>2</v>
      </c>
      <c r="CL473">
        <v>0</v>
      </c>
      <c r="CM473">
        <v>2</v>
      </c>
      <c r="CN473">
        <v>0</v>
      </c>
      <c r="CO473">
        <v>5</v>
      </c>
      <c r="CP473" t="s">
        <v>119</v>
      </c>
      <c r="CQ473">
        <v>145</v>
      </c>
      <c r="CR473">
        <v>1</v>
      </c>
      <c r="CW473">
        <v>8923936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</row>
    <row r="474" spans="1:113" x14ac:dyDescent="0.3">
      <c r="A474" t="str">
        <f>"02/13/2022 18:38:05.005"</f>
        <v>02/13/2022 18:38:05.005</v>
      </c>
      <c r="C474" t="str">
        <f t="shared" si="49"/>
        <v>FFDFD7C0</v>
      </c>
      <c r="D474" t="s">
        <v>113</v>
      </c>
      <c r="E474">
        <v>4</v>
      </c>
      <c r="F474">
        <v>1004</v>
      </c>
      <c r="G474" t="s">
        <v>120</v>
      </c>
      <c r="J474" t="s">
        <v>115</v>
      </c>
      <c r="K474">
        <v>0</v>
      </c>
      <c r="L474">
        <v>3</v>
      </c>
      <c r="M474">
        <v>0</v>
      </c>
      <c r="N474">
        <v>2</v>
      </c>
      <c r="O474">
        <v>1</v>
      </c>
      <c r="P474">
        <v>0</v>
      </c>
      <c r="Q474">
        <v>0</v>
      </c>
      <c r="S474" t="str">
        <f>"18:38:04.773"</f>
        <v>18:38:04.773</v>
      </c>
      <c r="T474" t="str">
        <f>"18:38:04.573"</f>
        <v>18:38:04.573</v>
      </c>
      <c r="U474" t="str">
        <f t="shared" si="48"/>
        <v>AAB6EE</v>
      </c>
      <c r="V474">
        <v>0</v>
      </c>
      <c r="W474">
        <v>0</v>
      </c>
      <c r="X474">
        <v>4</v>
      </c>
      <c r="Z474">
        <v>0</v>
      </c>
      <c r="AA474">
        <v>8</v>
      </c>
      <c r="AB474">
        <v>3</v>
      </c>
      <c r="AC474">
        <v>0</v>
      </c>
      <c r="AD474">
        <v>10</v>
      </c>
      <c r="AE474">
        <v>0</v>
      </c>
      <c r="AF474">
        <v>0</v>
      </c>
      <c r="AG474">
        <v>1</v>
      </c>
      <c r="AH474">
        <v>1</v>
      </c>
      <c r="AI474" t="s">
        <v>437</v>
      </c>
      <c r="AJ474">
        <v>35.456271000000001</v>
      </c>
      <c r="AK474" t="s">
        <v>438</v>
      </c>
      <c r="AL474">
        <v>-76.072875999999994</v>
      </c>
      <c r="AM474">
        <v>25</v>
      </c>
      <c r="AN474">
        <v>3425</v>
      </c>
      <c r="AO474" t="s">
        <v>118</v>
      </c>
      <c r="AP474">
        <v>-95</v>
      </c>
      <c r="AQ474">
        <v>-193</v>
      </c>
      <c r="AR474">
        <v>64</v>
      </c>
      <c r="AZ474">
        <v>1200</v>
      </c>
      <c r="BA474">
        <v>1</v>
      </c>
      <c r="BB474" t="str">
        <f t="shared" si="50"/>
        <v xml:space="preserve">N79NX   </v>
      </c>
      <c r="BC474">
        <v>1</v>
      </c>
      <c r="BE474">
        <v>0</v>
      </c>
      <c r="BF474">
        <v>0</v>
      </c>
      <c r="BG474">
        <v>0</v>
      </c>
      <c r="BH474">
        <v>3275</v>
      </c>
      <c r="BI474">
        <v>0</v>
      </c>
      <c r="BJ474">
        <v>0</v>
      </c>
      <c r="BK474">
        <v>0</v>
      </c>
      <c r="BL474">
        <v>0</v>
      </c>
      <c r="BO474">
        <v>0</v>
      </c>
      <c r="BP474">
        <v>0</v>
      </c>
      <c r="BW474" t="str">
        <f>"18:38:04.780"</f>
        <v>18:38:04.780</v>
      </c>
      <c r="BZ474">
        <v>0</v>
      </c>
      <c r="CA474">
        <v>3488</v>
      </c>
      <c r="CB474">
        <v>216</v>
      </c>
      <c r="CC474">
        <v>583.59379999999999</v>
      </c>
      <c r="CD474">
        <v>1</v>
      </c>
      <c r="CE474">
        <v>1</v>
      </c>
      <c r="CF474">
        <v>0</v>
      </c>
      <c r="CG474">
        <v>1</v>
      </c>
      <c r="CH474">
        <v>0</v>
      </c>
      <c r="CI474">
        <v>0</v>
      </c>
      <c r="CJ474">
        <v>0</v>
      </c>
      <c r="CK474">
        <v>2</v>
      </c>
      <c r="CL474">
        <v>0</v>
      </c>
      <c r="CM474">
        <v>2</v>
      </c>
      <c r="CN474">
        <v>0</v>
      </c>
      <c r="CO474">
        <v>5</v>
      </c>
      <c r="CP474" t="s">
        <v>119</v>
      </c>
      <c r="CQ474">
        <v>145</v>
      </c>
      <c r="CR474">
        <v>1</v>
      </c>
      <c r="CW474">
        <v>8923936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</row>
    <row r="475" spans="1:113" x14ac:dyDescent="0.3">
      <c r="A475" t="str">
        <f>"02/13/2022 18:38:05.005"</f>
        <v>02/13/2022 18:38:05.005</v>
      </c>
      <c r="C475" t="str">
        <f t="shared" si="49"/>
        <v>FFDFD7C0</v>
      </c>
      <c r="D475" t="s">
        <v>113</v>
      </c>
      <c r="E475">
        <v>3</v>
      </c>
      <c r="F475">
        <v>1003</v>
      </c>
      <c r="G475" t="s">
        <v>114</v>
      </c>
      <c r="J475" t="s">
        <v>115</v>
      </c>
      <c r="K475">
        <v>0</v>
      </c>
      <c r="L475">
        <v>3</v>
      </c>
      <c r="M475">
        <v>0</v>
      </c>
      <c r="N475">
        <v>2</v>
      </c>
      <c r="O475">
        <v>1</v>
      </c>
      <c r="P475">
        <v>0</v>
      </c>
      <c r="Q475">
        <v>0</v>
      </c>
      <c r="S475" t="str">
        <f>"18:38:04.773"</f>
        <v>18:38:04.773</v>
      </c>
      <c r="T475" t="str">
        <f>"18:38:04.573"</f>
        <v>18:38:04.573</v>
      </c>
      <c r="U475" t="str">
        <f t="shared" si="48"/>
        <v>AAB6EE</v>
      </c>
      <c r="V475">
        <v>0</v>
      </c>
      <c r="W475">
        <v>0</v>
      </c>
      <c r="X475">
        <v>4</v>
      </c>
      <c r="Z475">
        <v>0</v>
      </c>
      <c r="AA475">
        <v>8</v>
      </c>
      <c r="AB475">
        <v>3</v>
      </c>
      <c r="AC475">
        <v>0</v>
      </c>
      <c r="AD475">
        <v>10</v>
      </c>
      <c r="AE475">
        <v>0</v>
      </c>
      <c r="AF475">
        <v>0</v>
      </c>
      <c r="AG475">
        <v>1</v>
      </c>
      <c r="AH475">
        <v>1</v>
      </c>
      <c r="AI475" t="s">
        <v>437</v>
      </c>
      <c r="AJ475">
        <v>35.456271000000001</v>
      </c>
      <c r="AK475" t="s">
        <v>438</v>
      </c>
      <c r="AL475">
        <v>-76.072875999999994</v>
      </c>
      <c r="AM475">
        <v>25</v>
      </c>
      <c r="AN475">
        <v>3425</v>
      </c>
      <c r="AO475" t="s">
        <v>118</v>
      </c>
      <c r="AP475">
        <v>-95</v>
      </c>
      <c r="AQ475">
        <v>-193</v>
      </c>
      <c r="AR475">
        <v>64</v>
      </c>
      <c r="AZ475">
        <v>1200</v>
      </c>
      <c r="BA475">
        <v>1</v>
      </c>
      <c r="BB475" t="str">
        <f t="shared" si="50"/>
        <v xml:space="preserve">N79NX   </v>
      </c>
      <c r="BC475">
        <v>1</v>
      </c>
      <c r="BE475">
        <v>0</v>
      </c>
      <c r="BF475">
        <v>0</v>
      </c>
      <c r="BG475">
        <v>0</v>
      </c>
      <c r="BH475">
        <v>3275</v>
      </c>
      <c r="BI475">
        <v>0</v>
      </c>
      <c r="BJ475">
        <v>0</v>
      </c>
      <c r="BK475">
        <v>0</v>
      </c>
      <c r="BL475">
        <v>0</v>
      </c>
      <c r="BO475">
        <v>0</v>
      </c>
      <c r="BP475">
        <v>0</v>
      </c>
      <c r="BW475" t="str">
        <f>"18:38:04.780"</f>
        <v>18:38:04.780</v>
      </c>
      <c r="BZ475">
        <v>0</v>
      </c>
      <c r="CA475">
        <v>3488</v>
      </c>
      <c r="CB475">
        <v>216</v>
      </c>
      <c r="CC475">
        <v>583.59379999999999</v>
      </c>
      <c r="CD475">
        <v>1</v>
      </c>
      <c r="CE475">
        <v>1</v>
      </c>
      <c r="CF475">
        <v>0</v>
      </c>
      <c r="CG475">
        <v>1</v>
      </c>
      <c r="CH475">
        <v>0</v>
      </c>
      <c r="CI475">
        <v>0</v>
      </c>
      <c r="CJ475">
        <v>0</v>
      </c>
      <c r="CK475">
        <v>2</v>
      </c>
      <c r="CL475">
        <v>0</v>
      </c>
      <c r="CM475">
        <v>2</v>
      </c>
      <c r="CN475">
        <v>0</v>
      </c>
      <c r="CO475">
        <v>5</v>
      </c>
      <c r="CP475" t="s">
        <v>119</v>
      </c>
      <c r="CQ475">
        <v>145</v>
      </c>
      <c r="CR475">
        <v>1</v>
      </c>
      <c r="CW475">
        <v>8923936</v>
      </c>
      <c r="CY475">
        <v>0</v>
      </c>
      <c r="CZ475">
        <v>0</v>
      </c>
      <c r="DA475">
        <v>1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</row>
    <row r="476" spans="1:113" x14ac:dyDescent="0.3">
      <c r="A476" t="str">
        <f>"02/13/2022 18:38:05.992"</f>
        <v>02/13/2022 18:38:05.992</v>
      </c>
      <c r="C476" t="str">
        <f t="shared" si="49"/>
        <v>FFDFD7C0</v>
      </c>
      <c r="D476" t="s">
        <v>113</v>
      </c>
      <c r="E476">
        <v>4</v>
      </c>
      <c r="F476">
        <v>1004</v>
      </c>
      <c r="G476" t="s">
        <v>120</v>
      </c>
      <c r="J476" t="s">
        <v>115</v>
      </c>
      <c r="K476">
        <v>0</v>
      </c>
      <c r="L476">
        <v>3</v>
      </c>
      <c r="M476">
        <v>0</v>
      </c>
      <c r="N476">
        <v>2</v>
      </c>
      <c r="O476">
        <v>1</v>
      </c>
      <c r="P476">
        <v>0</v>
      </c>
      <c r="Q476">
        <v>0</v>
      </c>
      <c r="S476" t="str">
        <f>"18:38:05.719"</f>
        <v>18:38:05.719</v>
      </c>
      <c r="T476" t="str">
        <f>"18:38:05.619"</f>
        <v>18:38:05.619</v>
      </c>
      <c r="U476" t="str">
        <f t="shared" si="48"/>
        <v>AAB6EE</v>
      </c>
      <c r="V476">
        <v>0</v>
      </c>
      <c r="W476">
        <v>0</v>
      </c>
      <c r="X476">
        <v>4</v>
      </c>
      <c r="Z476">
        <v>0</v>
      </c>
      <c r="AA476">
        <v>8</v>
      </c>
      <c r="AB476">
        <v>3</v>
      </c>
      <c r="AC476">
        <v>0</v>
      </c>
      <c r="AD476">
        <v>10</v>
      </c>
      <c r="AE476">
        <v>0</v>
      </c>
      <c r="AF476">
        <v>0</v>
      </c>
      <c r="AG476">
        <v>1</v>
      </c>
      <c r="AH476">
        <v>1</v>
      </c>
      <c r="AI476" t="s">
        <v>439</v>
      </c>
      <c r="AJ476">
        <v>35.455390999999999</v>
      </c>
      <c r="AK476" t="s">
        <v>440</v>
      </c>
      <c r="AL476">
        <v>-76.073391000000001</v>
      </c>
      <c r="AM476">
        <v>25</v>
      </c>
      <c r="AN476">
        <v>3425</v>
      </c>
      <c r="AO476" t="s">
        <v>118</v>
      </c>
      <c r="AP476">
        <v>-95</v>
      </c>
      <c r="AQ476">
        <v>-193</v>
      </c>
      <c r="AR476">
        <v>0</v>
      </c>
      <c r="AZ476">
        <v>1200</v>
      </c>
      <c r="BA476">
        <v>1</v>
      </c>
      <c r="BB476" t="str">
        <f t="shared" si="50"/>
        <v xml:space="preserve">N79NX   </v>
      </c>
      <c r="BC476">
        <v>1</v>
      </c>
      <c r="BE476">
        <v>0</v>
      </c>
      <c r="BF476">
        <v>0</v>
      </c>
      <c r="BG476">
        <v>0</v>
      </c>
      <c r="BH476">
        <v>3275</v>
      </c>
      <c r="BI476">
        <v>0</v>
      </c>
      <c r="BJ476">
        <v>0</v>
      </c>
      <c r="BK476">
        <v>0</v>
      </c>
      <c r="BL476">
        <v>0</v>
      </c>
      <c r="BO476">
        <v>0</v>
      </c>
      <c r="BP476">
        <v>0</v>
      </c>
      <c r="BW476" t="str">
        <f>"18:38:05.720"</f>
        <v>18:38:05.720</v>
      </c>
      <c r="BZ476">
        <v>0</v>
      </c>
      <c r="CA476">
        <v>3488</v>
      </c>
      <c r="CB476">
        <v>216</v>
      </c>
      <c r="CC476">
        <v>583.59379999999999</v>
      </c>
      <c r="CD476">
        <v>1</v>
      </c>
      <c r="CE476">
        <v>1</v>
      </c>
      <c r="CF476">
        <v>0</v>
      </c>
      <c r="CG476">
        <v>1</v>
      </c>
      <c r="CH476">
        <v>0</v>
      </c>
      <c r="CI476">
        <v>0</v>
      </c>
      <c r="CJ476">
        <v>0</v>
      </c>
      <c r="CK476">
        <v>2</v>
      </c>
      <c r="CL476">
        <v>0</v>
      </c>
      <c r="CM476">
        <v>2</v>
      </c>
      <c r="CN476">
        <v>0</v>
      </c>
      <c r="CO476">
        <v>5</v>
      </c>
      <c r="CP476" t="s">
        <v>119</v>
      </c>
      <c r="CQ476">
        <v>145</v>
      </c>
      <c r="CR476">
        <v>1</v>
      </c>
      <c r="CW476">
        <v>8924412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</row>
    <row r="477" spans="1:113" x14ac:dyDescent="0.3">
      <c r="A477" t="str">
        <f>"02/13/2022 18:38:05.992"</f>
        <v>02/13/2022 18:38:05.992</v>
      </c>
      <c r="C477" t="str">
        <f t="shared" si="49"/>
        <v>FFDFD7C0</v>
      </c>
      <c r="D477" t="s">
        <v>113</v>
      </c>
      <c r="E477">
        <v>3</v>
      </c>
      <c r="F477">
        <v>1003</v>
      </c>
      <c r="G477" t="s">
        <v>114</v>
      </c>
      <c r="J477" t="s">
        <v>115</v>
      </c>
      <c r="K477">
        <v>0</v>
      </c>
      <c r="L477">
        <v>3</v>
      </c>
      <c r="M477">
        <v>0</v>
      </c>
      <c r="N477">
        <v>2</v>
      </c>
      <c r="O477">
        <v>1</v>
      </c>
      <c r="P477">
        <v>0</v>
      </c>
      <c r="Q477">
        <v>0</v>
      </c>
      <c r="S477" t="str">
        <f>"18:38:05.719"</f>
        <v>18:38:05.719</v>
      </c>
      <c r="T477" t="str">
        <f>"18:38:05.619"</f>
        <v>18:38:05.619</v>
      </c>
      <c r="U477" t="str">
        <f t="shared" si="48"/>
        <v>AAB6EE</v>
      </c>
      <c r="V477">
        <v>0</v>
      </c>
      <c r="W477">
        <v>0</v>
      </c>
      <c r="X477">
        <v>4</v>
      </c>
      <c r="Z477">
        <v>0</v>
      </c>
      <c r="AA477">
        <v>8</v>
      </c>
      <c r="AB477">
        <v>3</v>
      </c>
      <c r="AC477">
        <v>0</v>
      </c>
      <c r="AD477">
        <v>10</v>
      </c>
      <c r="AE477">
        <v>0</v>
      </c>
      <c r="AF477">
        <v>0</v>
      </c>
      <c r="AG477">
        <v>1</v>
      </c>
      <c r="AH477">
        <v>1</v>
      </c>
      <c r="AI477" t="s">
        <v>439</v>
      </c>
      <c r="AJ477">
        <v>35.455390999999999</v>
      </c>
      <c r="AK477" t="s">
        <v>440</v>
      </c>
      <c r="AL477">
        <v>-76.073391000000001</v>
      </c>
      <c r="AM477">
        <v>25</v>
      </c>
      <c r="AN477">
        <v>3425</v>
      </c>
      <c r="AO477" t="s">
        <v>118</v>
      </c>
      <c r="AP477">
        <v>-95</v>
      </c>
      <c r="AQ477">
        <v>-193</v>
      </c>
      <c r="AR477">
        <v>0</v>
      </c>
      <c r="AZ477">
        <v>1200</v>
      </c>
      <c r="BA477">
        <v>1</v>
      </c>
      <c r="BB477" t="str">
        <f t="shared" si="50"/>
        <v xml:space="preserve">N79NX   </v>
      </c>
      <c r="BC477">
        <v>1</v>
      </c>
      <c r="BE477">
        <v>0</v>
      </c>
      <c r="BF477">
        <v>0</v>
      </c>
      <c r="BG477">
        <v>0</v>
      </c>
      <c r="BH477">
        <v>3275</v>
      </c>
      <c r="BI477">
        <v>0</v>
      </c>
      <c r="BJ477">
        <v>0</v>
      </c>
      <c r="BK477">
        <v>0</v>
      </c>
      <c r="BL477">
        <v>0</v>
      </c>
      <c r="BO477">
        <v>0</v>
      </c>
      <c r="BP477">
        <v>0</v>
      </c>
      <c r="BW477" t="str">
        <f>"18:38:05.720"</f>
        <v>18:38:05.720</v>
      </c>
      <c r="BZ477">
        <v>0</v>
      </c>
      <c r="CA477">
        <v>3488</v>
      </c>
      <c r="CB477">
        <v>216</v>
      </c>
      <c r="CC477">
        <v>583.59379999999999</v>
      </c>
      <c r="CD477">
        <v>1</v>
      </c>
      <c r="CE477">
        <v>1</v>
      </c>
      <c r="CF477">
        <v>0</v>
      </c>
      <c r="CG477">
        <v>1</v>
      </c>
      <c r="CH477">
        <v>0</v>
      </c>
      <c r="CI477">
        <v>0</v>
      </c>
      <c r="CJ477">
        <v>0</v>
      </c>
      <c r="CK477">
        <v>2</v>
      </c>
      <c r="CL477">
        <v>0</v>
      </c>
      <c r="CM477">
        <v>2</v>
      </c>
      <c r="CN477">
        <v>0</v>
      </c>
      <c r="CO477">
        <v>5</v>
      </c>
      <c r="CP477" t="s">
        <v>119</v>
      </c>
      <c r="CQ477">
        <v>145</v>
      </c>
      <c r="CR477">
        <v>1</v>
      </c>
      <c r="CW477">
        <v>8924412</v>
      </c>
      <c r="CY477">
        <v>0</v>
      </c>
      <c r="CZ477">
        <v>0</v>
      </c>
      <c r="DA477">
        <v>1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</row>
    <row r="478" spans="1:113" x14ac:dyDescent="0.3">
      <c r="A478" t="str">
        <f>"02/13/2022 18:38:05.992"</f>
        <v>02/13/2022 18:38:05.992</v>
      </c>
      <c r="C478" t="str">
        <f t="shared" si="49"/>
        <v>FFDFD7C0</v>
      </c>
      <c r="D478" t="s">
        <v>121</v>
      </c>
      <c r="E478">
        <v>2</v>
      </c>
      <c r="H478">
        <v>158</v>
      </c>
      <c r="I478" t="s">
        <v>120</v>
      </c>
      <c r="J478" t="s">
        <v>122</v>
      </c>
      <c r="K478">
        <v>0</v>
      </c>
      <c r="L478">
        <v>3</v>
      </c>
      <c r="M478">
        <v>0</v>
      </c>
      <c r="N478">
        <v>2</v>
      </c>
      <c r="O478">
        <v>1</v>
      </c>
      <c r="P478">
        <v>0</v>
      </c>
      <c r="Q478">
        <v>0</v>
      </c>
      <c r="S478" t="str">
        <f>"18:38:05.719"</f>
        <v>18:38:05.719</v>
      </c>
      <c r="T478" t="str">
        <f>"18:38:05.619"</f>
        <v>18:38:05.619</v>
      </c>
      <c r="U478" t="str">
        <f t="shared" si="48"/>
        <v>AAB6EE</v>
      </c>
      <c r="V478">
        <v>0</v>
      </c>
      <c r="W478">
        <v>0</v>
      </c>
      <c r="X478">
        <v>4</v>
      </c>
      <c r="Z478">
        <v>0</v>
      </c>
      <c r="AA478">
        <v>8</v>
      </c>
      <c r="AB478">
        <v>3</v>
      </c>
      <c r="AC478">
        <v>0</v>
      </c>
      <c r="AD478">
        <v>10</v>
      </c>
      <c r="AE478">
        <v>0</v>
      </c>
      <c r="AF478">
        <v>0</v>
      </c>
      <c r="AG478">
        <v>1</v>
      </c>
      <c r="AH478">
        <v>1</v>
      </c>
      <c r="AI478" t="s">
        <v>439</v>
      </c>
      <c r="AJ478">
        <v>35.455390999999999</v>
      </c>
      <c r="AK478" t="s">
        <v>440</v>
      </c>
      <c r="AL478">
        <v>-76.073391000000001</v>
      </c>
      <c r="AM478">
        <v>25</v>
      </c>
      <c r="AN478">
        <v>3425</v>
      </c>
      <c r="AO478" t="s">
        <v>118</v>
      </c>
      <c r="AP478">
        <v>-95</v>
      </c>
      <c r="AQ478">
        <v>-193</v>
      </c>
      <c r="AR478">
        <v>0</v>
      </c>
      <c r="AZ478">
        <v>1200</v>
      </c>
      <c r="BA478">
        <v>1</v>
      </c>
      <c r="BB478" t="str">
        <f t="shared" si="50"/>
        <v xml:space="preserve">N79NX   </v>
      </c>
      <c r="BC478">
        <v>1</v>
      </c>
      <c r="BE478">
        <v>0</v>
      </c>
      <c r="BF478">
        <v>0</v>
      </c>
      <c r="BG478">
        <v>0</v>
      </c>
      <c r="BH478">
        <v>3275</v>
      </c>
      <c r="BI478">
        <v>0</v>
      </c>
      <c r="BJ478">
        <v>0</v>
      </c>
      <c r="BK478">
        <v>0</v>
      </c>
      <c r="BL478">
        <v>0</v>
      </c>
      <c r="BO478">
        <v>0</v>
      </c>
      <c r="BP478">
        <v>0</v>
      </c>
      <c r="BW478" t="str">
        <f>"18:38:05.720"</f>
        <v>18:38:05.720</v>
      </c>
      <c r="BZ478">
        <v>0</v>
      </c>
      <c r="CA478">
        <v>3488</v>
      </c>
      <c r="CB478">
        <v>216</v>
      </c>
      <c r="CC478">
        <v>583.59379999999999</v>
      </c>
      <c r="CD478">
        <v>1</v>
      </c>
      <c r="CE478">
        <v>1</v>
      </c>
      <c r="CF478">
        <v>0</v>
      </c>
      <c r="CG478">
        <v>1</v>
      </c>
      <c r="CH478">
        <v>0</v>
      </c>
      <c r="CI478">
        <v>0</v>
      </c>
      <c r="CJ478">
        <v>0</v>
      </c>
      <c r="CK478">
        <v>2</v>
      </c>
      <c r="CL478">
        <v>0</v>
      </c>
      <c r="CM478">
        <v>2</v>
      </c>
      <c r="CN478">
        <v>0</v>
      </c>
      <c r="CO478">
        <v>5</v>
      </c>
      <c r="CP478" t="s">
        <v>119</v>
      </c>
      <c r="CQ478">
        <v>145</v>
      </c>
      <c r="CR478">
        <v>1</v>
      </c>
      <c r="CW478">
        <v>8924412</v>
      </c>
      <c r="CY478">
        <v>0</v>
      </c>
      <c r="CZ478">
        <v>0</v>
      </c>
      <c r="DA478">
        <v>1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</row>
    <row r="479" spans="1:113" x14ac:dyDescent="0.3">
      <c r="A479" t="str">
        <f>"02/13/2022 18:38:06.977"</f>
        <v>02/13/2022 18:38:06.977</v>
      </c>
      <c r="C479" t="str">
        <f t="shared" si="49"/>
        <v>FFDFD7C0</v>
      </c>
      <c r="D479" t="s">
        <v>113</v>
      </c>
      <c r="E479">
        <v>4</v>
      </c>
      <c r="F479">
        <v>1004</v>
      </c>
      <c r="G479" t="s">
        <v>120</v>
      </c>
      <c r="J479" t="s">
        <v>115</v>
      </c>
      <c r="K479">
        <v>0</v>
      </c>
      <c r="L479">
        <v>3</v>
      </c>
      <c r="M479">
        <v>0</v>
      </c>
      <c r="N479">
        <v>2</v>
      </c>
      <c r="O479">
        <v>1</v>
      </c>
      <c r="P479">
        <v>0</v>
      </c>
      <c r="Q479">
        <v>0</v>
      </c>
      <c r="S479" t="str">
        <f t="shared" ref="S479:T481" si="52">"18:38:06.789"</f>
        <v>18:38:06.789</v>
      </c>
      <c r="T479" t="str">
        <f t="shared" si="52"/>
        <v>18:38:06.789</v>
      </c>
      <c r="U479" t="str">
        <f t="shared" si="48"/>
        <v>AAB6EE</v>
      </c>
      <c r="V479">
        <v>0</v>
      </c>
      <c r="W479">
        <v>0</v>
      </c>
      <c r="X479">
        <v>4</v>
      </c>
      <c r="Z479">
        <v>0</v>
      </c>
      <c r="AA479">
        <v>8</v>
      </c>
      <c r="AB479">
        <v>3</v>
      </c>
      <c r="AC479">
        <v>0</v>
      </c>
      <c r="AD479">
        <v>10</v>
      </c>
      <c r="AE479">
        <v>0</v>
      </c>
      <c r="AF479">
        <v>0</v>
      </c>
      <c r="AG479">
        <v>1</v>
      </c>
      <c r="AH479">
        <v>1</v>
      </c>
      <c r="AI479" t="s">
        <v>441</v>
      </c>
      <c r="AJ479">
        <v>35.45449</v>
      </c>
      <c r="AK479" t="s">
        <v>442</v>
      </c>
      <c r="AL479">
        <v>-76.073971</v>
      </c>
      <c r="AM479">
        <v>25</v>
      </c>
      <c r="AN479">
        <v>3425</v>
      </c>
      <c r="AO479" t="s">
        <v>118</v>
      </c>
      <c r="AP479">
        <v>-95</v>
      </c>
      <c r="AQ479">
        <v>-193</v>
      </c>
      <c r="AR479">
        <v>0</v>
      </c>
      <c r="AZ479">
        <v>1200</v>
      </c>
      <c r="BA479">
        <v>1</v>
      </c>
      <c r="BB479" t="str">
        <f t="shared" si="50"/>
        <v xml:space="preserve">N79NX   </v>
      </c>
      <c r="BC479">
        <v>1</v>
      </c>
      <c r="BE479">
        <v>0</v>
      </c>
      <c r="BF479">
        <v>0</v>
      </c>
      <c r="BG479">
        <v>0</v>
      </c>
      <c r="BH479">
        <v>3275</v>
      </c>
      <c r="BI479">
        <v>0</v>
      </c>
      <c r="BJ479">
        <v>0</v>
      </c>
      <c r="BK479">
        <v>0</v>
      </c>
      <c r="BL479">
        <v>0</v>
      </c>
      <c r="BO479">
        <v>0</v>
      </c>
      <c r="BP479">
        <v>0</v>
      </c>
      <c r="BW479" t="str">
        <f>"18:38:06.790"</f>
        <v>18:38:06.790</v>
      </c>
      <c r="BZ479">
        <v>0</v>
      </c>
      <c r="CA479">
        <v>3488</v>
      </c>
      <c r="CB479">
        <v>216</v>
      </c>
      <c r="CC479">
        <v>583.59379999999999</v>
      </c>
      <c r="CD479">
        <v>1</v>
      </c>
      <c r="CE479">
        <v>1</v>
      </c>
      <c r="CF479">
        <v>0</v>
      </c>
      <c r="CG479">
        <v>1</v>
      </c>
      <c r="CH479">
        <v>0</v>
      </c>
      <c r="CI479">
        <v>0</v>
      </c>
      <c r="CJ479">
        <v>0</v>
      </c>
      <c r="CK479">
        <v>2</v>
      </c>
      <c r="CL479">
        <v>0</v>
      </c>
      <c r="CM479">
        <v>2</v>
      </c>
      <c r="CN479">
        <v>0</v>
      </c>
      <c r="CO479">
        <v>5</v>
      </c>
      <c r="CP479" t="s">
        <v>119</v>
      </c>
      <c r="CQ479">
        <v>145</v>
      </c>
      <c r="CR479">
        <v>1</v>
      </c>
      <c r="CW479">
        <v>8924933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</row>
    <row r="480" spans="1:113" x14ac:dyDescent="0.3">
      <c r="A480" t="str">
        <f>"02/13/2022 18:38:06.977"</f>
        <v>02/13/2022 18:38:06.977</v>
      </c>
      <c r="C480" t="str">
        <f t="shared" si="49"/>
        <v>FFDFD7C0</v>
      </c>
      <c r="D480" t="s">
        <v>113</v>
      </c>
      <c r="E480">
        <v>3</v>
      </c>
      <c r="F480">
        <v>1003</v>
      </c>
      <c r="G480" t="s">
        <v>114</v>
      </c>
      <c r="J480" t="s">
        <v>115</v>
      </c>
      <c r="K480">
        <v>0</v>
      </c>
      <c r="L480">
        <v>3</v>
      </c>
      <c r="M480">
        <v>0</v>
      </c>
      <c r="N480">
        <v>2</v>
      </c>
      <c r="O480">
        <v>1</v>
      </c>
      <c r="P480">
        <v>0</v>
      </c>
      <c r="Q480">
        <v>0</v>
      </c>
      <c r="S480" t="str">
        <f t="shared" si="52"/>
        <v>18:38:06.789</v>
      </c>
      <c r="T480" t="str">
        <f t="shared" si="52"/>
        <v>18:38:06.789</v>
      </c>
      <c r="U480" t="str">
        <f t="shared" si="48"/>
        <v>AAB6EE</v>
      </c>
      <c r="V480">
        <v>0</v>
      </c>
      <c r="W480">
        <v>0</v>
      </c>
      <c r="X480">
        <v>4</v>
      </c>
      <c r="Z480">
        <v>0</v>
      </c>
      <c r="AA480">
        <v>8</v>
      </c>
      <c r="AB480">
        <v>3</v>
      </c>
      <c r="AC480">
        <v>0</v>
      </c>
      <c r="AD480">
        <v>10</v>
      </c>
      <c r="AE480">
        <v>0</v>
      </c>
      <c r="AF480">
        <v>0</v>
      </c>
      <c r="AG480">
        <v>1</v>
      </c>
      <c r="AH480">
        <v>1</v>
      </c>
      <c r="AI480" t="s">
        <v>441</v>
      </c>
      <c r="AJ480">
        <v>35.45449</v>
      </c>
      <c r="AK480" t="s">
        <v>442</v>
      </c>
      <c r="AL480">
        <v>-76.073971</v>
      </c>
      <c r="AM480">
        <v>25</v>
      </c>
      <c r="AN480">
        <v>3425</v>
      </c>
      <c r="AO480" t="s">
        <v>118</v>
      </c>
      <c r="AP480">
        <v>-95</v>
      </c>
      <c r="AQ480">
        <v>-193</v>
      </c>
      <c r="AR480">
        <v>0</v>
      </c>
      <c r="AZ480">
        <v>1200</v>
      </c>
      <c r="BA480">
        <v>1</v>
      </c>
      <c r="BB480" t="str">
        <f t="shared" si="50"/>
        <v xml:space="preserve">N79NX   </v>
      </c>
      <c r="BC480">
        <v>1</v>
      </c>
      <c r="BE480">
        <v>0</v>
      </c>
      <c r="BF480">
        <v>0</v>
      </c>
      <c r="BG480">
        <v>0</v>
      </c>
      <c r="BH480">
        <v>3275</v>
      </c>
      <c r="BI480">
        <v>0</v>
      </c>
      <c r="BJ480">
        <v>0</v>
      </c>
      <c r="BK480">
        <v>0</v>
      </c>
      <c r="BL480">
        <v>0</v>
      </c>
      <c r="BO480">
        <v>0</v>
      </c>
      <c r="BP480">
        <v>0</v>
      </c>
      <c r="BW480" t="str">
        <f>"18:38:06.790"</f>
        <v>18:38:06.790</v>
      </c>
      <c r="BZ480">
        <v>0</v>
      </c>
      <c r="CA480">
        <v>3488</v>
      </c>
      <c r="CB480">
        <v>216</v>
      </c>
      <c r="CC480">
        <v>583.59379999999999</v>
      </c>
      <c r="CD480">
        <v>1</v>
      </c>
      <c r="CE480">
        <v>1</v>
      </c>
      <c r="CF480">
        <v>0</v>
      </c>
      <c r="CG480">
        <v>1</v>
      </c>
      <c r="CH480">
        <v>0</v>
      </c>
      <c r="CI480">
        <v>0</v>
      </c>
      <c r="CJ480">
        <v>0</v>
      </c>
      <c r="CK480">
        <v>2</v>
      </c>
      <c r="CL480">
        <v>0</v>
      </c>
      <c r="CM480">
        <v>2</v>
      </c>
      <c r="CN480">
        <v>0</v>
      </c>
      <c r="CO480">
        <v>5</v>
      </c>
      <c r="CP480" t="s">
        <v>119</v>
      </c>
      <c r="CQ480">
        <v>145</v>
      </c>
      <c r="CR480">
        <v>1</v>
      </c>
      <c r="CW480">
        <v>8924933</v>
      </c>
      <c r="CY480">
        <v>0</v>
      </c>
      <c r="CZ480">
        <v>0</v>
      </c>
      <c r="DA480">
        <v>1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</row>
    <row r="481" spans="1:113" x14ac:dyDescent="0.3">
      <c r="A481" t="str">
        <f>"02/13/2022 18:38:07.039"</f>
        <v>02/13/2022 18:38:07.039</v>
      </c>
      <c r="C481" t="str">
        <f t="shared" si="49"/>
        <v>FFDFD7C0</v>
      </c>
      <c r="D481" t="s">
        <v>121</v>
      </c>
      <c r="E481">
        <v>2</v>
      </c>
      <c r="H481">
        <v>158</v>
      </c>
      <c r="I481" t="s">
        <v>120</v>
      </c>
      <c r="J481" t="s">
        <v>122</v>
      </c>
      <c r="K481">
        <v>0</v>
      </c>
      <c r="L481">
        <v>3</v>
      </c>
      <c r="M481">
        <v>0</v>
      </c>
      <c r="N481">
        <v>2</v>
      </c>
      <c r="O481">
        <v>1</v>
      </c>
      <c r="P481">
        <v>0</v>
      </c>
      <c r="Q481">
        <v>0</v>
      </c>
      <c r="S481" t="str">
        <f t="shared" si="52"/>
        <v>18:38:06.789</v>
      </c>
      <c r="T481" t="str">
        <f t="shared" si="52"/>
        <v>18:38:06.789</v>
      </c>
      <c r="U481" t="str">
        <f t="shared" si="48"/>
        <v>AAB6EE</v>
      </c>
      <c r="V481">
        <v>0</v>
      </c>
      <c r="W481">
        <v>0</v>
      </c>
      <c r="X481">
        <v>4</v>
      </c>
      <c r="Z481">
        <v>0</v>
      </c>
      <c r="AA481">
        <v>8</v>
      </c>
      <c r="AB481">
        <v>3</v>
      </c>
      <c r="AC481">
        <v>0</v>
      </c>
      <c r="AD481">
        <v>10</v>
      </c>
      <c r="AE481">
        <v>0</v>
      </c>
      <c r="AF481">
        <v>0</v>
      </c>
      <c r="AG481">
        <v>1</v>
      </c>
      <c r="AH481">
        <v>1</v>
      </c>
      <c r="AI481" t="s">
        <v>441</v>
      </c>
      <c r="AJ481">
        <v>35.45449</v>
      </c>
      <c r="AK481" t="s">
        <v>442</v>
      </c>
      <c r="AL481">
        <v>-76.073971</v>
      </c>
      <c r="AM481">
        <v>25</v>
      </c>
      <c r="AN481">
        <v>3425</v>
      </c>
      <c r="AO481" t="s">
        <v>118</v>
      </c>
      <c r="AP481">
        <v>-95</v>
      </c>
      <c r="AQ481">
        <v>-193</v>
      </c>
      <c r="AR481">
        <v>0</v>
      </c>
      <c r="AZ481">
        <v>1200</v>
      </c>
      <c r="BA481">
        <v>1</v>
      </c>
      <c r="BB481" t="str">
        <f t="shared" si="50"/>
        <v xml:space="preserve">N79NX   </v>
      </c>
      <c r="BC481">
        <v>1</v>
      </c>
      <c r="BE481">
        <v>0</v>
      </c>
      <c r="BF481">
        <v>0</v>
      </c>
      <c r="BG481">
        <v>0</v>
      </c>
      <c r="BH481">
        <v>3275</v>
      </c>
      <c r="BI481">
        <v>0</v>
      </c>
      <c r="BJ481">
        <v>0</v>
      </c>
      <c r="BK481">
        <v>0</v>
      </c>
      <c r="BL481">
        <v>0</v>
      </c>
      <c r="BO481">
        <v>0</v>
      </c>
      <c r="BP481">
        <v>0</v>
      </c>
      <c r="BW481" t="str">
        <f>"18:38:06.790"</f>
        <v>18:38:06.790</v>
      </c>
      <c r="BZ481">
        <v>0</v>
      </c>
      <c r="CA481">
        <v>3488</v>
      </c>
      <c r="CB481">
        <v>216</v>
      </c>
      <c r="CC481">
        <v>583.59379999999999</v>
      </c>
      <c r="CD481">
        <v>1</v>
      </c>
      <c r="CE481">
        <v>1</v>
      </c>
      <c r="CF481">
        <v>0</v>
      </c>
      <c r="CG481">
        <v>1</v>
      </c>
      <c r="CH481">
        <v>0</v>
      </c>
      <c r="CI481">
        <v>0</v>
      </c>
      <c r="CJ481">
        <v>0</v>
      </c>
      <c r="CK481">
        <v>2</v>
      </c>
      <c r="CL481">
        <v>0</v>
      </c>
      <c r="CM481">
        <v>2</v>
      </c>
      <c r="CN481">
        <v>0</v>
      </c>
      <c r="CO481">
        <v>5</v>
      </c>
      <c r="CP481" t="s">
        <v>119</v>
      </c>
      <c r="CQ481">
        <v>145</v>
      </c>
      <c r="CR481">
        <v>1</v>
      </c>
      <c r="CW481">
        <v>8924933</v>
      </c>
      <c r="CY481">
        <v>0</v>
      </c>
      <c r="CZ481">
        <v>0</v>
      </c>
      <c r="DA481">
        <v>1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</row>
    <row r="482" spans="1:113" x14ac:dyDescent="0.3">
      <c r="A482" t="str">
        <f>"02/13/2022 18:38:08.024"</f>
        <v>02/13/2022 18:38:08.024</v>
      </c>
      <c r="C482" t="str">
        <f t="shared" si="49"/>
        <v>FFDFD7C0</v>
      </c>
      <c r="D482" t="s">
        <v>113</v>
      </c>
      <c r="E482">
        <v>3</v>
      </c>
      <c r="F482">
        <v>1003</v>
      </c>
      <c r="G482" t="s">
        <v>114</v>
      </c>
      <c r="J482" t="s">
        <v>115</v>
      </c>
      <c r="K482">
        <v>0</v>
      </c>
      <c r="L482">
        <v>3</v>
      </c>
      <c r="M482">
        <v>0</v>
      </c>
      <c r="N482">
        <v>2</v>
      </c>
      <c r="O482">
        <v>1</v>
      </c>
      <c r="P482">
        <v>0</v>
      </c>
      <c r="Q482">
        <v>0</v>
      </c>
      <c r="S482" t="str">
        <f>"18:38:07.758"</f>
        <v>18:38:07.758</v>
      </c>
      <c r="T482" t="str">
        <f>"18:38:07.358"</f>
        <v>18:38:07.358</v>
      </c>
      <c r="U482" t="str">
        <f t="shared" si="48"/>
        <v>AAB6EE</v>
      </c>
      <c r="V482">
        <v>0</v>
      </c>
      <c r="W482">
        <v>0</v>
      </c>
      <c r="X482">
        <v>4</v>
      </c>
      <c r="Z482">
        <v>0</v>
      </c>
      <c r="AA482">
        <v>8</v>
      </c>
      <c r="AB482">
        <v>3</v>
      </c>
      <c r="AC482">
        <v>0</v>
      </c>
      <c r="AD482">
        <v>10</v>
      </c>
      <c r="AE482">
        <v>0</v>
      </c>
      <c r="AF482">
        <v>0</v>
      </c>
      <c r="AG482">
        <v>1</v>
      </c>
      <c r="AH482">
        <v>1</v>
      </c>
      <c r="AI482" t="s">
        <v>443</v>
      </c>
      <c r="AJ482">
        <v>35.453609999999998</v>
      </c>
      <c r="AK482" t="s">
        <v>444</v>
      </c>
      <c r="AL482">
        <v>-76.074485999999993</v>
      </c>
      <c r="AM482">
        <v>25</v>
      </c>
      <c r="AN482">
        <v>3425</v>
      </c>
      <c r="AO482" t="s">
        <v>118</v>
      </c>
      <c r="AP482">
        <v>-96</v>
      </c>
      <c r="AQ482">
        <v>-193</v>
      </c>
      <c r="AR482">
        <v>0</v>
      </c>
      <c r="AZ482">
        <v>1200</v>
      </c>
      <c r="BA482">
        <v>1</v>
      </c>
      <c r="BB482" t="str">
        <f t="shared" si="50"/>
        <v xml:space="preserve">N79NX   </v>
      </c>
      <c r="BC482">
        <v>1</v>
      </c>
      <c r="BE482">
        <v>0</v>
      </c>
      <c r="BF482">
        <v>0</v>
      </c>
      <c r="BG482">
        <v>0</v>
      </c>
      <c r="BH482">
        <v>3275</v>
      </c>
      <c r="BI482">
        <v>0</v>
      </c>
      <c r="BJ482">
        <v>0</v>
      </c>
      <c r="BK482">
        <v>0</v>
      </c>
      <c r="BL482">
        <v>0</v>
      </c>
      <c r="BO482">
        <v>0</v>
      </c>
      <c r="BP482">
        <v>0</v>
      </c>
      <c r="BW482" t="str">
        <f>"18:38:07.760"</f>
        <v>18:38:07.760</v>
      </c>
      <c r="BZ482">
        <v>0</v>
      </c>
      <c r="CA482">
        <v>3488</v>
      </c>
      <c r="CB482">
        <v>216</v>
      </c>
      <c r="CC482">
        <v>583.59379999999999</v>
      </c>
      <c r="CD482">
        <v>1</v>
      </c>
      <c r="CE482">
        <v>1</v>
      </c>
      <c r="CF482">
        <v>0</v>
      </c>
      <c r="CG482">
        <v>1</v>
      </c>
      <c r="CH482">
        <v>0</v>
      </c>
      <c r="CI482">
        <v>0</v>
      </c>
      <c r="CJ482">
        <v>0</v>
      </c>
      <c r="CK482">
        <v>2</v>
      </c>
      <c r="CL482">
        <v>0</v>
      </c>
      <c r="CM482">
        <v>2</v>
      </c>
      <c r="CN482">
        <v>0</v>
      </c>
      <c r="CO482">
        <v>5</v>
      </c>
      <c r="CP482" t="s">
        <v>119</v>
      </c>
      <c r="CQ482">
        <v>145</v>
      </c>
      <c r="CR482">
        <v>1</v>
      </c>
      <c r="CW482">
        <v>8925424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</row>
    <row r="483" spans="1:113" x14ac:dyDescent="0.3">
      <c r="A483" t="str">
        <f>"02/13/2022 18:38:08.024"</f>
        <v>02/13/2022 18:38:08.024</v>
      </c>
      <c r="C483" t="str">
        <f t="shared" si="49"/>
        <v>FFDFD7C0</v>
      </c>
      <c r="D483" t="s">
        <v>113</v>
      </c>
      <c r="E483">
        <v>4</v>
      </c>
      <c r="F483">
        <v>1004</v>
      </c>
      <c r="G483" t="s">
        <v>120</v>
      </c>
      <c r="J483" t="s">
        <v>115</v>
      </c>
      <c r="K483">
        <v>0</v>
      </c>
      <c r="L483">
        <v>3</v>
      </c>
      <c r="M483">
        <v>0</v>
      </c>
      <c r="N483">
        <v>2</v>
      </c>
      <c r="O483">
        <v>1</v>
      </c>
      <c r="P483">
        <v>0</v>
      </c>
      <c r="Q483">
        <v>0</v>
      </c>
      <c r="S483" t="str">
        <f>"18:38:07.758"</f>
        <v>18:38:07.758</v>
      </c>
      <c r="T483" t="str">
        <f>"18:38:07.358"</f>
        <v>18:38:07.358</v>
      </c>
      <c r="U483" t="str">
        <f t="shared" si="48"/>
        <v>AAB6EE</v>
      </c>
      <c r="V483">
        <v>0</v>
      </c>
      <c r="W483">
        <v>0</v>
      </c>
      <c r="X483">
        <v>4</v>
      </c>
      <c r="Z483">
        <v>0</v>
      </c>
      <c r="AA483">
        <v>8</v>
      </c>
      <c r="AB483">
        <v>3</v>
      </c>
      <c r="AC483">
        <v>0</v>
      </c>
      <c r="AD483">
        <v>10</v>
      </c>
      <c r="AE483">
        <v>0</v>
      </c>
      <c r="AF483">
        <v>0</v>
      </c>
      <c r="AG483">
        <v>1</v>
      </c>
      <c r="AH483">
        <v>1</v>
      </c>
      <c r="AI483" t="s">
        <v>443</v>
      </c>
      <c r="AJ483">
        <v>35.453609999999998</v>
      </c>
      <c r="AK483" t="s">
        <v>444</v>
      </c>
      <c r="AL483">
        <v>-76.074485999999993</v>
      </c>
      <c r="AM483">
        <v>25</v>
      </c>
      <c r="AN483">
        <v>3425</v>
      </c>
      <c r="AO483" t="s">
        <v>118</v>
      </c>
      <c r="AP483">
        <v>-96</v>
      </c>
      <c r="AQ483">
        <v>-193</v>
      </c>
      <c r="AR483">
        <v>0</v>
      </c>
      <c r="AZ483">
        <v>1200</v>
      </c>
      <c r="BA483">
        <v>1</v>
      </c>
      <c r="BB483" t="str">
        <f t="shared" si="50"/>
        <v xml:space="preserve">N79NX   </v>
      </c>
      <c r="BC483">
        <v>1</v>
      </c>
      <c r="BE483">
        <v>0</v>
      </c>
      <c r="BF483">
        <v>0</v>
      </c>
      <c r="BG483">
        <v>0</v>
      </c>
      <c r="BH483">
        <v>3275</v>
      </c>
      <c r="BI483">
        <v>0</v>
      </c>
      <c r="BJ483">
        <v>0</v>
      </c>
      <c r="BK483">
        <v>0</v>
      </c>
      <c r="BL483">
        <v>0</v>
      </c>
      <c r="BO483">
        <v>0</v>
      </c>
      <c r="BP483">
        <v>0</v>
      </c>
      <c r="BW483" t="str">
        <f>"18:38:07.760"</f>
        <v>18:38:07.760</v>
      </c>
      <c r="BZ483">
        <v>0</v>
      </c>
      <c r="CA483">
        <v>3488</v>
      </c>
      <c r="CB483">
        <v>216</v>
      </c>
      <c r="CC483">
        <v>583.59379999999999</v>
      </c>
      <c r="CD483">
        <v>1</v>
      </c>
      <c r="CE483">
        <v>1</v>
      </c>
      <c r="CF483">
        <v>0</v>
      </c>
      <c r="CG483">
        <v>1</v>
      </c>
      <c r="CH483">
        <v>0</v>
      </c>
      <c r="CI483">
        <v>0</v>
      </c>
      <c r="CJ483">
        <v>0</v>
      </c>
      <c r="CK483">
        <v>2</v>
      </c>
      <c r="CL483">
        <v>0</v>
      </c>
      <c r="CM483">
        <v>2</v>
      </c>
      <c r="CN483">
        <v>0</v>
      </c>
      <c r="CO483">
        <v>5</v>
      </c>
      <c r="CP483" t="s">
        <v>119</v>
      </c>
      <c r="CQ483">
        <v>145</v>
      </c>
      <c r="CR483">
        <v>1</v>
      </c>
      <c r="CW483">
        <v>8925424</v>
      </c>
      <c r="CY483">
        <v>0</v>
      </c>
      <c r="CZ483">
        <v>0</v>
      </c>
      <c r="DA483">
        <v>1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</row>
    <row r="484" spans="1:113" x14ac:dyDescent="0.3">
      <c r="A484" t="str">
        <f>"02/13/2022 18:38:08.024"</f>
        <v>02/13/2022 18:38:08.024</v>
      </c>
      <c r="C484" t="str">
        <f t="shared" si="49"/>
        <v>FFDFD7C0</v>
      </c>
      <c r="D484" t="s">
        <v>121</v>
      </c>
      <c r="E484">
        <v>2</v>
      </c>
      <c r="H484">
        <v>158</v>
      </c>
      <c r="I484" t="s">
        <v>120</v>
      </c>
      <c r="J484" t="s">
        <v>122</v>
      </c>
      <c r="K484">
        <v>0</v>
      </c>
      <c r="L484">
        <v>3</v>
      </c>
      <c r="M484">
        <v>0</v>
      </c>
      <c r="N484">
        <v>2</v>
      </c>
      <c r="O484">
        <v>1</v>
      </c>
      <c r="P484">
        <v>0</v>
      </c>
      <c r="Q484">
        <v>0</v>
      </c>
      <c r="S484" t="str">
        <f>"18:38:07.758"</f>
        <v>18:38:07.758</v>
      </c>
      <c r="T484" t="str">
        <f>"18:38:07.358"</f>
        <v>18:38:07.358</v>
      </c>
      <c r="U484" t="str">
        <f t="shared" si="48"/>
        <v>AAB6EE</v>
      </c>
      <c r="V484">
        <v>0</v>
      </c>
      <c r="W484">
        <v>0</v>
      </c>
      <c r="X484">
        <v>4</v>
      </c>
      <c r="Z484">
        <v>0</v>
      </c>
      <c r="AA484">
        <v>8</v>
      </c>
      <c r="AB484">
        <v>3</v>
      </c>
      <c r="AC484">
        <v>0</v>
      </c>
      <c r="AD484">
        <v>10</v>
      </c>
      <c r="AE484">
        <v>0</v>
      </c>
      <c r="AF484">
        <v>0</v>
      </c>
      <c r="AG484">
        <v>1</v>
      </c>
      <c r="AH484">
        <v>1</v>
      </c>
      <c r="AI484" t="s">
        <v>443</v>
      </c>
      <c r="AJ484">
        <v>35.453609999999998</v>
      </c>
      <c r="AK484" t="s">
        <v>444</v>
      </c>
      <c r="AL484">
        <v>-76.074485999999993</v>
      </c>
      <c r="AM484">
        <v>25</v>
      </c>
      <c r="AN484">
        <v>3425</v>
      </c>
      <c r="AO484" t="s">
        <v>118</v>
      </c>
      <c r="AP484">
        <v>-96</v>
      </c>
      <c r="AQ484">
        <v>-193</v>
      </c>
      <c r="AR484">
        <v>0</v>
      </c>
      <c r="AZ484">
        <v>1200</v>
      </c>
      <c r="BA484">
        <v>1</v>
      </c>
      <c r="BB484" t="str">
        <f t="shared" si="50"/>
        <v xml:space="preserve">N79NX   </v>
      </c>
      <c r="BC484">
        <v>1</v>
      </c>
      <c r="BE484">
        <v>0</v>
      </c>
      <c r="BF484">
        <v>0</v>
      </c>
      <c r="BG484">
        <v>0</v>
      </c>
      <c r="BH484">
        <v>3275</v>
      </c>
      <c r="BI484">
        <v>0</v>
      </c>
      <c r="BJ484">
        <v>0</v>
      </c>
      <c r="BK484">
        <v>0</v>
      </c>
      <c r="BL484">
        <v>0</v>
      </c>
      <c r="BO484">
        <v>0</v>
      </c>
      <c r="BP484">
        <v>0</v>
      </c>
      <c r="BW484" t="str">
        <f>"18:38:07.760"</f>
        <v>18:38:07.760</v>
      </c>
      <c r="BZ484">
        <v>0</v>
      </c>
      <c r="CA484">
        <v>3488</v>
      </c>
      <c r="CB484">
        <v>216</v>
      </c>
      <c r="CC484">
        <v>583.59379999999999</v>
      </c>
      <c r="CD484">
        <v>1</v>
      </c>
      <c r="CE484">
        <v>1</v>
      </c>
      <c r="CF484">
        <v>0</v>
      </c>
      <c r="CG484">
        <v>1</v>
      </c>
      <c r="CH484">
        <v>0</v>
      </c>
      <c r="CI484">
        <v>0</v>
      </c>
      <c r="CJ484">
        <v>0</v>
      </c>
      <c r="CK484">
        <v>2</v>
      </c>
      <c r="CL484">
        <v>0</v>
      </c>
      <c r="CM484">
        <v>2</v>
      </c>
      <c r="CN484">
        <v>0</v>
      </c>
      <c r="CO484">
        <v>5</v>
      </c>
      <c r="CP484" t="s">
        <v>119</v>
      </c>
      <c r="CQ484">
        <v>145</v>
      </c>
      <c r="CR484">
        <v>1</v>
      </c>
      <c r="CW484">
        <v>8925424</v>
      </c>
      <c r="CY484">
        <v>0</v>
      </c>
      <c r="CZ484">
        <v>0</v>
      </c>
      <c r="DA484">
        <v>1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</row>
    <row r="485" spans="1:113" x14ac:dyDescent="0.3">
      <c r="A485" t="str">
        <f>"02/13/2022 18:38:09.118"</f>
        <v>02/13/2022 18:38:09.118</v>
      </c>
      <c r="C485" t="str">
        <f t="shared" si="49"/>
        <v>FFDFD7C0</v>
      </c>
      <c r="D485" t="s">
        <v>121</v>
      </c>
      <c r="E485">
        <v>2</v>
      </c>
      <c r="H485">
        <v>158</v>
      </c>
      <c r="I485" t="s">
        <v>120</v>
      </c>
      <c r="J485" t="s">
        <v>122</v>
      </c>
      <c r="K485">
        <v>0</v>
      </c>
      <c r="L485">
        <v>3</v>
      </c>
      <c r="M485">
        <v>0</v>
      </c>
      <c r="N485">
        <v>2</v>
      </c>
      <c r="O485">
        <v>1</v>
      </c>
      <c r="P485">
        <v>0</v>
      </c>
      <c r="Q485">
        <v>0</v>
      </c>
      <c r="S485" t="str">
        <f t="shared" ref="S485:T487" si="53">"18:38:08.914"</f>
        <v>18:38:08.914</v>
      </c>
      <c r="T485" t="str">
        <f t="shared" si="53"/>
        <v>18:38:08.914</v>
      </c>
      <c r="U485" t="str">
        <f t="shared" si="48"/>
        <v>AAB6EE</v>
      </c>
      <c r="V485">
        <v>0</v>
      </c>
      <c r="W485">
        <v>0</v>
      </c>
      <c r="X485">
        <v>4</v>
      </c>
      <c r="Z485">
        <v>0</v>
      </c>
      <c r="AA485">
        <v>8</v>
      </c>
      <c r="AB485">
        <v>3</v>
      </c>
      <c r="AC485">
        <v>0</v>
      </c>
      <c r="AD485">
        <v>10</v>
      </c>
      <c r="AE485">
        <v>0</v>
      </c>
      <c r="AF485">
        <v>0</v>
      </c>
      <c r="AG485">
        <v>1</v>
      </c>
      <c r="AH485">
        <v>1</v>
      </c>
      <c r="AI485" t="s">
        <v>445</v>
      </c>
      <c r="AJ485">
        <v>35.452516000000003</v>
      </c>
      <c r="AK485" t="s">
        <v>446</v>
      </c>
      <c r="AL485">
        <v>-76.075171999999995</v>
      </c>
      <c r="AM485">
        <v>25</v>
      </c>
      <c r="AN485">
        <v>3425</v>
      </c>
      <c r="AO485" t="s">
        <v>118</v>
      </c>
      <c r="AP485">
        <v>-96</v>
      </c>
      <c r="AQ485">
        <v>-193</v>
      </c>
      <c r="AR485">
        <v>0</v>
      </c>
      <c r="AZ485">
        <v>1200</v>
      </c>
      <c r="BA485">
        <v>1</v>
      </c>
      <c r="BB485" t="str">
        <f t="shared" si="50"/>
        <v xml:space="preserve">N79NX   </v>
      </c>
      <c r="BC485">
        <v>1</v>
      </c>
      <c r="BE485">
        <v>0</v>
      </c>
      <c r="BF485">
        <v>0</v>
      </c>
      <c r="BG485">
        <v>0</v>
      </c>
      <c r="BH485">
        <v>3300</v>
      </c>
      <c r="BI485">
        <v>0</v>
      </c>
      <c r="BJ485">
        <v>0</v>
      </c>
      <c r="BK485">
        <v>0</v>
      </c>
      <c r="BL485">
        <v>0</v>
      </c>
      <c r="BO485">
        <v>0</v>
      </c>
      <c r="BP485">
        <v>0</v>
      </c>
      <c r="BW485" t="str">
        <f>"18:38:08.920"</f>
        <v>18:38:08.920</v>
      </c>
      <c r="BZ485">
        <v>0</v>
      </c>
      <c r="CA485">
        <v>3488</v>
      </c>
      <c r="CB485">
        <v>216</v>
      </c>
      <c r="CC485">
        <v>583.59379999999999</v>
      </c>
      <c r="CD485">
        <v>1</v>
      </c>
      <c r="CE485">
        <v>1</v>
      </c>
      <c r="CF485">
        <v>0</v>
      </c>
      <c r="CG485">
        <v>1</v>
      </c>
      <c r="CH485">
        <v>0</v>
      </c>
      <c r="CI485">
        <v>0</v>
      </c>
      <c r="CJ485">
        <v>0</v>
      </c>
      <c r="CK485">
        <v>2</v>
      </c>
      <c r="CL485">
        <v>0</v>
      </c>
      <c r="CM485">
        <v>2</v>
      </c>
      <c r="CN485">
        <v>0</v>
      </c>
      <c r="CO485">
        <v>5</v>
      </c>
      <c r="CP485" t="s">
        <v>119</v>
      </c>
      <c r="CQ485">
        <v>145</v>
      </c>
      <c r="CR485">
        <v>1</v>
      </c>
      <c r="CW485">
        <v>8925891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</row>
    <row r="486" spans="1:113" x14ac:dyDescent="0.3">
      <c r="A486" t="str">
        <f>"02/13/2022 18:38:09.133"</f>
        <v>02/13/2022 18:38:09.133</v>
      </c>
      <c r="C486" t="str">
        <f t="shared" si="49"/>
        <v>FFDFD7C0</v>
      </c>
      <c r="D486" t="s">
        <v>113</v>
      </c>
      <c r="E486">
        <v>3</v>
      </c>
      <c r="F486">
        <v>1003</v>
      </c>
      <c r="G486" t="s">
        <v>114</v>
      </c>
      <c r="J486" t="s">
        <v>115</v>
      </c>
      <c r="K486">
        <v>0</v>
      </c>
      <c r="L486">
        <v>3</v>
      </c>
      <c r="M486">
        <v>0</v>
      </c>
      <c r="N486">
        <v>2</v>
      </c>
      <c r="O486">
        <v>1</v>
      </c>
      <c r="P486">
        <v>0</v>
      </c>
      <c r="Q486">
        <v>0</v>
      </c>
      <c r="S486" t="str">
        <f t="shared" si="53"/>
        <v>18:38:08.914</v>
      </c>
      <c r="T486" t="str">
        <f t="shared" si="53"/>
        <v>18:38:08.914</v>
      </c>
      <c r="U486" t="str">
        <f t="shared" si="48"/>
        <v>AAB6EE</v>
      </c>
      <c r="V486">
        <v>0</v>
      </c>
      <c r="W486">
        <v>0</v>
      </c>
      <c r="X486">
        <v>4</v>
      </c>
      <c r="Z486">
        <v>0</v>
      </c>
      <c r="AA486">
        <v>8</v>
      </c>
      <c r="AB486">
        <v>3</v>
      </c>
      <c r="AC486">
        <v>0</v>
      </c>
      <c r="AD486">
        <v>10</v>
      </c>
      <c r="AE486">
        <v>0</v>
      </c>
      <c r="AF486">
        <v>0</v>
      </c>
      <c r="AG486">
        <v>1</v>
      </c>
      <c r="AH486">
        <v>1</v>
      </c>
      <c r="AI486" t="s">
        <v>445</v>
      </c>
      <c r="AJ486">
        <v>35.452516000000003</v>
      </c>
      <c r="AK486" t="s">
        <v>446</v>
      </c>
      <c r="AL486">
        <v>-76.075171999999995</v>
      </c>
      <c r="AM486">
        <v>25</v>
      </c>
      <c r="AN486">
        <v>3425</v>
      </c>
      <c r="AO486" t="s">
        <v>118</v>
      </c>
      <c r="AP486">
        <v>-96</v>
      </c>
      <c r="AQ486">
        <v>-193</v>
      </c>
      <c r="AR486">
        <v>0</v>
      </c>
      <c r="AZ486">
        <v>1200</v>
      </c>
      <c r="BA486">
        <v>1</v>
      </c>
      <c r="BB486" t="str">
        <f t="shared" si="50"/>
        <v xml:space="preserve">N79NX   </v>
      </c>
      <c r="BC486">
        <v>1</v>
      </c>
      <c r="BE486">
        <v>0</v>
      </c>
      <c r="BF486">
        <v>0</v>
      </c>
      <c r="BG486">
        <v>0</v>
      </c>
      <c r="BH486">
        <v>3300</v>
      </c>
      <c r="BI486">
        <v>0</v>
      </c>
      <c r="BJ486">
        <v>0</v>
      </c>
      <c r="BK486">
        <v>0</v>
      </c>
      <c r="BL486">
        <v>0</v>
      </c>
      <c r="BO486">
        <v>0</v>
      </c>
      <c r="BP486">
        <v>0</v>
      </c>
      <c r="BW486" t="str">
        <f>"18:38:08.920"</f>
        <v>18:38:08.920</v>
      </c>
      <c r="BZ486">
        <v>0</v>
      </c>
      <c r="CA486">
        <v>3488</v>
      </c>
      <c r="CB486">
        <v>216</v>
      </c>
      <c r="CC486">
        <v>583.59379999999999</v>
      </c>
      <c r="CD486">
        <v>1</v>
      </c>
      <c r="CE486">
        <v>1</v>
      </c>
      <c r="CF486">
        <v>0</v>
      </c>
      <c r="CG486">
        <v>1</v>
      </c>
      <c r="CH486">
        <v>0</v>
      </c>
      <c r="CI486">
        <v>0</v>
      </c>
      <c r="CJ486">
        <v>0</v>
      </c>
      <c r="CK486">
        <v>2</v>
      </c>
      <c r="CL486">
        <v>0</v>
      </c>
      <c r="CM486">
        <v>2</v>
      </c>
      <c r="CN486">
        <v>0</v>
      </c>
      <c r="CO486">
        <v>5</v>
      </c>
      <c r="CP486" t="s">
        <v>119</v>
      </c>
      <c r="CQ486">
        <v>145</v>
      </c>
      <c r="CR486">
        <v>1</v>
      </c>
      <c r="CW486">
        <v>8925891</v>
      </c>
      <c r="CY486">
        <v>0</v>
      </c>
      <c r="CZ486">
        <v>0</v>
      </c>
      <c r="DA486">
        <v>1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</row>
    <row r="487" spans="1:113" x14ac:dyDescent="0.3">
      <c r="A487" t="str">
        <f>"02/13/2022 18:38:09.133"</f>
        <v>02/13/2022 18:38:09.133</v>
      </c>
      <c r="C487" t="str">
        <f t="shared" si="49"/>
        <v>FFDFD7C0</v>
      </c>
      <c r="D487" t="s">
        <v>113</v>
      </c>
      <c r="E487">
        <v>4</v>
      </c>
      <c r="F487">
        <v>1004</v>
      </c>
      <c r="G487" t="s">
        <v>120</v>
      </c>
      <c r="J487" t="s">
        <v>115</v>
      </c>
      <c r="K487">
        <v>0</v>
      </c>
      <c r="L487">
        <v>3</v>
      </c>
      <c r="M487">
        <v>0</v>
      </c>
      <c r="N487">
        <v>2</v>
      </c>
      <c r="O487">
        <v>1</v>
      </c>
      <c r="P487">
        <v>0</v>
      </c>
      <c r="Q487">
        <v>0</v>
      </c>
      <c r="S487" t="str">
        <f t="shared" si="53"/>
        <v>18:38:08.914</v>
      </c>
      <c r="T487" t="str">
        <f t="shared" si="53"/>
        <v>18:38:08.914</v>
      </c>
      <c r="U487" t="str">
        <f t="shared" si="48"/>
        <v>AAB6EE</v>
      </c>
      <c r="V487">
        <v>0</v>
      </c>
      <c r="W487">
        <v>0</v>
      </c>
      <c r="X487">
        <v>4</v>
      </c>
      <c r="Z487">
        <v>0</v>
      </c>
      <c r="AA487">
        <v>8</v>
      </c>
      <c r="AB487">
        <v>3</v>
      </c>
      <c r="AC487">
        <v>0</v>
      </c>
      <c r="AD487">
        <v>10</v>
      </c>
      <c r="AE487">
        <v>0</v>
      </c>
      <c r="AF487">
        <v>0</v>
      </c>
      <c r="AG487">
        <v>1</v>
      </c>
      <c r="AH487">
        <v>1</v>
      </c>
      <c r="AI487" t="s">
        <v>445</v>
      </c>
      <c r="AJ487">
        <v>35.452516000000003</v>
      </c>
      <c r="AK487" t="s">
        <v>446</v>
      </c>
      <c r="AL487">
        <v>-76.075171999999995</v>
      </c>
      <c r="AM487">
        <v>25</v>
      </c>
      <c r="AN487">
        <v>3425</v>
      </c>
      <c r="AO487" t="s">
        <v>118</v>
      </c>
      <c r="AP487">
        <v>-96</v>
      </c>
      <c r="AQ487">
        <v>-193</v>
      </c>
      <c r="AR487">
        <v>0</v>
      </c>
      <c r="AZ487">
        <v>1200</v>
      </c>
      <c r="BA487">
        <v>1</v>
      </c>
      <c r="BB487" t="str">
        <f t="shared" si="50"/>
        <v xml:space="preserve">N79NX   </v>
      </c>
      <c r="BC487">
        <v>1</v>
      </c>
      <c r="BE487">
        <v>0</v>
      </c>
      <c r="BF487">
        <v>0</v>
      </c>
      <c r="BG487">
        <v>0</v>
      </c>
      <c r="BH487">
        <v>3300</v>
      </c>
      <c r="BI487">
        <v>0</v>
      </c>
      <c r="BJ487">
        <v>0</v>
      </c>
      <c r="BK487">
        <v>0</v>
      </c>
      <c r="BL487">
        <v>0</v>
      </c>
      <c r="BO487">
        <v>0</v>
      </c>
      <c r="BP487">
        <v>0</v>
      </c>
      <c r="BW487" t="str">
        <f>"18:38:08.920"</f>
        <v>18:38:08.920</v>
      </c>
      <c r="BZ487">
        <v>0</v>
      </c>
      <c r="CA487">
        <v>3488</v>
      </c>
      <c r="CB487">
        <v>216</v>
      </c>
      <c r="CC487">
        <v>583.59379999999999</v>
      </c>
      <c r="CD487">
        <v>1</v>
      </c>
      <c r="CE487">
        <v>1</v>
      </c>
      <c r="CF487">
        <v>0</v>
      </c>
      <c r="CG487">
        <v>1</v>
      </c>
      <c r="CH487">
        <v>0</v>
      </c>
      <c r="CI487">
        <v>0</v>
      </c>
      <c r="CJ487">
        <v>0</v>
      </c>
      <c r="CK487">
        <v>2</v>
      </c>
      <c r="CL487">
        <v>0</v>
      </c>
      <c r="CM487">
        <v>2</v>
      </c>
      <c r="CN487">
        <v>0</v>
      </c>
      <c r="CO487">
        <v>5</v>
      </c>
      <c r="CP487" t="s">
        <v>119</v>
      </c>
      <c r="CQ487">
        <v>145</v>
      </c>
      <c r="CR487">
        <v>1</v>
      </c>
      <c r="CW487">
        <v>8925891</v>
      </c>
      <c r="CY487">
        <v>0</v>
      </c>
      <c r="CZ487">
        <v>0</v>
      </c>
      <c r="DA487">
        <v>1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</row>
    <row r="488" spans="1:113" x14ac:dyDescent="0.3">
      <c r="A488" t="str">
        <f>"02/13/2022 18:38:10.198"</f>
        <v>02/13/2022 18:38:10.198</v>
      </c>
      <c r="C488" t="str">
        <f t="shared" si="49"/>
        <v>FFDFD7C0</v>
      </c>
      <c r="D488" t="s">
        <v>121</v>
      </c>
      <c r="E488">
        <v>2</v>
      </c>
      <c r="H488">
        <v>158</v>
      </c>
      <c r="I488" t="s">
        <v>120</v>
      </c>
      <c r="J488" t="s">
        <v>122</v>
      </c>
      <c r="K488">
        <v>0</v>
      </c>
      <c r="L488">
        <v>3</v>
      </c>
      <c r="M488">
        <v>0</v>
      </c>
      <c r="N488">
        <v>2</v>
      </c>
      <c r="O488">
        <v>1</v>
      </c>
      <c r="P488">
        <v>0</v>
      </c>
      <c r="Q488">
        <v>0</v>
      </c>
      <c r="S488" t="str">
        <f>"18:38:10.000"</f>
        <v>18:38:10.000</v>
      </c>
      <c r="T488" t="str">
        <f>"18:38:09.800"</f>
        <v>18:38:09.800</v>
      </c>
      <c r="U488" t="str">
        <f t="shared" si="48"/>
        <v>AAB6EE</v>
      </c>
      <c r="V488">
        <v>0</v>
      </c>
      <c r="W488">
        <v>0</v>
      </c>
      <c r="X488">
        <v>4</v>
      </c>
      <c r="Z488">
        <v>0</v>
      </c>
      <c r="AA488">
        <v>8</v>
      </c>
      <c r="AB488">
        <v>3</v>
      </c>
      <c r="AC488">
        <v>0</v>
      </c>
      <c r="AD488">
        <v>10</v>
      </c>
      <c r="AE488">
        <v>0</v>
      </c>
      <c r="AF488">
        <v>0</v>
      </c>
      <c r="AG488">
        <v>1</v>
      </c>
      <c r="AH488">
        <v>1</v>
      </c>
      <c r="AI488" t="s">
        <v>447</v>
      </c>
      <c r="AJ488">
        <v>35.451636000000001</v>
      </c>
      <c r="AK488" t="s">
        <v>448</v>
      </c>
      <c r="AL488">
        <v>-76.075687000000002</v>
      </c>
      <c r="AM488">
        <v>25</v>
      </c>
      <c r="AN488">
        <v>3425</v>
      </c>
      <c r="AO488" t="s">
        <v>118</v>
      </c>
      <c r="AP488">
        <v>-96</v>
      </c>
      <c r="AQ488">
        <v>-193</v>
      </c>
      <c r="AR488">
        <v>0</v>
      </c>
      <c r="AZ488">
        <v>1200</v>
      </c>
      <c r="BA488">
        <v>1</v>
      </c>
      <c r="BB488" t="str">
        <f t="shared" si="50"/>
        <v xml:space="preserve">N79NX   </v>
      </c>
      <c r="BC488">
        <v>1</v>
      </c>
      <c r="BE488">
        <v>0</v>
      </c>
      <c r="BF488">
        <v>0</v>
      </c>
      <c r="BG488">
        <v>0</v>
      </c>
      <c r="BH488">
        <v>3275</v>
      </c>
      <c r="BI488">
        <v>0</v>
      </c>
      <c r="BJ488">
        <v>0</v>
      </c>
      <c r="BK488">
        <v>0</v>
      </c>
      <c r="BL488">
        <v>0</v>
      </c>
      <c r="BO488">
        <v>0</v>
      </c>
      <c r="BP488">
        <v>0</v>
      </c>
      <c r="BW488" t="str">
        <f>"18:38:10.001"</f>
        <v>18:38:10.001</v>
      </c>
      <c r="BZ488">
        <v>0</v>
      </c>
      <c r="CA488">
        <v>3488</v>
      </c>
      <c r="CB488">
        <v>216</v>
      </c>
      <c r="CC488">
        <v>583.59379999999999</v>
      </c>
      <c r="CD488">
        <v>1</v>
      </c>
      <c r="CE488">
        <v>1</v>
      </c>
      <c r="CF488">
        <v>0</v>
      </c>
      <c r="CG488">
        <v>1</v>
      </c>
      <c r="CH488">
        <v>0</v>
      </c>
      <c r="CI488">
        <v>0</v>
      </c>
      <c r="CJ488">
        <v>0</v>
      </c>
      <c r="CK488">
        <v>2</v>
      </c>
      <c r="CL488">
        <v>0</v>
      </c>
      <c r="CM488">
        <v>2</v>
      </c>
      <c r="CN488">
        <v>0</v>
      </c>
      <c r="CO488">
        <v>5</v>
      </c>
      <c r="CP488" t="s">
        <v>119</v>
      </c>
      <c r="CQ488">
        <v>145</v>
      </c>
      <c r="CR488">
        <v>1</v>
      </c>
      <c r="CW488">
        <v>8926385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</row>
    <row r="489" spans="1:113" x14ac:dyDescent="0.3">
      <c r="A489" t="str">
        <f>"02/13/2022 18:38:10.198"</f>
        <v>02/13/2022 18:38:10.198</v>
      </c>
      <c r="C489" t="str">
        <f t="shared" si="49"/>
        <v>FFDFD7C0</v>
      </c>
      <c r="D489" t="s">
        <v>113</v>
      </c>
      <c r="E489">
        <v>4</v>
      </c>
      <c r="F489">
        <v>1004</v>
      </c>
      <c r="G489" t="s">
        <v>120</v>
      </c>
      <c r="J489" t="s">
        <v>115</v>
      </c>
      <c r="K489">
        <v>0</v>
      </c>
      <c r="L489">
        <v>3</v>
      </c>
      <c r="M489">
        <v>0</v>
      </c>
      <c r="N489">
        <v>2</v>
      </c>
      <c r="O489">
        <v>1</v>
      </c>
      <c r="P489">
        <v>0</v>
      </c>
      <c r="Q489">
        <v>0</v>
      </c>
      <c r="S489" t="str">
        <f>"18:38:10.000"</f>
        <v>18:38:10.000</v>
      </c>
      <c r="T489" t="str">
        <f>"18:38:09.800"</f>
        <v>18:38:09.800</v>
      </c>
      <c r="U489" t="str">
        <f t="shared" si="48"/>
        <v>AAB6EE</v>
      </c>
      <c r="V489">
        <v>0</v>
      </c>
      <c r="W489">
        <v>0</v>
      </c>
      <c r="X489">
        <v>4</v>
      </c>
      <c r="Z489">
        <v>0</v>
      </c>
      <c r="AA489">
        <v>8</v>
      </c>
      <c r="AB489">
        <v>3</v>
      </c>
      <c r="AC489">
        <v>0</v>
      </c>
      <c r="AD489">
        <v>10</v>
      </c>
      <c r="AE489">
        <v>0</v>
      </c>
      <c r="AF489">
        <v>0</v>
      </c>
      <c r="AG489">
        <v>1</v>
      </c>
      <c r="AH489">
        <v>1</v>
      </c>
      <c r="AI489" t="s">
        <v>447</v>
      </c>
      <c r="AJ489">
        <v>35.451636000000001</v>
      </c>
      <c r="AK489" t="s">
        <v>448</v>
      </c>
      <c r="AL489">
        <v>-76.075687000000002</v>
      </c>
      <c r="AM489">
        <v>25</v>
      </c>
      <c r="AN489">
        <v>3425</v>
      </c>
      <c r="AO489" t="s">
        <v>118</v>
      </c>
      <c r="AP489">
        <v>-96</v>
      </c>
      <c r="AQ489">
        <v>-193</v>
      </c>
      <c r="AR489">
        <v>0</v>
      </c>
      <c r="AZ489">
        <v>1200</v>
      </c>
      <c r="BA489">
        <v>1</v>
      </c>
      <c r="BB489" t="str">
        <f t="shared" si="50"/>
        <v xml:space="preserve">N79NX   </v>
      </c>
      <c r="BC489">
        <v>1</v>
      </c>
      <c r="BE489">
        <v>0</v>
      </c>
      <c r="BF489">
        <v>0</v>
      </c>
      <c r="BG489">
        <v>0</v>
      </c>
      <c r="BH489">
        <v>3275</v>
      </c>
      <c r="BI489">
        <v>0</v>
      </c>
      <c r="BJ489">
        <v>0</v>
      </c>
      <c r="BK489">
        <v>0</v>
      </c>
      <c r="BL489">
        <v>0</v>
      </c>
      <c r="BO489">
        <v>0</v>
      </c>
      <c r="BP489">
        <v>0</v>
      </c>
      <c r="BW489" t="str">
        <f>"18:38:10.001"</f>
        <v>18:38:10.001</v>
      </c>
      <c r="BZ489">
        <v>0</v>
      </c>
      <c r="CA489">
        <v>3488</v>
      </c>
      <c r="CB489">
        <v>216</v>
      </c>
      <c r="CC489">
        <v>583.59379999999999</v>
      </c>
      <c r="CD489">
        <v>1</v>
      </c>
      <c r="CE489">
        <v>1</v>
      </c>
      <c r="CF489">
        <v>0</v>
      </c>
      <c r="CG489">
        <v>1</v>
      </c>
      <c r="CH489">
        <v>0</v>
      </c>
      <c r="CI489">
        <v>0</v>
      </c>
      <c r="CJ489">
        <v>0</v>
      </c>
      <c r="CK489">
        <v>2</v>
      </c>
      <c r="CL489">
        <v>0</v>
      </c>
      <c r="CM489">
        <v>2</v>
      </c>
      <c r="CN489">
        <v>0</v>
      </c>
      <c r="CO489">
        <v>5</v>
      </c>
      <c r="CP489" t="s">
        <v>119</v>
      </c>
      <c r="CQ489">
        <v>145</v>
      </c>
      <c r="CR489">
        <v>1</v>
      </c>
      <c r="CW489">
        <v>8926385</v>
      </c>
      <c r="CY489">
        <v>0</v>
      </c>
      <c r="CZ489">
        <v>0</v>
      </c>
      <c r="DA489">
        <v>1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</row>
    <row r="490" spans="1:113" x14ac:dyDescent="0.3">
      <c r="A490" t="str">
        <f>"02/13/2022 18:38:10.198"</f>
        <v>02/13/2022 18:38:10.198</v>
      </c>
      <c r="C490" t="str">
        <f t="shared" si="49"/>
        <v>FFDFD7C0</v>
      </c>
      <c r="D490" t="s">
        <v>113</v>
      </c>
      <c r="E490">
        <v>3</v>
      </c>
      <c r="F490">
        <v>1003</v>
      </c>
      <c r="G490" t="s">
        <v>114</v>
      </c>
      <c r="J490" t="s">
        <v>115</v>
      </c>
      <c r="K490">
        <v>0</v>
      </c>
      <c r="L490">
        <v>3</v>
      </c>
      <c r="M490">
        <v>0</v>
      </c>
      <c r="N490">
        <v>2</v>
      </c>
      <c r="O490">
        <v>1</v>
      </c>
      <c r="P490">
        <v>0</v>
      </c>
      <c r="Q490">
        <v>0</v>
      </c>
      <c r="S490" t="str">
        <f>"18:38:10.000"</f>
        <v>18:38:10.000</v>
      </c>
      <c r="T490" t="str">
        <f>"18:38:09.800"</f>
        <v>18:38:09.800</v>
      </c>
      <c r="U490" t="str">
        <f t="shared" si="48"/>
        <v>AAB6EE</v>
      </c>
      <c r="V490">
        <v>0</v>
      </c>
      <c r="W490">
        <v>0</v>
      </c>
      <c r="X490">
        <v>4</v>
      </c>
      <c r="Z490">
        <v>0</v>
      </c>
      <c r="AA490">
        <v>8</v>
      </c>
      <c r="AB490">
        <v>3</v>
      </c>
      <c r="AC490">
        <v>0</v>
      </c>
      <c r="AD490">
        <v>10</v>
      </c>
      <c r="AE490">
        <v>0</v>
      </c>
      <c r="AF490">
        <v>0</v>
      </c>
      <c r="AG490">
        <v>1</v>
      </c>
      <c r="AH490">
        <v>1</v>
      </c>
      <c r="AI490" t="s">
        <v>447</v>
      </c>
      <c r="AJ490">
        <v>35.451636000000001</v>
      </c>
      <c r="AK490" t="s">
        <v>448</v>
      </c>
      <c r="AL490">
        <v>-76.075687000000002</v>
      </c>
      <c r="AM490">
        <v>25</v>
      </c>
      <c r="AN490">
        <v>3425</v>
      </c>
      <c r="AO490" t="s">
        <v>118</v>
      </c>
      <c r="AP490">
        <v>-96</v>
      </c>
      <c r="AQ490">
        <v>-193</v>
      </c>
      <c r="AR490">
        <v>0</v>
      </c>
      <c r="AZ490">
        <v>1200</v>
      </c>
      <c r="BA490">
        <v>1</v>
      </c>
      <c r="BB490" t="str">
        <f t="shared" si="50"/>
        <v xml:space="preserve">N79NX   </v>
      </c>
      <c r="BC490">
        <v>1</v>
      </c>
      <c r="BE490">
        <v>0</v>
      </c>
      <c r="BF490">
        <v>0</v>
      </c>
      <c r="BG490">
        <v>0</v>
      </c>
      <c r="BH490">
        <v>3275</v>
      </c>
      <c r="BI490">
        <v>0</v>
      </c>
      <c r="BJ490">
        <v>0</v>
      </c>
      <c r="BK490">
        <v>0</v>
      </c>
      <c r="BL490">
        <v>0</v>
      </c>
      <c r="BO490">
        <v>0</v>
      </c>
      <c r="BP490">
        <v>0</v>
      </c>
      <c r="BW490" t="str">
        <f>"18:38:10.001"</f>
        <v>18:38:10.001</v>
      </c>
      <c r="BZ490">
        <v>0</v>
      </c>
      <c r="CA490">
        <v>3488</v>
      </c>
      <c r="CB490">
        <v>216</v>
      </c>
      <c r="CC490">
        <v>583.59379999999999</v>
      </c>
      <c r="CD490">
        <v>1</v>
      </c>
      <c r="CE490">
        <v>1</v>
      </c>
      <c r="CF490">
        <v>0</v>
      </c>
      <c r="CG490">
        <v>1</v>
      </c>
      <c r="CH490">
        <v>0</v>
      </c>
      <c r="CI490">
        <v>0</v>
      </c>
      <c r="CJ490">
        <v>0</v>
      </c>
      <c r="CK490">
        <v>2</v>
      </c>
      <c r="CL490">
        <v>0</v>
      </c>
      <c r="CM490">
        <v>2</v>
      </c>
      <c r="CN490">
        <v>0</v>
      </c>
      <c r="CO490">
        <v>5</v>
      </c>
      <c r="CP490" t="s">
        <v>119</v>
      </c>
      <c r="CQ490">
        <v>145</v>
      </c>
      <c r="CR490">
        <v>1</v>
      </c>
      <c r="CW490">
        <v>8926385</v>
      </c>
      <c r="CY490">
        <v>0</v>
      </c>
      <c r="CZ490">
        <v>0</v>
      </c>
      <c r="DA490">
        <v>1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</row>
    <row r="491" spans="1:113" x14ac:dyDescent="0.3">
      <c r="A491" t="str">
        <f>"02/13/2022 18:38:11.137"</f>
        <v>02/13/2022 18:38:11.137</v>
      </c>
      <c r="C491" t="str">
        <f t="shared" si="49"/>
        <v>FFDFD7C0</v>
      </c>
      <c r="D491" t="s">
        <v>121</v>
      </c>
      <c r="E491">
        <v>2</v>
      </c>
      <c r="H491">
        <v>158</v>
      </c>
      <c r="I491" t="s">
        <v>120</v>
      </c>
      <c r="J491" t="s">
        <v>122</v>
      </c>
      <c r="K491">
        <v>0</v>
      </c>
      <c r="L491">
        <v>3</v>
      </c>
      <c r="M491">
        <v>0</v>
      </c>
      <c r="N491">
        <v>2</v>
      </c>
      <c r="O491">
        <v>1</v>
      </c>
      <c r="P491">
        <v>0</v>
      </c>
      <c r="Q491">
        <v>0</v>
      </c>
      <c r="S491" t="str">
        <f>"18:38:10.937"</f>
        <v>18:38:10.937</v>
      </c>
      <c r="T491" t="str">
        <f>"18:38:10.738"</f>
        <v>18:38:10.738</v>
      </c>
      <c r="U491" t="str">
        <f t="shared" si="48"/>
        <v>AAB6EE</v>
      </c>
      <c r="V491">
        <v>0</v>
      </c>
      <c r="W491">
        <v>0</v>
      </c>
      <c r="X491">
        <v>4</v>
      </c>
      <c r="Z491">
        <v>0</v>
      </c>
      <c r="AA491">
        <v>8</v>
      </c>
      <c r="AB491">
        <v>3</v>
      </c>
      <c r="AC491">
        <v>0</v>
      </c>
      <c r="AD491">
        <v>10</v>
      </c>
      <c r="AE491">
        <v>0</v>
      </c>
      <c r="AF491">
        <v>0</v>
      </c>
      <c r="AG491">
        <v>1</v>
      </c>
      <c r="AH491">
        <v>1</v>
      </c>
      <c r="AI491" t="s">
        <v>449</v>
      </c>
      <c r="AJ491">
        <v>35.450735000000002</v>
      </c>
      <c r="AK491" t="s">
        <v>450</v>
      </c>
      <c r="AL491">
        <v>-76.076267000000001</v>
      </c>
      <c r="AM491">
        <v>25</v>
      </c>
      <c r="AN491">
        <v>3425</v>
      </c>
      <c r="AO491" t="s">
        <v>118</v>
      </c>
      <c r="AP491">
        <v>-96</v>
      </c>
      <c r="AQ491">
        <v>-193</v>
      </c>
      <c r="AR491">
        <v>0</v>
      </c>
      <c r="AZ491">
        <v>1200</v>
      </c>
      <c r="BA491">
        <v>1</v>
      </c>
      <c r="BB491" t="str">
        <f t="shared" si="50"/>
        <v xml:space="preserve">N79NX   </v>
      </c>
      <c r="BC491">
        <v>1</v>
      </c>
      <c r="BE491">
        <v>0</v>
      </c>
      <c r="BF491">
        <v>0</v>
      </c>
      <c r="BG491">
        <v>0</v>
      </c>
      <c r="BH491">
        <v>3300</v>
      </c>
      <c r="BI491">
        <v>0</v>
      </c>
      <c r="BJ491">
        <v>0</v>
      </c>
      <c r="BK491">
        <v>0</v>
      </c>
      <c r="BL491">
        <v>0</v>
      </c>
      <c r="BO491">
        <v>0</v>
      </c>
      <c r="BP491">
        <v>0</v>
      </c>
      <c r="BW491" t="str">
        <f>"18:38:10.940"</f>
        <v>18:38:10.940</v>
      </c>
      <c r="BZ491">
        <v>0</v>
      </c>
      <c r="CA491">
        <v>3488</v>
      </c>
      <c r="CB491">
        <v>216</v>
      </c>
      <c r="CC491">
        <v>583.59379999999999</v>
      </c>
      <c r="CD491">
        <v>1</v>
      </c>
      <c r="CE491">
        <v>1</v>
      </c>
      <c r="CF491">
        <v>0</v>
      </c>
      <c r="CG491">
        <v>1</v>
      </c>
      <c r="CH491">
        <v>0</v>
      </c>
      <c r="CI491">
        <v>0</v>
      </c>
      <c r="CJ491">
        <v>0</v>
      </c>
      <c r="CK491">
        <v>2</v>
      </c>
      <c r="CL491">
        <v>0</v>
      </c>
      <c r="CM491">
        <v>2</v>
      </c>
      <c r="CN491">
        <v>0</v>
      </c>
      <c r="CO491">
        <v>5</v>
      </c>
      <c r="CP491" t="s">
        <v>119</v>
      </c>
      <c r="CQ491">
        <v>145</v>
      </c>
      <c r="CR491">
        <v>1</v>
      </c>
      <c r="CW491">
        <v>8926859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</row>
    <row r="492" spans="1:113" x14ac:dyDescent="0.3">
      <c r="A492" t="str">
        <f>"02/13/2022 18:38:11.152"</f>
        <v>02/13/2022 18:38:11.152</v>
      </c>
      <c r="C492" t="str">
        <f t="shared" si="49"/>
        <v>FFDFD7C0</v>
      </c>
      <c r="D492" t="s">
        <v>113</v>
      </c>
      <c r="E492">
        <v>4</v>
      </c>
      <c r="F492">
        <v>1004</v>
      </c>
      <c r="G492" t="s">
        <v>120</v>
      </c>
      <c r="J492" t="s">
        <v>115</v>
      </c>
      <c r="K492">
        <v>0</v>
      </c>
      <c r="L492">
        <v>3</v>
      </c>
      <c r="M492">
        <v>0</v>
      </c>
      <c r="N492">
        <v>2</v>
      </c>
      <c r="O492">
        <v>1</v>
      </c>
      <c r="P492">
        <v>0</v>
      </c>
      <c r="Q492">
        <v>0</v>
      </c>
      <c r="S492" t="str">
        <f>"18:38:10.937"</f>
        <v>18:38:10.937</v>
      </c>
      <c r="T492" t="str">
        <f>"18:38:10.738"</f>
        <v>18:38:10.738</v>
      </c>
      <c r="U492" t="str">
        <f t="shared" si="48"/>
        <v>AAB6EE</v>
      </c>
      <c r="V492">
        <v>0</v>
      </c>
      <c r="W492">
        <v>0</v>
      </c>
      <c r="X492">
        <v>4</v>
      </c>
      <c r="Z492">
        <v>0</v>
      </c>
      <c r="AA492">
        <v>8</v>
      </c>
      <c r="AB492">
        <v>3</v>
      </c>
      <c r="AC492">
        <v>0</v>
      </c>
      <c r="AD492">
        <v>10</v>
      </c>
      <c r="AE492">
        <v>0</v>
      </c>
      <c r="AF492">
        <v>0</v>
      </c>
      <c r="AG492">
        <v>1</v>
      </c>
      <c r="AH492">
        <v>1</v>
      </c>
      <c r="AI492" t="s">
        <v>449</v>
      </c>
      <c r="AJ492">
        <v>35.450735000000002</v>
      </c>
      <c r="AK492" t="s">
        <v>450</v>
      </c>
      <c r="AL492">
        <v>-76.076267000000001</v>
      </c>
      <c r="AM492">
        <v>25</v>
      </c>
      <c r="AN492">
        <v>3425</v>
      </c>
      <c r="AO492" t="s">
        <v>118</v>
      </c>
      <c r="AP492">
        <v>-96</v>
      </c>
      <c r="AQ492">
        <v>-193</v>
      </c>
      <c r="AR492">
        <v>0</v>
      </c>
      <c r="AZ492">
        <v>1200</v>
      </c>
      <c r="BA492">
        <v>1</v>
      </c>
      <c r="BB492" t="str">
        <f t="shared" si="50"/>
        <v xml:space="preserve">N79NX   </v>
      </c>
      <c r="BC492">
        <v>1</v>
      </c>
      <c r="BE492">
        <v>0</v>
      </c>
      <c r="BF492">
        <v>0</v>
      </c>
      <c r="BG492">
        <v>0</v>
      </c>
      <c r="BH492">
        <v>3300</v>
      </c>
      <c r="BI492">
        <v>0</v>
      </c>
      <c r="BJ492">
        <v>0</v>
      </c>
      <c r="BK492">
        <v>0</v>
      </c>
      <c r="BL492">
        <v>0</v>
      </c>
      <c r="BO492">
        <v>0</v>
      </c>
      <c r="BP492">
        <v>0</v>
      </c>
      <c r="BW492" t="str">
        <f>"18:38:10.940"</f>
        <v>18:38:10.940</v>
      </c>
      <c r="BZ492">
        <v>0</v>
      </c>
      <c r="CA492">
        <v>3488</v>
      </c>
      <c r="CB492">
        <v>216</v>
      </c>
      <c r="CC492">
        <v>583.59379999999999</v>
      </c>
      <c r="CD492">
        <v>1</v>
      </c>
      <c r="CE492">
        <v>1</v>
      </c>
      <c r="CF492">
        <v>0</v>
      </c>
      <c r="CG492">
        <v>1</v>
      </c>
      <c r="CH492">
        <v>0</v>
      </c>
      <c r="CI492">
        <v>0</v>
      </c>
      <c r="CJ492">
        <v>0</v>
      </c>
      <c r="CK492">
        <v>2</v>
      </c>
      <c r="CL492">
        <v>0</v>
      </c>
      <c r="CM492">
        <v>2</v>
      </c>
      <c r="CN492">
        <v>0</v>
      </c>
      <c r="CO492">
        <v>5</v>
      </c>
      <c r="CP492" t="s">
        <v>119</v>
      </c>
      <c r="CQ492">
        <v>145</v>
      </c>
      <c r="CR492">
        <v>1</v>
      </c>
      <c r="CW492">
        <v>8926859</v>
      </c>
      <c r="CY492">
        <v>0</v>
      </c>
      <c r="CZ492">
        <v>0</v>
      </c>
      <c r="DA492">
        <v>1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</row>
    <row r="493" spans="1:113" x14ac:dyDescent="0.3">
      <c r="A493" t="str">
        <f>"02/13/2022 18:38:11.199"</f>
        <v>02/13/2022 18:38:11.199</v>
      </c>
      <c r="C493" t="str">
        <f t="shared" si="49"/>
        <v>FFDFD7C0</v>
      </c>
      <c r="D493" t="s">
        <v>113</v>
      </c>
      <c r="E493">
        <v>3</v>
      </c>
      <c r="F493">
        <v>1003</v>
      </c>
      <c r="G493" t="s">
        <v>114</v>
      </c>
      <c r="J493" t="s">
        <v>115</v>
      </c>
      <c r="K493">
        <v>0</v>
      </c>
      <c r="L493">
        <v>3</v>
      </c>
      <c r="M493">
        <v>0</v>
      </c>
      <c r="N493">
        <v>2</v>
      </c>
      <c r="O493">
        <v>1</v>
      </c>
      <c r="P493">
        <v>0</v>
      </c>
      <c r="Q493">
        <v>0</v>
      </c>
      <c r="S493" t="str">
        <f>"18:38:10.937"</f>
        <v>18:38:10.937</v>
      </c>
      <c r="T493" t="str">
        <f>"18:38:10.738"</f>
        <v>18:38:10.738</v>
      </c>
      <c r="U493" t="str">
        <f t="shared" si="48"/>
        <v>AAB6EE</v>
      </c>
      <c r="V493">
        <v>0</v>
      </c>
      <c r="W493">
        <v>0</v>
      </c>
      <c r="X493">
        <v>4</v>
      </c>
      <c r="Z493">
        <v>0</v>
      </c>
      <c r="AA493">
        <v>8</v>
      </c>
      <c r="AB493">
        <v>3</v>
      </c>
      <c r="AC493">
        <v>0</v>
      </c>
      <c r="AD493">
        <v>10</v>
      </c>
      <c r="AE493">
        <v>0</v>
      </c>
      <c r="AF493">
        <v>0</v>
      </c>
      <c r="AG493">
        <v>1</v>
      </c>
      <c r="AH493">
        <v>1</v>
      </c>
      <c r="AI493" t="s">
        <v>449</v>
      </c>
      <c r="AJ493">
        <v>35.450735000000002</v>
      </c>
      <c r="AK493" t="s">
        <v>450</v>
      </c>
      <c r="AL493">
        <v>-76.076267000000001</v>
      </c>
      <c r="AM493">
        <v>25</v>
      </c>
      <c r="AN493">
        <v>3425</v>
      </c>
      <c r="AO493" t="s">
        <v>118</v>
      </c>
      <c r="AP493">
        <v>-96</v>
      </c>
      <c r="AQ493">
        <v>-193</v>
      </c>
      <c r="AR493">
        <v>0</v>
      </c>
      <c r="AZ493">
        <v>1200</v>
      </c>
      <c r="BA493">
        <v>1</v>
      </c>
      <c r="BB493" t="str">
        <f t="shared" si="50"/>
        <v xml:space="preserve">N79NX   </v>
      </c>
      <c r="BC493">
        <v>1</v>
      </c>
      <c r="BE493">
        <v>0</v>
      </c>
      <c r="BF493">
        <v>0</v>
      </c>
      <c r="BG493">
        <v>0</v>
      </c>
      <c r="BH493">
        <v>3300</v>
      </c>
      <c r="BI493">
        <v>0</v>
      </c>
      <c r="BJ493">
        <v>0</v>
      </c>
      <c r="BK493">
        <v>0</v>
      </c>
      <c r="BL493">
        <v>0</v>
      </c>
      <c r="BO493">
        <v>0</v>
      </c>
      <c r="BP493">
        <v>0</v>
      </c>
      <c r="BW493" t="str">
        <f>"18:38:10.940"</f>
        <v>18:38:10.940</v>
      </c>
      <c r="BZ493">
        <v>0</v>
      </c>
      <c r="CA493">
        <v>3488</v>
      </c>
      <c r="CB493">
        <v>216</v>
      </c>
      <c r="CC493">
        <v>583.59379999999999</v>
      </c>
      <c r="CD493">
        <v>1</v>
      </c>
      <c r="CE493">
        <v>1</v>
      </c>
      <c r="CF493">
        <v>0</v>
      </c>
      <c r="CG493">
        <v>1</v>
      </c>
      <c r="CH493">
        <v>0</v>
      </c>
      <c r="CI493">
        <v>0</v>
      </c>
      <c r="CJ493">
        <v>0</v>
      </c>
      <c r="CK493">
        <v>2</v>
      </c>
      <c r="CL493">
        <v>0</v>
      </c>
      <c r="CM493">
        <v>2</v>
      </c>
      <c r="CN493">
        <v>0</v>
      </c>
      <c r="CO493">
        <v>5</v>
      </c>
      <c r="CP493" t="s">
        <v>119</v>
      </c>
      <c r="CQ493">
        <v>145</v>
      </c>
      <c r="CR493">
        <v>1</v>
      </c>
      <c r="CW493">
        <v>8926859</v>
      </c>
      <c r="CY493">
        <v>0</v>
      </c>
      <c r="CZ493">
        <v>0</v>
      </c>
      <c r="DA493">
        <v>1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</row>
    <row r="494" spans="1:113" x14ac:dyDescent="0.3">
      <c r="A494" t="str">
        <f>"02/13/2022 18:38:12.074"</f>
        <v>02/13/2022 18:38:12.074</v>
      </c>
      <c r="C494" t="str">
        <f t="shared" si="49"/>
        <v>FFDFD7C0</v>
      </c>
      <c r="D494" t="s">
        <v>121</v>
      </c>
      <c r="E494">
        <v>2</v>
      </c>
      <c r="H494">
        <v>158</v>
      </c>
      <c r="I494" t="s">
        <v>120</v>
      </c>
      <c r="J494" t="s">
        <v>122</v>
      </c>
      <c r="K494">
        <v>0</v>
      </c>
      <c r="L494">
        <v>3</v>
      </c>
      <c r="M494">
        <v>0</v>
      </c>
      <c r="N494">
        <v>2</v>
      </c>
      <c r="O494">
        <v>1</v>
      </c>
      <c r="P494">
        <v>0</v>
      </c>
      <c r="Q494">
        <v>0</v>
      </c>
      <c r="S494" t="str">
        <f>"18:38:11.844"</f>
        <v>18:38:11.844</v>
      </c>
      <c r="T494" t="str">
        <f>"18:38:11.644"</f>
        <v>18:38:11.644</v>
      </c>
      <c r="U494" t="str">
        <f t="shared" si="48"/>
        <v>AAB6EE</v>
      </c>
      <c r="V494">
        <v>0</v>
      </c>
      <c r="W494">
        <v>0</v>
      </c>
      <c r="X494">
        <v>4</v>
      </c>
      <c r="Z494">
        <v>0</v>
      </c>
      <c r="AA494">
        <v>8</v>
      </c>
      <c r="AB494">
        <v>3</v>
      </c>
      <c r="AC494">
        <v>0</v>
      </c>
      <c r="AD494">
        <v>10</v>
      </c>
      <c r="AE494">
        <v>0</v>
      </c>
      <c r="AF494">
        <v>0</v>
      </c>
      <c r="AG494">
        <v>1</v>
      </c>
      <c r="AH494">
        <v>1</v>
      </c>
      <c r="AI494" t="s">
        <v>451</v>
      </c>
      <c r="AJ494">
        <v>35.449941000000003</v>
      </c>
      <c r="AK494" t="s">
        <v>452</v>
      </c>
      <c r="AL494">
        <v>-76.076759999999993</v>
      </c>
      <c r="AM494">
        <v>25</v>
      </c>
      <c r="AN494">
        <v>3425</v>
      </c>
      <c r="AO494" t="s">
        <v>118</v>
      </c>
      <c r="AP494">
        <v>-96</v>
      </c>
      <c r="AQ494">
        <v>-193</v>
      </c>
      <c r="AR494">
        <v>64</v>
      </c>
      <c r="AZ494">
        <v>1200</v>
      </c>
      <c r="BA494">
        <v>1</v>
      </c>
      <c r="BB494" t="str">
        <f t="shared" si="50"/>
        <v xml:space="preserve">N79NX   </v>
      </c>
      <c r="BC494">
        <v>1</v>
      </c>
      <c r="BE494">
        <v>0</v>
      </c>
      <c r="BF494">
        <v>0</v>
      </c>
      <c r="BG494">
        <v>0</v>
      </c>
      <c r="BH494">
        <v>3275</v>
      </c>
      <c r="BI494">
        <v>0</v>
      </c>
      <c r="BJ494">
        <v>0</v>
      </c>
      <c r="BK494">
        <v>0</v>
      </c>
      <c r="BL494">
        <v>0</v>
      </c>
      <c r="BO494">
        <v>0</v>
      </c>
      <c r="BP494">
        <v>0</v>
      </c>
      <c r="BW494" t="str">
        <f>"18:38:11.851"</f>
        <v>18:38:11.851</v>
      </c>
      <c r="BZ494">
        <v>0</v>
      </c>
      <c r="CA494">
        <v>3488</v>
      </c>
      <c r="CB494">
        <v>216</v>
      </c>
      <c r="CC494">
        <v>583.59379999999999</v>
      </c>
      <c r="CD494">
        <v>1</v>
      </c>
      <c r="CE494">
        <v>1</v>
      </c>
      <c r="CF494">
        <v>0</v>
      </c>
      <c r="CG494">
        <v>1</v>
      </c>
      <c r="CH494">
        <v>0</v>
      </c>
      <c r="CI494">
        <v>0</v>
      </c>
      <c r="CJ494">
        <v>0</v>
      </c>
      <c r="CK494">
        <v>2</v>
      </c>
      <c r="CL494">
        <v>0</v>
      </c>
      <c r="CM494">
        <v>2</v>
      </c>
      <c r="CN494">
        <v>0</v>
      </c>
      <c r="CO494">
        <v>5</v>
      </c>
      <c r="CP494" t="s">
        <v>119</v>
      </c>
      <c r="CQ494">
        <v>145</v>
      </c>
      <c r="CR494">
        <v>1</v>
      </c>
      <c r="CW494">
        <v>8927311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</row>
    <row r="495" spans="1:113" x14ac:dyDescent="0.3">
      <c r="A495" t="str">
        <f>"02/13/2022 18:38:12.074"</f>
        <v>02/13/2022 18:38:12.074</v>
      </c>
      <c r="C495" t="str">
        <f t="shared" si="49"/>
        <v>FFDFD7C0</v>
      </c>
      <c r="D495" t="s">
        <v>113</v>
      </c>
      <c r="E495">
        <v>4</v>
      </c>
      <c r="F495">
        <v>1004</v>
      </c>
      <c r="G495" t="s">
        <v>120</v>
      </c>
      <c r="J495" t="s">
        <v>115</v>
      </c>
      <c r="K495">
        <v>0</v>
      </c>
      <c r="L495">
        <v>3</v>
      </c>
      <c r="M495">
        <v>0</v>
      </c>
      <c r="N495">
        <v>2</v>
      </c>
      <c r="O495">
        <v>1</v>
      </c>
      <c r="P495">
        <v>0</v>
      </c>
      <c r="Q495">
        <v>0</v>
      </c>
      <c r="S495" t="str">
        <f>"18:38:11.844"</f>
        <v>18:38:11.844</v>
      </c>
      <c r="T495" t="str">
        <f>"18:38:11.644"</f>
        <v>18:38:11.644</v>
      </c>
      <c r="U495" t="str">
        <f t="shared" si="48"/>
        <v>AAB6EE</v>
      </c>
      <c r="V495">
        <v>0</v>
      </c>
      <c r="W495">
        <v>0</v>
      </c>
      <c r="X495">
        <v>4</v>
      </c>
      <c r="Z495">
        <v>0</v>
      </c>
      <c r="AA495">
        <v>8</v>
      </c>
      <c r="AB495">
        <v>3</v>
      </c>
      <c r="AC495">
        <v>0</v>
      </c>
      <c r="AD495">
        <v>10</v>
      </c>
      <c r="AE495">
        <v>0</v>
      </c>
      <c r="AF495">
        <v>0</v>
      </c>
      <c r="AG495">
        <v>1</v>
      </c>
      <c r="AH495">
        <v>1</v>
      </c>
      <c r="AI495" t="s">
        <v>451</v>
      </c>
      <c r="AJ495">
        <v>35.449941000000003</v>
      </c>
      <c r="AK495" t="s">
        <v>452</v>
      </c>
      <c r="AL495">
        <v>-76.076759999999993</v>
      </c>
      <c r="AM495">
        <v>25</v>
      </c>
      <c r="AN495">
        <v>3425</v>
      </c>
      <c r="AO495" t="s">
        <v>118</v>
      </c>
      <c r="AP495">
        <v>-96</v>
      </c>
      <c r="AQ495">
        <v>-193</v>
      </c>
      <c r="AR495">
        <v>64</v>
      </c>
      <c r="AZ495">
        <v>1200</v>
      </c>
      <c r="BA495">
        <v>1</v>
      </c>
      <c r="BB495" t="str">
        <f t="shared" si="50"/>
        <v xml:space="preserve">N79NX   </v>
      </c>
      <c r="BC495">
        <v>1</v>
      </c>
      <c r="BE495">
        <v>0</v>
      </c>
      <c r="BF495">
        <v>0</v>
      </c>
      <c r="BG495">
        <v>0</v>
      </c>
      <c r="BH495">
        <v>3275</v>
      </c>
      <c r="BI495">
        <v>0</v>
      </c>
      <c r="BJ495">
        <v>0</v>
      </c>
      <c r="BK495">
        <v>0</v>
      </c>
      <c r="BL495">
        <v>0</v>
      </c>
      <c r="BO495">
        <v>0</v>
      </c>
      <c r="BP495">
        <v>0</v>
      </c>
      <c r="BW495" t="str">
        <f>"18:38:11.851"</f>
        <v>18:38:11.851</v>
      </c>
      <c r="BZ495">
        <v>0</v>
      </c>
      <c r="CA495">
        <v>3488</v>
      </c>
      <c r="CB495">
        <v>216</v>
      </c>
      <c r="CC495">
        <v>583.59379999999999</v>
      </c>
      <c r="CD495">
        <v>1</v>
      </c>
      <c r="CE495">
        <v>1</v>
      </c>
      <c r="CF495">
        <v>0</v>
      </c>
      <c r="CG495">
        <v>1</v>
      </c>
      <c r="CH495">
        <v>0</v>
      </c>
      <c r="CI495">
        <v>0</v>
      </c>
      <c r="CJ495">
        <v>0</v>
      </c>
      <c r="CK495">
        <v>2</v>
      </c>
      <c r="CL495">
        <v>0</v>
      </c>
      <c r="CM495">
        <v>2</v>
      </c>
      <c r="CN495">
        <v>0</v>
      </c>
      <c r="CO495">
        <v>5</v>
      </c>
      <c r="CP495" t="s">
        <v>119</v>
      </c>
      <c r="CQ495">
        <v>145</v>
      </c>
      <c r="CR495">
        <v>1</v>
      </c>
      <c r="CW495">
        <v>8927311</v>
      </c>
      <c r="CY495">
        <v>0</v>
      </c>
      <c r="CZ495">
        <v>0</v>
      </c>
      <c r="DA495">
        <v>1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</row>
    <row r="496" spans="1:113" x14ac:dyDescent="0.3">
      <c r="A496" t="str">
        <f>"02/13/2022 18:38:12.074"</f>
        <v>02/13/2022 18:38:12.074</v>
      </c>
      <c r="C496" t="str">
        <f t="shared" si="49"/>
        <v>FFDFD7C0</v>
      </c>
      <c r="D496" t="s">
        <v>113</v>
      </c>
      <c r="E496">
        <v>3</v>
      </c>
      <c r="F496">
        <v>1003</v>
      </c>
      <c r="G496" t="s">
        <v>114</v>
      </c>
      <c r="J496" t="s">
        <v>115</v>
      </c>
      <c r="K496">
        <v>0</v>
      </c>
      <c r="L496">
        <v>3</v>
      </c>
      <c r="M496">
        <v>0</v>
      </c>
      <c r="N496">
        <v>2</v>
      </c>
      <c r="O496">
        <v>1</v>
      </c>
      <c r="P496">
        <v>0</v>
      </c>
      <c r="Q496">
        <v>0</v>
      </c>
      <c r="S496" t="str">
        <f>"18:38:11.844"</f>
        <v>18:38:11.844</v>
      </c>
      <c r="T496" t="str">
        <f>"18:38:11.644"</f>
        <v>18:38:11.644</v>
      </c>
      <c r="U496" t="str">
        <f t="shared" si="48"/>
        <v>AAB6EE</v>
      </c>
      <c r="V496">
        <v>0</v>
      </c>
      <c r="W496">
        <v>0</v>
      </c>
      <c r="X496">
        <v>4</v>
      </c>
      <c r="Z496">
        <v>0</v>
      </c>
      <c r="AA496">
        <v>8</v>
      </c>
      <c r="AB496">
        <v>3</v>
      </c>
      <c r="AC496">
        <v>0</v>
      </c>
      <c r="AD496">
        <v>10</v>
      </c>
      <c r="AE496">
        <v>0</v>
      </c>
      <c r="AF496">
        <v>0</v>
      </c>
      <c r="AG496">
        <v>1</v>
      </c>
      <c r="AH496">
        <v>1</v>
      </c>
      <c r="AI496" t="s">
        <v>451</v>
      </c>
      <c r="AJ496">
        <v>35.449941000000003</v>
      </c>
      <c r="AK496" t="s">
        <v>452</v>
      </c>
      <c r="AL496">
        <v>-76.076759999999993</v>
      </c>
      <c r="AM496">
        <v>25</v>
      </c>
      <c r="AN496">
        <v>3425</v>
      </c>
      <c r="AO496" t="s">
        <v>118</v>
      </c>
      <c r="AP496">
        <v>-96</v>
      </c>
      <c r="AQ496">
        <v>-193</v>
      </c>
      <c r="AR496">
        <v>64</v>
      </c>
      <c r="AZ496">
        <v>1200</v>
      </c>
      <c r="BA496">
        <v>1</v>
      </c>
      <c r="BB496" t="str">
        <f t="shared" si="50"/>
        <v xml:space="preserve">N79NX   </v>
      </c>
      <c r="BC496">
        <v>1</v>
      </c>
      <c r="BE496">
        <v>0</v>
      </c>
      <c r="BF496">
        <v>0</v>
      </c>
      <c r="BG496">
        <v>0</v>
      </c>
      <c r="BH496">
        <v>3275</v>
      </c>
      <c r="BI496">
        <v>0</v>
      </c>
      <c r="BJ496">
        <v>0</v>
      </c>
      <c r="BK496">
        <v>0</v>
      </c>
      <c r="BL496">
        <v>0</v>
      </c>
      <c r="BO496">
        <v>0</v>
      </c>
      <c r="BP496">
        <v>0</v>
      </c>
      <c r="BW496" t="str">
        <f>"18:38:11.851"</f>
        <v>18:38:11.851</v>
      </c>
      <c r="BZ496">
        <v>0</v>
      </c>
      <c r="CA496">
        <v>3488</v>
      </c>
      <c r="CB496">
        <v>216</v>
      </c>
      <c r="CC496">
        <v>583.59379999999999</v>
      </c>
      <c r="CD496">
        <v>1</v>
      </c>
      <c r="CE496">
        <v>1</v>
      </c>
      <c r="CF496">
        <v>0</v>
      </c>
      <c r="CG496">
        <v>1</v>
      </c>
      <c r="CH496">
        <v>0</v>
      </c>
      <c r="CI496">
        <v>0</v>
      </c>
      <c r="CJ496">
        <v>0</v>
      </c>
      <c r="CK496">
        <v>2</v>
      </c>
      <c r="CL496">
        <v>0</v>
      </c>
      <c r="CM496">
        <v>2</v>
      </c>
      <c r="CN496">
        <v>0</v>
      </c>
      <c r="CO496">
        <v>5</v>
      </c>
      <c r="CP496" t="s">
        <v>119</v>
      </c>
      <c r="CQ496">
        <v>145</v>
      </c>
      <c r="CR496">
        <v>1</v>
      </c>
      <c r="CW496">
        <v>8927311</v>
      </c>
      <c r="CY496">
        <v>0</v>
      </c>
      <c r="CZ496">
        <v>0</v>
      </c>
      <c r="DA496">
        <v>1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</row>
    <row r="497" spans="1:113" x14ac:dyDescent="0.3">
      <c r="A497" t="str">
        <f>"02/13/2022 18:38:13.106"</f>
        <v>02/13/2022 18:38:13.106</v>
      </c>
      <c r="C497" t="str">
        <f t="shared" si="49"/>
        <v>FFDFD7C0</v>
      </c>
      <c r="D497" t="s">
        <v>113</v>
      </c>
      <c r="E497">
        <v>4</v>
      </c>
      <c r="F497">
        <v>1004</v>
      </c>
      <c r="G497" t="s">
        <v>120</v>
      </c>
      <c r="J497" t="s">
        <v>115</v>
      </c>
      <c r="K497">
        <v>0</v>
      </c>
      <c r="L497">
        <v>3</v>
      </c>
      <c r="M497">
        <v>0</v>
      </c>
      <c r="N497">
        <v>2</v>
      </c>
      <c r="O497">
        <v>1</v>
      </c>
      <c r="P497">
        <v>0</v>
      </c>
      <c r="Q497">
        <v>0</v>
      </c>
      <c r="S497" t="str">
        <f>"18:38:12.898"</f>
        <v>18:38:12.898</v>
      </c>
      <c r="T497" t="str">
        <f>"18:38:12.798"</f>
        <v>18:38:12.798</v>
      </c>
      <c r="U497" t="str">
        <f t="shared" si="48"/>
        <v>AAB6EE</v>
      </c>
      <c r="V497">
        <v>0</v>
      </c>
      <c r="W497">
        <v>0</v>
      </c>
      <c r="X497">
        <v>4</v>
      </c>
      <c r="Z497">
        <v>0</v>
      </c>
      <c r="AA497">
        <v>8</v>
      </c>
      <c r="AB497">
        <v>3</v>
      </c>
      <c r="AC497">
        <v>0</v>
      </c>
      <c r="AD497">
        <v>10</v>
      </c>
      <c r="AE497">
        <v>0</v>
      </c>
      <c r="AF497">
        <v>0</v>
      </c>
      <c r="AG497">
        <v>1</v>
      </c>
      <c r="AH497">
        <v>1</v>
      </c>
      <c r="AI497" t="s">
        <v>453</v>
      </c>
      <c r="AJ497">
        <v>35.449061</v>
      </c>
      <c r="AK497" t="s">
        <v>454</v>
      </c>
      <c r="AL497">
        <v>-76.077275</v>
      </c>
      <c r="AM497">
        <v>25</v>
      </c>
      <c r="AN497">
        <v>3425</v>
      </c>
      <c r="AO497" t="s">
        <v>118</v>
      </c>
      <c r="AP497">
        <v>-96</v>
      </c>
      <c r="AQ497">
        <v>-193</v>
      </c>
      <c r="AR497">
        <v>0</v>
      </c>
      <c r="AZ497">
        <v>1200</v>
      </c>
      <c r="BA497">
        <v>1</v>
      </c>
      <c r="BB497" t="str">
        <f t="shared" si="50"/>
        <v xml:space="preserve">N79NX   </v>
      </c>
      <c r="BC497">
        <v>1</v>
      </c>
      <c r="BE497">
        <v>0</v>
      </c>
      <c r="BF497">
        <v>0</v>
      </c>
      <c r="BG497">
        <v>0</v>
      </c>
      <c r="BH497">
        <v>3275</v>
      </c>
      <c r="BI497">
        <v>0</v>
      </c>
      <c r="BJ497">
        <v>0</v>
      </c>
      <c r="BK497">
        <v>0</v>
      </c>
      <c r="BL497">
        <v>0</v>
      </c>
      <c r="BO497">
        <v>0</v>
      </c>
      <c r="BP497">
        <v>0</v>
      </c>
      <c r="BW497" t="str">
        <f>"18:38:12.901"</f>
        <v>18:38:12.901</v>
      </c>
      <c r="BZ497">
        <v>0</v>
      </c>
      <c r="CA497">
        <v>3488</v>
      </c>
      <c r="CB497">
        <v>216</v>
      </c>
      <c r="CC497">
        <v>583.59379999999999</v>
      </c>
      <c r="CD497">
        <v>1</v>
      </c>
      <c r="CE497">
        <v>1</v>
      </c>
      <c r="CF497">
        <v>0</v>
      </c>
      <c r="CG497">
        <v>1</v>
      </c>
      <c r="CH497">
        <v>0</v>
      </c>
      <c r="CI497">
        <v>0</v>
      </c>
      <c r="CJ497">
        <v>0</v>
      </c>
      <c r="CK497">
        <v>2</v>
      </c>
      <c r="CL497">
        <v>0</v>
      </c>
      <c r="CM497">
        <v>2</v>
      </c>
      <c r="CN497">
        <v>0</v>
      </c>
      <c r="CO497">
        <v>5</v>
      </c>
      <c r="CP497" t="s">
        <v>119</v>
      </c>
      <c r="CQ497">
        <v>145</v>
      </c>
      <c r="CR497">
        <v>1</v>
      </c>
      <c r="CW497">
        <v>8927784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</row>
    <row r="498" spans="1:113" x14ac:dyDescent="0.3">
      <c r="A498" t="str">
        <f>"02/13/2022 18:38:13.106"</f>
        <v>02/13/2022 18:38:13.106</v>
      </c>
      <c r="C498" t="str">
        <f t="shared" si="49"/>
        <v>FFDFD7C0</v>
      </c>
      <c r="D498" t="s">
        <v>113</v>
      </c>
      <c r="E498">
        <v>3</v>
      </c>
      <c r="F498">
        <v>1003</v>
      </c>
      <c r="G498" t="s">
        <v>114</v>
      </c>
      <c r="J498" t="s">
        <v>115</v>
      </c>
      <c r="K498">
        <v>0</v>
      </c>
      <c r="L498">
        <v>3</v>
      </c>
      <c r="M498">
        <v>0</v>
      </c>
      <c r="N498">
        <v>2</v>
      </c>
      <c r="O498">
        <v>1</v>
      </c>
      <c r="P498">
        <v>0</v>
      </c>
      <c r="Q498">
        <v>0</v>
      </c>
      <c r="S498" t="str">
        <f>"18:38:12.898"</f>
        <v>18:38:12.898</v>
      </c>
      <c r="T498" t="str">
        <f>"18:38:12.798"</f>
        <v>18:38:12.798</v>
      </c>
      <c r="U498" t="str">
        <f t="shared" si="48"/>
        <v>AAB6EE</v>
      </c>
      <c r="V498">
        <v>0</v>
      </c>
      <c r="W498">
        <v>0</v>
      </c>
      <c r="X498">
        <v>4</v>
      </c>
      <c r="Z498">
        <v>0</v>
      </c>
      <c r="AA498">
        <v>8</v>
      </c>
      <c r="AB498">
        <v>3</v>
      </c>
      <c r="AC498">
        <v>0</v>
      </c>
      <c r="AD498">
        <v>10</v>
      </c>
      <c r="AE498">
        <v>0</v>
      </c>
      <c r="AF498">
        <v>0</v>
      </c>
      <c r="AG498">
        <v>1</v>
      </c>
      <c r="AH498">
        <v>1</v>
      </c>
      <c r="AI498" t="s">
        <v>453</v>
      </c>
      <c r="AJ498">
        <v>35.449061</v>
      </c>
      <c r="AK498" t="s">
        <v>454</v>
      </c>
      <c r="AL498">
        <v>-76.077275</v>
      </c>
      <c r="AM498">
        <v>25</v>
      </c>
      <c r="AN498">
        <v>3425</v>
      </c>
      <c r="AO498" t="s">
        <v>118</v>
      </c>
      <c r="AP498">
        <v>-96</v>
      </c>
      <c r="AQ498">
        <v>-193</v>
      </c>
      <c r="AR498">
        <v>0</v>
      </c>
      <c r="AZ498">
        <v>1200</v>
      </c>
      <c r="BA498">
        <v>1</v>
      </c>
      <c r="BB498" t="str">
        <f t="shared" si="50"/>
        <v xml:space="preserve">N79NX   </v>
      </c>
      <c r="BC498">
        <v>1</v>
      </c>
      <c r="BE498">
        <v>0</v>
      </c>
      <c r="BF498">
        <v>0</v>
      </c>
      <c r="BG498">
        <v>0</v>
      </c>
      <c r="BH498">
        <v>3275</v>
      </c>
      <c r="BI498">
        <v>0</v>
      </c>
      <c r="BJ498">
        <v>0</v>
      </c>
      <c r="BK498">
        <v>0</v>
      </c>
      <c r="BL498">
        <v>0</v>
      </c>
      <c r="BO498">
        <v>0</v>
      </c>
      <c r="BP498">
        <v>0</v>
      </c>
      <c r="BW498" t="str">
        <f>"18:38:12.901"</f>
        <v>18:38:12.901</v>
      </c>
      <c r="BZ498">
        <v>0</v>
      </c>
      <c r="CA498">
        <v>3488</v>
      </c>
      <c r="CB498">
        <v>216</v>
      </c>
      <c r="CC498">
        <v>583.59379999999999</v>
      </c>
      <c r="CD498">
        <v>1</v>
      </c>
      <c r="CE498">
        <v>1</v>
      </c>
      <c r="CF498">
        <v>0</v>
      </c>
      <c r="CG498">
        <v>1</v>
      </c>
      <c r="CH498">
        <v>0</v>
      </c>
      <c r="CI498">
        <v>0</v>
      </c>
      <c r="CJ498">
        <v>0</v>
      </c>
      <c r="CK498">
        <v>2</v>
      </c>
      <c r="CL498">
        <v>0</v>
      </c>
      <c r="CM498">
        <v>2</v>
      </c>
      <c r="CN498">
        <v>0</v>
      </c>
      <c r="CO498">
        <v>5</v>
      </c>
      <c r="CP498" t="s">
        <v>119</v>
      </c>
      <c r="CQ498">
        <v>145</v>
      </c>
      <c r="CR498">
        <v>1</v>
      </c>
      <c r="CW498">
        <v>8927784</v>
      </c>
      <c r="CY498">
        <v>0</v>
      </c>
      <c r="CZ498">
        <v>0</v>
      </c>
      <c r="DA498">
        <v>1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</row>
    <row r="499" spans="1:113" x14ac:dyDescent="0.3">
      <c r="A499" t="str">
        <f>"02/13/2022 18:38:13.106"</f>
        <v>02/13/2022 18:38:13.106</v>
      </c>
      <c r="C499" t="str">
        <f t="shared" si="49"/>
        <v>FFDFD7C0</v>
      </c>
      <c r="D499" t="s">
        <v>121</v>
      </c>
      <c r="E499">
        <v>2</v>
      </c>
      <c r="H499">
        <v>158</v>
      </c>
      <c r="I499" t="s">
        <v>120</v>
      </c>
      <c r="J499" t="s">
        <v>122</v>
      </c>
      <c r="K499">
        <v>0</v>
      </c>
      <c r="L499">
        <v>3</v>
      </c>
      <c r="M499">
        <v>0</v>
      </c>
      <c r="N499">
        <v>2</v>
      </c>
      <c r="O499">
        <v>1</v>
      </c>
      <c r="P499">
        <v>0</v>
      </c>
      <c r="Q499">
        <v>0</v>
      </c>
      <c r="S499" t="str">
        <f>"18:38:12.898"</f>
        <v>18:38:12.898</v>
      </c>
      <c r="T499" t="str">
        <f>"18:38:12.798"</f>
        <v>18:38:12.798</v>
      </c>
      <c r="U499" t="str">
        <f t="shared" si="48"/>
        <v>AAB6EE</v>
      </c>
      <c r="V499">
        <v>0</v>
      </c>
      <c r="W499">
        <v>0</v>
      </c>
      <c r="X499">
        <v>4</v>
      </c>
      <c r="Z499">
        <v>0</v>
      </c>
      <c r="AA499">
        <v>8</v>
      </c>
      <c r="AB499">
        <v>3</v>
      </c>
      <c r="AC499">
        <v>0</v>
      </c>
      <c r="AD499">
        <v>10</v>
      </c>
      <c r="AE499">
        <v>0</v>
      </c>
      <c r="AF499">
        <v>0</v>
      </c>
      <c r="AG499">
        <v>1</v>
      </c>
      <c r="AH499">
        <v>1</v>
      </c>
      <c r="AI499" t="s">
        <v>453</v>
      </c>
      <c r="AJ499">
        <v>35.449061</v>
      </c>
      <c r="AK499" t="s">
        <v>454</v>
      </c>
      <c r="AL499">
        <v>-76.077275</v>
      </c>
      <c r="AM499">
        <v>25</v>
      </c>
      <c r="AN499">
        <v>3425</v>
      </c>
      <c r="AO499" t="s">
        <v>118</v>
      </c>
      <c r="AP499">
        <v>-96</v>
      </c>
      <c r="AQ499">
        <v>-193</v>
      </c>
      <c r="AR499">
        <v>0</v>
      </c>
      <c r="AZ499">
        <v>1200</v>
      </c>
      <c r="BA499">
        <v>1</v>
      </c>
      <c r="BB499" t="str">
        <f t="shared" si="50"/>
        <v xml:space="preserve">N79NX   </v>
      </c>
      <c r="BC499">
        <v>1</v>
      </c>
      <c r="BE499">
        <v>0</v>
      </c>
      <c r="BF499">
        <v>0</v>
      </c>
      <c r="BG499">
        <v>0</v>
      </c>
      <c r="BH499">
        <v>3275</v>
      </c>
      <c r="BI499">
        <v>0</v>
      </c>
      <c r="BJ499">
        <v>0</v>
      </c>
      <c r="BK499">
        <v>0</v>
      </c>
      <c r="BL499">
        <v>0</v>
      </c>
      <c r="BO499">
        <v>0</v>
      </c>
      <c r="BP499">
        <v>0</v>
      </c>
      <c r="BW499" t="str">
        <f>"18:38:12.901"</f>
        <v>18:38:12.901</v>
      </c>
      <c r="BZ499">
        <v>0</v>
      </c>
      <c r="CA499">
        <v>3488</v>
      </c>
      <c r="CB499">
        <v>216</v>
      </c>
      <c r="CC499">
        <v>583.59379999999999</v>
      </c>
      <c r="CD499">
        <v>1</v>
      </c>
      <c r="CE499">
        <v>1</v>
      </c>
      <c r="CF499">
        <v>0</v>
      </c>
      <c r="CG499">
        <v>1</v>
      </c>
      <c r="CH499">
        <v>0</v>
      </c>
      <c r="CI499">
        <v>0</v>
      </c>
      <c r="CJ499">
        <v>0</v>
      </c>
      <c r="CK499">
        <v>2</v>
      </c>
      <c r="CL499">
        <v>0</v>
      </c>
      <c r="CM499">
        <v>2</v>
      </c>
      <c r="CN499">
        <v>0</v>
      </c>
      <c r="CO499">
        <v>5</v>
      </c>
      <c r="CP499" t="s">
        <v>119</v>
      </c>
      <c r="CQ499">
        <v>145</v>
      </c>
      <c r="CR499">
        <v>1</v>
      </c>
      <c r="CW499">
        <v>8927784</v>
      </c>
      <c r="CY499">
        <v>0</v>
      </c>
      <c r="CZ499">
        <v>0</v>
      </c>
      <c r="DA499">
        <v>1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</row>
    <row r="500" spans="1:113" x14ac:dyDescent="0.3">
      <c r="A500" t="str">
        <f>"02/13/2022 18:38:14.074"</f>
        <v>02/13/2022 18:38:14.074</v>
      </c>
      <c r="C500" t="str">
        <f t="shared" si="49"/>
        <v>FFDFD7C0</v>
      </c>
      <c r="D500" t="s">
        <v>113</v>
      </c>
      <c r="E500">
        <v>4</v>
      </c>
      <c r="F500">
        <v>1004</v>
      </c>
      <c r="G500" t="s">
        <v>120</v>
      </c>
      <c r="J500" t="s">
        <v>115</v>
      </c>
      <c r="K500">
        <v>0</v>
      </c>
      <c r="L500">
        <v>3</v>
      </c>
      <c r="M500">
        <v>0</v>
      </c>
      <c r="N500">
        <v>2</v>
      </c>
      <c r="O500">
        <v>1</v>
      </c>
      <c r="P500">
        <v>0</v>
      </c>
      <c r="Q500">
        <v>0</v>
      </c>
      <c r="S500" t="str">
        <f>"18:38:13.828"</f>
        <v>18:38:13.828</v>
      </c>
      <c r="T500" t="str">
        <f>"18:38:13.728"</f>
        <v>18:38:13.728</v>
      </c>
      <c r="U500" t="str">
        <f t="shared" si="48"/>
        <v>AAB6EE</v>
      </c>
      <c r="V500">
        <v>0</v>
      </c>
      <c r="W500">
        <v>0</v>
      </c>
      <c r="X500">
        <v>4</v>
      </c>
      <c r="Z500">
        <v>0</v>
      </c>
      <c r="AA500">
        <v>8</v>
      </c>
      <c r="AB500">
        <v>3</v>
      </c>
      <c r="AC500">
        <v>0</v>
      </c>
      <c r="AD500">
        <v>10</v>
      </c>
      <c r="AE500">
        <v>0</v>
      </c>
      <c r="AF500">
        <v>0</v>
      </c>
      <c r="AG500">
        <v>1</v>
      </c>
      <c r="AH500">
        <v>1</v>
      </c>
      <c r="AI500" t="s">
        <v>455</v>
      </c>
      <c r="AJ500">
        <v>35.448138999999998</v>
      </c>
      <c r="AK500" t="s">
        <v>456</v>
      </c>
      <c r="AL500">
        <v>-76.077811999999994</v>
      </c>
      <c r="AM500">
        <v>25</v>
      </c>
      <c r="AN500">
        <v>3450</v>
      </c>
      <c r="AO500" t="s">
        <v>118</v>
      </c>
      <c r="AP500">
        <v>-97</v>
      </c>
      <c r="AQ500">
        <v>-193</v>
      </c>
      <c r="AR500">
        <v>0</v>
      </c>
      <c r="AZ500">
        <v>1200</v>
      </c>
      <c r="BA500">
        <v>1</v>
      </c>
      <c r="BB500" t="str">
        <f t="shared" si="50"/>
        <v xml:space="preserve">N79NX   </v>
      </c>
      <c r="BC500">
        <v>1</v>
      </c>
      <c r="BE500">
        <v>0</v>
      </c>
      <c r="BF500">
        <v>0</v>
      </c>
      <c r="BG500">
        <v>0</v>
      </c>
      <c r="BH500">
        <v>3275</v>
      </c>
      <c r="BI500">
        <v>0</v>
      </c>
      <c r="BJ500">
        <v>0</v>
      </c>
      <c r="BK500">
        <v>0</v>
      </c>
      <c r="BL500">
        <v>0</v>
      </c>
      <c r="BO500">
        <v>0</v>
      </c>
      <c r="BP500">
        <v>0</v>
      </c>
      <c r="BW500" t="str">
        <f>"18:38:13.831"</f>
        <v>18:38:13.831</v>
      </c>
      <c r="BZ500">
        <v>0</v>
      </c>
      <c r="CA500">
        <v>3488</v>
      </c>
      <c r="CB500">
        <v>216</v>
      </c>
      <c r="CC500">
        <v>583.59379999999999</v>
      </c>
      <c r="CD500">
        <v>1</v>
      </c>
      <c r="CE500">
        <v>1</v>
      </c>
      <c r="CF500">
        <v>0</v>
      </c>
      <c r="CG500">
        <v>1</v>
      </c>
      <c r="CH500">
        <v>0</v>
      </c>
      <c r="CI500">
        <v>0</v>
      </c>
      <c r="CJ500">
        <v>0</v>
      </c>
      <c r="CK500">
        <v>2</v>
      </c>
      <c r="CL500">
        <v>0</v>
      </c>
      <c r="CM500">
        <v>2</v>
      </c>
      <c r="CN500">
        <v>0</v>
      </c>
      <c r="CO500">
        <v>5</v>
      </c>
      <c r="CP500" t="s">
        <v>119</v>
      </c>
      <c r="CQ500">
        <v>145</v>
      </c>
      <c r="CR500">
        <v>1</v>
      </c>
      <c r="CW500">
        <v>8928178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</row>
    <row r="501" spans="1:113" x14ac:dyDescent="0.3">
      <c r="A501" t="str">
        <f>"02/13/2022 18:38:14.074"</f>
        <v>02/13/2022 18:38:14.074</v>
      </c>
      <c r="C501" t="str">
        <f t="shared" si="49"/>
        <v>FFDFD7C0</v>
      </c>
      <c r="D501" t="s">
        <v>113</v>
      </c>
      <c r="E501">
        <v>3</v>
      </c>
      <c r="F501">
        <v>1003</v>
      </c>
      <c r="G501" t="s">
        <v>114</v>
      </c>
      <c r="J501" t="s">
        <v>115</v>
      </c>
      <c r="K501">
        <v>0</v>
      </c>
      <c r="L501">
        <v>3</v>
      </c>
      <c r="M501">
        <v>0</v>
      </c>
      <c r="N501">
        <v>2</v>
      </c>
      <c r="O501">
        <v>1</v>
      </c>
      <c r="P501">
        <v>0</v>
      </c>
      <c r="Q501">
        <v>0</v>
      </c>
      <c r="S501" t="str">
        <f>"18:38:13.828"</f>
        <v>18:38:13.828</v>
      </c>
      <c r="T501" t="str">
        <f>"18:38:13.728"</f>
        <v>18:38:13.728</v>
      </c>
      <c r="U501" t="str">
        <f t="shared" si="48"/>
        <v>AAB6EE</v>
      </c>
      <c r="V501">
        <v>0</v>
      </c>
      <c r="W501">
        <v>0</v>
      </c>
      <c r="X501">
        <v>4</v>
      </c>
      <c r="Z501">
        <v>0</v>
      </c>
      <c r="AA501">
        <v>8</v>
      </c>
      <c r="AB501">
        <v>3</v>
      </c>
      <c r="AC501">
        <v>0</v>
      </c>
      <c r="AD501">
        <v>10</v>
      </c>
      <c r="AE501">
        <v>0</v>
      </c>
      <c r="AF501">
        <v>0</v>
      </c>
      <c r="AG501">
        <v>1</v>
      </c>
      <c r="AH501">
        <v>1</v>
      </c>
      <c r="AI501" t="s">
        <v>455</v>
      </c>
      <c r="AJ501">
        <v>35.448138999999998</v>
      </c>
      <c r="AK501" t="s">
        <v>456</v>
      </c>
      <c r="AL501">
        <v>-76.077811999999994</v>
      </c>
      <c r="AM501">
        <v>25</v>
      </c>
      <c r="AN501">
        <v>3450</v>
      </c>
      <c r="AO501" t="s">
        <v>118</v>
      </c>
      <c r="AP501">
        <v>-97</v>
      </c>
      <c r="AQ501">
        <v>-193</v>
      </c>
      <c r="AR501">
        <v>0</v>
      </c>
      <c r="AZ501">
        <v>1200</v>
      </c>
      <c r="BA501">
        <v>1</v>
      </c>
      <c r="BB501" t="str">
        <f t="shared" si="50"/>
        <v xml:space="preserve">N79NX   </v>
      </c>
      <c r="BC501">
        <v>1</v>
      </c>
      <c r="BE501">
        <v>0</v>
      </c>
      <c r="BF501">
        <v>0</v>
      </c>
      <c r="BG501">
        <v>0</v>
      </c>
      <c r="BH501">
        <v>3275</v>
      </c>
      <c r="BI501">
        <v>0</v>
      </c>
      <c r="BJ501">
        <v>0</v>
      </c>
      <c r="BK501">
        <v>0</v>
      </c>
      <c r="BL501">
        <v>0</v>
      </c>
      <c r="BO501">
        <v>0</v>
      </c>
      <c r="BP501">
        <v>0</v>
      </c>
      <c r="BW501" t="str">
        <f>"18:38:13.831"</f>
        <v>18:38:13.831</v>
      </c>
      <c r="BZ501">
        <v>0</v>
      </c>
      <c r="CA501">
        <v>3488</v>
      </c>
      <c r="CB501">
        <v>216</v>
      </c>
      <c r="CC501">
        <v>583.59379999999999</v>
      </c>
      <c r="CD501">
        <v>1</v>
      </c>
      <c r="CE501">
        <v>1</v>
      </c>
      <c r="CF501">
        <v>0</v>
      </c>
      <c r="CG501">
        <v>1</v>
      </c>
      <c r="CH501">
        <v>0</v>
      </c>
      <c r="CI501">
        <v>0</v>
      </c>
      <c r="CJ501">
        <v>0</v>
      </c>
      <c r="CK501">
        <v>2</v>
      </c>
      <c r="CL501">
        <v>0</v>
      </c>
      <c r="CM501">
        <v>2</v>
      </c>
      <c r="CN501">
        <v>0</v>
      </c>
      <c r="CO501">
        <v>5</v>
      </c>
      <c r="CP501" t="s">
        <v>119</v>
      </c>
      <c r="CQ501">
        <v>145</v>
      </c>
      <c r="CR501">
        <v>1</v>
      </c>
      <c r="CW501">
        <v>8928178</v>
      </c>
      <c r="CY501">
        <v>0</v>
      </c>
      <c r="CZ501">
        <v>0</v>
      </c>
      <c r="DA501">
        <v>1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</row>
    <row r="502" spans="1:113" x14ac:dyDescent="0.3">
      <c r="A502" t="str">
        <f>"02/13/2022 18:38:14.090"</f>
        <v>02/13/2022 18:38:14.090</v>
      </c>
      <c r="C502" t="str">
        <f t="shared" si="49"/>
        <v>FFDFD7C0</v>
      </c>
      <c r="D502" t="s">
        <v>121</v>
      </c>
      <c r="E502">
        <v>2</v>
      </c>
      <c r="H502">
        <v>158</v>
      </c>
      <c r="I502" t="s">
        <v>120</v>
      </c>
      <c r="J502" t="s">
        <v>122</v>
      </c>
      <c r="K502">
        <v>0</v>
      </c>
      <c r="L502">
        <v>3</v>
      </c>
      <c r="M502">
        <v>0</v>
      </c>
      <c r="N502">
        <v>2</v>
      </c>
      <c r="O502">
        <v>1</v>
      </c>
      <c r="P502">
        <v>0</v>
      </c>
      <c r="Q502">
        <v>0</v>
      </c>
      <c r="S502" t="str">
        <f>"18:38:13.828"</f>
        <v>18:38:13.828</v>
      </c>
      <c r="T502" t="str">
        <f>"18:38:13.728"</f>
        <v>18:38:13.728</v>
      </c>
      <c r="U502" t="str">
        <f t="shared" si="48"/>
        <v>AAB6EE</v>
      </c>
      <c r="V502">
        <v>0</v>
      </c>
      <c r="W502">
        <v>0</v>
      </c>
      <c r="X502">
        <v>4</v>
      </c>
      <c r="Z502">
        <v>0</v>
      </c>
      <c r="AA502">
        <v>8</v>
      </c>
      <c r="AB502">
        <v>3</v>
      </c>
      <c r="AC502">
        <v>0</v>
      </c>
      <c r="AD502">
        <v>10</v>
      </c>
      <c r="AE502">
        <v>0</v>
      </c>
      <c r="AF502">
        <v>0</v>
      </c>
      <c r="AG502">
        <v>1</v>
      </c>
      <c r="AH502">
        <v>1</v>
      </c>
      <c r="AI502" t="s">
        <v>455</v>
      </c>
      <c r="AJ502">
        <v>35.448138999999998</v>
      </c>
      <c r="AK502" t="s">
        <v>456</v>
      </c>
      <c r="AL502">
        <v>-76.077811999999994</v>
      </c>
      <c r="AM502">
        <v>25</v>
      </c>
      <c r="AN502">
        <v>3450</v>
      </c>
      <c r="AO502" t="s">
        <v>118</v>
      </c>
      <c r="AP502">
        <v>-97</v>
      </c>
      <c r="AQ502">
        <v>-193</v>
      </c>
      <c r="AR502">
        <v>0</v>
      </c>
      <c r="AZ502">
        <v>1200</v>
      </c>
      <c r="BA502">
        <v>1</v>
      </c>
      <c r="BB502" t="str">
        <f t="shared" si="50"/>
        <v xml:space="preserve">N79NX   </v>
      </c>
      <c r="BC502">
        <v>1</v>
      </c>
      <c r="BE502">
        <v>0</v>
      </c>
      <c r="BF502">
        <v>0</v>
      </c>
      <c r="BG502">
        <v>0</v>
      </c>
      <c r="BH502">
        <v>3275</v>
      </c>
      <c r="BI502">
        <v>0</v>
      </c>
      <c r="BJ502">
        <v>0</v>
      </c>
      <c r="BK502">
        <v>0</v>
      </c>
      <c r="BL502">
        <v>0</v>
      </c>
      <c r="BO502">
        <v>0</v>
      </c>
      <c r="BP502">
        <v>0</v>
      </c>
      <c r="BW502" t="str">
        <f>"18:38:13.831"</f>
        <v>18:38:13.831</v>
      </c>
      <c r="BZ502">
        <v>0</v>
      </c>
      <c r="CA502">
        <v>3488</v>
      </c>
      <c r="CB502">
        <v>216</v>
      </c>
      <c r="CC502">
        <v>583.59379999999999</v>
      </c>
      <c r="CD502">
        <v>1</v>
      </c>
      <c r="CE502">
        <v>1</v>
      </c>
      <c r="CF502">
        <v>0</v>
      </c>
      <c r="CG502">
        <v>1</v>
      </c>
      <c r="CH502">
        <v>0</v>
      </c>
      <c r="CI502">
        <v>0</v>
      </c>
      <c r="CJ502">
        <v>0</v>
      </c>
      <c r="CK502">
        <v>2</v>
      </c>
      <c r="CL502">
        <v>0</v>
      </c>
      <c r="CM502">
        <v>2</v>
      </c>
      <c r="CN502">
        <v>0</v>
      </c>
      <c r="CO502">
        <v>5</v>
      </c>
      <c r="CP502" t="s">
        <v>119</v>
      </c>
      <c r="CQ502">
        <v>145</v>
      </c>
      <c r="CR502">
        <v>1</v>
      </c>
      <c r="CW502">
        <v>8928178</v>
      </c>
      <c r="CY502">
        <v>0</v>
      </c>
      <c r="CZ502">
        <v>0</v>
      </c>
      <c r="DA502">
        <v>1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</row>
    <row r="503" spans="1:113" x14ac:dyDescent="0.3">
      <c r="A503" t="str">
        <f>"02/13/2022 18:38:15.045"</f>
        <v>02/13/2022 18:38:15.045</v>
      </c>
      <c r="C503" t="str">
        <f t="shared" si="49"/>
        <v>FFDFD7C0</v>
      </c>
      <c r="D503" t="s">
        <v>113</v>
      </c>
      <c r="E503">
        <v>4</v>
      </c>
      <c r="F503">
        <v>1004</v>
      </c>
      <c r="G503" t="s">
        <v>120</v>
      </c>
      <c r="J503" t="s">
        <v>115</v>
      </c>
      <c r="K503">
        <v>0</v>
      </c>
      <c r="L503">
        <v>3</v>
      </c>
      <c r="M503">
        <v>0</v>
      </c>
      <c r="N503">
        <v>2</v>
      </c>
      <c r="O503">
        <v>1</v>
      </c>
      <c r="P503">
        <v>0</v>
      </c>
      <c r="Q503">
        <v>0</v>
      </c>
      <c r="S503" t="str">
        <f>"18:38:14.766"</f>
        <v>18:38:14.766</v>
      </c>
      <c r="T503" t="str">
        <f>"18:38:14.366"</f>
        <v>18:38:14.366</v>
      </c>
      <c r="U503" t="str">
        <f t="shared" si="48"/>
        <v>AAB6EE</v>
      </c>
      <c r="V503">
        <v>0</v>
      </c>
      <c r="W503">
        <v>0</v>
      </c>
      <c r="X503">
        <v>4</v>
      </c>
      <c r="Z503">
        <v>0</v>
      </c>
      <c r="AA503">
        <v>8</v>
      </c>
      <c r="AB503">
        <v>3</v>
      </c>
      <c r="AC503">
        <v>0</v>
      </c>
      <c r="AD503">
        <v>10</v>
      </c>
      <c r="AE503">
        <v>0</v>
      </c>
      <c r="AF503">
        <v>0</v>
      </c>
      <c r="AG503">
        <v>1</v>
      </c>
      <c r="AH503">
        <v>1</v>
      </c>
      <c r="AI503" t="s">
        <v>457</v>
      </c>
      <c r="AJ503">
        <v>35.447344999999999</v>
      </c>
      <c r="AK503" t="s">
        <v>458</v>
      </c>
      <c r="AL503">
        <v>-76.078327000000002</v>
      </c>
      <c r="AM503">
        <v>25</v>
      </c>
      <c r="AN503">
        <v>3425</v>
      </c>
      <c r="AO503" t="s">
        <v>118</v>
      </c>
      <c r="AP503">
        <v>-97</v>
      </c>
      <c r="AQ503">
        <v>-193</v>
      </c>
      <c r="AR503">
        <v>0</v>
      </c>
      <c r="AZ503">
        <v>1200</v>
      </c>
      <c r="BA503">
        <v>1</v>
      </c>
      <c r="BB503" t="str">
        <f t="shared" si="50"/>
        <v xml:space="preserve">N79NX   </v>
      </c>
      <c r="BC503">
        <v>1</v>
      </c>
      <c r="BE503">
        <v>0</v>
      </c>
      <c r="BF503">
        <v>0</v>
      </c>
      <c r="BG503">
        <v>0</v>
      </c>
      <c r="BH503">
        <v>3275</v>
      </c>
      <c r="BI503">
        <v>0</v>
      </c>
      <c r="BJ503">
        <v>0</v>
      </c>
      <c r="BK503">
        <v>0</v>
      </c>
      <c r="BL503">
        <v>0</v>
      </c>
      <c r="BO503">
        <v>0</v>
      </c>
      <c r="BP503">
        <v>0</v>
      </c>
      <c r="BW503" t="str">
        <f>"18:38:14.771"</f>
        <v>18:38:14.771</v>
      </c>
      <c r="BZ503">
        <v>0</v>
      </c>
      <c r="CA503">
        <v>3488</v>
      </c>
      <c r="CB503">
        <v>216</v>
      </c>
      <c r="CC503">
        <v>583.59379999999999</v>
      </c>
      <c r="CD503">
        <v>1</v>
      </c>
      <c r="CE503">
        <v>1</v>
      </c>
      <c r="CF503">
        <v>0</v>
      </c>
      <c r="CG503">
        <v>1</v>
      </c>
      <c r="CH503">
        <v>0</v>
      </c>
      <c r="CI503">
        <v>0</v>
      </c>
      <c r="CJ503">
        <v>0</v>
      </c>
      <c r="CK503">
        <v>2</v>
      </c>
      <c r="CL503">
        <v>0</v>
      </c>
      <c r="CM503">
        <v>2</v>
      </c>
      <c r="CN503">
        <v>0</v>
      </c>
      <c r="CO503">
        <v>5</v>
      </c>
      <c r="CP503" t="s">
        <v>119</v>
      </c>
      <c r="CQ503">
        <v>145</v>
      </c>
      <c r="CR503">
        <v>1</v>
      </c>
      <c r="CW503">
        <v>8928638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</row>
    <row r="504" spans="1:113" x14ac:dyDescent="0.3">
      <c r="A504" t="str">
        <f>"02/13/2022 18:38:15.045"</f>
        <v>02/13/2022 18:38:15.045</v>
      </c>
      <c r="C504" t="str">
        <f t="shared" si="49"/>
        <v>FFDFD7C0</v>
      </c>
      <c r="D504" t="s">
        <v>113</v>
      </c>
      <c r="E504">
        <v>3</v>
      </c>
      <c r="F504">
        <v>1003</v>
      </c>
      <c r="G504" t="s">
        <v>114</v>
      </c>
      <c r="J504" t="s">
        <v>115</v>
      </c>
      <c r="K504">
        <v>0</v>
      </c>
      <c r="L504">
        <v>3</v>
      </c>
      <c r="M504">
        <v>0</v>
      </c>
      <c r="N504">
        <v>2</v>
      </c>
      <c r="O504">
        <v>1</v>
      </c>
      <c r="P504">
        <v>0</v>
      </c>
      <c r="Q504">
        <v>0</v>
      </c>
      <c r="S504" t="str">
        <f>"18:38:14.766"</f>
        <v>18:38:14.766</v>
      </c>
      <c r="T504" t="str">
        <f>"18:38:14.366"</f>
        <v>18:38:14.366</v>
      </c>
      <c r="U504" t="str">
        <f t="shared" si="48"/>
        <v>AAB6EE</v>
      </c>
      <c r="V504">
        <v>0</v>
      </c>
      <c r="W504">
        <v>0</v>
      </c>
      <c r="X504">
        <v>4</v>
      </c>
      <c r="Z504">
        <v>0</v>
      </c>
      <c r="AA504">
        <v>8</v>
      </c>
      <c r="AB504">
        <v>3</v>
      </c>
      <c r="AC504">
        <v>0</v>
      </c>
      <c r="AD504">
        <v>10</v>
      </c>
      <c r="AE504">
        <v>0</v>
      </c>
      <c r="AF504">
        <v>0</v>
      </c>
      <c r="AG504">
        <v>1</v>
      </c>
      <c r="AH504">
        <v>1</v>
      </c>
      <c r="AI504" t="s">
        <v>457</v>
      </c>
      <c r="AJ504">
        <v>35.447344999999999</v>
      </c>
      <c r="AK504" t="s">
        <v>458</v>
      </c>
      <c r="AL504">
        <v>-76.078327000000002</v>
      </c>
      <c r="AM504">
        <v>25</v>
      </c>
      <c r="AN504">
        <v>3425</v>
      </c>
      <c r="AO504" t="s">
        <v>118</v>
      </c>
      <c r="AP504">
        <v>-97</v>
      </c>
      <c r="AQ504">
        <v>-193</v>
      </c>
      <c r="AR504">
        <v>0</v>
      </c>
      <c r="AZ504">
        <v>1200</v>
      </c>
      <c r="BA504">
        <v>1</v>
      </c>
      <c r="BB504" t="str">
        <f t="shared" si="50"/>
        <v xml:space="preserve">N79NX   </v>
      </c>
      <c r="BC504">
        <v>1</v>
      </c>
      <c r="BE504">
        <v>0</v>
      </c>
      <c r="BF504">
        <v>0</v>
      </c>
      <c r="BG504">
        <v>0</v>
      </c>
      <c r="BH504">
        <v>3275</v>
      </c>
      <c r="BI504">
        <v>0</v>
      </c>
      <c r="BJ504">
        <v>0</v>
      </c>
      <c r="BK504">
        <v>0</v>
      </c>
      <c r="BL504">
        <v>0</v>
      </c>
      <c r="BO504">
        <v>0</v>
      </c>
      <c r="BP504">
        <v>0</v>
      </c>
      <c r="BW504" t="str">
        <f>"18:38:14.771"</f>
        <v>18:38:14.771</v>
      </c>
      <c r="BZ504">
        <v>0</v>
      </c>
      <c r="CA504">
        <v>3488</v>
      </c>
      <c r="CB504">
        <v>216</v>
      </c>
      <c r="CC504">
        <v>583.59379999999999</v>
      </c>
      <c r="CD504">
        <v>1</v>
      </c>
      <c r="CE504">
        <v>1</v>
      </c>
      <c r="CF504">
        <v>0</v>
      </c>
      <c r="CG504">
        <v>1</v>
      </c>
      <c r="CH504">
        <v>0</v>
      </c>
      <c r="CI504">
        <v>0</v>
      </c>
      <c r="CJ504">
        <v>0</v>
      </c>
      <c r="CK504">
        <v>2</v>
      </c>
      <c r="CL504">
        <v>0</v>
      </c>
      <c r="CM504">
        <v>2</v>
      </c>
      <c r="CN504">
        <v>0</v>
      </c>
      <c r="CO504">
        <v>5</v>
      </c>
      <c r="CP504" t="s">
        <v>119</v>
      </c>
      <c r="CQ504">
        <v>145</v>
      </c>
      <c r="CR504">
        <v>1</v>
      </c>
      <c r="CW504">
        <v>8928638</v>
      </c>
      <c r="CY504">
        <v>0</v>
      </c>
      <c r="CZ504">
        <v>0</v>
      </c>
      <c r="DA504">
        <v>1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</row>
    <row r="505" spans="1:113" x14ac:dyDescent="0.3">
      <c r="A505" t="str">
        <f>"02/13/2022 18:38:15.045"</f>
        <v>02/13/2022 18:38:15.045</v>
      </c>
      <c r="C505" t="str">
        <f t="shared" si="49"/>
        <v>FFDFD7C0</v>
      </c>
      <c r="D505" t="s">
        <v>121</v>
      </c>
      <c r="E505">
        <v>2</v>
      </c>
      <c r="H505">
        <v>158</v>
      </c>
      <c r="I505" t="s">
        <v>120</v>
      </c>
      <c r="J505" t="s">
        <v>122</v>
      </c>
      <c r="K505">
        <v>0</v>
      </c>
      <c r="L505">
        <v>3</v>
      </c>
      <c r="M505">
        <v>0</v>
      </c>
      <c r="N505">
        <v>2</v>
      </c>
      <c r="O505">
        <v>1</v>
      </c>
      <c r="P505">
        <v>0</v>
      </c>
      <c r="Q505">
        <v>0</v>
      </c>
      <c r="S505" t="str">
        <f>"18:38:14.766"</f>
        <v>18:38:14.766</v>
      </c>
      <c r="T505" t="str">
        <f>"18:38:14.366"</f>
        <v>18:38:14.366</v>
      </c>
      <c r="U505" t="str">
        <f t="shared" si="48"/>
        <v>AAB6EE</v>
      </c>
      <c r="V505">
        <v>0</v>
      </c>
      <c r="W505">
        <v>0</v>
      </c>
      <c r="X505">
        <v>4</v>
      </c>
      <c r="Z505">
        <v>0</v>
      </c>
      <c r="AA505">
        <v>8</v>
      </c>
      <c r="AB505">
        <v>3</v>
      </c>
      <c r="AC505">
        <v>0</v>
      </c>
      <c r="AD505">
        <v>10</v>
      </c>
      <c r="AE505">
        <v>0</v>
      </c>
      <c r="AF505">
        <v>0</v>
      </c>
      <c r="AG505">
        <v>1</v>
      </c>
      <c r="AH505">
        <v>1</v>
      </c>
      <c r="AI505" t="s">
        <v>457</v>
      </c>
      <c r="AJ505">
        <v>35.447344999999999</v>
      </c>
      <c r="AK505" t="s">
        <v>458</v>
      </c>
      <c r="AL505">
        <v>-76.078327000000002</v>
      </c>
      <c r="AM505">
        <v>25</v>
      </c>
      <c r="AN505">
        <v>3425</v>
      </c>
      <c r="AO505" t="s">
        <v>118</v>
      </c>
      <c r="AP505">
        <v>-97</v>
      </c>
      <c r="AQ505">
        <v>-193</v>
      </c>
      <c r="AR505">
        <v>0</v>
      </c>
      <c r="AZ505">
        <v>1200</v>
      </c>
      <c r="BA505">
        <v>1</v>
      </c>
      <c r="BB505" t="str">
        <f t="shared" si="50"/>
        <v xml:space="preserve">N79NX   </v>
      </c>
      <c r="BC505">
        <v>1</v>
      </c>
      <c r="BE505">
        <v>0</v>
      </c>
      <c r="BF505">
        <v>0</v>
      </c>
      <c r="BG505">
        <v>0</v>
      </c>
      <c r="BH505">
        <v>3275</v>
      </c>
      <c r="BI505">
        <v>0</v>
      </c>
      <c r="BJ505">
        <v>0</v>
      </c>
      <c r="BK505">
        <v>0</v>
      </c>
      <c r="BL505">
        <v>0</v>
      </c>
      <c r="BO505">
        <v>0</v>
      </c>
      <c r="BP505">
        <v>0</v>
      </c>
      <c r="BW505" t="str">
        <f>"18:38:14.771"</f>
        <v>18:38:14.771</v>
      </c>
      <c r="BZ505">
        <v>0</v>
      </c>
      <c r="CA505">
        <v>3488</v>
      </c>
      <c r="CB505">
        <v>216</v>
      </c>
      <c r="CC505">
        <v>583.59379999999999</v>
      </c>
      <c r="CD505">
        <v>1</v>
      </c>
      <c r="CE505">
        <v>1</v>
      </c>
      <c r="CF505">
        <v>0</v>
      </c>
      <c r="CG505">
        <v>1</v>
      </c>
      <c r="CH505">
        <v>0</v>
      </c>
      <c r="CI505">
        <v>0</v>
      </c>
      <c r="CJ505">
        <v>0</v>
      </c>
      <c r="CK505">
        <v>2</v>
      </c>
      <c r="CL505">
        <v>0</v>
      </c>
      <c r="CM505">
        <v>2</v>
      </c>
      <c r="CN505">
        <v>0</v>
      </c>
      <c r="CO505">
        <v>5</v>
      </c>
      <c r="CP505" t="s">
        <v>119</v>
      </c>
      <c r="CQ505">
        <v>145</v>
      </c>
      <c r="CR505">
        <v>1</v>
      </c>
      <c r="CW505">
        <v>8928638</v>
      </c>
      <c r="CY505">
        <v>0</v>
      </c>
      <c r="CZ505">
        <v>0</v>
      </c>
      <c r="DA505">
        <v>1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</row>
    <row r="506" spans="1:113" x14ac:dyDescent="0.3">
      <c r="A506" t="str">
        <f>"02/13/2022 18:38:15.796"</f>
        <v>02/13/2022 18:38:15.796</v>
      </c>
      <c r="C506" t="str">
        <f t="shared" si="49"/>
        <v>FFDFD7C0</v>
      </c>
      <c r="D506" t="s">
        <v>121</v>
      </c>
      <c r="E506">
        <v>2</v>
      </c>
      <c r="H506">
        <v>158</v>
      </c>
      <c r="I506" t="s">
        <v>120</v>
      </c>
      <c r="J506" t="s">
        <v>122</v>
      </c>
      <c r="K506">
        <v>0</v>
      </c>
      <c r="L506">
        <v>3</v>
      </c>
      <c r="M506">
        <v>0</v>
      </c>
      <c r="N506">
        <v>2</v>
      </c>
      <c r="O506">
        <v>1</v>
      </c>
      <c r="P506">
        <v>0</v>
      </c>
      <c r="Q506">
        <v>0</v>
      </c>
      <c r="S506" t="str">
        <f>"18:38:15.594"</f>
        <v>18:38:15.594</v>
      </c>
      <c r="T506" t="str">
        <f>"18:38:15.494"</f>
        <v>18:38:15.494</v>
      </c>
      <c r="U506" t="str">
        <f t="shared" si="48"/>
        <v>AAB6EE</v>
      </c>
      <c r="V506">
        <v>0</v>
      </c>
      <c r="W506">
        <v>0</v>
      </c>
      <c r="X506">
        <v>4</v>
      </c>
      <c r="Z506">
        <v>0</v>
      </c>
      <c r="AA506">
        <v>8</v>
      </c>
      <c r="AB506">
        <v>3</v>
      </c>
      <c r="AC506">
        <v>0</v>
      </c>
      <c r="AD506">
        <v>10</v>
      </c>
      <c r="AE506">
        <v>0</v>
      </c>
      <c r="AF506">
        <v>0</v>
      </c>
      <c r="AG506">
        <v>1</v>
      </c>
      <c r="AH506">
        <v>1</v>
      </c>
      <c r="AI506" t="s">
        <v>459</v>
      </c>
      <c r="AJ506">
        <v>35.446615000000001</v>
      </c>
      <c r="AK506" t="s">
        <v>460</v>
      </c>
      <c r="AL506">
        <v>-76.078777000000002</v>
      </c>
      <c r="AM506">
        <v>25</v>
      </c>
      <c r="AN506">
        <v>3450</v>
      </c>
      <c r="AO506" t="s">
        <v>118</v>
      </c>
      <c r="AP506">
        <v>-97</v>
      </c>
      <c r="AQ506">
        <v>-194</v>
      </c>
      <c r="AR506">
        <v>0</v>
      </c>
      <c r="AZ506">
        <v>1200</v>
      </c>
      <c r="BA506">
        <v>1</v>
      </c>
      <c r="BB506" t="str">
        <f t="shared" si="50"/>
        <v xml:space="preserve">N79NX   </v>
      </c>
      <c r="BC506">
        <v>1</v>
      </c>
      <c r="BE506">
        <v>0</v>
      </c>
      <c r="BF506">
        <v>0</v>
      </c>
      <c r="BG506">
        <v>0</v>
      </c>
      <c r="BH506">
        <v>3275</v>
      </c>
      <c r="BI506">
        <v>0</v>
      </c>
      <c r="BJ506">
        <v>0</v>
      </c>
      <c r="BK506">
        <v>0</v>
      </c>
      <c r="BL506">
        <v>0</v>
      </c>
      <c r="BO506">
        <v>0</v>
      </c>
      <c r="BP506">
        <v>0</v>
      </c>
      <c r="BW506" t="str">
        <f>"18:38:15.601"</f>
        <v>18:38:15.601</v>
      </c>
      <c r="BZ506">
        <v>0</v>
      </c>
      <c r="CA506">
        <v>3488</v>
      </c>
      <c r="CB506">
        <v>216</v>
      </c>
      <c r="CC506">
        <v>583.59379999999999</v>
      </c>
      <c r="CD506">
        <v>1</v>
      </c>
      <c r="CE506">
        <v>1</v>
      </c>
      <c r="CF506">
        <v>0</v>
      </c>
      <c r="CG506">
        <v>1</v>
      </c>
      <c r="CH506">
        <v>0</v>
      </c>
      <c r="CI506">
        <v>0</v>
      </c>
      <c r="CJ506">
        <v>0</v>
      </c>
      <c r="CK506">
        <v>2</v>
      </c>
      <c r="CL506">
        <v>0</v>
      </c>
      <c r="CM506">
        <v>2</v>
      </c>
      <c r="CN506">
        <v>0</v>
      </c>
      <c r="CO506">
        <v>5</v>
      </c>
      <c r="CP506" t="s">
        <v>119</v>
      </c>
      <c r="CQ506">
        <v>145</v>
      </c>
      <c r="CR506">
        <v>1</v>
      </c>
      <c r="CW506">
        <v>8929084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</row>
    <row r="507" spans="1:113" x14ac:dyDescent="0.3">
      <c r="A507" t="str">
        <f>"02/13/2022 18:38:15.843"</f>
        <v>02/13/2022 18:38:15.843</v>
      </c>
      <c r="C507" t="str">
        <f t="shared" si="49"/>
        <v>FFDFD7C0</v>
      </c>
      <c r="D507" t="s">
        <v>113</v>
      </c>
      <c r="E507">
        <v>4</v>
      </c>
      <c r="F507">
        <v>1004</v>
      </c>
      <c r="G507" t="s">
        <v>120</v>
      </c>
      <c r="J507" t="s">
        <v>115</v>
      </c>
      <c r="K507">
        <v>0</v>
      </c>
      <c r="L507">
        <v>3</v>
      </c>
      <c r="M507">
        <v>0</v>
      </c>
      <c r="N507">
        <v>2</v>
      </c>
      <c r="O507">
        <v>1</v>
      </c>
      <c r="P507">
        <v>0</v>
      </c>
      <c r="Q507">
        <v>0</v>
      </c>
      <c r="S507" t="str">
        <f>"18:38:15.594"</f>
        <v>18:38:15.594</v>
      </c>
      <c r="T507" t="str">
        <f>"18:38:15.494"</f>
        <v>18:38:15.494</v>
      </c>
      <c r="U507" t="str">
        <f t="shared" si="48"/>
        <v>AAB6EE</v>
      </c>
      <c r="V507">
        <v>0</v>
      </c>
      <c r="W507">
        <v>0</v>
      </c>
      <c r="X507">
        <v>4</v>
      </c>
      <c r="Z507">
        <v>0</v>
      </c>
      <c r="AA507">
        <v>8</v>
      </c>
      <c r="AB507">
        <v>3</v>
      </c>
      <c r="AC507">
        <v>0</v>
      </c>
      <c r="AD507">
        <v>10</v>
      </c>
      <c r="AE507">
        <v>0</v>
      </c>
      <c r="AF507">
        <v>0</v>
      </c>
      <c r="AG507">
        <v>1</v>
      </c>
      <c r="AH507">
        <v>1</v>
      </c>
      <c r="AI507" t="s">
        <v>459</v>
      </c>
      <c r="AJ507">
        <v>35.446615000000001</v>
      </c>
      <c r="AK507" t="s">
        <v>460</v>
      </c>
      <c r="AL507">
        <v>-76.078777000000002</v>
      </c>
      <c r="AM507">
        <v>25</v>
      </c>
      <c r="AN507">
        <v>3450</v>
      </c>
      <c r="AO507" t="s">
        <v>118</v>
      </c>
      <c r="AP507">
        <v>-97</v>
      </c>
      <c r="AQ507">
        <v>-194</v>
      </c>
      <c r="AR507">
        <v>0</v>
      </c>
      <c r="AZ507">
        <v>1200</v>
      </c>
      <c r="BA507">
        <v>1</v>
      </c>
      <c r="BB507" t="str">
        <f t="shared" si="50"/>
        <v xml:space="preserve">N79NX   </v>
      </c>
      <c r="BC507">
        <v>1</v>
      </c>
      <c r="BE507">
        <v>0</v>
      </c>
      <c r="BF507">
        <v>0</v>
      </c>
      <c r="BG507">
        <v>0</v>
      </c>
      <c r="BH507">
        <v>3275</v>
      </c>
      <c r="BI507">
        <v>0</v>
      </c>
      <c r="BJ507">
        <v>0</v>
      </c>
      <c r="BK507">
        <v>0</v>
      </c>
      <c r="BL507">
        <v>0</v>
      </c>
      <c r="BO507">
        <v>0</v>
      </c>
      <c r="BP507">
        <v>0</v>
      </c>
      <c r="BW507" t="str">
        <f>"18:38:15.601"</f>
        <v>18:38:15.601</v>
      </c>
      <c r="BZ507">
        <v>0</v>
      </c>
      <c r="CA507">
        <v>3488</v>
      </c>
      <c r="CB507">
        <v>216</v>
      </c>
      <c r="CC507">
        <v>583.59379999999999</v>
      </c>
      <c r="CD507">
        <v>1</v>
      </c>
      <c r="CE507">
        <v>1</v>
      </c>
      <c r="CF507">
        <v>0</v>
      </c>
      <c r="CG507">
        <v>1</v>
      </c>
      <c r="CH507">
        <v>0</v>
      </c>
      <c r="CI507">
        <v>0</v>
      </c>
      <c r="CJ507">
        <v>0</v>
      </c>
      <c r="CK507">
        <v>2</v>
      </c>
      <c r="CL507">
        <v>0</v>
      </c>
      <c r="CM507">
        <v>2</v>
      </c>
      <c r="CN507">
        <v>0</v>
      </c>
      <c r="CO507">
        <v>5</v>
      </c>
      <c r="CP507" t="s">
        <v>119</v>
      </c>
      <c r="CQ507">
        <v>145</v>
      </c>
      <c r="CR507">
        <v>1</v>
      </c>
      <c r="CW507">
        <v>8929084</v>
      </c>
      <c r="CY507">
        <v>0</v>
      </c>
      <c r="CZ507">
        <v>0</v>
      </c>
      <c r="DA507">
        <v>1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</row>
    <row r="508" spans="1:113" x14ac:dyDescent="0.3">
      <c r="A508" t="str">
        <f>"02/13/2022 18:38:15.843"</f>
        <v>02/13/2022 18:38:15.843</v>
      </c>
      <c r="C508" t="str">
        <f t="shared" si="49"/>
        <v>FFDFD7C0</v>
      </c>
      <c r="D508" t="s">
        <v>113</v>
      </c>
      <c r="E508">
        <v>3</v>
      </c>
      <c r="F508">
        <v>1003</v>
      </c>
      <c r="G508" t="s">
        <v>114</v>
      </c>
      <c r="J508" t="s">
        <v>115</v>
      </c>
      <c r="K508">
        <v>0</v>
      </c>
      <c r="L508">
        <v>3</v>
      </c>
      <c r="M508">
        <v>0</v>
      </c>
      <c r="N508">
        <v>2</v>
      </c>
      <c r="O508">
        <v>1</v>
      </c>
      <c r="P508">
        <v>0</v>
      </c>
      <c r="Q508">
        <v>0</v>
      </c>
      <c r="S508" t="str">
        <f>"18:38:15.594"</f>
        <v>18:38:15.594</v>
      </c>
      <c r="T508" t="str">
        <f>"18:38:15.494"</f>
        <v>18:38:15.494</v>
      </c>
      <c r="U508" t="str">
        <f t="shared" si="48"/>
        <v>AAB6EE</v>
      </c>
      <c r="V508">
        <v>0</v>
      </c>
      <c r="W508">
        <v>0</v>
      </c>
      <c r="X508">
        <v>4</v>
      </c>
      <c r="Z508">
        <v>0</v>
      </c>
      <c r="AA508">
        <v>8</v>
      </c>
      <c r="AB508">
        <v>3</v>
      </c>
      <c r="AC508">
        <v>0</v>
      </c>
      <c r="AD508">
        <v>10</v>
      </c>
      <c r="AE508">
        <v>0</v>
      </c>
      <c r="AF508">
        <v>0</v>
      </c>
      <c r="AG508">
        <v>1</v>
      </c>
      <c r="AH508">
        <v>1</v>
      </c>
      <c r="AI508" t="s">
        <v>459</v>
      </c>
      <c r="AJ508">
        <v>35.446615000000001</v>
      </c>
      <c r="AK508" t="s">
        <v>460</v>
      </c>
      <c r="AL508">
        <v>-76.078777000000002</v>
      </c>
      <c r="AM508">
        <v>25</v>
      </c>
      <c r="AN508">
        <v>3450</v>
      </c>
      <c r="AO508" t="s">
        <v>118</v>
      </c>
      <c r="AP508">
        <v>-97</v>
      </c>
      <c r="AQ508">
        <v>-194</v>
      </c>
      <c r="AR508">
        <v>0</v>
      </c>
      <c r="AZ508">
        <v>1200</v>
      </c>
      <c r="BA508">
        <v>1</v>
      </c>
      <c r="BB508" t="str">
        <f t="shared" si="50"/>
        <v xml:space="preserve">N79NX   </v>
      </c>
      <c r="BC508">
        <v>1</v>
      </c>
      <c r="BE508">
        <v>0</v>
      </c>
      <c r="BF508">
        <v>0</v>
      </c>
      <c r="BG508">
        <v>0</v>
      </c>
      <c r="BH508">
        <v>3275</v>
      </c>
      <c r="BI508">
        <v>0</v>
      </c>
      <c r="BJ508">
        <v>0</v>
      </c>
      <c r="BK508">
        <v>0</v>
      </c>
      <c r="BL508">
        <v>0</v>
      </c>
      <c r="BO508">
        <v>0</v>
      </c>
      <c r="BP508">
        <v>0</v>
      </c>
      <c r="BW508" t="str">
        <f>"18:38:15.601"</f>
        <v>18:38:15.601</v>
      </c>
      <c r="BZ508">
        <v>0</v>
      </c>
      <c r="CA508">
        <v>3488</v>
      </c>
      <c r="CB508">
        <v>216</v>
      </c>
      <c r="CC508">
        <v>583.59379999999999</v>
      </c>
      <c r="CD508">
        <v>1</v>
      </c>
      <c r="CE508">
        <v>1</v>
      </c>
      <c r="CF508">
        <v>0</v>
      </c>
      <c r="CG508">
        <v>1</v>
      </c>
      <c r="CH508">
        <v>0</v>
      </c>
      <c r="CI508">
        <v>0</v>
      </c>
      <c r="CJ508">
        <v>0</v>
      </c>
      <c r="CK508">
        <v>2</v>
      </c>
      <c r="CL508">
        <v>0</v>
      </c>
      <c r="CM508">
        <v>2</v>
      </c>
      <c r="CN508">
        <v>0</v>
      </c>
      <c r="CO508">
        <v>5</v>
      </c>
      <c r="CP508" t="s">
        <v>119</v>
      </c>
      <c r="CQ508">
        <v>145</v>
      </c>
      <c r="CR508">
        <v>1</v>
      </c>
      <c r="CW508">
        <v>8929084</v>
      </c>
      <c r="CY508">
        <v>0</v>
      </c>
      <c r="CZ508">
        <v>0</v>
      </c>
      <c r="DA508">
        <v>1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</row>
    <row r="509" spans="1:113" x14ac:dyDescent="0.3">
      <c r="A509" t="str">
        <f>"02/13/2022 18:38:16.859"</f>
        <v>02/13/2022 18:38:16.859</v>
      </c>
      <c r="C509" t="str">
        <f t="shared" si="49"/>
        <v>FFDFD7C0</v>
      </c>
      <c r="D509" t="s">
        <v>113</v>
      </c>
      <c r="E509">
        <v>4</v>
      </c>
      <c r="F509">
        <v>1004</v>
      </c>
      <c r="G509" t="s">
        <v>120</v>
      </c>
      <c r="J509" t="s">
        <v>115</v>
      </c>
      <c r="K509">
        <v>0</v>
      </c>
      <c r="L509">
        <v>3</v>
      </c>
      <c r="M509">
        <v>0</v>
      </c>
      <c r="N509">
        <v>2</v>
      </c>
      <c r="O509">
        <v>1</v>
      </c>
      <c r="P509">
        <v>0</v>
      </c>
      <c r="Q509">
        <v>0</v>
      </c>
      <c r="S509" t="str">
        <f>"18:38:16.648"</f>
        <v>18:38:16.648</v>
      </c>
      <c r="T509" t="str">
        <f>"18:38:16.448"</f>
        <v>18:38:16.448</v>
      </c>
      <c r="U509" t="str">
        <f t="shared" si="48"/>
        <v>AAB6EE</v>
      </c>
      <c r="V509">
        <v>0</v>
      </c>
      <c r="W509">
        <v>0</v>
      </c>
      <c r="X509">
        <v>4</v>
      </c>
      <c r="Z509">
        <v>0</v>
      </c>
      <c r="AA509">
        <v>8</v>
      </c>
      <c r="AB509">
        <v>3</v>
      </c>
      <c r="AC509">
        <v>0</v>
      </c>
      <c r="AD509">
        <v>10</v>
      </c>
      <c r="AE509">
        <v>0</v>
      </c>
      <c r="AF509">
        <v>0</v>
      </c>
      <c r="AG509">
        <v>1</v>
      </c>
      <c r="AH509">
        <v>1</v>
      </c>
      <c r="AI509" t="s">
        <v>461</v>
      </c>
      <c r="AJ509">
        <v>35.445670999999997</v>
      </c>
      <c r="AK509" t="s">
        <v>462</v>
      </c>
      <c r="AL509">
        <v>-76.079378000000005</v>
      </c>
      <c r="AM509">
        <v>25</v>
      </c>
      <c r="AN509">
        <v>3450</v>
      </c>
      <c r="AO509" t="s">
        <v>118</v>
      </c>
      <c r="AP509">
        <v>-97</v>
      </c>
      <c r="AQ509">
        <v>-194</v>
      </c>
      <c r="AR509">
        <v>0</v>
      </c>
      <c r="AZ509">
        <v>1200</v>
      </c>
      <c r="BA509">
        <v>1</v>
      </c>
      <c r="BB509" t="str">
        <f t="shared" si="50"/>
        <v xml:space="preserve">N79NX   </v>
      </c>
      <c r="BC509">
        <v>1</v>
      </c>
      <c r="BE509">
        <v>0</v>
      </c>
      <c r="BF509">
        <v>0</v>
      </c>
      <c r="BG509">
        <v>0</v>
      </c>
      <c r="BH509">
        <v>3275</v>
      </c>
      <c r="BI509">
        <v>0</v>
      </c>
      <c r="BJ509">
        <v>0</v>
      </c>
      <c r="BK509">
        <v>0</v>
      </c>
      <c r="BL509">
        <v>0</v>
      </c>
      <c r="BO509">
        <v>0</v>
      </c>
      <c r="BP509">
        <v>0</v>
      </c>
      <c r="BW509" t="str">
        <f>"18:38:16.651"</f>
        <v>18:38:16.651</v>
      </c>
      <c r="BZ509">
        <v>0</v>
      </c>
      <c r="CA509">
        <v>3488</v>
      </c>
      <c r="CB509">
        <v>216</v>
      </c>
      <c r="CC509">
        <v>583.59379999999999</v>
      </c>
      <c r="CD509">
        <v>1</v>
      </c>
      <c r="CE509">
        <v>1</v>
      </c>
      <c r="CF509">
        <v>0</v>
      </c>
      <c r="CG509">
        <v>1</v>
      </c>
      <c r="CH509">
        <v>0</v>
      </c>
      <c r="CI509">
        <v>0</v>
      </c>
      <c r="CJ509">
        <v>0</v>
      </c>
      <c r="CK509">
        <v>2</v>
      </c>
      <c r="CL509">
        <v>0</v>
      </c>
      <c r="CM509">
        <v>2</v>
      </c>
      <c r="CN509">
        <v>0</v>
      </c>
      <c r="CO509">
        <v>5</v>
      </c>
      <c r="CP509" t="s">
        <v>119</v>
      </c>
      <c r="CQ509">
        <v>145</v>
      </c>
      <c r="CR509">
        <v>1</v>
      </c>
      <c r="CW509">
        <v>8929655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</row>
    <row r="510" spans="1:113" x14ac:dyDescent="0.3">
      <c r="A510" t="str">
        <f>"02/13/2022 18:38:16.859"</f>
        <v>02/13/2022 18:38:16.859</v>
      </c>
      <c r="C510" t="str">
        <f t="shared" si="49"/>
        <v>FFDFD7C0</v>
      </c>
      <c r="D510" t="s">
        <v>113</v>
      </c>
      <c r="E510">
        <v>3</v>
      </c>
      <c r="F510">
        <v>1003</v>
      </c>
      <c r="G510" t="s">
        <v>114</v>
      </c>
      <c r="J510" t="s">
        <v>115</v>
      </c>
      <c r="K510">
        <v>0</v>
      </c>
      <c r="L510">
        <v>3</v>
      </c>
      <c r="M510">
        <v>0</v>
      </c>
      <c r="N510">
        <v>2</v>
      </c>
      <c r="O510">
        <v>1</v>
      </c>
      <c r="P510">
        <v>0</v>
      </c>
      <c r="Q510">
        <v>0</v>
      </c>
      <c r="S510" t="str">
        <f>"18:38:16.648"</f>
        <v>18:38:16.648</v>
      </c>
      <c r="T510" t="str">
        <f>"18:38:16.448"</f>
        <v>18:38:16.448</v>
      </c>
      <c r="U510" t="str">
        <f t="shared" si="48"/>
        <v>AAB6EE</v>
      </c>
      <c r="V510">
        <v>0</v>
      </c>
      <c r="W510">
        <v>0</v>
      </c>
      <c r="X510">
        <v>4</v>
      </c>
      <c r="Z510">
        <v>0</v>
      </c>
      <c r="AA510">
        <v>8</v>
      </c>
      <c r="AB510">
        <v>3</v>
      </c>
      <c r="AC510">
        <v>0</v>
      </c>
      <c r="AD510">
        <v>10</v>
      </c>
      <c r="AE510">
        <v>0</v>
      </c>
      <c r="AF510">
        <v>0</v>
      </c>
      <c r="AG510">
        <v>1</v>
      </c>
      <c r="AH510">
        <v>1</v>
      </c>
      <c r="AI510" t="s">
        <v>461</v>
      </c>
      <c r="AJ510">
        <v>35.445670999999997</v>
      </c>
      <c r="AK510" t="s">
        <v>462</v>
      </c>
      <c r="AL510">
        <v>-76.079378000000005</v>
      </c>
      <c r="AM510">
        <v>25</v>
      </c>
      <c r="AN510">
        <v>3450</v>
      </c>
      <c r="AO510" t="s">
        <v>118</v>
      </c>
      <c r="AP510">
        <v>-97</v>
      </c>
      <c r="AQ510">
        <v>-194</v>
      </c>
      <c r="AR510">
        <v>0</v>
      </c>
      <c r="AZ510">
        <v>1200</v>
      </c>
      <c r="BA510">
        <v>1</v>
      </c>
      <c r="BB510" t="str">
        <f t="shared" si="50"/>
        <v xml:space="preserve">N79NX   </v>
      </c>
      <c r="BC510">
        <v>1</v>
      </c>
      <c r="BE510">
        <v>0</v>
      </c>
      <c r="BF510">
        <v>0</v>
      </c>
      <c r="BG510">
        <v>0</v>
      </c>
      <c r="BH510">
        <v>3275</v>
      </c>
      <c r="BI510">
        <v>0</v>
      </c>
      <c r="BJ510">
        <v>0</v>
      </c>
      <c r="BK510">
        <v>0</v>
      </c>
      <c r="BL510">
        <v>0</v>
      </c>
      <c r="BO510">
        <v>0</v>
      </c>
      <c r="BP510">
        <v>0</v>
      </c>
      <c r="BW510" t="str">
        <f>"18:38:16.651"</f>
        <v>18:38:16.651</v>
      </c>
      <c r="BZ510">
        <v>0</v>
      </c>
      <c r="CA510">
        <v>3488</v>
      </c>
      <c r="CB510">
        <v>216</v>
      </c>
      <c r="CC510">
        <v>583.59379999999999</v>
      </c>
      <c r="CD510">
        <v>1</v>
      </c>
      <c r="CE510">
        <v>1</v>
      </c>
      <c r="CF510">
        <v>0</v>
      </c>
      <c r="CG510">
        <v>1</v>
      </c>
      <c r="CH510">
        <v>0</v>
      </c>
      <c r="CI510">
        <v>0</v>
      </c>
      <c r="CJ510">
        <v>0</v>
      </c>
      <c r="CK510">
        <v>2</v>
      </c>
      <c r="CL510">
        <v>0</v>
      </c>
      <c r="CM510">
        <v>2</v>
      </c>
      <c r="CN510">
        <v>0</v>
      </c>
      <c r="CO510">
        <v>5</v>
      </c>
      <c r="CP510" t="s">
        <v>119</v>
      </c>
      <c r="CQ510">
        <v>145</v>
      </c>
      <c r="CR510">
        <v>1</v>
      </c>
      <c r="CW510">
        <v>8929655</v>
      </c>
      <c r="CY510">
        <v>0</v>
      </c>
      <c r="CZ510">
        <v>0</v>
      </c>
      <c r="DA510">
        <v>1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</row>
    <row r="511" spans="1:113" x14ac:dyDescent="0.3">
      <c r="A511" t="str">
        <f>"02/13/2022 18:38:16.906"</f>
        <v>02/13/2022 18:38:16.906</v>
      </c>
      <c r="C511" t="str">
        <f t="shared" si="49"/>
        <v>FFDFD7C0</v>
      </c>
      <c r="D511" t="s">
        <v>121</v>
      </c>
      <c r="E511">
        <v>2</v>
      </c>
      <c r="H511">
        <v>158</v>
      </c>
      <c r="I511" t="s">
        <v>120</v>
      </c>
      <c r="J511" t="s">
        <v>122</v>
      </c>
      <c r="K511">
        <v>0</v>
      </c>
      <c r="L511">
        <v>3</v>
      </c>
      <c r="M511">
        <v>0</v>
      </c>
      <c r="N511">
        <v>2</v>
      </c>
      <c r="O511">
        <v>1</v>
      </c>
      <c r="P511">
        <v>0</v>
      </c>
      <c r="Q511">
        <v>0</v>
      </c>
      <c r="S511" t="str">
        <f>"18:38:16.648"</f>
        <v>18:38:16.648</v>
      </c>
      <c r="T511" t="str">
        <f>"18:38:16.448"</f>
        <v>18:38:16.448</v>
      </c>
      <c r="U511" t="str">
        <f t="shared" si="48"/>
        <v>AAB6EE</v>
      </c>
      <c r="V511">
        <v>0</v>
      </c>
      <c r="W511">
        <v>0</v>
      </c>
      <c r="X511">
        <v>4</v>
      </c>
      <c r="Z511">
        <v>0</v>
      </c>
      <c r="AA511">
        <v>8</v>
      </c>
      <c r="AB511">
        <v>3</v>
      </c>
      <c r="AC511">
        <v>0</v>
      </c>
      <c r="AD511">
        <v>10</v>
      </c>
      <c r="AE511">
        <v>0</v>
      </c>
      <c r="AF511">
        <v>0</v>
      </c>
      <c r="AG511">
        <v>1</v>
      </c>
      <c r="AH511">
        <v>1</v>
      </c>
      <c r="AI511" t="s">
        <v>461</v>
      </c>
      <c r="AJ511">
        <v>35.445670999999997</v>
      </c>
      <c r="AK511" t="s">
        <v>462</v>
      </c>
      <c r="AL511">
        <v>-76.079378000000005</v>
      </c>
      <c r="AM511">
        <v>25</v>
      </c>
      <c r="AN511">
        <v>3450</v>
      </c>
      <c r="AO511" t="s">
        <v>118</v>
      </c>
      <c r="AP511">
        <v>-97</v>
      </c>
      <c r="AQ511">
        <v>-194</v>
      </c>
      <c r="AR511">
        <v>0</v>
      </c>
      <c r="AZ511">
        <v>1200</v>
      </c>
      <c r="BA511">
        <v>1</v>
      </c>
      <c r="BB511" t="str">
        <f t="shared" si="50"/>
        <v xml:space="preserve">N79NX   </v>
      </c>
      <c r="BC511">
        <v>1</v>
      </c>
      <c r="BE511">
        <v>0</v>
      </c>
      <c r="BF511">
        <v>0</v>
      </c>
      <c r="BG511">
        <v>0</v>
      </c>
      <c r="BH511">
        <v>3275</v>
      </c>
      <c r="BI511">
        <v>0</v>
      </c>
      <c r="BJ511">
        <v>0</v>
      </c>
      <c r="BK511">
        <v>0</v>
      </c>
      <c r="BL511">
        <v>0</v>
      </c>
      <c r="BO511">
        <v>0</v>
      </c>
      <c r="BP511">
        <v>0</v>
      </c>
      <c r="BW511" t="str">
        <f>"18:38:16.651"</f>
        <v>18:38:16.651</v>
      </c>
      <c r="BZ511">
        <v>0</v>
      </c>
      <c r="CA511">
        <v>3488</v>
      </c>
      <c r="CB511">
        <v>216</v>
      </c>
      <c r="CC511">
        <v>583.59379999999999</v>
      </c>
      <c r="CD511">
        <v>1</v>
      </c>
      <c r="CE511">
        <v>1</v>
      </c>
      <c r="CF511">
        <v>0</v>
      </c>
      <c r="CG511">
        <v>1</v>
      </c>
      <c r="CH511">
        <v>0</v>
      </c>
      <c r="CI511">
        <v>0</v>
      </c>
      <c r="CJ511">
        <v>0</v>
      </c>
      <c r="CK511">
        <v>2</v>
      </c>
      <c r="CL511">
        <v>0</v>
      </c>
      <c r="CM511">
        <v>2</v>
      </c>
      <c r="CN511">
        <v>0</v>
      </c>
      <c r="CO511">
        <v>5</v>
      </c>
      <c r="CP511" t="s">
        <v>119</v>
      </c>
      <c r="CQ511">
        <v>145</v>
      </c>
      <c r="CR511">
        <v>1</v>
      </c>
      <c r="CW511">
        <v>8929655</v>
      </c>
      <c r="CY511">
        <v>0</v>
      </c>
      <c r="CZ511">
        <v>0</v>
      </c>
      <c r="DA511">
        <v>1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</row>
    <row r="512" spans="1:113" x14ac:dyDescent="0.3">
      <c r="A512" t="str">
        <f>"02/13/2022 18:38:17.969"</f>
        <v>02/13/2022 18:38:17.969</v>
      </c>
      <c r="C512" t="str">
        <f t="shared" si="49"/>
        <v>FFDFD7C0</v>
      </c>
      <c r="D512" t="s">
        <v>121</v>
      </c>
      <c r="E512">
        <v>2</v>
      </c>
      <c r="H512">
        <v>158</v>
      </c>
      <c r="I512" t="s">
        <v>120</v>
      </c>
      <c r="J512" t="s">
        <v>122</v>
      </c>
      <c r="K512">
        <v>0</v>
      </c>
      <c r="L512">
        <v>3</v>
      </c>
      <c r="M512">
        <v>0</v>
      </c>
      <c r="N512">
        <v>2</v>
      </c>
      <c r="O512">
        <v>1</v>
      </c>
      <c r="P512">
        <v>0</v>
      </c>
      <c r="Q512">
        <v>0</v>
      </c>
      <c r="S512" t="str">
        <f>"18:38:17.727"</f>
        <v>18:38:17.727</v>
      </c>
      <c r="T512" t="str">
        <f>"18:38:17.427"</f>
        <v>18:38:17.427</v>
      </c>
      <c r="U512" t="str">
        <f t="shared" si="48"/>
        <v>AAB6EE</v>
      </c>
      <c r="V512">
        <v>0</v>
      </c>
      <c r="W512">
        <v>0</v>
      </c>
      <c r="X512">
        <v>4</v>
      </c>
      <c r="Z512">
        <v>0</v>
      </c>
      <c r="AA512">
        <v>8</v>
      </c>
      <c r="AB512">
        <v>3</v>
      </c>
      <c r="AC512">
        <v>0</v>
      </c>
      <c r="AD512">
        <v>10</v>
      </c>
      <c r="AE512">
        <v>0</v>
      </c>
      <c r="AF512">
        <v>0</v>
      </c>
      <c r="AG512">
        <v>1</v>
      </c>
      <c r="AH512">
        <v>1</v>
      </c>
      <c r="AI512" t="s">
        <v>463</v>
      </c>
      <c r="AJ512">
        <v>35.444640999999997</v>
      </c>
      <c r="AK512" t="s">
        <v>464</v>
      </c>
      <c r="AL512">
        <v>-76.079978999999994</v>
      </c>
      <c r="AM512">
        <v>25</v>
      </c>
      <c r="AN512">
        <v>3425</v>
      </c>
      <c r="AO512" t="s">
        <v>118</v>
      </c>
      <c r="AP512">
        <v>-97</v>
      </c>
      <c r="AQ512">
        <v>-194</v>
      </c>
      <c r="AR512">
        <v>0</v>
      </c>
      <c r="AZ512">
        <v>1200</v>
      </c>
      <c r="BA512">
        <v>1</v>
      </c>
      <c r="BB512" t="str">
        <f t="shared" si="50"/>
        <v xml:space="preserve">N79NX   </v>
      </c>
      <c r="BC512">
        <v>1</v>
      </c>
      <c r="BE512">
        <v>0</v>
      </c>
      <c r="BF512">
        <v>0</v>
      </c>
      <c r="BG512">
        <v>0</v>
      </c>
      <c r="BH512">
        <v>3300</v>
      </c>
      <c r="BI512">
        <v>0</v>
      </c>
      <c r="BJ512">
        <v>0</v>
      </c>
      <c r="BK512">
        <v>0</v>
      </c>
      <c r="BL512">
        <v>0</v>
      </c>
      <c r="BO512">
        <v>0</v>
      </c>
      <c r="BP512">
        <v>0</v>
      </c>
      <c r="BW512" t="str">
        <f>"18:38:17.731"</f>
        <v>18:38:17.731</v>
      </c>
      <c r="BZ512">
        <v>0</v>
      </c>
      <c r="CA512">
        <v>3488</v>
      </c>
      <c r="CB512">
        <v>216</v>
      </c>
      <c r="CC512">
        <v>583.59379999999999</v>
      </c>
      <c r="CD512">
        <v>1</v>
      </c>
      <c r="CE512">
        <v>1</v>
      </c>
      <c r="CF512">
        <v>0</v>
      </c>
      <c r="CG512">
        <v>1</v>
      </c>
      <c r="CH512">
        <v>0</v>
      </c>
      <c r="CI512">
        <v>0</v>
      </c>
      <c r="CJ512">
        <v>0</v>
      </c>
      <c r="CK512">
        <v>2</v>
      </c>
      <c r="CL512">
        <v>0</v>
      </c>
      <c r="CM512">
        <v>2</v>
      </c>
      <c r="CN512">
        <v>0</v>
      </c>
      <c r="CO512">
        <v>5</v>
      </c>
      <c r="CP512" t="s">
        <v>119</v>
      </c>
      <c r="CQ512">
        <v>145</v>
      </c>
      <c r="CR512">
        <v>1</v>
      </c>
      <c r="CW512">
        <v>8930092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</row>
    <row r="513" spans="1:113" x14ac:dyDescent="0.3">
      <c r="A513" t="str">
        <f>"02/13/2022 18:38:18.000"</f>
        <v>02/13/2022 18:38:18.000</v>
      </c>
      <c r="C513" t="str">
        <f t="shared" si="49"/>
        <v>FFDFD7C0</v>
      </c>
      <c r="D513" t="s">
        <v>113</v>
      </c>
      <c r="E513">
        <v>4</v>
      </c>
      <c r="F513">
        <v>1004</v>
      </c>
      <c r="G513" t="s">
        <v>120</v>
      </c>
      <c r="J513" t="s">
        <v>115</v>
      </c>
      <c r="K513">
        <v>0</v>
      </c>
      <c r="L513">
        <v>3</v>
      </c>
      <c r="M513">
        <v>0</v>
      </c>
      <c r="N513">
        <v>2</v>
      </c>
      <c r="O513">
        <v>1</v>
      </c>
      <c r="P513">
        <v>0</v>
      </c>
      <c r="Q513">
        <v>0</v>
      </c>
      <c r="S513" t="str">
        <f>"18:38:17.727"</f>
        <v>18:38:17.727</v>
      </c>
      <c r="T513" t="str">
        <f>"18:38:17.427"</f>
        <v>18:38:17.427</v>
      </c>
      <c r="U513" t="str">
        <f t="shared" si="48"/>
        <v>AAB6EE</v>
      </c>
      <c r="V513">
        <v>0</v>
      </c>
      <c r="W513">
        <v>0</v>
      </c>
      <c r="X513">
        <v>4</v>
      </c>
      <c r="Z513">
        <v>0</v>
      </c>
      <c r="AA513">
        <v>8</v>
      </c>
      <c r="AB513">
        <v>3</v>
      </c>
      <c r="AC513">
        <v>0</v>
      </c>
      <c r="AD513">
        <v>10</v>
      </c>
      <c r="AE513">
        <v>0</v>
      </c>
      <c r="AF513">
        <v>0</v>
      </c>
      <c r="AG513">
        <v>1</v>
      </c>
      <c r="AH513">
        <v>1</v>
      </c>
      <c r="AI513" t="s">
        <v>463</v>
      </c>
      <c r="AJ513">
        <v>35.444640999999997</v>
      </c>
      <c r="AK513" t="s">
        <v>464</v>
      </c>
      <c r="AL513">
        <v>-76.079978999999994</v>
      </c>
      <c r="AM513">
        <v>25</v>
      </c>
      <c r="AN513">
        <v>3425</v>
      </c>
      <c r="AO513" t="s">
        <v>118</v>
      </c>
      <c r="AP513">
        <v>-97</v>
      </c>
      <c r="AQ513">
        <v>-194</v>
      </c>
      <c r="AR513">
        <v>0</v>
      </c>
      <c r="AZ513">
        <v>1200</v>
      </c>
      <c r="BA513">
        <v>1</v>
      </c>
      <c r="BB513" t="str">
        <f t="shared" si="50"/>
        <v xml:space="preserve">N79NX   </v>
      </c>
      <c r="BC513">
        <v>1</v>
      </c>
      <c r="BE513">
        <v>0</v>
      </c>
      <c r="BF513">
        <v>0</v>
      </c>
      <c r="BG513">
        <v>0</v>
      </c>
      <c r="BH513">
        <v>3300</v>
      </c>
      <c r="BI513">
        <v>0</v>
      </c>
      <c r="BJ513">
        <v>0</v>
      </c>
      <c r="BK513">
        <v>0</v>
      </c>
      <c r="BL513">
        <v>0</v>
      </c>
      <c r="BO513">
        <v>0</v>
      </c>
      <c r="BP513">
        <v>0</v>
      </c>
      <c r="BW513" t="str">
        <f>"18:38:17.731"</f>
        <v>18:38:17.731</v>
      </c>
      <c r="BZ513">
        <v>0</v>
      </c>
      <c r="CA513">
        <v>3488</v>
      </c>
      <c r="CB513">
        <v>216</v>
      </c>
      <c r="CC513">
        <v>583.59379999999999</v>
      </c>
      <c r="CD513">
        <v>1</v>
      </c>
      <c r="CE513">
        <v>1</v>
      </c>
      <c r="CF513">
        <v>0</v>
      </c>
      <c r="CG513">
        <v>1</v>
      </c>
      <c r="CH513">
        <v>0</v>
      </c>
      <c r="CI513">
        <v>0</v>
      </c>
      <c r="CJ513">
        <v>0</v>
      </c>
      <c r="CK513">
        <v>2</v>
      </c>
      <c r="CL513">
        <v>0</v>
      </c>
      <c r="CM513">
        <v>2</v>
      </c>
      <c r="CN513">
        <v>0</v>
      </c>
      <c r="CO513">
        <v>5</v>
      </c>
      <c r="CP513" t="s">
        <v>119</v>
      </c>
      <c r="CQ513">
        <v>145</v>
      </c>
      <c r="CR513">
        <v>1</v>
      </c>
      <c r="CW513">
        <v>8930092</v>
      </c>
      <c r="CY513">
        <v>0</v>
      </c>
      <c r="CZ513">
        <v>0</v>
      </c>
      <c r="DA513">
        <v>1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</row>
    <row r="514" spans="1:113" x14ac:dyDescent="0.3">
      <c r="A514" t="str">
        <f>"02/13/2022 18:38:18.000"</f>
        <v>02/13/2022 18:38:18.000</v>
      </c>
      <c r="C514" t="str">
        <f t="shared" si="49"/>
        <v>FFDFD7C0</v>
      </c>
      <c r="D514" t="s">
        <v>113</v>
      </c>
      <c r="E514">
        <v>3</v>
      </c>
      <c r="F514">
        <v>1003</v>
      </c>
      <c r="G514" t="s">
        <v>114</v>
      </c>
      <c r="J514" t="s">
        <v>115</v>
      </c>
      <c r="K514">
        <v>0</v>
      </c>
      <c r="L514">
        <v>3</v>
      </c>
      <c r="M514">
        <v>0</v>
      </c>
      <c r="N514">
        <v>2</v>
      </c>
      <c r="O514">
        <v>1</v>
      </c>
      <c r="P514">
        <v>0</v>
      </c>
      <c r="Q514">
        <v>0</v>
      </c>
      <c r="S514" t="str">
        <f>"18:38:17.727"</f>
        <v>18:38:17.727</v>
      </c>
      <c r="T514" t="str">
        <f>"18:38:17.427"</f>
        <v>18:38:17.427</v>
      </c>
      <c r="U514" t="str">
        <f t="shared" ref="U514:U577" si="54">"AAB6EE"</f>
        <v>AAB6EE</v>
      </c>
      <c r="V514">
        <v>0</v>
      </c>
      <c r="W514">
        <v>0</v>
      </c>
      <c r="X514">
        <v>4</v>
      </c>
      <c r="Z514">
        <v>0</v>
      </c>
      <c r="AA514">
        <v>8</v>
      </c>
      <c r="AB514">
        <v>3</v>
      </c>
      <c r="AC514">
        <v>0</v>
      </c>
      <c r="AD514">
        <v>10</v>
      </c>
      <c r="AE514">
        <v>0</v>
      </c>
      <c r="AF514">
        <v>0</v>
      </c>
      <c r="AG514">
        <v>1</v>
      </c>
      <c r="AH514">
        <v>1</v>
      </c>
      <c r="AI514" t="s">
        <v>463</v>
      </c>
      <c r="AJ514">
        <v>35.444640999999997</v>
      </c>
      <c r="AK514" t="s">
        <v>464</v>
      </c>
      <c r="AL514">
        <v>-76.079978999999994</v>
      </c>
      <c r="AM514">
        <v>25</v>
      </c>
      <c r="AN514">
        <v>3425</v>
      </c>
      <c r="AO514" t="s">
        <v>118</v>
      </c>
      <c r="AP514">
        <v>-97</v>
      </c>
      <c r="AQ514">
        <v>-194</v>
      </c>
      <c r="AR514">
        <v>0</v>
      </c>
      <c r="AZ514">
        <v>1200</v>
      </c>
      <c r="BA514">
        <v>1</v>
      </c>
      <c r="BB514" t="str">
        <f t="shared" si="50"/>
        <v xml:space="preserve">N79NX   </v>
      </c>
      <c r="BC514">
        <v>1</v>
      </c>
      <c r="BE514">
        <v>0</v>
      </c>
      <c r="BF514">
        <v>0</v>
      </c>
      <c r="BG514">
        <v>0</v>
      </c>
      <c r="BH514">
        <v>3300</v>
      </c>
      <c r="BI514">
        <v>0</v>
      </c>
      <c r="BJ514">
        <v>0</v>
      </c>
      <c r="BK514">
        <v>0</v>
      </c>
      <c r="BL514">
        <v>0</v>
      </c>
      <c r="BO514">
        <v>0</v>
      </c>
      <c r="BP514">
        <v>0</v>
      </c>
      <c r="BW514" t="str">
        <f>"18:38:17.731"</f>
        <v>18:38:17.731</v>
      </c>
      <c r="BZ514">
        <v>0</v>
      </c>
      <c r="CA514">
        <v>3488</v>
      </c>
      <c r="CB514">
        <v>216</v>
      </c>
      <c r="CC514">
        <v>583.59379999999999</v>
      </c>
      <c r="CD514">
        <v>1</v>
      </c>
      <c r="CE514">
        <v>1</v>
      </c>
      <c r="CF514">
        <v>0</v>
      </c>
      <c r="CG514">
        <v>1</v>
      </c>
      <c r="CH514">
        <v>0</v>
      </c>
      <c r="CI514">
        <v>0</v>
      </c>
      <c r="CJ514">
        <v>0</v>
      </c>
      <c r="CK514">
        <v>2</v>
      </c>
      <c r="CL514">
        <v>0</v>
      </c>
      <c r="CM514">
        <v>2</v>
      </c>
      <c r="CN514">
        <v>0</v>
      </c>
      <c r="CO514">
        <v>5</v>
      </c>
      <c r="CP514" t="s">
        <v>119</v>
      </c>
      <c r="CQ514">
        <v>145</v>
      </c>
      <c r="CR514">
        <v>1</v>
      </c>
      <c r="CW514">
        <v>8930092</v>
      </c>
      <c r="CY514">
        <v>0</v>
      </c>
      <c r="CZ514">
        <v>0</v>
      </c>
      <c r="DA514">
        <v>1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</row>
    <row r="515" spans="1:113" x14ac:dyDescent="0.3">
      <c r="A515" t="str">
        <f>"02/13/2022 18:38:18.953"</f>
        <v>02/13/2022 18:38:18.953</v>
      </c>
      <c r="C515" t="str">
        <f t="shared" si="49"/>
        <v>FFDFD7C0</v>
      </c>
      <c r="D515" t="s">
        <v>113</v>
      </c>
      <c r="E515">
        <v>4</v>
      </c>
      <c r="F515">
        <v>1004</v>
      </c>
      <c r="G515" t="s">
        <v>120</v>
      </c>
      <c r="J515" t="s">
        <v>115</v>
      </c>
      <c r="K515">
        <v>0</v>
      </c>
      <c r="L515">
        <v>3</v>
      </c>
      <c r="M515">
        <v>0</v>
      </c>
      <c r="N515">
        <v>2</v>
      </c>
      <c r="O515">
        <v>1</v>
      </c>
      <c r="P515">
        <v>0</v>
      </c>
      <c r="Q515">
        <v>0</v>
      </c>
      <c r="S515" t="str">
        <f>"18:38:18.719"</f>
        <v>18:38:18.719</v>
      </c>
      <c r="T515" t="str">
        <f>"18:38:18.419"</f>
        <v>18:38:18.419</v>
      </c>
      <c r="U515" t="str">
        <f t="shared" si="54"/>
        <v>AAB6EE</v>
      </c>
      <c r="V515">
        <v>0</v>
      </c>
      <c r="W515">
        <v>0</v>
      </c>
      <c r="X515">
        <v>4</v>
      </c>
      <c r="Z515">
        <v>0</v>
      </c>
      <c r="AA515">
        <v>8</v>
      </c>
      <c r="AB515">
        <v>3</v>
      </c>
      <c r="AC515">
        <v>0</v>
      </c>
      <c r="AD515">
        <v>10</v>
      </c>
      <c r="AE515">
        <v>0</v>
      </c>
      <c r="AF515">
        <v>0</v>
      </c>
      <c r="AG515">
        <v>1</v>
      </c>
      <c r="AH515">
        <v>1</v>
      </c>
      <c r="AI515" t="s">
        <v>465</v>
      </c>
      <c r="AJ515">
        <v>35.443761000000002</v>
      </c>
      <c r="AK515" t="s">
        <v>466</v>
      </c>
      <c r="AL515">
        <v>-76.080494000000002</v>
      </c>
      <c r="AM515">
        <v>25</v>
      </c>
      <c r="AN515">
        <v>3425</v>
      </c>
      <c r="AO515" t="s">
        <v>118</v>
      </c>
      <c r="AP515">
        <v>-97</v>
      </c>
      <c r="AQ515">
        <v>-194</v>
      </c>
      <c r="AR515">
        <v>0</v>
      </c>
      <c r="AZ515">
        <v>1200</v>
      </c>
      <c r="BA515">
        <v>1</v>
      </c>
      <c r="BB515" t="str">
        <f t="shared" si="50"/>
        <v xml:space="preserve">N79NX   </v>
      </c>
      <c r="BC515">
        <v>1</v>
      </c>
      <c r="BE515">
        <v>0</v>
      </c>
      <c r="BF515">
        <v>0</v>
      </c>
      <c r="BG515">
        <v>0</v>
      </c>
      <c r="BH515">
        <v>3300</v>
      </c>
      <c r="BI515">
        <v>0</v>
      </c>
      <c r="BJ515">
        <v>0</v>
      </c>
      <c r="BK515">
        <v>0</v>
      </c>
      <c r="BL515">
        <v>0</v>
      </c>
      <c r="BO515">
        <v>0</v>
      </c>
      <c r="BP515">
        <v>0</v>
      </c>
      <c r="BW515" t="str">
        <f>"18:38:18.721"</f>
        <v>18:38:18.721</v>
      </c>
      <c r="BZ515">
        <v>0</v>
      </c>
      <c r="CA515">
        <v>3488</v>
      </c>
      <c r="CB515">
        <v>216</v>
      </c>
      <c r="CC515">
        <v>583.59379999999999</v>
      </c>
      <c r="CD515">
        <v>1</v>
      </c>
      <c r="CE515">
        <v>1</v>
      </c>
      <c r="CF515">
        <v>0</v>
      </c>
      <c r="CG515">
        <v>1</v>
      </c>
      <c r="CH515">
        <v>0</v>
      </c>
      <c r="CI515">
        <v>0</v>
      </c>
      <c r="CJ515">
        <v>0</v>
      </c>
      <c r="CK515">
        <v>2</v>
      </c>
      <c r="CL515">
        <v>0</v>
      </c>
      <c r="CM515">
        <v>2</v>
      </c>
      <c r="CN515">
        <v>0</v>
      </c>
      <c r="CO515">
        <v>5</v>
      </c>
      <c r="CP515" t="s">
        <v>119</v>
      </c>
      <c r="CQ515">
        <v>145</v>
      </c>
      <c r="CR515">
        <v>1</v>
      </c>
      <c r="CW515">
        <v>8930561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</row>
    <row r="516" spans="1:113" x14ac:dyDescent="0.3">
      <c r="A516" t="str">
        <f>"02/13/2022 18:38:18.953"</f>
        <v>02/13/2022 18:38:18.953</v>
      </c>
      <c r="C516" t="str">
        <f t="shared" si="49"/>
        <v>FFDFD7C0</v>
      </c>
      <c r="D516" t="s">
        <v>113</v>
      </c>
      <c r="E516">
        <v>3</v>
      </c>
      <c r="F516">
        <v>1003</v>
      </c>
      <c r="G516" t="s">
        <v>114</v>
      </c>
      <c r="J516" t="s">
        <v>115</v>
      </c>
      <c r="K516">
        <v>0</v>
      </c>
      <c r="L516">
        <v>3</v>
      </c>
      <c r="M516">
        <v>0</v>
      </c>
      <c r="N516">
        <v>2</v>
      </c>
      <c r="O516">
        <v>1</v>
      </c>
      <c r="P516">
        <v>0</v>
      </c>
      <c r="Q516">
        <v>0</v>
      </c>
      <c r="S516" t="str">
        <f>"18:38:18.719"</f>
        <v>18:38:18.719</v>
      </c>
      <c r="T516" t="str">
        <f>"18:38:18.419"</f>
        <v>18:38:18.419</v>
      </c>
      <c r="U516" t="str">
        <f t="shared" si="54"/>
        <v>AAB6EE</v>
      </c>
      <c r="V516">
        <v>0</v>
      </c>
      <c r="W516">
        <v>0</v>
      </c>
      <c r="X516">
        <v>4</v>
      </c>
      <c r="Z516">
        <v>0</v>
      </c>
      <c r="AA516">
        <v>8</v>
      </c>
      <c r="AB516">
        <v>3</v>
      </c>
      <c r="AC516">
        <v>0</v>
      </c>
      <c r="AD516">
        <v>10</v>
      </c>
      <c r="AE516">
        <v>0</v>
      </c>
      <c r="AF516">
        <v>0</v>
      </c>
      <c r="AG516">
        <v>1</v>
      </c>
      <c r="AH516">
        <v>1</v>
      </c>
      <c r="AI516" t="s">
        <v>465</v>
      </c>
      <c r="AJ516">
        <v>35.443761000000002</v>
      </c>
      <c r="AK516" t="s">
        <v>466</v>
      </c>
      <c r="AL516">
        <v>-76.080494000000002</v>
      </c>
      <c r="AM516">
        <v>25</v>
      </c>
      <c r="AN516">
        <v>3425</v>
      </c>
      <c r="AO516" t="s">
        <v>118</v>
      </c>
      <c r="AP516">
        <v>-97</v>
      </c>
      <c r="AQ516">
        <v>-194</v>
      </c>
      <c r="AR516">
        <v>0</v>
      </c>
      <c r="AZ516">
        <v>1200</v>
      </c>
      <c r="BA516">
        <v>1</v>
      </c>
      <c r="BB516" t="str">
        <f t="shared" si="50"/>
        <v xml:space="preserve">N79NX   </v>
      </c>
      <c r="BC516">
        <v>1</v>
      </c>
      <c r="BE516">
        <v>0</v>
      </c>
      <c r="BF516">
        <v>0</v>
      </c>
      <c r="BG516">
        <v>0</v>
      </c>
      <c r="BH516">
        <v>3300</v>
      </c>
      <c r="BI516">
        <v>0</v>
      </c>
      <c r="BJ516">
        <v>0</v>
      </c>
      <c r="BK516">
        <v>0</v>
      </c>
      <c r="BL516">
        <v>0</v>
      </c>
      <c r="BO516">
        <v>0</v>
      </c>
      <c r="BP516">
        <v>0</v>
      </c>
      <c r="BW516" t="str">
        <f>"18:38:18.721"</f>
        <v>18:38:18.721</v>
      </c>
      <c r="BZ516">
        <v>0</v>
      </c>
      <c r="CA516">
        <v>3488</v>
      </c>
      <c r="CB516">
        <v>216</v>
      </c>
      <c r="CC516">
        <v>583.59379999999999</v>
      </c>
      <c r="CD516">
        <v>1</v>
      </c>
      <c r="CE516">
        <v>1</v>
      </c>
      <c r="CF516">
        <v>0</v>
      </c>
      <c r="CG516">
        <v>1</v>
      </c>
      <c r="CH516">
        <v>0</v>
      </c>
      <c r="CI516">
        <v>0</v>
      </c>
      <c r="CJ516">
        <v>0</v>
      </c>
      <c r="CK516">
        <v>2</v>
      </c>
      <c r="CL516">
        <v>0</v>
      </c>
      <c r="CM516">
        <v>2</v>
      </c>
      <c r="CN516">
        <v>0</v>
      </c>
      <c r="CO516">
        <v>5</v>
      </c>
      <c r="CP516" t="s">
        <v>119</v>
      </c>
      <c r="CQ516">
        <v>145</v>
      </c>
      <c r="CR516">
        <v>1</v>
      </c>
      <c r="CW516">
        <v>8930561</v>
      </c>
      <c r="CY516">
        <v>0</v>
      </c>
      <c r="CZ516">
        <v>0</v>
      </c>
      <c r="DA516">
        <v>1</v>
      </c>
      <c r="DB516">
        <v>0</v>
      </c>
      <c r="DC516">
        <v>0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</row>
    <row r="517" spans="1:113" x14ac:dyDescent="0.3">
      <c r="A517" t="str">
        <f>"02/13/2022 18:38:18.953"</f>
        <v>02/13/2022 18:38:18.953</v>
      </c>
      <c r="C517" t="str">
        <f t="shared" ref="C517:C580" si="55">"FFDFD7C0"</f>
        <v>FFDFD7C0</v>
      </c>
      <c r="D517" t="s">
        <v>121</v>
      </c>
      <c r="E517">
        <v>2</v>
      </c>
      <c r="H517">
        <v>158</v>
      </c>
      <c r="I517" t="s">
        <v>120</v>
      </c>
      <c r="J517" t="s">
        <v>122</v>
      </c>
      <c r="K517">
        <v>0</v>
      </c>
      <c r="L517">
        <v>3</v>
      </c>
      <c r="M517">
        <v>0</v>
      </c>
      <c r="N517">
        <v>2</v>
      </c>
      <c r="O517">
        <v>1</v>
      </c>
      <c r="P517">
        <v>0</v>
      </c>
      <c r="Q517">
        <v>0</v>
      </c>
      <c r="S517" t="str">
        <f>"18:38:18.719"</f>
        <v>18:38:18.719</v>
      </c>
      <c r="T517" t="str">
        <f>"18:38:18.419"</f>
        <v>18:38:18.419</v>
      </c>
      <c r="U517" t="str">
        <f t="shared" si="54"/>
        <v>AAB6EE</v>
      </c>
      <c r="V517">
        <v>0</v>
      </c>
      <c r="W517">
        <v>0</v>
      </c>
      <c r="X517">
        <v>4</v>
      </c>
      <c r="Z517">
        <v>0</v>
      </c>
      <c r="AA517">
        <v>8</v>
      </c>
      <c r="AB517">
        <v>3</v>
      </c>
      <c r="AC517">
        <v>0</v>
      </c>
      <c r="AD517">
        <v>10</v>
      </c>
      <c r="AE517">
        <v>0</v>
      </c>
      <c r="AF517">
        <v>0</v>
      </c>
      <c r="AG517">
        <v>1</v>
      </c>
      <c r="AH517">
        <v>1</v>
      </c>
      <c r="AI517" t="s">
        <v>465</v>
      </c>
      <c r="AJ517">
        <v>35.443761000000002</v>
      </c>
      <c r="AK517" t="s">
        <v>466</v>
      </c>
      <c r="AL517">
        <v>-76.080494000000002</v>
      </c>
      <c r="AM517">
        <v>25</v>
      </c>
      <c r="AN517">
        <v>3425</v>
      </c>
      <c r="AO517" t="s">
        <v>118</v>
      </c>
      <c r="AP517">
        <v>-97</v>
      </c>
      <c r="AQ517">
        <v>-194</v>
      </c>
      <c r="AR517">
        <v>0</v>
      </c>
      <c r="AZ517">
        <v>1200</v>
      </c>
      <c r="BA517">
        <v>1</v>
      </c>
      <c r="BB517" t="str">
        <f t="shared" ref="BB517:BB580" si="56">"N79NX   "</f>
        <v xml:space="preserve">N79NX   </v>
      </c>
      <c r="BC517">
        <v>1</v>
      </c>
      <c r="BE517">
        <v>0</v>
      </c>
      <c r="BF517">
        <v>0</v>
      </c>
      <c r="BG517">
        <v>0</v>
      </c>
      <c r="BH517">
        <v>3300</v>
      </c>
      <c r="BI517">
        <v>0</v>
      </c>
      <c r="BJ517">
        <v>0</v>
      </c>
      <c r="BK517">
        <v>0</v>
      </c>
      <c r="BL517">
        <v>0</v>
      </c>
      <c r="BO517">
        <v>0</v>
      </c>
      <c r="BP517">
        <v>0</v>
      </c>
      <c r="BW517" t="str">
        <f>"18:38:18.721"</f>
        <v>18:38:18.721</v>
      </c>
      <c r="BZ517">
        <v>0</v>
      </c>
      <c r="CA517">
        <v>3488</v>
      </c>
      <c r="CB517">
        <v>216</v>
      </c>
      <c r="CC517">
        <v>583.59379999999999</v>
      </c>
      <c r="CD517">
        <v>1</v>
      </c>
      <c r="CE517">
        <v>1</v>
      </c>
      <c r="CF517">
        <v>0</v>
      </c>
      <c r="CG517">
        <v>1</v>
      </c>
      <c r="CH517">
        <v>0</v>
      </c>
      <c r="CI517">
        <v>0</v>
      </c>
      <c r="CJ517">
        <v>0</v>
      </c>
      <c r="CK517">
        <v>2</v>
      </c>
      <c r="CL517">
        <v>0</v>
      </c>
      <c r="CM517">
        <v>2</v>
      </c>
      <c r="CN517">
        <v>0</v>
      </c>
      <c r="CO517">
        <v>5</v>
      </c>
      <c r="CP517" t="s">
        <v>119</v>
      </c>
      <c r="CQ517">
        <v>145</v>
      </c>
      <c r="CR517">
        <v>1</v>
      </c>
      <c r="CW517">
        <v>8930561</v>
      </c>
      <c r="CY517">
        <v>0</v>
      </c>
      <c r="CZ517">
        <v>0</v>
      </c>
      <c r="DA517">
        <v>1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</row>
    <row r="518" spans="1:113" x14ac:dyDescent="0.3">
      <c r="A518" t="str">
        <f>"02/13/2022 18:38:19.863"</f>
        <v>02/13/2022 18:38:19.863</v>
      </c>
      <c r="C518" t="str">
        <f t="shared" si="55"/>
        <v>FFDFD7C0</v>
      </c>
      <c r="D518" t="s">
        <v>113</v>
      </c>
      <c r="E518">
        <v>4</v>
      </c>
      <c r="F518">
        <v>1004</v>
      </c>
      <c r="G518" t="s">
        <v>120</v>
      </c>
      <c r="J518" t="s">
        <v>115</v>
      </c>
      <c r="K518">
        <v>0</v>
      </c>
      <c r="L518">
        <v>3</v>
      </c>
      <c r="M518">
        <v>0</v>
      </c>
      <c r="N518">
        <v>2</v>
      </c>
      <c r="O518">
        <v>1</v>
      </c>
      <c r="P518">
        <v>0</v>
      </c>
      <c r="Q518">
        <v>0</v>
      </c>
      <c r="S518" t="str">
        <f>"18:38:19.648"</f>
        <v>18:38:19.648</v>
      </c>
      <c r="T518" t="str">
        <f>"18:38:19.348"</f>
        <v>18:38:19.348</v>
      </c>
      <c r="U518" t="str">
        <f t="shared" si="54"/>
        <v>AAB6EE</v>
      </c>
      <c r="V518">
        <v>0</v>
      </c>
      <c r="W518">
        <v>0</v>
      </c>
      <c r="X518">
        <v>4</v>
      </c>
      <c r="Z518">
        <v>0</v>
      </c>
      <c r="AA518">
        <v>8</v>
      </c>
      <c r="AB518">
        <v>3</v>
      </c>
      <c r="AC518">
        <v>0</v>
      </c>
      <c r="AD518">
        <v>10</v>
      </c>
      <c r="AE518">
        <v>0</v>
      </c>
      <c r="AF518">
        <v>0</v>
      </c>
      <c r="AG518">
        <v>1</v>
      </c>
      <c r="AH518">
        <v>1</v>
      </c>
      <c r="AI518" t="s">
        <v>467</v>
      </c>
      <c r="AJ518">
        <v>35.442967000000003</v>
      </c>
      <c r="AK518" t="s">
        <v>468</v>
      </c>
      <c r="AL518">
        <v>-76.081029999999998</v>
      </c>
      <c r="AM518">
        <v>25</v>
      </c>
      <c r="AN518">
        <v>3425</v>
      </c>
      <c r="AO518" t="s">
        <v>118</v>
      </c>
      <c r="AP518">
        <v>-97</v>
      </c>
      <c r="AQ518">
        <v>-194</v>
      </c>
      <c r="AR518">
        <v>0</v>
      </c>
      <c r="AZ518">
        <v>1200</v>
      </c>
      <c r="BA518">
        <v>1</v>
      </c>
      <c r="BB518" t="str">
        <f t="shared" si="56"/>
        <v xml:space="preserve">N79NX   </v>
      </c>
      <c r="BC518">
        <v>1</v>
      </c>
      <c r="BE518">
        <v>0</v>
      </c>
      <c r="BF518">
        <v>0</v>
      </c>
      <c r="BG518">
        <v>0</v>
      </c>
      <c r="BH518">
        <v>3275</v>
      </c>
      <c r="BI518">
        <v>0</v>
      </c>
      <c r="BJ518">
        <v>0</v>
      </c>
      <c r="BK518">
        <v>0</v>
      </c>
      <c r="BL518">
        <v>0</v>
      </c>
      <c r="BO518">
        <v>0</v>
      </c>
      <c r="BP518">
        <v>0</v>
      </c>
      <c r="BW518" t="str">
        <f>"18:38:19.651"</f>
        <v>18:38:19.651</v>
      </c>
      <c r="BZ518">
        <v>0</v>
      </c>
      <c r="CA518">
        <v>3488</v>
      </c>
      <c r="CB518">
        <v>216</v>
      </c>
      <c r="CC518">
        <v>583.59379999999999</v>
      </c>
      <c r="CD518">
        <v>1</v>
      </c>
      <c r="CE518">
        <v>1</v>
      </c>
      <c r="CF518">
        <v>0</v>
      </c>
      <c r="CG518">
        <v>1</v>
      </c>
      <c r="CH518">
        <v>0</v>
      </c>
      <c r="CI518">
        <v>0</v>
      </c>
      <c r="CJ518">
        <v>0</v>
      </c>
      <c r="CK518">
        <v>2</v>
      </c>
      <c r="CL518">
        <v>0</v>
      </c>
      <c r="CM518">
        <v>2</v>
      </c>
      <c r="CN518">
        <v>0</v>
      </c>
      <c r="CO518">
        <v>5</v>
      </c>
      <c r="CP518" t="s">
        <v>119</v>
      </c>
      <c r="CQ518">
        <v>145</v>
      </c>
      <c r="CR518">
        <v>1</v>
      </c>
      <c r="CW518">
        <v>8931050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</row>
    <row r="519" spans="1:113" x14ac:dyDescent="0.3">
      <c r="A519" t="str">
        <f>"02/13/2022 18:38:19.863"</f>
        <v>02/13/2022 18:38:19.863</v>
      </c>
      <c r="C519" t="str">
        <f t="shared" si="55"/>
        <v>FFDFD7C0</v>
      </c>
      <c r="D519" t="s">
        <v>113</v>
      </c>
      <c r="E519">
        <v>3</v>
      </c>
      <c r="F519">
        <v>1003</v>
      </c>
      <c r="G519" t="s">
        <v>114</v>
      </c>
      <c r="J519" t="s">
        <v>115</v>
      </c>
      <c r="K519">
        <v>0</v>
      </c>
      <c r="L519">
        <v>3</v>
      </c>
      <c r="M519">
        <v>0</v>
      </c>
      <c r="N519">
        <v>2</v>
      </c>
      <c r="O519">
        <v>1</v>
      </c>
      <c r="P519">
        <v>0</v>
      </c>
      <c r="Q519">
        <v>0</v>
      </c>
      <c r="S519" t="str">
        <f>"18:38:19.648"</f>
        <v>18:38:19.648</v>
      </c>
      <c r="T519" t="str">
        <f>"18:38:19.348"</f>
        <v>18:38:19.348</v>
      </c>
      <c r="U519" t="str">
        <f t="shared" si="54"/>
        <v>AAB6EE</v>
      </c>
      <c r="V519">
        <v>0</v>
      </c>
      <c r="W519">
        <v>0</v>
      </c>
      <c r="X519">
        <v>4</v>
      </c>
      <c r="Z519">
        <v>0</v>
      </c>
      <c r="AA519">
        <v>8</v>
      </c>
      <c r="AB519">
        <v>3</v>
      </c>
      <c r="AC519">
        <v>0</v>
      </c>
      <c r="AD519">
        <v>10</v>
      </c>
      <c r="AE519">
        <v>0</v>
      </c>
      <c r="AF519">
        <v>0</v>
      </c>
      <c r="AG519">
        <v>1</v>
      </c>
      <c r="AH519">
        <v>1</v>
      </c>
      <c r="AI519" t="s">
        <v>467</v>
      </c>
      <c r="AJ519">
        <v>35.442967000000003</v>
      </c>
      <c r="AK519" t="s">
        <v>468</v>
      </c>
      <c r="AL519">
        <v>-76.081029999999998</v>
      </c>
      <c r="AM519">
        <v>25</v>
      </c>
      <c r="AN519">
        <v>3425</v>
      </c>
      <c r="AO519" t="s">
        <v>118</v>
      </c>
      <c r="AP519">
        <v>-97</v>
      </c>
      <c r="AQ519">
        <v>-194</v>
      </c>
      <c r="AR519">
        <v>0</v>
      </c>
      <c r="AZ519">
        <v>1200</v>
      </c>
      <c r="BA519">
        <v>1</v>
      </c>
      <c r="BB519" t="str">
        <f t="shared" si="56"/>
        <v xml:space="preserve">N79NX   </v>
      </c>
      <c r="BC519">
        <v>1</v>
      </c>
      <c r="BE519">
        <v>0</v>
      </c>
      <c r="BF519">
        <v>0</v>
      </c>
      <c r="BG519">
        <v>0</v>
      </c>
      <c r="BH519">
        <v>3275</v>
      </c>
      <c r="BI519">
        <v>0</v>
      </c>
      <c r="BJ519">
        <v>0</v>
      </c>
      <c r="BK519">
        <v>0</v>
      </c>
      <c r="BL519">
        <v>0</v>
      </c>
      <c r="BO519">
        <v>0</v>
      </c>
      <c r="BP519">
        <v>0</v>
      </c>
      <c r="BW519" t="str">
        <f>"18:38:19.651"</f>
        <v>18:38:19.651</v>
      </c>
      <c r="BZ519">
        <v>0</v>
      </c>
      <c r="CA519">
        <v>3488</v>
      </c>
      <c r="CB519">
        <v>216</v>
      </c>
      <c r="CC519">
        <v>583.59379999999999</v>
      </c>
      <c r="CD519">
        <v>1</v>
      </c>
      <c r="CE519">
        <v>1</v>
      </c>
      <c r="CF519">
        <v>0</v>
      </c>
      <c r="CG519">
        <v>1</v>
      </c>
      <c r="CH519">
        <v>0</v>
      </c>
      <c r="CI519">
        <v>0</v>
      </c>
      <c r="CJ519">
        <v>0</v>
      </c>
      <c r="CK519">
        <v>2</v>
      </c>
      <c r="CL519">
        <v>0</v>
      </c>
      <c r="CM519">
        <v>2</v>
      </c>
      <c r="CN519">
        <v>0</v>
      </c>
      <c r="CO519">
        <v>5</v>
      </c>
      <c r="CP519" t="s">
        <v>119</v>
      </c>
      <c r="CQ519">
        <v>145</v>
      </c>
      <c r="CR519">
        <v>1</v>
      </c>
      <c r="CW519">
        <v>8931050</v>
      </c>
      <c r="CY519">
        <v>0</v>
      </c>
      <c r="CZ519">
        <v>0</v>
      </c>
      <c r="DA519">
        <v>1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</row>
    <row r="520" spans="1:113" x14ac:dyDescent="0.3">
      <c r="A520" t="str">
        <f>"02/13/2022 18:38:19.863"</f>
        <v>02/13/2022 18:38:19.863</v>
      </c>
      <c r="C520" t="str">
        <f t="shared" si="55"/>
        <v>FFDFD7C0</v>
      </c>
      <c r="D520" t="s">
        <v>121</v>
      </c>
      <c r="E520">
        <v>2</v>
      </c>
      <c r="H520">
        <v>158</v>
      </c>
      <c r="I520" t="s">
        <v>120</v>
      </c>
      <c r="J520" t="s">
        <v>122</v>
      </c>
      <c r="K520">
        <v>0</v>
      </c>
      <c r="L520">
        <v>3</v>
      </c>
      <c r="M520">
        <v>0</v>
      </c>
      <c r="N520">
        <v>2</v>
      </c>
      <c r="O520">
        <v>1</v>
      </c>
      <c r="P520">
        <v>0</v>
      </c>
      <c r="Q520">
        <v>0</v>
      </c>
      <c r="S520" t="str">
        <f>"18:38:19.648"</f>
        <v>18:38:19.648</v>
      </c>
      <c r="T520" t="str">
        <f>"18:38:19.348"</f>
        <v>18:38:19.348</v>
      </c>
      <c r="U520" t="str">
        <f t="shared" si="54"/>
        <v>AAB6EE</v>
      </c>
      <c r="V520">
        <v>0</v>
      </c>
      <c r="W520">
        <v>0</v>
      </c>
      <c r="X520">
        <v>4</v>
      </c>
      <c r="Z520">
        <v>0</v>
      </c>
      <c r="AA520">
        <v>8</v>
      </c>
      <c r="AB520">
        <v>3</v>
      </c>
      <c r="AC520">
        <v>0</v>
      </c>
      <c r="AD520">
        <v>10</v>
      </c>
      <c r="AE520">
        <v>0</v>
      </c>
      <c r="AF520">
        <v>0</v>
      </c>
      <c r="AG520">
        <v>1</v>
      </c>
      <c r="AH520">
        <v>1</v>
      </c>
      <c r="AI520" t="s">
        <v>467</v>
      </c>
      <c r="AJ520">
        <v>35.442967000000003</v>
      </c>
      <c r="AK520" t="s">
        <v>468</v>
      </c>
      <c r="AL520">
        <v>-76.081029999999998</v>
      </c>
      <c r="AM520">
        <v>25</v>
      </c>
      <c r="AN520">
        <v>3425</v>
      </c>
      <c r="AO520" t="s">
        <v>118</v>
      </c>
      <c r="AP520">
        <v>-97</v>
      </c>
      <c r="AQ520">
        <v>-194</v>
      </c>
      <c r="AR520">
        <v>0</v>
      </c>
      <c r="AZ520">
        <v>1200</v>
      </c>
      <c r="BA520">
        <v>1</v>
      </c>
      <c r="BB520" t="str">
        <f t="shared" si="56"/>
        <v xml:space="preserve">N79NX   </v>
      </c>
      <c r="BC520">
        <v>1</v>
      </c>
      <c r="BE520">
        <v>0</v>
      </c>
      <c r="BF520">
        <v>0</v>
      </c>
      <c r="BG520">
        <v>0</v>
      </c>
      <c r="BH520">
        <v>3275</v>
      </c>
      <c r="BI520">
        <v>0</v>
      </c>
      <c r="BJ520">
        <v>0</v>
      </c>
      <c r="BK520">
        <v>0</v>
      </c>
      <c r="BL520">
        <v>0</v>
      </c>
      <c r="BO520">
        <v>0</v>
      </c>
      <c r="BP520">
        <v>0</v>
      </c>
      <c r="BW520" t="str">
        <f>"18:38:19.651"</f>
        <v>18:38:19.651</v>
      </c>
      <c r="BZ520">
        <v>0</v>
      </c>
      <c r="CA520">
        <v>3488</v>
      </c>
      <c r="CB520">
        <v>216</v>
      </c>
      <c r="CC520">
        <v>583.59379999999999</v>
      </c>
      <c r="CD520">
        <v>1</v>
      </c>
      <c r="CE520">
        <v>1</v>
      </c>
      <c r="CF520">
        <v>0</v>
      </c>
      <c r="CG520">
        <v>1</v>
      </c>
      <c r="CH520">
        <v>0</v>
      </c>
      <c r="CI520">
        <v>0</v>
      </c>
      <c r="CJ520">
        <v>0</v>
      </c>
      <c r="CK520">
        <v>2</v>
      </c>
      <c r="CL520">
        <v>0</v>
      </c>
      <c r="CM520">
        <v>2</v>
      </c>
      <c r="CN520">
        <v>0</v>
      </c>
      <c r="CO520">
        <v>5</v>
      </c>
      <c r="CP520" t="s">
        <v>119</v>
      </c>
      <c r="CQ520">
        <v>145</v>
      </c>
      <c r="CR520">
        <v>1</v>
      </c>
      <c r="CW520">
        <v>8931050</v>
      </c>
      <c r="CY520">
        <v>0</v>
      </c>
      <c r="CZ520">
        <v>0</v>
      </c>
      <c r="DA520">
        <v>1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</row>
    <row r="521" spans="1:113" x14ac:dyDescent="0.3">
      <c r="A521" t="str">
        <f>"02/13/2022 18:38:20.926"</f>
        <v>02/13/2022 18:38:20.926</v>
      </c>
      <c r="C521" t="str">
        <f t="shared" si="55"/>
        <v>FFDFD7C0</v>
      </c>
      <c r="D521" t="s">
        <v>121</v>
      </c>
      <c r="E521">
        <v>2</v>
      </c>
      <c r="H521">
        <v>158</v>
      </c>
      <c r="I521" t="s">
        <v>120</v>
      </c>
      <c r="J521" t="s">
        <v>122</v>
      </c>
      <c r="K521">
        <v>0</v>
      </c>
      <c r="L521">
        <v>3</v>
      </c>
      <c r="M521">
        <v>0</v>
      </c>
      <c r="N521">
        <v>2</v>
      </c>
      <c r="O521">
        <v>1</v>
      </c>
      <c r="P521">
        <v>0</v>
      </c>
      <c r="Q521">
        <v>0</v>
      </c>
      <c r="S521" t="str">
        <f>"18:38:20.719"</f>
        <v>18:38:20.719</v>
      </c>
      <c r="T521" t="str">
        <f>"18:38:20.319"</f>
        <v>18:38:20.319</v>
      </c>
      <c r="U521" t="str">
        <f t="shared" si="54"/>
        <v>AAB6EE</v>
      </c>
      <c r="V521">
        <v>0</v>
      </c>
      <c r="W521">
        <v>0</v>
      </c>
      <c r="X521">
        <v>4</v>
      </c>
      <c r="Z521">
        <v>0</v>
      </c>
      <c r="AA521">
        <v>8</v>
      </c>
      <c r="AB521">
        <v>3</v>
      </c>
      <c r="AC521">
        <v>0</v>
      </c>
      <c r="AD521">
        <v>10</v>
      </c>
      <c r="AE521">
        <v>0</v>
      </c>
      <c r="AF521">
        <v>0</v>
      </c>
      <c r="AG521">
        <v>1</v>
      </c>
      <c r="AH521">
        <v>1</v>
      </c>
      <c r="AI521" t="s">
        <v>469</v>
      </c>
      <c r="AJ521">
        <v>35.441937000000003</v>
      </c>
      <c r="AK521" t="s">
        <v>470</v>
      </c>
      <c r="AL521">
        <v>-76.081631000000002</v>
      </c>
      <c r="AM521">
        <v>25</v>
      </c>
      <c r="AN521">
        <v>3425</v>
      </c>
      <c r="AO521" t="s">
        <v>118</v>
      </c>
      <c r="AP521">
        <v>-97</v>
      </c>
      <c r="AQ521">
        <v>-194</v>
      </c>
      <c r="AR521">
        <v>-64</v>
      </c>
      <c r="AZ521">
        <v>1200</v>
      </c>
      <c r="BA521">
        <v>1</v>
      </c>
      <c r="BB521" t="str">
        <f t="shared" si="56"/>
        <v xml:space="preserve">N79NX   </v>
      </c>
      <c r="BC521">
        <v>1</v>
      </c>
      <c r="BE521">
        <v>0</v>
      </c>
      <c r="BF521">
        <v>0</v>
      </c>
      <c r="BG521">
        <v>0</v>
      </c>
      <c r="BH521">
        <v>3275</v>
      </c>
      <c r="BI521">
        <v>0</v>
      </c>
      <c r="BJ521">
        <v>0</v>
      </c>
      <c r="BK521">
        <v>0</v>
      </c>
      <c r="BL521">
        <v>0</v>
      </c>
      <c r="BO521">
        <v>0</v>
      </c>
      <c r="BP521">
        <v>0</v>
      </c>
      <c r="BW521" t="str">
        <f>"18:38:20.721"</f>
        <v>18:38:20.721</v>
      </c>
      <c r="BZ521">
        <v>0</v>
      </c>
      <c r="CA521">
        <v>3488</v>
      </c>
      <c r="CB521">
        <v>216</v>
      </c>
      <c r="CC521">
        <v>583.59379999999999</v>
      </c>
      <c r="CD521">
        <v>1</v>
      </c>
      <c r="CE521">
        <v>1</v>
      </c>
      <c r="CF521">
        <v>0</v>
      </c>
      <c r="CG521">
        <v>1</v>
      </c>
      <c r="CH521">
        <v>0</v>
      </c>
      <c r="CI521">
        <v>0</v>
      </c>
      <c r="CJ521">
        <v>0</v>
      </c>
      <c r="CK521">
        <v>2</v>
      </c>
      <c r="CL521">
        <v>0</v>
      </c>
      <c r="CM521">
        <v>2</v>
      </c>
      <c r="CN521">
        <v>0</v>
      </c>
      <c r="CO521">
        <v>5</v>
      </c>
      <c r="CP521" t="s">
        <v>119</v>
      </c>
      <c r="CQ521">
        <v>145</v>
      </c>
      <c r="CR521">
        <v>1</v>
      </c>
      <c r="CW521">
        <v>8931600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</row>
    <row r="522" spans="1:113" x14ac:dyDescent="0.3">
      <c r="A522" t="str">
        <f>"02/13/2022 18:38:20.957"</f>
        <v>02/13/2022 18:38:20.957</v>
      </c>
      <c r="C522" t="str">
        <f t="shared" si="55"/>
        <v>FFDFD7C0</v>
      </c>
      <c r="D522" t="s">
        <v>113</v>
      </c>
      <c r="E522">
        <v>4</v>
      </c>
      <c r="F522">
        <v>1004</v>
      </c>
      <c r="G522" t="s">
        <v>120</v>
      </c>
      <c r="J522" t="s">
        <v>115</v>
      </c>
      <c r="K522">
        <v>0</v>
      </c>
      <c r="L522">
        <v>3</v>
      </c>
      <c r="M522">
        <v>0</v>
      </c>
      <c r="N522">
        <v>2</v>
      </c>
      <c r="O522">
        <v>1</v>
      </c>
      <c r="P522">
        <v>0</v>
      </c>
      <c r="Q522">
        <v>0</v>
      </c>
      <c r="S522" t="str">
        <f>"18:38:20.719"</f>
        <v>18:38:20.719</v>
      </c>
      <c r="T522" t="str">
        <f>"18:38:20.319"</f>
        <v>18:38:20.319</v>
      </c>
      <c r="U522" t="str">
        <f t="shared" si="54"/>
        <v>AAB6EE</v>
      </c>
      <c r="V522">
        <v>0</v>
      </c>
      <c r="W522">
        <v>0</v>
      </c>
      <c r="X522">
        <v>4</v>
      </c>
      <c r="Z522">
        <v>0</v>
      </c>
      <c r="AA522">
        <v>8</v>
      </c>
      <c r="AB522">
        <v>3</v>
      </c>
      <c r="AC522">
        <v>0</v>
      </c>
      <c r="AD522">
        <v>10</v>
      </c>
      <c r="AE522">
        <v>0</v>
      </c>
      <c r="AF522">
        <v>0</v>
      </c>
      <c r="AG522">
        <v>1</v>
      </c>
      <c r="AH522">
        <v>1</v>
      </c>
      <c r="AI522" t="s">
        <v>469</v>
      </c>
      <c r="AJ522">
        <v>35.441937000000003</v>
      </c>
      <c r="AK522" t="s">
        <v>470</v>
      </c>
      <c r="AL522">
        <v>-76.081631000000002</v>
      </c>
      <c r="AM522">
        <v>25</v>
      </c>
      <c r="AN522">
        <v>3425</v>
      </c>
      <c r="AO522" t="s">
        <v>118</v>
      </c>
      <c r="AP522">
        <v>-97</v>
      </c>
      <c r="AQ522">
        <v>-194</v>
      </c>
      <c r="AR522">
        <v>-64</v>
      </c>
      <c r="AZ522">
        <v>1200</v>
      </c>
      <c r="BA522">
        <v>1</v>
      </c>
      <c r="BB522" t="str">
        <f t="shared" si="56"/>
        <v xml:space="preserve">N79NX   </v>
      </c>
      <c r="BC522">
        <v>1</v>
      </c>
      <c r="BE522">
        <v>0</v>
      </c>
      <c r="BF522">
        <v>0</v>
      </c>
      <c r="BG522">
        <v>0</v>
      </c>
      <c r="BH522">
        <v>3275</v>
      </c>
      <c r="BI522">
        <v>0</v>
      </c>
      <c r="BJ522">
        <v>0</v>
      </c>
      <c r="BK522">
        <v>0</v>
      </c>
      <c r="BL522">
        <v>0</v>
      </c>
      <c r="BO522">
        <v>0</v>
      </c>
      <c r="BP522">
        <v>0</v>
      </c>
      <c r="BW522" t="str">
        <f>"18:38:20.721"</f>
        <v>18:38:20.721</v>
      </c>
      <c r="BZ522">
        <v>0</v>
      </c>
      <c r="CA522">
        <v>3488</v>
      </c>
      <c r="CB522">
        <v>216</v>
      </c>
      <c r="CC522">
        <v>583.59379999999999</v>
      </c>
      <c r="CD522">
        <v>1</v>
      </c>
      <c r="CE522">
        <v>1</v>
      </c>
      <c r="CF522">
        <v>0</v>
      </c>
      <c r="CG522">
        <v>1</v>
      </c>
      <c r="CH522">
        <v>0</v>
      </c>
      <c r="CI522">
        <v>0</v>
      </c>
      <c r="CJ522">
        <v>0</v>
      </c>
      <c r="CK522">
        <v>2</v>
      </c>
      <c r="CL522">
        <v>0</v>
      </c>
      <c r="CM522">
        <v>2</v>
      </c>
      <c r="CN522">
        <v>0</v>
      </c>
      <c r="CO522">
        <v>5</v>
      </c>
      <c r="CP522" t="s">
        <v>119</v>
      </c>
      <c r="CQ522">
        <v>145</v>
      </c>
      <c r="CR522">
        <v>1</v>
      </c>
      <c r="CW522">
        <v>8931600</v>
      </c>
      <c r="CY522">
        <v>0</v>
      </c>
      <c r="CZ522">
        <v>0</v>
      </c>
      <c r="DA522">
        <v>1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</row>
    <row r="523" spans="1:113" x14ac:dyDescent="0.3">
      <c r="A523" t="str">
        <f>"02/13/2022 18:38:20.957"</f>
        <v>02/13/2022 18:38:20.957</v>
      </c>
      <c r="C523" t="str">
        <f t="shared" si="55"/>
        <v>FFDFD7C0</v>
      </c>
      <c r="D523" t="s">
        <v>113</v>
      </c>
      <c r="E523">
        <v>3</v>
      </c>
      <c r="F523">
        <v>1003</v>
      </c>
      <c r="G523" t="s">
        <v>114</v>
      </c>
      <c r="J523" t="s">
        <v>115</v>
      </c>
      <c r="K523">
        <v>0</v>
      </c>
      <c r="L523">
        <v>3</v>
      </c>
      <c r="M523">
        <v>0</v>
      </c>
      <c r="N523">
        <v>2</v>
      </c>
      <c r="O523">
        <v>1</v>
      </c>
      <c r="P523">
        <v>0</v>
      </c>
      <c r="Q523">
        <v>0</v>
      </c>
      <c r="S523" t="str">
        <f>"18:38:20.719"</f>
        <v>18:38:20.719</v>
      </c>
      <c r="T523" t="str">
        <f>"18:38:20.319"</f>
        <v>18:38:20.319</v>
      </c>
      <c r="U523" t="str">
        <f t="shared" si="54"/>
        <v>AAB6EE</v>
      </c>
      <c r="V523">
        <v>0</v>
      </c>
      <c r="W523">
        <v>0</v>
      </c>
      <c r="X523">
        <v>4</v>
      </c>
      <c r="Z523">
        <v>0</v>
      </c>
      <c r="AA523">
        <v>8</v>
      </c>
      <c r="AB523">
        <v>3</v>
      </c>
      <c r="AC523">
        <v>0</v>
      </c>
      <c r="AD523">
        <v>10</v>
      </c>
      <c r="AE523">
        <v>0</v>
      </c>
      <c r="AF523">
        <v>0</v>
      </c>
      <c r="AG523">
        <v>1</v>
      </c>
      <c r="AH523">
        <v>1</v>
      </c>
      <c r="AI523" t="s">
        <v>469</v>
      </c>
      <c r="AJ523">
        <v>35.441937000000003</v>
      </c>
      <c r="AK523" t="s">
        <v>470</v>
      </c>
      <c r="AL523">
        <v>-76.081631000000002</v>
      </c>
      <c r="AM523">
        <v>25</v>
      </c>
      <c r="AN523">
        <v>3425</v>
      </c>
      <c r="AO523" t="s">
        <v>118</v>
      </c>
      <c r="AP523">
        <v>-97</v>
      </c>
      <c r="AQ523">
        <v>-194</v>
      </c>
      <c r="AR523">
        <v>-64</v>
      </c>
      <c r="AZ523">
        <v>1200</v>
      </c>
      <c r="BA523">
        <v>1</v>
      </c>
      <c r="BB523" t="str">
        <f t="shared" si="56"/>
        <v xml:space="preserve">N79NX   </v>
      </c>
      <c r="BC523">
        <v>1</v>
      </c>
      <c r="BE523">
        <v>0</v>
      </c>
      <c r="BF523">
        <v>0</v>
      </c>
      <c r="BG523">
        <v>0</v>
      </c>
      <c r="BH523">
        <v>3275</v>
      </c>
      <c r="BI523">
        <v>0</v>
      </c>
      <c r="BJ523">
        <v>0</v>
      </c>
      <c r="BK523">
        <v>0</v>
      </c>
      <c r="BL523">
        <v>0</v>
      </c>
      <c r="BO523">
        <v>0</v>
      </c>
      <c r="BP523">
        <v>0</v>
      </c>
      <c r="BW523" t="str">
        <f>"18:38:20.721"</f>
        <v>18:38:20.721</v>
      </c>
      <c r="BZ523">
        <v>0</v>
      </c>
      <c r="CA523">
        <v>3488</v>
      </c>
      <c r="CB523">
        <v>216</v>
      </c>
      <c r="CC523">
        <v>583.59379999999999</v>
      </c>
      <c r="CD523">
        <v>1</v>
      </c>
      <c r="CE523">
        <v>1</v>
      </c>
      <c r="CF523">
        <v>0</v>
      </c>
      <c r="CG523">
        <v>1</v>
      </c>
      <c r="CH523">
        <v>0</v>
      </c>
      <c r="CI523">
        <v>0</v>
      </c>
      <c r="CJ523">
        <v>0</v>
      </c>
      <c r="CK523">
        <v>2</v>
      </c>
      <c r="CL523">
        <v>0</v>
      </c>
      <c r="CM523">
        <v>2</v>
      </c>
      <c r="CN523">
        <v>0</v>
      </c>
      <c r="CO523">
        <v>5</v>
      </c>
      <c r="CP523" t="s">
        <v>119</v>
      </c>
      <c r="CQ523">
        <v>145</v>
      </c>
      <c r="CR523">
        <v>1</v>
      </c>
      <c r="CW523">
        <v>8931600</v>
      </c>
      <c r="CY523">
        <v>0</v>
      </c>
      <c r="CZ523">
        <v>0</v>
      </c>
      <c r="DA523">
        <v>1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</row>
    <row r="524" spans="1:113" x14ac:dyDescent="0.3">
      <c r="A524" t="str">
        <f>"02/13/2022 18:38:21.848"</f>
        <v>02/13/2022 18:38:21.848</v>
      </c>
      <c r="C524" t="str">
        <f t="shared" si="55"/>
        <v>FFDFD7C0</v>
      </c>
      <c r="D524" t="s">
        <v>121</v>
      </c>
      <c r="E524">
        <v>2</v>
      </c>
      <c r="H524">
        <v>158</v>
      </c>
      <c r="I524" t="s">
        <v>120</v>
      </c>
      <c r="J524" t="s">
        <v>122</v>
      </c>
      <c r="K524">
        <v>0</v>
      </c>
      <c r="L524">
        <v>3</v>
      </c>
      <c r="M524">
        <v>0</v>
      </c>
      <c r="N524">
        <v>2</v>
      </c>
      <c r="O524">
        <v>1</v>
      </c>
      <c r="P524">
        <v>0</v>
      </c>
      <c r="Q524">
        <v>0</v>
      </c>
      <c r="S524" t="str">
        <f>"18:38:21.586"</f>
        <v>18:38:21.586</v>
      </c>
      <c r="T524" t="str">
        <f>"18:38:21.286"</f>
        <v>18:38:21.286</v>
      </c>
      <c r="U524" t="str">
        <f t="shared" si="54"/>
        <v>AAB6EE</v>
      </c>
      <c r="V524">
        <v>0</v>
      </c>
      <c r="W524">
        <v>0</v>
      </c>
      <c r="X524">
        <v>4</v>
      </c>
      <c r="Z524">
        <v>0</v>
      </c>
      <c r="AA524">
        <v>8</v>
      </c>
      <c r="AB524">
        <v>3</v>
      </c>
      <c r="AC524">
        <v>0</v>
      </c>
      <c r="AD524">
        <v>10</v>
      </c>
      <c r="AE524">
        <v>0</v>
      </c>
      <c r="AF524">
        <v>0</v>
      </c>
      <c r="AG524">
        <v>1</v>
      </c>
      <c r="AH524">
        <v>1</v>
      </c>
      <c r="AI524" t="s">
        <v>471</v>
      </c>
      <c r="AJ524">
        <v>35.441251000000001</v>
      </c>
      <c r="AK524" t="s">
        <v>472</v>
      </c>
      <c r="AL524">
        <v>-76.082038999999995</v>
      </c>
      <c r="AM524">
        <v>25</v>
      </c>
      <c r="AN524">
        <v>3425</v>
      </c>
      <c r="AO524" t="s">
        <v>118</v>
      </c>
      <c r="AP524">
        <v>-98</v>
      </c>
      <c r="AQ524">
        <v>-194</v>
      </c>
      <c r="AR524">
        <v>0</v>
      </c>
      <c r="AZ524">
        <v>1200</v>
      </c>
      <c r="BA524">
        <v>1</v>
      </c>
      <c r="BB524" t="str">
        <f t="shared" si="56"/>
        <v xml:space="preserve">N79NX   </v>
      </c>
      <c r="BC524">
        <v>1</v>
      </c>
      <c r="BE524">
        <v>0</v>
      </c>
      <c r="BF524">
        <v>0</v>
      </c>
      <c r="BG524">
        <v>0</v>
      </c>
      <c r="BH524">
        <v>3275</v>
      </c>
      <c r="BI524">
        <v>0</v>
      </c>
      <c r="BJ524">
        <v>0</v>
      </c>
      <c r="BK524">
        <v>0</v>
      </c>
      <c r="BL524">
        <v>0</v>
      </c>
      <c r="BO524">
        <v>0</v>
      </c>
      <c r="BP524">
        <v>0</v>
      </c>
      <c r="BW524" t="str">
        <f>"18:38:21.591"</f>
        <v>18:38:21.591</v>
      </c>
      <c r="BZ524">
        <v>0</v>
      </c>
      <c r="CA524">
        <v>3488</v>
      </c>
      <c r="CB524">
        <v>216</v>
      </c>
      <c r="CC524">
        <v>583.59379999999999</v>
      </c>
      <c r="CD524">
        <v>1</v>
      </c>
      <c r="CE524">
        <v>1</v>
      </c>
      <c r="CF524">
        <v>0</v>
      </c>
      <c r="CG524">
        <v>1</v>
      </c>
      <c r="CH524">
        <v>0</v>
      </c>
      <c r="CI524">
        <v>0</v>
      </c>
      <c r="CJ524">
        <v>0</v>
      </c>
      <c r="CK524">
        <v>2</v>
      </c>
      <c r="CL524">
        <v>0</v>
      </c>
      <c r="CM524">
        <v>2</v>
      </c>
      <c r="CN524">
        <v>0</v>
      </c>
      <c r="CO524">
        <v>5</v>
      </c>
      <c r="CP524" t="s">
        <v>119</v>
      </c>
      <c r="CQ524">
        <v>145</v>
      </c>
      <c r="CR524">
        <v>1</v>
      </c>
      <c r="CW524">
        <v>8931998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</row>
    <row r="525" spans="1:113" x14ac:dyDescent="0.3">
      <c r="A525" t="str">
        <f>"02/13/2022 18:38:21.848"</f>
        <v>02/13/2022 18:38:21.848</v>
      </c>
      <c r="C525" t="str">
        <f t="shared" si="55"/>
        <v>FFDFD7C0</v>
      </c>
      <c r="D525" t="s">
        <v>113</v>
      </c>
      <c r="E525">
        <v>3</v>
      </c>
      <c r="F525">
        <v>1003</v>
      </c>
      <c r="G525" t="s">
        <v>114</v>
      </c>
      <c r="J525" t="s">
        <v>115</v>
      </c>
      <c r="K525">
        <v>0</v>
      </c>
      <c r="L525">
        <v>3</v>
      </c>
      <c r="M525">
        <v>0</v>
      </c>
      <c r="N525">
        <v>2</v>
      </c>
      <c r="O525">
        <v>1</v>
      </c>
      <c r="P525">
        <v>0</v>
      </c>
      <c r="Q525">
        <v>0</v>
      </c>
      <c r="S525" t="str">
        <f>"18:38:21.586"</f>
        <v>18:38:21.586</v>
      </c>
      <c r="T525" t="str">
        <f>"18:38:21.286"</f>
        <v>18:38:21.286</v>
      </c>
      <c r="U525" t="str">
        <f t="shared" si="54"/>
        <v>AAB6EE</v>
      </c>
      <c r="V525">
        <v>0</v>
      </c>
      <c r="W525">
        <v>0</v>
      </c>
      <c r="X525">
        <v>4</v>
      </c>
      <c r="Z525">
        <v>0</v>
      </c>
      <c r="AA525">
        <v>8</v>
      </c>
      <c r="AB525">
        <v>3</v>
      </c>
      <c r="AC525">
        <v>0</v>
      </c>
      <c r="AD525">
        <v>10</v>
      </c>
      <c r="AE525">
        <v>0</v>
      </c>
      <c r="AF525">
        <v>0</v>
      </c>
      <c r="AG525">
        <v>1</v>
      </c>
      <c r="AH525">
        <v>1</v>
      </c>
      <c r="AI525" t="s">
        <v>471</v>
      </c>
      <c r="AJ525">
        <v>35.441251000000001</v>
      </c>
      <c r="AK525" t="s">
        <v>472</v>
      </c>
      <c r="AL525">
        <v>-76.082038999999995</v>
      </c>
      <c r="AM525">
        <v>25</v>
      </c>
      <c r="AN525">
        <v>3425</v>
      </c>
      <c r="AO525" t="s">
        <v>118</v>
      </c>
      <c r="AP525">
        <v>-98</v>
      </c>
      <c r="AQ525">
        <v>-194</v>
      </c>
      <c r="AR525">
        <v>0</v>
      </c>
      <c r="AZ525">
        <v>1200</v>
      </c>
      <c r="BA525">
        <v>1</v>
      </c>
      <c r="BB525" t="str">
        <f t="shared" si="56"/>
        <v xml:space="preserve">N79NX   </v>
      </c>
      <c r="BC525">
        <v>1</v>
      </c>
      <c r="BE525">
        <v>0</v>
      </c>
      <c r="BF525">
        <v>0</v>
      </c>
      <c r="BG525">
        <v>0</v>
      </c>
      <c r="BH525">
        <v>3275</v>
      </c>
      <c r="BI525">
        <v>0</v>
      </c>
      <c r="BJ525">
        <v>0</v>
      </c>
      <c r="BK525">
        <v>0</v>
      </c>
      <c r="BL525">
        <v>0</v>
      </c>
      <c r="BO525">
        <v>0</v>
      </c>
      <c r="BP525">
        <v>0</v>
      </c>
      <c r="BW525" t="str">
        <f>"18:38:21.591"</f>
        <v>18:38:21.591</v>
      </c>
      <c r="BZ525">
        <v>0</v>
      </c>
      <c r="CA525">
        <v>3488</v>
      </c>
      <c r="CB525">
        <v>216</v>
      </c>
      <c r="CC525">
        <v>583.59379999999999</v>
      </c>
      <c r="CD525">
        <v>1</v>
      </c>
      <c r="CE525">
        <v>1</v>
      </c>
      <c r="CF525">
        <v>0</v>
      </c>
      <c r="CG525">
        <v>1</v>
      </c>
      <c r="CH525">
        <v>0</v>
      </c>
      <c r="CI525">
        <v>0</v>
      </c>
      <c r="CJ525">
        <v>0</v>
      </c>
      <c r="CK525">
        <v>2</v>
      </c>
      <c r="CL525">
        <v>0</v>
      </c>
      <c r="CM525">
        <v>2</v>
      </c>
      <c r="CN525">
        <v>0</v>
      </c>
      <c r="CO525">
        <v>5</v>
      </c>
      <c r="CP525" t="s">
        <v>119</v>
      </c>
      <c r="CQ525">
        <v>145</v>
      </c>
      <c r="CR525">
        <v>1</v>
      </c>
      <c r="CW525">
        <v>8931998</v>
      </c>
      <c r="CY525">
        <v>0</v>
      </c>
      <c r="CZ525">
        <v>0</v>
      </c>
      <c r="DA525">
        <v>1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</row>
    <row r="526" spans="1:113" x14ac:dyDescent="0.3">
      <c r="A526" t="str">
        <f>"02/13/2022 18:38:21.848"</f>
        <v>02/13/2022 18:38:21.848</v>
      </c>
      <c r="C526" t="str">
        <f t="shared" si="55"/>
        <v>FFDFD7C0</v>
      </c>
      <c r="D526" t="s">
        <v>113</v>
      </c>
      <c r="E526">
        <v>4</v>
      </c>
      <c r="F526">
        <v>1004</v>
      </c>
      <c r="G526" t="s">
        <v>120</v>
      </c>
      <c r="J526" t="s">
        <v>115</v>
      </c>
      <c r="K526">
        <v>0</v>
      </c>
      <c r="L526">
        <v>3</v>
      </c>
      <c r="M526">
        <v>0</v>
      </c>
      <c r="N526">
        <v>2</v>
      </c>
      <c r="O526">
        <v>1</v>
      </c>
      <c r="P526">
        <v>0</v>
      </c>
      <c r="Q526">
        <v>0</v>
      </c>
      <c r="S526" t="str">
        <f>"18:38:21.586"</f>
        <v>18:38:21.586</v>
      </c>
      <c r="T526" t="str">
        <f>"18:38:21.286"</f>
        <v>18:38:21.286</v>
      </c>
      <c r="U526" t="str">
        <f t="shared" si="54"/>
        <v>AAB6EE</v>
      </c>
      <c r="V526">
        <v>0</v>
      </c>
      <c r="W526">
        <v>0</v>
      </c>
      <c r="X526">
        <v>4</v>
      </c>
      <c r="Z526">
        <v>0</v>
      </c>
      <c r="AA526">
        <v>8</v>
      </c>
      <c r="AB526">
        <v>3</v>
      </c>
      <c r="AC526">
        <v>0</v>
      </c>
      <c r="AD526">
        <v>10</v>
      </c>
      <c r="AE526">
        <v>0</v>
      </c>
      <c r="AF526">
        <v>0</v>
      </c>
      <c r="AG526">
        <v>1</v>
      </c>
      <c r="AH526">
        <v>1</v>
      </c>
      <c r="AI526" t="s">
        <v>471</v>
      </c>
      <c r="AJ526">
        <v>35.441251000000001</v>
      </c>
      <c r="AK526" t="s">
        <v>472</v>
      </c>
      <c r="AL526">
        <v>-76.082038999999995</v>
      </c>
      <c r="AM526">
        <v>25</v>
      </c>
      <c r="AN526">
        <v>3425</v>
      </c>
      <c r="AO526" t="s">
        <v>118</v>
      </c>
      <c r="AP526">
        <v>-98</v>
      </c>
      <c r="AQ526">
        <v>-194</v>
      </c>
      <c r="AR526">
        <v>0</v>
      </c>
      <c r="AZ526">
        <v>1200</v>
      </c>
      <c r="BA526">
        <v>1</v>
      </c>
      <c r="BB526" t="str">
        <f t="shared" si="56"/>
        <v xml:space="preserve">N79NX   </v>
      </c>
      <c r="BC526">
        <v>1</v>
      </c>
      <c r="BE526">
        <v>0</v>
      </c>
      <c r="BF526">
        <v>0</v>
      </c>
      <c r="BG526">
        <v>0</v>
      </c>
      <c r="BH526">
        <v>3275</v>
      </c>
      <c r="BI526">
        <v>0</v>
      </c>
      <c r="BJ526">
        <v>0</v>
      </c>
      <c r="BK526">
        <v>0</v>
      </c>
      <c r="BL526">
        <v>0</v>
      </c>
      <c r="BO526">
        <v>0</v>
      </c>
      <c r="BP526">
        <v>0</v>
      </c>
      <c r="BW526" t="str">
        <f>"18:38:21.591"</f>
        <v>18:38:21.591</v>
      </c>
      <c r="BZ526">
        <v>0</v>
      </c>
      <c r="CA526">
        <v>3488</v>
      </c>
      <c r="CB526">
        <v>216</v>
      </c>
      <c r="CC526">
        <v>583.59379999999999</v>
      </c>
      <c r="CD526">
        <v>1</v>
      </c>
      <c r="CE526">
        <v>1</v>
      </c>
      <c r="CF526">
        <v>0</v>
      </c>
      <c r="CG526">
        <v>1</v>
      </c>
      <c r="CH526">
        <v>0</v>
      </c>
      <c r="CI526">
        <v>0</v>
      </c>
      <c r="CJ526">
        <v>0</v>
      </c>
      <c r="CK526">
        <v>2</v>
      </c>
      <c r="CL526">
        <v>0</v>
      </c>
      <c r="CM526">
        <v>2</v>
      </c>
      <c r="CN526">
        <v>0</v>
      </c>
      <c r="CO526">
        <v>5</v>
      </c>
      <c r="CP526" t="s">
        <v>119</v>
      </c>
      <c r="CQ526">
        <v>145</v>
      </c>
      <c r="CR526">
        <v>1</v>
      </c>
      <c r="CW526">
        <v>8931998</v>
      </c>
      <c r="CY526">
        <v>0</v>
      </c>
      <c r="CZ526">
        <v>0</v>
      </c>
      <c r="DA526">
        <v>1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</row>
    <row r="527" spans="1:113" x14ac:dyDescent="0.3">
      <c r="A527" t="str">
        <f>"02/13/2022 18:38:22.754"</f>
        <v>02/13/2022 18:38:22.754</v>
      </c>
      <c r="C527" t="str">
        <f t="shared" si="55"/>
        <v>FFDFD7C0</v>
      </c>
      <c r="D527" t="s">
        <v>121</v>
      </c>
      <c r="E527">
        <v>2</v>
      </c>
      <c r="H527">
        <v>158</v>
      </c>
      <c r="I527" t="s">
        <v>120</v>
      </c>
      <c r="J527" t="s">
        <v>122</v>
      </c>
      <c r="K527">
        <v>0</v>
      </c>
      <c r="L527">
        <v>3</v>
      </c>
      <c r="M527">
        <v>0</v>
      </c>
      <c r="N527">
        <v>2</v>
      </c>
      <c r="O527">
        <v>1</v>
      </c>
      <c r="P527">
        <v>0</v>
      </c>
      <c r="Q527">
        <v>0</v>
      </c>
      <c r="S527" t="str">
        <f>"18:38:22.516"</f>
        <v>18:38:22.516</v>
      </c>
      <c r="T527" t="str">
        <f>"18:38:22.316"</f>
        <v>18:38:22.316</v>
      </c>
      <c r="U527" t="str">
        <f t="shared" si="54"/>
        <v>AAB6EE</v>
      </c>
      <c r="V527">
        <v>0</v>
      </c>
      <c r="W527">
        <v>0</v>
      </c>
      <c r="X527">
        <v>4</v>
      </c>
      <c r="Z527">
        <v>0</v>
      </c>
      <c r="AA527">
        <v>8</v>
      </c>
      <c r="AB527">
        <v>3</v>
      </c>
      <c r="AC527">
        <v>0</v>
      </c>
      <c r="AD527">
        <v>10</v>
      </c>
      <c r="AE527">
        <v>0</v>
      </c>
      <c r="AF527">
        <v>0</v>
      </c>
      <c r="AG527">
        <v>1</v>
      </c>
      <c r="AH527">
        <v>1</v>
      </c>
      <c r="AI527" t="s">
        <v>473</v>
      </c>
      <c r="AJ527">
        <v>35.440328000000001</v>
      </c>
      <c r="AK527" t="s">
        <v>474</v>
      </c>
      <c r="AL527">
        <v>-76.082617999999997</v>
      </c>
      <c r="AM527">
        <v>25</v>
      </c>
      <c r="AN527">
        <v>3425</v>
      </c>
      <c r="AO527" t="s">
        <v>118</v>
      </c>
      <c r="AP527">
        <v>-98</v>
      </c>
      <c r="AQ527">
        <v>-195</v>
      </c>
      <c r="AR527">
        <v>0</v>
      </c>
      <c r="AZ527">
        <v>1200</v>
      </c>
      <c r="BA527">
        <v>1</v>
      </c>
      <c r="BB527" t="str">
        <f t="shared" si="56"/>
        <v xml:space="preserve">N79NX   </v>
      </c>
      <c r="BC527">
        <v>1</v>
      </c>
      <c r="BE527">
        <v>0</v>
      </c>
      <c r="BF527">
        <v>0</v>
      </c>
      <c r="BG527">
        <v>0</v>
      </c>
      <c r="BH527">
        <v>3275</v>
      </c>
      <c r="BI527">
        <v>0</v>
      </c>
      <c r="BJ527">
        <v>0</v>
      </c>
      <c r="BK527">
        <v>0</v>
      </c>
      <c r="BL527">
        <v>0</v>
      </c>
      <c r="BO527">
        <v>0</v>
      </c>
      <c r="BP527">
        <v>0</v>
      </c>
      <c r="BW527" t="str">
        <f>"18:38:22.521"</f>
        <v>18:38:22.521</v>
      </c>
      <c r="BZ527">
        <v>0</v>
      </c>
      <c r="CA527">
        <v>3488</v>
      </c>
      <c r="CB527">
        <v>216</v>
      </c>
      <c r="CC527">
        <v>583.59379999999999</v>
      </c>
      <c r="CD527">
        <v>1</v>
      </c>
      <c r="CE527">
        <v>1</v>
      </c>
      <c r="CF527">
        <v>0</v>
      </c>
      <c r="CG527">
        <v>1</v>
      </c>
      <c r="CH527">
        <v>0</v>
      </c>
      <c r="CI527">
        <v>0</v>
      </c>
      <c r="CJ527">
        <v>0</v>
      </c>
      <c r="CK527">
        <v>2</v>
      </c>
      <c r="CL527">
        <v>0</v>
      </c>
      <c r="CM527">
        <v>2</v>
      </c>
      <c r="CN527">
        <v>0</v>
      </c>
      <c r="CO527">
        <v>5</v>
      </c>
      <c r="CP527" t="s">
        <v>119</v>
      </c>
      <c r="CQ527">
        <v>145</v>
      </c>
      <c r="CR527">
        <v>1</v>
      </c>
      <c r="CW527">
        <v>8932368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</row>
    <row r="528" spans="1:113" x14ac:dyDescent="0.3">
      <c r="A528" t="str">
        <f>"02/13/2022 18:38:22.754"</f>
        <v>02/13/2022 18:38:22.754</v>
      </c>
      <c r="C528" t="str">
        <f t="shared" si="55"/>
        <v>FFDFD7C0</v>
      </c>
      <c r="D528" t="s">
        <v>113</v>
      </c>
      <c r="E528">
        <v>4</v>
      </c>
      <c r="F528">
        <v>1004</v>
      </c>
      <c r="G528" t="s">
        <v>120</v>
      </c>
      <c r="J528" t="s">
        <v>115</v>
      </c>
      <c r="K528">
        <v>0</v>
      </c>
      <c r="L528">
        <v>3</v>
      </c>
      <c r="M528">
        <v>0</v>
      </c>
      <c r="N528">
        <v>2</v>
      </c>
      <c r="O528">
        <v>1</v>
      </c>
      <c r="P528">
        <v>0</v>
      </c>
      <c r="Q528">
        <v>0</v>
      </c>
      <c r="S528" t="str">
        <f>"18:38:22.516"</f>
        <v>18:38:22.516</v>
      </c>
      <c r="T528" t="str">
        <f>"18:38:22.316"</f>
        <v>18:38:22.316</v>
      </c>
      <c r="U528" t="str">
        <f t="shared" si="54"/>
        <v>AAB6EE</v>
      </c>
      <c r="V528">
        <v>0</v>
      </c>
      <c r="W528">
        <v>0</v>
      </c>
      <c r="X528">
        <v>4</v>
      </c>
      <c r="Z528">
        <v>0</v>
      </c>
      <c r="AA528">
        <v>8</v>
      </c>
      <c r="AB528">
        <v>3</v>
      </c>
      <c r="AC528">
        <v>0</v>
      </c>
      <c r="AD528">
        <v>10</v>
      </c>
      <c r="AE528">
        <v>0</v>
      </c>
      <c r="AF528">
        <v>0</v>
      </c>
      <c r="AG528">
        <v>1</v>
      </c>
      <c r="AH528">
        <v>1</v>
      </c>
      <c r="AI528" t="s">
        <v>473</v>
      </c>
      <c r="AJ528">
        <v>35.440328000000001</v>
      </c>
      <c r="AK528" t="s">
        <v>474</v>
      </c>
      <c r="AL528">
        <v>-76.082617999999997</v>
      </c>
      <c r="AM528">
        <v>25</v>
      </c>
      <c r="AN528">
        <v>3425</v>
      </c>
      <c r="AO528" t="s">
        <v>118</v>
      </c>
      <c r="AP528">
        <v>-98</v>
      </c>
      <c r="AQ528">
        <v>-195</v>
      </c>
      <c r="AR528">
        <v>0</v>
      </c>
      <c r="AZ528">
        <v>1200</v>
      </c>
      <c r="BA528">
        <v>1</v>
      </c>
      <c r="BB528" t="str">
        <f t="shared" si="56"/>
        <v xml:space="preserve">N79NX   </v>
      </c>
      <c r="BC528">
        <v>1</v>
      </c>
      <c r="BE528">
        <v>0</v>
      </c>
      <c r="BF528">
        <v>0</v>
      </c>
      <c r="BG528">
        <v>0</v>
      </c>
      <c r="BH528">
        <v>3275</v>
      </c>
      <c r="BI528">
        <v>0</v>
      </c>
      <c r="BJ528">
        <v>0</v>
      </c>
      <c r="BK528">
        <v>0</v>
      </c>
      <c r="BL528">
        <v>0</v>
      </c>
      <c r="BO528">
        <v>0</v>
      </c>
      <c r="BP528">
        <v>0</v>
      </c>
      <c r="BW528" t="str">
        <f>"18:38:22.521"</f>
        <v>18:38:22.521</v>
      </c>
      <c r="BZ528">
        <v>0</v>
      </c>
      <c r="CA528">
        <v>3488</v>
      </c>
      <c r="CB528">
        <v>216</v>
      </c>
      <c r="CC528">
        <v>583.59379999999999</v>
      </c>
      <c r="CD528">
        <v>1</v>
      </c>
      <c r="CE528">
        <v>1</v>
      </c>
      <c r="CF528">
        <v>0</v>
      </c>
      <c r="CG528">
        <v>1</v>
      </c>
      <c r="CH528">
        <v>0</v>
      </c>
      <c r="CI528">
        <v>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5</v>
      </c>
      <c r="CP528" t="s">
        <v>119</v>
      </c>
      <c r="CQ528">
        <v>145</v>
      </c>
      <c r="CR528">
        <v>1</v>
      </c>
      <c r="CW528">
        <v>8932368</v>
      </c>
      <c r="CY528">
        <v>0</v>
      </c>
      <c r="CZ528">
        <v>0</v>
      </c>
      <c r="DA528">
        <v>1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</row>
    <row r="529" spans="1:113" x14ac:dyDescent="0.3">
      <c r="A529" t="str">
        <f>"02/13/2022 18:38:22.754"</f>
        <v>02/13/2022 18:38:22.754</v>
      </c>
      <c r="C529" t="str">
        <f t="shared" si="55"/>
        <v>FFDFD7C0</v>
      </c>
      <c r="D529" t="s">
        <v>113</v>
      </c>
      <c r="E529">
        <v>3</v>
      </c>
      <c r="F529">
        <v>1003</v>
      </c>
      <c r="G529" t="s">
        <v>114</v>
      </c>
      <c r="J529" t="s">
        <v>115</v>
      </c>
      <c r="K529">
        <v>0</v>
      </c>
      <c r="L529">
        <v>3</v>
      </c>
      <c r="M529">
        <v>0</v>
      </c>
      <c r="N529">
        <v>2</v>
      </c>
      <c r="O529">
        <v>1</v>
      </c>
      <c r="P529">
        <v>0</v>
      </c>
      <c r="Q529">
        <v>0</v>
      </c>
      <c r="S529" t="str">
        <f>"18:38:22.516"</f>
        <v>18:38:22.516</v>
      </c>
      <c r="T529" t="str">
        <f>"18:38:22.316"</f>
        <v>18:38:22.316</v>
      </c>
      <c r="U529" t="str">
        <f t="shared" si="54"/>
        <v>AAB6EE</v>
      </c>
      <c r="V529">
        <v>0</v>
      </c>
      <c r="W529">
        <v>0</v>
      </c>
      <c r="X529">
        <v>4</v>
      </c>
      <c r="Z529">
        <v>0</v>
      </c>
      <c r="AA529">
        <v>8</v>
      </c>
      <c r="AB529">
        <v>3</v>
      </c>
      <c r="AC529">
        <v>0</v>
      </c>
      <c r="AD529">
        <v>10</v>
      </c>
      <c r="AE529">
        <v>0</v>
      </c>
      <c r="AF529">
        <v>0</v>
      </c>
      <c r="AG529">
        <v>1</v>
      </c>
      <c r="AH529">
        <v>1</v>
      </c>
      <c r="AI529" t="s">
        <v>473</v>
      </c>
      <c r="AJ529">
        <v>35.440328000000001</v>
      </c>
      <c r="AK529" t="s">
        <v>474</v>
      </c>
      <c r="AL529">
        <v>-76.082617999999997</v>
      </c>
      <c r="AM529">
        <v>25</v>
      </c>
      <c r="AN529">
        <v>3425</v>
      </c>
      <c r="AO529" t="s">
        <v>118</v>
      </c>
      <c r="AP529">
        <v>-98</v>
      </c>
      <c r="AQ529">
        <v>-195</v>
      </c>
      <c r="AR529">
        <v>0</v>
      </c>
      <c r="AZ529">
        <v>1200</v>
      </c>
      <c r="BA529">
        <v>1</v>
      </c>
      <c r="BB529" t="str">
        <f t="shared" si="56"/>
        <v xml:space="preserve">N79NX   </v>
      </c>
      <c r="BC529">
        <v>1</v>
      </c>
      <c r="BE529">
        <v>0</v>
      </c>
      <c r="BF529">
        <v>0</v>
      </c>
      <c r="BG529">
        <v>0</v>
      </c>
      <c r="BH529">
        <v>3275</v>
      </c>
      <c r="BI529">
        <v>0</v>
      </c>
      <c r="BJ529">
        <v>0</v>
      </c>
      <c r="BK529">
        <v>0</v>
      </c>
      <c r="BL529">
        <v>0</v>
      </c>
      <c r="BO529">
        <v>0</v>
      </c>
      <c r="BP529">
        <v>0</v>
      </c>
      <c r="BW529" t="str">
        <f>"18:38:22.521"</f>
        <v>18:38:22.521</v>
      </c>
      <c r="BZ529">
        <v>0</v>
      </c>
      <c r="CA529">
        <v>3488</v>
      </c>
      <c r="CB529">
        <v>216</v>
      </c>
      <c r="CC529">
        <v>583.59379999999999</v>
      </c>
      <c r="CD529">
        <v>1</v>
      </c>
      <c r="CE529">
        <v>1</v>
      </c>
      <c r="CF529">
        <v>0</v>
      </c>
      <c r="CG529">
        <v>1</v>
      </c>
      <c r="CH529">
        <v>0</v>
      </c>
      <c r="CI529">
        <v>0</v>
      </c>
      <c r="CJ529">
        <v>0</v>
      </c>
      <c r="CK529">
        <v>2</v>
      </c>
      <c r="CL529">
        <v>0</v>
      </c>
      <c r="CM529">
        <v>2</v>
      </c>
      <c r="CN529">
        <v>0</v>
      </c>
      <c r="CO529">
        <v>5</v>
      </c>
      <c r="CP529" t="s">
        <v>119</v>
      </c>
      <c r="CQ529">
        <v>145</v>
      </c>
      <c r="CR529">
        <v>1</v>
      </c>
      <c r="CW529">
        <v>8932368</v>
      </c>
      <c r="CY529">
        <v>0</v>
      </c>
      <c r="CZ529">
        <v>0</v>
      </c>
      <c r="DA529">
        <v>1</v>
      </c>
      <c r="DB529">
        <v>0</v>
      </c>
      <c r="DC529">
        <v>0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</row>
    <row r="530" spans="1:113" x14ac:dyDescent="0.3">
      <c r="A530" t="str">
        <f>"02/13/2022 18:38:23.661"</f>
        <v>02/13/2022 18:38:23.661</v>
      </c>
      <c r="C530" t="str">
        <f t="shared" si="55"/>
        <v>FFDFD7C0</v>
      </c>
      <c r="D530" t="s">
        <v>121</v>
      </c>
      <c r="E530">
        <v>2</v>
      </c>
      <c r="H530">
        <v>158</v>
      </c>
      <c r="I530" t="s">
        <v>120</v>
      </c>
      <c r="J530" t="s">
        <v>122</v>
      </c>
      <c r="K530">
        <v>0</v>
      </c>
      <c r="L530">
        <v>3</v>
      </c>
      <c r="M530">
        <v>0</v>
      </c>
      <c r="N530">
        <v>2</v>
      </c>
      <c r="O530">
        <v>1</v>
      </c>
      <c r="P530">
        <v>0</v>
      </c>
      <c r="Q530">
        <v>0</v>
      </c>
      <c r="S530" t="str">
        <f>"18:38:23.430"</f>
        <v>18:38:23.430</v>
      </c>
      <c r="T530" t="str">
        <f>"18:38:23.230"</f>
        <v>18:38:23.230</v>
      </c>
      <c r="U530" t="str">
        <f t="shared" si="54"/>
        <v>AAB6EE</v>
      </c>
      <c r="V530">
        <v>0</v>
      </c>
      <c r="W530">
        <v>0</v>
      </c>
      <c r="X530">
        <v>4</v>
      </c>
      <c r="Z530">
        <v>0</v>
      </c>
      <c r="AA530">
        <v>8</v>
      </c>
      <c r="AB530">
        <v>3</v>
      </c>
      <c r="AC530">
        <v>0</v>
      </c>
      <c r="AD530">
        <v>10</v>
      </c>
      <c r="AE530">
        <v>0</v>
      </c>
      <c r="AF530">
        <v>0</v>
      </c>
      <c r="AG530">
        <v>1</v>
      </c>
      <c r="AH530">
        <v>1</v>
      </c>
      <c r="AI530" t="s">
        <v>475</v>
      </c>
      <c r="AJ530">
        <v>35.439512999999998</v>
      </c>
      <c r="AK530" t="s">
        <v>476</v>
      </c>
      <c r="AL530">
        <v>-76.083133000000004</v>
      </c>
      <c r="AM530">
        <v>25</v>
      </c>
      <c r="AN530">
        <v>3425</v>
      </c>
      <c r="AO530" t="s">
        <v>118</v>
      </c>
      <c r="AP530">
        <v>-98</v>
      </c>
      <c r="AQ530">
        <v>-195</v>
      </c>
      <c r="AR530">
        <v>0</v>
      </c>
      <c r="AZ530">
        <v>1200</v>
      </c>
      <c r="BA530">
        <v>1</v>
      </c>
      <c r="BB530" t="str">
        <f t="shared" si="56"/>
        <v xml:space="preserve">N79NX   </v>
      </c>
      <c r="BC530">
        <v>1</v>
      </c>
      <c r="BE530">
        <v>0</v>
      </c>
      <c r="BF530">
        <v>0</v>
      </c>
      <c r="BG530">
        <v>0</v>
      </c>
      <c r="BH530">
        <v>3300</v>
      </c>
      <c r="BI530">
        <v>0</v>
      </c>
      <c r="BJ530">
        <v>0</v>
      </c>
      <c r="BK530">
        <v>0</v>
      </c>
      <c r="BL530">
        <v>0</v>
      </c>
      <c r="BO530">
        <v>0</v>
      </c>
      <c r="BP530">
        <v>0</v>
      </c>
      <c r="BW530" t="str">
        <f>"18:38:23.431"</f>
        <v>18:38:23.431</v>
      </c>
      <c r="BZ530">
        <v>0</v>
      </c>
      <c r="CA530">
        <v>3488</v>
      </c>
      <c r="CB530">
        <v>216</v>
      </c>
      <c r="CC530">
        <v>583.59379999999999</v>
      </c>
      <c r="CD530">
        <v>1</v>
      </c>
      <c r="CE530">
        <v>1</v>
      </c>
      <c r="CF530">
        <v>0</v>
      </c>
      <c r="CG530">
        <v>1</v>
      </c>
      <c r="CH530">
        <v>0</v>
      </c>
      <c r="CI530">
        <v>0</v>
      </c>
      <c r="CJ530">
        <v>0</v>
      </c>
      <c r="CK530">
        <v>2</v>
      </c>
      <c r="CL530">
        <v>0</v>
      </c>
      <c r="CM530">
        <v>2</v>
      </c>
      <c r="CN530">
        <v>0</v>
      </c>
      <c r="CO530">
        <v>5</v>
      </c>
      <c r="CP530" t="s">
        <v>119</v>
      </c>
      <c r="CQ530">
        <v>145</v>
      </c>
      <c r="CR530">
        <v>1</v>
      </c>
      <c r="CW530">
        <v>8932764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</row>
    <row r="531" spans="1:113" x14ac:dyDescent="0.3">
      <c r="A531" t="str">
        <f>"02/13/2022 18:38:23.661"</f>
        <v>02/13/2022 18:38:23.661</v>
      </c>
      <c r="C531" t="str">
        <f t="shared" si="55"/>
        <v>FFDFD7C0</v>
      </c>
      <c r="D531" t="s">
        <v>113</v>
      </c>
      <c r="E531">
        <v>4</v>
      </c>
      <c r="F531">
        <v>1004</v>
      </c>
      <c r="G531" t="s">
        <v>120</v>
      </c>
      <c r="J531" t="s">
        <v>115</v>
      </c>
      <c r="K531">
        <v>0</v>
      </c>
      <c r="L531">
        <v>3</v>
      </c>
      <c r="M531">
        <v>0</v>
      </c>
      <c r="N531">
        <v>2</v>
      </c>
      <c r="O531">
        <v>1</v>
      </c>
      <c r="P531">
        <v>0</v>
      </c>
      <c r="Q531">
        <v>0</v>
      </c>
      <c r="S531" t="str">
        <f>"18:38:23.430"</f>
        <v>18:38:23.430</v>
      </c>
      <c r="T531" t="str">
        <f>"18:38:23.230"</f>
        <v>18:38:23.230</v>
      </c>
      <c r="U531" t="str">
        <f t="shared" si="54"/>
        <v>AAB6EE</v>
      </c>
      <c r="V531">
        <v>0</v>
      </c>
      <c r="W531">
        <v>0</v>
      </c>
      <c r="X531">
        <v>4</v>
      </c>
      <c r="Z531">
        <v>0</v>
      </c>
      <c r="AA531">
        <v>8</v>
      </c>
      <c r="AB531">
        <v>3</v>
      </c>
      <c r="AC531">
        <v>0</v>
      </c>
      <c r="AD531">
        <v>10</v>
      </c>
      <c r="AE531">
        <v>0</v>
      </c>
      <c r="AF531">
        <v>0</v>
      </c>
      <c r="AG531">
        <v>1</v>
      </c>
      <c r="AH531">
        <v>1</v>
      </c>
      <c r="AI531" t="s">
        <v>475</v>
      </c>
      <c r="AJ531">
        <v>35.439512999999998</v>
      </c>
      <c r="AK531" t="s">
        <v>476</v>
      </c>
      <c r="AL531">
        <v>-76.083133000000004</v>
      </c>
      <c r="AM531">
        <v>25</v>
      </c>
      <c r="AN531">
        <v>3425</v>
      </c>
      <c r="AO531" t="s">
        <v>118</v>
      </c>
      <c r="AP531">
        <v>-98</v>
      </c>
      <c r="AQ531">
        <v>-195</v>
      </c>
      <c r="AR531">
        <v>0</v>
      </c>
      <c r="AZ531">
        <v>1200</v>
      </c>
      <c r="BA531">
        <v>1</v>
      </c>
      <c r="BB531" t="str">
        <f t="shared" si="56"/>
        <v xml:space="preserve">N79NX   </v>
      </c>
      <c r="BC531">
        <v>1</v>
      </c>
      <c r="BE531">
        <v>0</v>
      </c>
      <c r="BF531">
        <v>0</v>
      </c>
      <c r="BG531">
        <v>0</v>
      </c>
      <c r="BH531">
        <v>3300</v>
      </c>
      <c r="BI531">
        <v>0</v>
      </c>
      <c r="BJ531">
        <v>0</v>
      </c>
      <c r="BK531">
        <v>0</v>
      </c>
      <c r="BL531">
        <v>0</v>
      </c>
      <c r="BO531">
        <v>0</v>
      </c>
      <c r="BP531">
        <v>0</v>
      </c>
      <c r="BW531" t="str">
        <f>"18:38:23.431"</f>
        <v>18:38:23.431</v>
      </c>
      <c r="BZ531">
        <v>0</v>
      </c>
      <c r="CA531">
        <v>3488</v>
      </c>
      <c r="CB531">
        <v>216</v>
      </c>
      <c r="CC531">
        <v>583.59379999999999</v>
      </c>
      <c r="CD531">
        <v>1</v>
      </c>
      <c r="CE531">
        <v>1</v>
      </c>
      <c r="CF531">
        <v>0</v>
      </c>
      <c r="CG531">
        <v>1</v>
      </c>
      <c r="CH531">
        <v>0</v>
      </c>
      <c r="CI531">
        <v>0</v>
      </c>
      <c r="CJ531">
        <v>0</v>
      </c>
      <c r="CK531">
        <v>2</v>
      </c>
      <c r="CL531">
        <v>0</v>
      </c>
      <c r="CM531">
        <v>2</v>
      </c>
      <c r="CN531">
        <v>0</v>
      </c>
      <c r="CO531">
        <v>5</v>
      </c>
      <c r="CP531" t="s">
        <v>119</v>
      </c>
      <c r="CQ531">
        <v>145</v>
      </c>
      <c r="CR531">
        <v>1</v>
      </c>
      <c r="CW531">
        <v>8932764</v>
      </c>
      <c r="CY531">
        <v>0</v>
      </c>
      <c r="CZ531">
        <v>0</v>
      </c>
      <c r="DA531">
        <v>1</v>
      </c>
      <c r="DB531">
        <v>0</v>
      </c>
      <c r="DC531">
        <v>0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</row>
    <row r="532" spans="1:113" x14ac:dyDescent="0.3">
      <c r="A532" t="str">
        <f>"02/13/2022 18:38:23.661"</f>
        <v>02/13/2022 18:38:23.661</v>
      </c>
      <c r="C532" t="str">
        <f t="shared" si="55"/>
        <v>FFDFD7C0</v>
      </c>
      <c r="D532" t="s">
        <v>113</v>
      </c>
      <c r="E532">
        <v>3</v>
      </c>
      <c r="F532">
        <v>1003</v>
      </c>
      <c r="G532" t="s">
        <v>114</v>
      </c>
      <c r="J532" t="s">
        <v>115</v>
      </c>
      <c r="K532">
        <v>0</v>
      </c>
      <c r="L532">
        <v>3</v>
      </c>
      <c r="M532">
        <v>0</v>
      </c>
      <c r="N532">
        <v>2</v>
      </c>
      <c r="O532">
        <v>1</v>
      </c>
      <c r="P532">
        <v>0</v>
      </c>
      <c r="Q532">
        <v>0</v>
      </c>
      <c r="S532" t="str">
        <f>"18:38:23.430"</f>
        <v>18:38:23.430</v>
      </c>
      <c r="T532" t="str">
        <f>"18:38:23.230"</f>
        <v>18:38:23.230</v>
      </c>
      <c r="U532" t="str">
        <f t="shared" si="54"/>
        <v>AAB6EE</v>
      </c>
      <c r="V532">
        <v>0</v>
      </c>
      <c r="W532">
        <v>0</v>
      </c>
      <c r="X532">
        <v>4</v>
      </c>
      <c r="Z532">
        <v>0</v>
      </c>
      <c r="AA532">
        <v>8</v>
      </c>
      <c r="AB532">
        <v>3</v>
      </c>
      <c r="AC532">
        <v>0</v>
      </c>
      <c r="AD532">
        <v>10</v>
      </c>
      <c r="AE532">
        <v>0</v>
      </c>
      <c r="AF532">
        <v>0</v>
      </c>
      <c r="AG532">
        <v>1</v>
      </c>
      <c r="AH532">
        <v>1</v>
      </c>
      <c r="AI532" t="s">
        <v>475</v>
      </c>
      <c r="AJ532">
        <v>35.439512999999998</v>
      </c>
      <c r="AK532" t="s">
        <v>476</v>
      </c>
      <c r="AL532">
        <v>-76.083133000000004</v>
      </c>
      <c r="AM532">
        <v>25</v>
      </c>
      <c r="AN532">
        <v>3425</v>
      </c>
      <c r="AO532" t="s">
        <v>118</v>
      </c>
      <c r="AP532">
        <v>-98</v>
      </c>
      <c r="AQ532">
        <v>-195</v>
      </c>
      <c r="AR532">
        <v>0</v>
      </c>
      <c r="AZ532">
        <v>1200</v>
      </c>
      <c r="BA532">
        <v>1</v>
      </c>
      <c r="BB532" t="str">
        <f t="shared" si="56"/>
        <v xml:space="preserve">N79NX   </v>
      </c>
      <c r="BC532">
        <v>1</v>
      </c>
      <c r="BE532">
        <v>0</v>
      </c>
      <c r="BF532">
        <v>0</v>
      </c>
      <c r="BG532">
        <v>0</v>
      </c>
      <c r="BH532">
        <v>3300</v>
      </c>
      <c r="BI532">
        <v>0</v>
      </c>
      <c r="BJ532">
        <v>0</v>
      </c>
      <c r="BK532">
        <v>0</v>
      </c>
      <c r="BL532">
        <v>0</v>
      </c>
      <c r="BO532">
        <v>0</v>
      </c>
      <c r="BP532">
        <v>0</v>
      </c>
      <c r="BW532" t="str">
        <f>"18:38:23.431"</f>
        <v>18:38:23.431</v>
      </c>
      <c r="BZ532">
        <v>0</v>
      </c>
      <c r="CA532">
        <v>3488</v>
      </c>
      <c r="CB532">
        <v>216</v>
      </c>
      <c r="CC532">
        <v>583.59379999999999</v>
      </c>
      <c r="CD532">
        <v>1</v>
      </c>
      <c r="CE532">
        <v>1</v>
      </c>
      <c r="CF532">
        <v>0</v>
      </c>
      <c r="CG532">
        <v>1</v>
      </c>
      <c r="CH532">
        <v>0</v>
      </c>
      <c r="CI532">
        <v>0</v>
      </c>
      <c r="CJ532">
        <v>0</v>
      </c>
      <c r="CK532">
        <v>2</v>
      </c>
      <c r="CL532">
        <v>0</v>
      </c>
      <c r="CM532">
        <v>2</v>
      </c>
      <c r="CN532">
        <v>0</v>
      </c>
      <c r="CO532">
        <v>5</v>
      </c>
      <c r="CP532" t="s">
        <v>119</v>
      </c>
      <c r="CQ532">
        <v>145</v>
      </c>
      <c r="CR532">
        <v>1</v>
      </c>
      <c r="CW532">
        <v>8932764</v>
      </c>
      <c r="CY532">
        <v>0</v>
      </c>
      <c r="CZ532">
        <v>0</v>
      </c>
      <c r="DA532">
        <v>1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</row>
    <row r="533" spans="1:113" x14ac:dyDescent="0.3">
      <c r="A533" t="str">
        <f>"02/13/2022 18:38:24.804"</f>
        <v>02/13/2022 18:38:24.804</v>
      </c>
      <c r="C533" t="str">
        <f t="shared" si="55"/>
        <v>FFDFD7C0</v>
      </c>
      <c r="D533" t="s">
        <v>121</v>
      </c>
      <c r="E533">
        <v>2</v>
      </c>
      <c r="H533">
        <v>158</v>
      </c>
      <c r="I533" t="s">
        <v>120</v>
      </c>
      <c r="J533" t="s">
        <v>122</v>
      </c>
      <c r="K533">
        <v>0</v>
      </c>
      <c r="L533">
        <v>3</v>
      </c>
      <c r="M533">
        <v>0</v>
      </c>
      <c r="N533">
        <v>2</v>
      </c>
      <c r="O533">
        <v>1</v>
      </c>
      <c r="P533">
        <v>0</v>
      </c>
      <c r="Q533">
        <v>0</v>
      </c>
      <c r="S533" t="str">
        <f t="shared" ref="S533:T535" si="57">"18:38:24.578"</f>
        <v>18:38:24.578</v>
      </c>
      <c r="T533" t="str">
        <f t="shared" si="57"/>
        <v>18:38:24.578</v>
      </c>
      <c r="U533" t="str">
        <f t="shared" si="54"/>
        <v>AAB6EE</v>
      </c>
      <c r="V533">
        <v>0</v>
      </c>
      <c r="W533">
        <v>0</v>
      </c>
      <c r="X533">
        <v>4</v>
      </c>
      <c r="Z533">
        <v>0</v>
      </c>
      <c r="AA533">
        <v>8</v>
      </c>
      <c r="AB533">
        <v>3</v>
      </c>
      <c r="AC533">
        <v>0</v>
      </c>
      <c r="AD533">
        <v>10</v>
      </c>
      <c r="AE533">
        <v>0</v>
      </c>
      <c r="AF533">
        <v>0</v>
      </c>
      <c r="AG533">
        <v>1</v>
      </c>
      <c r="AH533">
        <v>1</v>
      </c>
      <c r="AI533" t="s">
        <v>477</v>
      </c>
      <c r="AJ533">
        <v>35.438504000000002</v>
      </c>
      <c r="AK533" t="s">
        <v>478</v>
      </c>
      <c r="AL533">
        <v>-76.083691000000002</v>
      </c>
      <c r="AM533">
        <v>25</v>
      </c>
      <c r="AN533">
        <v>3425</v>
      </c>
      <c r="AO533" t="s">
        <v>118</v>
      </c>
      <c r="AP533">
        <v>-98</v>
      </c>
      <c r="AQ533">
        <v>-195</v>
      </c>
      <c r="AR533">
        <v>0</v>
      </c>
      <c r="AZ533">
        <v>1200</v>
      </c>
      <c r="BA533">
        <v>1</v>
      </c>
      <c r="BB533" t="str">
        <f t="shared" si="56"/>
        <v xml:space="preserve">N79NX   </v>
      </c>
      <c r="BC533">
        <v>1</v>
      </c>
      <c r="BE533">
        <v>0</v>
      </c>
      <c r="BF533">
        <v>0</v>
      </c>
      <c r="BG533">
        <v>0</v>
      </c>
      <c r="BH533">
        <v>3275</v>
      </c>
      <c r="BI533">
        <v>0</v>
      </c>
      <c r="BJ533">
        <v>0</v>
      </c>
      <c r="BK533">
        <v>0</v>
      </c>
      <c r="BL533">
        <v>0</v>
      </c>
      <c r="BO533">
        <v>0</v>
      </c>
      <c r="BP533">
        <v>0</v>
      </c>
      <c r="BW533" t="str">
        <f>"18:38:24.581"</f>
        <v>18:38:24.581</v>
      </c>
      <c r="BZ533">
        <v>0</v>
      </c>
      <c r="CA533">
        <v>3488</v>
      </c>
      <c r="CB533">
        <v>216</v>
      </c>
      <c r="CC533">
        <v>583.59379999999999</v>
      </c>
      <c r="CD533">
        <v>1</v>
      </c>
      <c r="CE533">
        <v>1</v>
      </c>
      <c r="CF533">
        <v>0</v>
      </c>
      <c r="CG533">
        <v>1</v>
      </c>
      <c r="CH533">
        <v>0</v>
      </c>
      <c r="CI533">
        <v>0</v>
      </c>
      <c r="CJ533">
        <v>0</v>
      </c>
      <c r="CK533">
        <v>2</v>
      </c>
      <c r="CL533">
        <v>0</v>
      </c>
      <c r="CM533">
        <v>2</v>
      </c>
      <c r="CN533">
        <v>0</v>
      </c>
      <c r="CO533">
        <v>5</v>
      </c>
      <c r="CP533" t="s">
        <v>119</v>
      </c>
      <c r="CQ533">
        <v>145</v>
      </c>
      <c r="CR533">
        <v>1</v>
      </c>
      <c r="CW533">
        <v>8933348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</row>
    <row r="534" spans="1:113" x14ac:dyDescent="0.3">
      <c r="A534" t="str">
        <f>"02/13/2022 18:38:24.835"</f>
        <v>02/13/2022 18:38:24.835</v>
      </c>
      <c r="C534" t="str">
        <f t="shared" si="55"/>
        <v>FFDFD7C0</v>
      </c>
      <c r="D534" t="s">
        <v>113</v>
      </c>
      <c r="E534">
        <v>3</v>
      </c>
      <c r="F534">
        <v>1003</v>
      </c>
      <c r="G534" t="s">
        <v>114</v>
      </c>
      <c r="J534" t="s">
        <v>115</v>
      </c>
      <c r="K534">
        <v>0</v>
      </c>
      <c r="L534">
        <v>3</v>
      </c>
      <c r="M534">
        <v>0</v>
      </c>
      <c r="N534">
        <v>2</v>
      </c>
      <c r="O534">
        <v>1</v>
      </c>
      <c r="P534">
        <v>0</v>
      </c>
      <c r="Q534">
        <v>0</v>
      </c>
      <c r="S534" t="str">
        <f t="shared" si="57"/>
        <v>18:38:24.578</v>
      </c>
      <c r="T534" t="str">
        <f t="shared" si="57"/>
        <v>18:38:24.578</v>
      </c>
      <c r="U534" t="str">
        <f t="shared" si="54"/>
        <v>AAB6EE</v>
      </c>
      <c r="V534">
        <v>0</v>
      </c>
      <c r="W534">
        <v>0</v>
      </c>
      <c r="X534">
        <v>4</v>
      </c>
      <c r="Z534">
        <v>0</v>
      </c>
      <c r="AA534">
        <v>8</v>
      </c>
      <c r="AB534">
        <v>3</v>
      </c>
      <c r="AC534">
        <v>0</v>
      </c>
      <c r="AD534">
        <v>10</v>
      </c>
      <c r="AE534">
        <v>0</v>
      </c>
      <c r="AF534">
        <v>0</v>
      </c>
      <c r="AG534">
        <v>1</v>
      </c>
      <c r="AH534">
        <v>1</v>
      </c>
      <c r="AI534" t="s">
        <v>477</v>
      </c>
      <c r="AJ534">
        <v>35.438504000000002</v>
      </c>
      <c r="AK534" t="s">
        <v>478</v>
      </c>
      <c r="AL534">
        <v>-76.083691000000002</v>
      </c>
      <c r="AM534">
        <v>25</v>
      </c>
      <c r="AN534">
        <v>3425</v>
      </c>
      <c r="AO534" t="s">
        <v>118</v>
      </c>
      <c r="AP534">
        <v>-98</v>
      </c>
      <c r="AQ534">
        <v>-195</v>
      </c>
      <c r="AR534">
        <v>0</v>
      </c>
      <c r="AZ534">
        <v>1200</v>
      </c>
      <c r="BA534">
        <v>1</v>
      </c>
      <c r="BB534" t="str">
        <f t="shared" si="56"/>
        <v xml:space="preserve">N79NX   </v>
      </c>
      <c r="BC534">
        <v>1</v>
      </c>
      <c r="BE534">
        <v>0</v>
      </c>
      <c r="BF534">
        <v>0</v>
      </c>
      <c r="BG534">
        <v>0</v>
      </c>
      <c r="BH534">
        <v>3275</v>
      </c>
      <c r="BI534">
        <v>0</v>
      </c>
      <c r="BJ534">
        <v>0</v>
      </c>
      <c r="BK534">
        <v>0</v>
      </c>
      <c r="BL534">
        <v>0</v>
      </c>
      <c r="BO534">
        <v>0</v>
      </c>
      <c r="BP534">
        <v>0</v>
      </c>
      <c r="BW534" t="str">
        <f>"18:38:24.581"</f>
        <v>18:38:24.581</v>
      </c>
      <c r="BZ534">
        <v>0</v>
      </c>
      <c r="CA534">
        <v>3488</v>
      </c>
      <c r="CB534">
        <v>216</v>
      </c>
      <c r="CC534">
        <v>583.59379999999999</v>
      </c>
      <c r="CD534">
        <v>1</v>
      </c>
      <c r="CE534">
        <v>1</v>
      </c>
      <c r="CF534">
        <v>0</v>
      </c>
      <c r="CG534">
        <v>1</v>
      </c>
      <c r="CH534">
        <v>0</v>
      </c>
      <c r="CI534">
        <v>0</v>
      </c>
      <c r="CJ534">
        <v>0</v>
      </c>
      <c r="CK534">
        <v>2</v>
      </c>
      <c r="CL534">
        <v>0</v>
      </c>
      <c r="CM534">
        <v>2</v>
      </c>
      <c r="CN534">
        <v>0</v>
      </c>
      <c r="CO534">
        <v>5</v>
      </c>
      <c r="CP534" t="s">
        <v>119</v>
      </c>
      <c r="CQ534">
        <v>145</v>
      </c>
      <c r="CR534">
        <v>1</v>
      </c>
      <c r="CW534">
        <v>8933348</v>
      </c>
      <c r="CY534">
        <v>0</v>
      </c>
      <c r="CZ534">
        <v>0</v>
      </c>
      <c r="DA534">
        <v>1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</row>
    <row r="535" spans="1:113" x14ac:dyDescent="0.3">
      <c r="A535" t="str">
        <f>"02/13/2022 18:38:24.835"</f>
        <v>02/13/2022 18:38:24.835</v>
      </c>
      <c r="C535" t="str">
        <f t="shared" si="55"/>
        <v>FFDFD7C0</v>
      </c>
      <c r="D535" t="s">
        <v>113</v>
      </c>
      <c r="E535">
        <v>4</v>
      </c>
      <c r="F535">
        <v>1004</v>
      </c>
      <c r="G535" t="s">
        <v>120</v>
      </c>
      <c r="J535" t="s">
        <v>115</v>
      </c>
      <c r="K535">
        <v>0</v>
      </c>
      <c r="L535">
        <v>3</v>
      </c>
      <c r="M535">
        <v>0</v>
      </c>
      <c r="N535">
        <v>2</v>
      </c>
      <c r="O535">
        <v>1</v>
      </c>
      <c r="P535">
        <v>0</v>
      </c>
      <c r="Q535">
        <v>0</v>
      </c>
      <c r="S535" t="str">
        <f t="shared" si="57"/>
        <v>18:38:24.578</v>
      </c>
      <c r="T535" t="str">
        <f t="shared" si="57"/>
        <v>18:38:24.578</v>
      </c>
      <c r="U535" t="str">
        <f t="shared" si="54"/>
        <v>AAB6EE</v>
      </c>
      <c r="V535">
        <v>0</v>
      </c>
      <c r="W535">
        <v>0</v>
      </c>
      <c r="X535">
        <v>4</v>
      </c>
      <c r="Z535">
        <v>0</v>
      </c>
      <c r="AA535">
        <v>8</v>
      </c>
      <c r="AB535">
        <v>3</v>
      </c>
      <c r="AC535">
        <v>0</v>
      </c>
      <c r="AD535">
        <v>10</v>
      </c>
      <c r="AE535">
        <v>0</v>
      </c>
      <c r="AF535">
        <v>0</v>
      </c>
      <c r="AG535">
        <v>1</v>
      </c>
      <c r="AH535">
        <v>1</v>
      </c>
      <c r="AI535" t="s">
        <v>477</v>
      </c>
      <c r="AJ535">
        <v>35.438504000000002</v>
      </c>
      <c r="AK535" t="s">
        <v>478</v>
      </c>
      <c r="AL535">
        <v>-76.083691000000002</v>
      </c>
      <c r="AM535">
        <v>25</v>
      </c>
      <c r="AN535">
        <v>3425</v>
      </c>
      <c r="AO535" t="s">
        <v>118</v>
      </c>
      <c r="AP535">
        <v>-98</v>
      </c>
      <c r="AQ535">
        <v>-195</v>
      </c>
      <c r="AR535">
        <v>0</v>
      </c>
      <c r="AZ535">
        <v>1200</v>
      </c>
      <c r="BA535">
        <v>1</v>
      </c>
      <c r="BB535" t="str">
        <f t="shared" si="56"/>
        <v xml:space="preserve">N79NX   </v>
      </c>
      <c r="BC535">
        <v>1</v>
      </c>
      <c r="BE535">
        <v>0</v>
      </c>
      <c r="BF535">
        <v>0</v>
      </c>
      <c r="BG535">
        <v>0</v>
      </c>
      <c r="BH535">
        <v>3275</v>
      </c>
      <c r="BI535">
        <v>0</v>
      </c>
      <c r="BJ535">
        <v>0</v>
      </c>
      <c r="BK535">
        <v>0</v>
      </c>
      <c r="BL535">
        <v>0</v>
      </c>
      <c r="BO535">
        <v>0</v>
      </c>
      <c r="BP535">
        <v>0</v>
      </c>
      <c r="BW535" t="str">
        <f>"18:38:24.581"</f>
        <v>18:38:24.581</v>
      </c>
      <c r="BZ535">
        <v>0</v>
      </c>
      <c r="CA535">
        <v>3488</v>
      </c>
      <c r="CB535">
        <v>216</v>
      </c>
      <c r="CC535">
        <v>583.59379999999999</v>
      </c>
      <c r="CD535">
        <v>1</v>
      </c>
      <c r="CE535">
        <v>1</v>
      </c>
      <c r="CF535">
        <v>0</v>
      </c>
      <c r="CG535">
        <v>1</v>
      </c>
      <c r="CH535">
        <v>0</v>
      </c>
      <c r="CI535">
        <v>0</v>
      </c>
      <c r="CJ535">
        <v>0</v>
      </c>
      <c r="CK535">
        <v>2</v>
      </c>
      <c r="CL535">
        <v>0</v>
      </c>
      <c r="CM535">
        <v>2</v>
      </c>
      <c r="CN535">
        <v>0</v>
      </c>
      <c r="CO535">
        <v>5</v>
      </c>
      <c r="CP535" t="s">
        <v>119</v>
      </c>
      <c r="CQ535">
        <v>145</v>
      </c>
      <c r="CR535">
        <v>1</v>
      </c>
      <c r="CW535">
        <v>8933348</v>
      </c>
      <c r="CY535">
        <v>0</v>
      </c>
      <c r="CZ535">
        <v>0</v>
      </c>
      <c r="DA535">
        <v>1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</row>
    <row r="536" spans="1:113" x14ac:dyDescent="0.3">
      <c r="A536" t="str">
        <f>"02/13/2022 18:38:25.836"</f>
        <v>02/13/2022 18:38:25.836</v>
      </c>
      <c r="C536" t="str">
        <f t="shared" si="55"/>
        <v>FFDFD7C0</v>
      </c>
      <c r="D536" t="s">
        <v>121</v>
      </c>
      <c r="E536">
        <v>2</v>
      </c>
      <c r="H536">
        <v>158</v>
      </c>
      <c r="I536" t="s">
        <v>120</v>
      </c>
      <c r="J536" t="s">
        <v>122</v>
      </c>
      <c r="K536">
        <v>0</v>
      </c>
      <c r="L536">
        <v>3</v>
      </c>
      <c r="M536">
        <v>0</v>
      </c>
      <c r="N536">
        <v>2</v>
      </c>
      <c r="O536">
        <v>1</v>
      </c>
      <c r="P536">
        <v>0</v>
      </c>
      <c r="Q536">
        <v>0</v>
      </c>
      <c r="S536" t="str">
        <f t="shared" ref="S536:T538" si="58">"18:38:25.586"</f>
        <v>18:38:25.586</v>
      </c>
      <c r="T536" t="str">
        <f t="shared" si="58"/>
        <v>18:38:25.586</v>
      </c>
      <c r="U536" t="str">
        <f t="shared" si="54"/>
        <v>AAB6EE</v>
      </c>
      <c r="V536">
        <v>0</v>
      </c>
      <c r="W536">
        <v>0</v>
      </c>
      <c r="X536">
        <v>4</v>
      </c>
      <c r="Z536">
        <v>0</v>
      </c>
      <c r="AA536">
        <v>8</v>
      </c>
      <c r="AB536">
        <v>3</v>
      </c>
      <c r="AC536">
        <v>0</v>
      </c>
      <c r="AD536">
        <v>10</v>
      </c>
      <c r="AE536">
        <v>0</v>
      </c>
      <c r="AF536">
        <v>0</v>
      </c>
      <c r="AG536">
        <v>1</v>
      </c>
      <c r="AH536">
        <v>1</v>
      </c>
      <c r="AI536" t="s">
        <v>479</v>
      </c>
      <c r="AJ536">
        <v>35.437646000000001</v>
      </c>
      <c r="AK536" t="s">
        <v>480</v>
      </c>
      <c r="AL536">
        <v>-76.084270000000004</v>
      </c>
      <c r="AM536">
        <v>25</v>
      </c>
      <c r="AN536">
        <v>3425</v>
      </c>
      <c r="AO536" t="s">
        <v>118</v>
      </c>
      <c r="AP536">
        <v>-98</v>
      </c>
      <c r="AQ536">
        <v>-195</v>
      </c>
      <c r="AR536">
        <v>0</v>
      </c>
      <c r="AZ536">
        <v>1200</v>
      </c>
      <c r="BA536">
        <v>1</v>
      </c>
      <c r="BB536" t="str">
        <f t="shared" si="56"/>
        <v xml:space="preserve">N79NX   </v>
      </c>
      <c r="BC536">
        <v>1</v>
      </c>
      <c r="BE536">
        <v>0</v>
      </c>
      <c r="BF536">
        <v>0</v>
      </c>
      <c r="BG536">
        <v>0</v>
      </c>
      <c r="BH536">
        <v>3300</v>
      </c>
      <c r="BI536">
        <v>0</v>
      </c>
      <c r="BJ536">
        <v>0</v>
      </c>
      <c r="BK536">
        <v>0</v>
      </c>
      <c r="BL536">
        <v>0</v>
      </c>
      <c r="BO536">
        <v>0</v>
      </c>
      <c r="BP536">
        <v>0</v>
      </c>
      <c r="BW536" t="str">
        <f>"18:38:25.591"</f>
        <v>18:38:25.591</v>
      </c>
      <c r="BZ536">
        <v>0</v>
      </c>
      <c r="CA536">
        <v>3488</v>
      </c>
      <c r="CB536">
        <v>216</v>
      </c>
      <c r="CC536">
        <v>583.59379999999999</v>
      </c>
      <c r="CD536">
        <v>1</v>
      </c>
      <c r="CE536">
        <v>1</v>
      </c>
      <c r="CF536">
        <v>0</v>
      </c>
      <c r="CG536">
        <v>1</v>
      </c>
      <c r="CH536">
        <v>0</v>
      </c>
      <c r="CI536">
        <v>0</v>
      </c>
      <c r="CJ536">
        <v>0</v>
      </c>
      <c r="CK536">
        <v>2</v>
      </c>
      <c r="CL536">
        <v>0</v>
      </c>
      <c r="CM536">
        <v>2</v>
      </c>
      <c r="CN536">
        <v>0</v>
      </c>
      <c r="CO536">
        <v>5</v>
      </c>
      <c r="CP536" t="s">
        <v>119</v>
      </c>
      <c r="CQ536">
        <v>145</v>
      </c>
      <c r="CR536">
        <v>1</v>
      </c>
      <c r="CW536">
        <v>8933867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</row>
    <row r="537" spans="1:113" x14ac:dyDescent="0.3">
      <c r="A537" t="str">
        <f>"02/13/2022 18:38:25.852"</f>
        <v>02/13/2022 18:38:25.852</v>
      </c>
      <c r="C537" t="str">
        <f t="shared" si="55"/>
        <v>FFDFD7C0</v>
      </c>
      <c r="D537" t="s">
        <v>113</v>
      </c>
      <c r="E537">
        <v>3</v>
      </c>
      <c r="F537">
        <v>1003</v>
      </c>
      <c r="G537" t="s">
        <v>114</v>
      </c>
      <c r="J537" t="s">
        <v>115</v>
      </c>
      <c r="K537">
        <v>0</v>
      </c>
      <c r="L537">
        <v>3</v>
      </c>
      <c r="M537">
        <v>0</v>
      </c>
      <c r="N537">
        <v>2</v>
      </c>
      <c r="O537">
        <v>1</v>
      </c>
      <c r="P537">
        <v>0</v>
      </c>
      <c r="Q537">
        <v>0</v>
      </c>
      <c r="S537" t="str">
        <f t="shared" si="58"/>
        <v>18:38:25.586</v>
      </c>
      <c r="T537" t="str">
        <f t="shared" si="58"/>
        <v>18:38:25.586</v>
      </c>
      <c r="U537" t="str">
        <f t="shared" si="54"/>
        <v>AAB6EE</v>
      </c>
      <c r="V537">
        <v>0</v>
      </c>
      <c r="W537">
        <v>0</v>
      </c>
      <c r="X537">
        <v>4</v>
      </c>
      <c r="Z537">
        <v>0</v>
      </c>
      <c r="AA537">
        <v>8</v>
      </c>
      <c r="AB537">
        <v>3</v>
      </c>
      <c r="AC537">
        <v>0</v>
      </c>
      <c r="AD537">
        <v>10</v>
      </c>
      <c r="AE537">
        <v>0</v>
      </c>
      <c r="AF537">
        <v>0</v>
      </c>
      <c r="AG537">
        <v>1</v>
      </c>
      <c r="AH537">
        <v>1</v>
      </c>
      <c r="AI537" t="s">
        <v>479</v>
      </c>
      <c r="AJ537">
        <v>35.437646000000001</v>
      </c>
      <c r="AK537" t="s">
        <v>480</v>
      </c>
      <c r="AL537">
        <v>-76.084270000000004</v>
      </c>
      <c r="AM537">
        <v>25</v>
      </c>
      <c r="AN537">
        <v>3425</v>
      </c>
      <c r="AO537" t="s">
        <v>118</v>
      </c>
      <c r="AP537">
        <v>-98</v>
      </c>
      <c r="AQ537">
        <v>-195</v>
      </c>
      <c r="AR537">
        <v>0</v>
      </c>
      <c r="AZ537">
        <v>1200</v>
      </c>
      <c r="BA537">
        <v>1</v>
      </c>
      <c r="BB537" t="str">
        <f t="shared" si="56"/>
        <v xml:space="preserve">N79NX   </v>
      </c>
      <c r="BC537">
        <v>1</v>
      </c>
      <c r="BE537">
        <v>0</v>
      </c>
      <c r="BF537">
        <v>0</v>
      </c>
      <c r="BG537">
        <v>0</v>
      </c>
      <c r="BH537">
        <v>3300</v>
      </c>
      <c r="BI537">
        <v>0</v>
      </c>
      <c r="BJ537">
        <v>0</v>
      </c>
      <c r="BK537">
        <v>0</v>
      </c>
      <c r="BL537">
        <v>0</v>
      </c>
      <c r="BO537">
        <v>0</v>
      </c>
      <c r="BP537">
        <v>0</v>
      </c>
      <c r="BW537" t="str">
        <f>"18:38:25.591"</f>
        <v>18:38:25.591</v>
      </c>
      <c r="BZ537">
        <v>0</v>
      </c>
      <c r="CA537">
        <v>3488</v>
      </c>
      <c r="CB537">
        <v>216</v>
      </c>
      <c r="CC537">
        <v>583.59379999999999</v>
      </c>
      <c r="CD537">
        <v>1</v>
      </c>
      <c r="CE537">
        <v>1</v>
      </c>
      <c r="CF537">
        <v>0</v>
      </c>
      <c r="CG537">
        <v>1</v>
      </c>
      <c r="CH537">
        <v>0</v>
      </c>
      <c r="CI537">
        <v>0</v>
      </c>
      <c r="CJ537">
        <v>0</v>
      </c>
      <c r="CK537">
        <v>2</v>
      </c>
      <c r="CL537">
        <v>0</v>
      </c>
      <c r="CM537">
        <v>2</v>
      </c>
      <c r="CN537">
        <v>0</v>
      </c>
      <c r="CO537">
        <v>5</v>
      </c>
      <c r="CP537" t="s">
        <v>119</v>
      </c>
      <c r="CQ537">
        <v>145</v>
      </c>
      <c r="CR537">
        <v>1</v>
      </c>
      <c r="CW537">
        <v>8933867</v>
      </c>
      <c r="CY537">
        <v>0</v>
      </c>
      <c r="CZ537">
        <v>0</v>
      </c>
      <c r="DA537">
        <v>1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</row>
    <row r="538" spans="1:113" x14ac:dyDescent="0.3">
      <c r="A538" t="str">
        <f>"02/13/2022 18:38:25.852"</f>
        <v>02/13/2022 18:38:25.852</v>
      </c>
      <c r="C538" t="str">
        <f t="shared" si="55"/>
        <v>FFDFD7C0</v>
      </c>
      <c r="D538" t="s">
        <v>113</v>
      </c>
      <c r="E538">
        <v>4</v>
      </c>
      <c r="F538">
        <v>1004</v>
      </c>
      <c r="G538" t="s">
        <v>120</v>
      </c>
      <c r="J538" t="s">
        <v>115</v>
      </c>
      <c r="K538">
        <v>0</v>
      </c>
      <c r="L538">
        <v>3</v>
      </c>
      <c r="M538">
        <v>0</v>
      </c>
      <c r="N538">
        <v>2</v>
      </c>
      <c r="O538">
        <v>1</v>
      </c>
      <c r="P538">
        <v>0</v>
      </c>
      <c r="Q538">
        <v>0</v>
      </c>
      <c r="S538" t="str">
        <f t="shared" si="58"/>
        <v>18:38:25.586</v>
      </c>
      <c r="T538" t="str">
        <f t="shared" si="58"/>
        <v>18:38:25.586</v>
      </c>
      <c r="U538" t="str">
        <f t="shared" si="54"/>
        <v>AAB6EE</v>
      </c>
      <c r="V538">
        <v>0</v>
      </c>
      <c r="W538">
        <v>0</v>
      </c>
      <c r="X538">
        <v>4</v>
      </c>
      <c r="Z538">
        <v>0</v>
      </c>
      <c r="AA538">
        <v>8</v>
      </c>
      <c r="AB538">
        <v>3</v>
      </c>
      <c r="AC538">
        <v>0</v>
      </c>
      <c r="AD538">
        <v>10</v>
      </c>
      <c r="AE538">
        <v>0</v>
      </c>
      <c r="AF538">
        <v>0</v>
      </c>
      <c r="AG538">
        <v>1</v>
      </c>
      <c r="AH538">
        <v>1</v>
      </c>
      <c r="AI538" t="s">
        <v>479</v>
      </c>
      <c r="AJ538">
        <v>35.437646000000001</v>
      </c>
      <c r="AK538" t="s">
        <v>480</v>
      </c>
      <c r="AL538">
        <v>-76.084270000000004</v>
      </c>
      <c r="AM538">
        <v>25</v>
      </c>
      <c r="AN538">
        <v>3425</v>
      </c>
      <c r="AO538" t="s">
        <v>118</v>
      </c>
      <c r="AP538">
        <v>-98</v>
      </c>
      <c r="AQ538">
        <v>-195</v>
      </c>
      <c r="AR538">
        <v>0</v>
      </c>
      <c r="AZ538">
        <v>1200</v>
      </c>
      <c r="BA538">
        <v>1</v>
      </c>
      <c r="BB538" t="str">
        <f t="shared" si="56"/>
        <v xml:space="preserve">N79NX   </v>
      </c>
      <c r="BC538">
        <v>1</v>
      </c>
      <c r="BE538">
        <v>0</v>
      </c>
      <c r="BF538">
        <v>0</v>
      </c>
      <c r="BG538">
        <v>0</v>
      </c>
      <c r="BH538">
        <v>3300</v>
      </c>
      <c r="BI538">
        <v>0</v>
      </c>
      <c r="BJ538">
        <v>0</v>
      </c>
      <c r="BK538">
        <v>0</v>
      </c>
      <c r="BL538">
        <v>0</v>
      </c>
      <c r="BO538">
        <v>0</v>
      </c>
      <c r="BP538">
        <v>0</v>
      </c>
      <c r="BW538" t="str">
        <f>"18:38:25.591"</f>
        <v>18:38:25.591</v>
      </c>
      <c r="BZ538">
        <v>0</v>
      </c>
      <c r="CA538">
        <v>3488</v>
      </c>
      <c r="CB538">
        <v>216</v>
      </c>
      <c r="CC538">
        <v>583.59379999999999</v>
      </c>
      <c r="CD538">
        <v>1</v>
      </c>
      <c r="CE538">
        <v>1</v>
      </c>
      <c r="CF538">
        <v>0</v>
      </c>
      <c r="CG538">
        <v>1</v>
      </c>
      <c r="CH538">
        <v>0</v>
      </c>
      <c r="CI538">
        <v>0</v>
      </c>
      <c r="CJ538">
        <v>0</v>
      </c>
      <c r="CK538">
        <v>2</v>
      </c>
      <c r="CL538">
        <v>0</v>
      </c>
      <c r="CM538">
        <v>2</v>
      </c>
      <c r="CN538">
        <v>0</v>
      </c>
      <c r="CO538">
        <v>5</v>
      </c>
      <c r="CP538" t="s">
        <v>119</v>
      </c>
      <c r="CQ538">
        <v>145</v>
      </c>
      <c r="CR538">
        <v>1</v>
      </c>
      <c r="CW538">
        <v>8933867</v>
      </c>
      <c r="CY538">
        <v>0</v>
      </c>
      <c r="CZ538">
        <v>0</v>
      </c>
      <c r="DA538">
        <v>1</v>
      </c>
      <c r="DB538">
        <v>0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</row>
    <row r="539" spans="1:113" x14ac:dyDescent="0.3">
      <c r="A539" t="str">
        <f>"02/13/2022 18:38:26.930"</f>
        <v>02/13/2022 18:38:26.930</v>
      </c>
      <c r="C539" t="str">
        <f t="shared" si="55"/>
        <v>FFDFD7C0</v>
      </c>
      <c r="D539" t="s">
        <v>121</v>
      </c>
      <c r="E539">
        <v>2</v>
      </c>
      <c r="H539">
        <v>158</v>
      </c>
      <c r="I539" t="s">
        <v>120</v>
      </c>
      <c r="J539" t="s">
        <v>122</v>
      </c>
      <c r="K539">
        <v>0</v>
      </c>
      <c r="L539">
        <v>3</v>
      </c>
      <c r="M539">
        <v>0</v>
      </c>
      <c r="N539">
        <v>2</v>
      </c>
      <c r="O539">
        <v>1</v>
      </c>
      <c r="P539">
        <v>0</v>
      </c>
      <c r="Q539">
        <v>0</v>
      </c>
      <c r="S539" t="str">
        <f>"18:38:26.750"</f>
        <v>18:38:26.750</v>
      </c>
      <c r="T539" t="str">
        <f>"18:38:26.650"</f>
        <v>18:38:26.650</v>
      </c>
      <c r="U539" t="str">
        <f t="shared" si="54"/>
        <v>AAB6EE</v>
      </c>
      <c r="V539">
        <v>0</v>
      </c>
      <c r="W539">
        <v>0</v>
      </c>
      <c r="X539">
        <v>4</v>
      </c>
      <c r="Z539">
        <v>0</v>
      </c>
      <c r="AA539">
        <v>8</v>
      </c>
      <c r="AB539">
        <v>3</v>
      </c>
      <c r="AC539">
        <v>0</v>
      </c>
      <c r="AD539">
        <v>10</v>
      </c>
      <c r="AE539">
        <v>0</v>
      </c>
      <c r="AF539">
        <v>0</v>
      </c>
      <c r="AG539">
        <v>1</v>
      </c>
      <c r="AH539">
        <v>1</v>
      </c>
      <c r="AI539" t="s">
        <v>481</v>
      </c>
      <c r="AJ539">
        <v>35.436529999999998</v>
      </c>
      <c r="AK539" t="s">
        <v>482</v>
      </c>
      <c r="AL539">
        <v>-76.084957000000003</v>
      </c>
      <c r="AM539">
        <v>25</v>
      </c>
      <c r="AN539">
        <v>3425</v>
      </c>
      <c r="AO539" t="s">
        <v>118</v>
      </c>
      <c r="AP539">
        <v>-98</v>
      </c>
      <c r="AQ539">
        <v>-195</v>
      </c>
      <c r="AR539">
        <v>0</v>
      </c>
      <c r="AZ539">
        <v>1200</v>
      </c>
      <c r="BA539">
        <v>1</v>
      </c>
      <c r="BB539" t="str">
        <f t="shared" si="56"/>
        <v xml:space="preserve">N79NX   </v>
      </c>
      <c r="BC539">
        <v>1</v>
      </c>
      <c r="BE539">
        <v>0</v>
      </c>
      <c r="BF539">
        <v>0</v>
      </c>
      <c r="BG539">
        <v>0</v>
      </c>
      <c r="BH539">
        <v>3275</v>
      </c>
      <c r="BI539">
        <v>0</v>
      </c>
      <c r="BJ539">
        <v>0</v>
      </c>
      <c r="BK539">
        <v>0</v>
      </c>
      <c r="BL539">
        <v>0</v>
      </c>
      <c r="BO539">
        <v>0</v>
      </c>
      <c r="BP539">
        <v>0</v>
      </c>
      <c r="BW539" t="str">
        <f>"18:38:26.751"</f>
        <v>18:38:26.751</v>
      </c>
      <c r="BZ539">
        <v>0</v>
      </c>
      <c r="CA539">
        <v>3488</v>
      </c>
      <c r="CB539">
        <v>216</v>
      </c>
      <c r="CC539">
        <v>583.59379999999999</v>
      </c>
      <c r="CD539">
        <v>1</v>
      </c>
      <c r="CE539">
        <v>1</v>
      </c>
      <c r="CF539">
        <v>0</v>
      </c>
      <c r="CG539">
        <v>1</v>
      </c>
      <c r="CH539">
        <v>0</v>
      </c>
      <c r="CI539">
        <v>0</v>
      </c>
      <c r="CJ539">
        <v>0</v>
      </c>
      <c r="CK539">
        <v>2</v>
      </c>
      <c r="CL539">
        <v>0</v>
      </c>
      <c r="CM539">
        <v>2</v>
      </c>
      <c r="CN539">
        <v>0</v>
      </c>
      <c r="CO539">
        <v>5</v>
      </c>
      <c r="CP539" t="s">
        <v>119</v>
      </c>
      <c r="CQ539">
        <v>145</v>
      </c>
      <c r="CR539">
        <v>1</v>
      </c>
      <c r="CW539">
        <v>8934374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</row>
    <row r="540" spans="1:113" x14ac:dyDescent="0.3">
      <c r="A540" t="str">
        <f>"02/13/2022 18:38:26.930"</f>
        <v>02/13/2022 18:38:26.930</v>
      </c>
      <c r="C540" t="str">
        <f t="shared" si="55"/>
        <v>FFDFD7C0</v>
      </c>
      <c r="D540" t="s">
        <v>113</v>
      </c>
      <c r="E540">
        <v>3</v>
      </c>
      <c r="F540">
        <v>1003</v>
      </c>
      <c r="G540" t="s">
        <v>114</v>
      </c>
      <c r="J540" t="s">
        <v>115</v>
      </c>
      <c r="K540">
        <v>0</v>
      </c>
      <c r="L540">
        <v>3</v>
      </c>
      <c r="M540">
        <v>0</v>
      </c>
      <c r="N540">
        <v>2</v>
      </c>
      <c r="O540">
        <v>1</v>
      </c>
      <c r="P540">
        <v>0</v>
      </c>
      <c r="Q540">
        <v>0</v>
      </c>
      <c r="S540" t="str">
        <f>"18:38:26.750"</f>
        <v>18:38:26.750</v>
      </c>
      <c r="T540" t="str">
        <f>"18:38:26.650"</f>
        <v>18:38:26.650</v>
      </c>
      <c r="U540" t="str">
        <f t="shared" si="54"/>
        <v>AAB6EE</v>
      </c>
      <c r="V540">
        <v>0</v>
      </c>
      <c r="W540">
        <v>0</v>
      </c>
      <c r="X540">
        <v>4</v>
      </c>
      <c r="Z540">
        <v>0</v>
      </c>
      <c r="AA540">
        <v>8</v>
      </c>
      <c r="AB540">
        <v>3</v>
      </c>
      <c r="AC540">
        <v>0</v>
      </c>
      <c r="AD540">
        <v>10</v>
      </c>
      <c r="AE540">
        <v>0</v>
      </c>
      <c r="AF540">
        <v>0</v>
      </c>
      <c r="AG540">
        <v>1</v>
      </c>
      <c r="AH540">
        <v>1</v>
      </c>
      <c r="AI540" t="s">
        <v>481</v>
      </c>
      <c r="AJ540">
        <v>35.436529999999998</v>
      </c>
      <c r="AK540" t="s">
        <v>482</v>
      </c>
      <c r="AL540">
        <v>-76.084957000000003</v>
      </c>
      <c r="AM540">
        <v>25</v>
      </c>
      <c r="AN540">
        <v>3425</v>
      </c>
      <c r="AO540" t="s">
        <v>118</v>
      </c>
      <c r="AP540">
        <v>-98</v>
      </c>
      <c r="AQ540">
        <v>-195</v>
      </c>
      <c r="AR540">
        <v>0</v>
      </c>
      <c r="AZ540">
        <v>1200</v>
      </c>
      <c r="BA540">
        <v>1</v>
      </c>
      <c r="BB540" t="str">
        <f t="shared" si="56"/>
        <v xml:space="preserve">N79NX   </v>
      </c>
      <c r="BC540">
        <v>1</v>
      </c>
      <c r="BE540">
        <v>0</v>
      </c>
      <c r="BF540">
        <v>0</v>
      </c>
      <c r="BG540">
        <v>0</v>
      </c>
      <c r="BH540">
        <v>3275</v>
      </c>
      <c r="BI540">
        <v>0</v>
      </c>
      <c r="BJ540">
        <v>0</v>
      </c>
      <c r="BK540">
        <v>0</v>
      </c>
      <c r="BL540">
        <v>0</v>
      </c>
      <c r="BO540">
        <v>0</v>
      </c>
      <c r="BP540">
        <v>0</v>
      </c>
      <c r="BW540" t="str">
        <f>"18:38:26.751"</f>
        <v>18:38:26.751</v>
      </c>
      <c r="BZ540">
        <v>0</v>
      </c>
      <c r="CA540">
        <v>3488</v>
      </c>
      <c r="CB540">
        <v>216</v>
      </c>
      <c r="CC540">
        <v>583.59379999999999</v>
      </c>
      <c r="CD540">
        <v>1</v>
      </c>
      <c r="CE540">
        <v>1</v>
      </c>
      <c r="CF540">
        <v>0</v>
      </c>
      <c r="CG540">
        <v>1</v>
      </c>
      <c r="CH540">
        <v>0</v>
      </c>
      <c r="CI540">
        <v>0</v>
      </c>
      <c r="CJ540">
        <v>0</v>
      </c>
      <c r="CK540">
        <v>2</v>
      </c>
      <c r="CL540">
        <v>0</v>
      </c>
      <c r="CM540">
        <v>2</v>
      </c>
      <c r="CN540">
        <v>0</v>
      </c>
      <c r="CO540">
        <v>5</v>
      </c>
      <c r="CP540" t="s">
        <v>119</v>
      </c>
      <c r="CQ540">
        <v>145</v>
      </c>
      <c r="CR540">
        <v>1</v>
      </c>
      <c r="CW540">
        <v>8934374</v>
      </c>
      <c r="CY540">
        <v>0</v>
      </c>
      <c r="CZ540">
        <v>0</v>
      </c>
      <c r="DA540">
        <v>1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</row>
    <row r="541" spans="1:113" x14ac:dyDescent="0.3">
      <c r="A541" t="str">
        <f>"02/13/2022 18:38:26.930"</f>
        <v>02/13/2022 18:38:26.930</v>
      </c>
      <c r="C541" t="str">
        <f t="shared" si="55"/>
        <v>FFDFD7C0</v>
      </c>
      <c r="D541" t="s">
        <v>113</v>
      </c>
      <c r="E541">
        <v>4</v>
      </c>
      <c r="F541">
        <v>1004</v>
      </c>
      <c r="G541" t="s">
        <v>120</v>
      </c>
      <c r="J541" t="s">
        <v>115</v>
      </c>
      <c r="K541">
        <v>0</v>
      </c>
      <c r="L541">
        <v>3</v>
      </c>
      <c r="M541">
        <v>0</v>
      </c>
      <c r="N541">
        <v>2</v>
      </c>
      <c r="O541">
        <v>1</v>
      </c>
      <c r="P541">
        <v>0</v>
      </c>
      <c r="Q541">
        <v>0</v>
      </c>
      <c r="S541" t="str">
        <f>"18:38:26.750"</f>
        <v>18:38:26.750</v>
      </c>
      <c r="T541" t="str">
        <f>"18:38:26.650"</f>
        <v>18:38:26.650</v>
      </c>
      <c r="U541" t="str">
        <f t="shared" si="54"/>
        <v>AAB6EE</v>
      </c>
      <c r="V541">
        <v>0</v>
      </c>
      <c r="W541">
        <v>0</v>
      </c>
      <c r="X541">
        <v>4</v>
      </c>
      <c r="Z541">
        <v>0</v>
      </c>
      <c r="AA541">
        <v>8</v>
      </c>
      <c r="AB541">
        <v>3</v>
      </c>
      <c r="AC541">
        <v>0</v>
      </c>
      <c r="AD541">
        <v>10</v>
      </c>
      <c r="AE541">
        <v>0</v>
      </c>
      <c r="AF541">
        <v>0</v>
      </c>
      <c r="AG541">
        <v>1</v>
      </c>
      <c r="AH541">
        <v>1</v>
      </c>
      <c r="AI541" t="s">
        <v>481</v>
      </c>
      <c r="AJ541">
        <v>35.436529999999998</v>
      </c>
      <c r="AK541" t="s">
        <v>482</v>
      </c>
      <c r="AL541">
        <v>-76.084957000000003</v>
      </c>
      <c r="AM541">
        <v>25</v>
      </c>
      <c r="AN541">
        <v>3425</v>
      </c>
      <c r="AO541" t="s">
        <v>118</v>
      </c>
      <c r="AP541">
        <v>-98</v>
      </c>
      <c r="AQ541">
        <v>-195</v>
      </c>
      <c r="AR541">
        <v>0</v>
      </c>
      <c r="AZ541">
        <v>1200</v>
      </c>
      <c r="BA541">
        <v>1</v>
      </c>
      <c r="BB541" t="str">
        <f t="shared" si="56"/>
        <v xml:space="preserve">N79NX   </v>
      </c>
      <c r="BC541">
        <v>1</v>
      </c>
      <c r="BE541">
        <v>0</v>
      </c>
      <c r="BF541">
        <v>0</v>
      </c>
      <c r="BG541">
        <v>0</v>
      </c>
      <c r="BH541">
        <v>3275</v>
      </c>
      <c r="BI541">
        <v>0</v>
      </c>
      <c r="BJ541">
        <v>0</v>
      </c>
      <c r="BK541">
        <v>0</v>
      </c>
      <c r="BL541">
        <v>0</v>
      </c>
      <c r="BO541">
        <v>0</v>
      </c>
      <c r="BP541">
        <v>0</v>
      </c>
      <c r="BW541" t="str">
        <f>"18:38:26.751"</f>
        <v>18:38:26.751</v>
      </c>
      <c r="BZ541">
        <v>0</v>
      </c>
      <c r="CA541">
        <v>3488</v>
      </c>
      <c r="CB541">
        <v>216</v>
      </c>
      <c r="CC541">
        <v>583.59379999999999</v>
      </c>
      <c r="CD541">
        <v>1</v>
      </c>
      <c r="CE541">
        <v>1</v>
      </c>
      <c r="CF541">
        <v>0</v>
      </c>
      <c r="CG541">
        <v>1</v>
      </c>
      <c r="CH541">
        <v>0</v>
      </c>
      <c r="CI541">
        <v>0</v>
      </c>
      <c r="CJ541">
        <v>0</v>
      </c>
      <c r="CK541">
        <v>2</v>
      </c>
      <c r="CL541">
        <v>0</v>
      </c>
      <c r="CM541">
        <v>2</v>
      </c>
      <c r="CN541">
        <v>0</v>
      </c>
      <c r="CO541">
        <v>5</v>
      </c>
      <c r="CP541" t="s">
        <v>119</v>
      </c>
      <c r="CQ541">
        <v>145</v>
      </c>
      <c r="CR541">
        <v>1</v>
      </c>
      <c r="CW541">
        <v>8934374</v>
      </c>
      <c r="CY541">
        <v>0</v>
      </c>
      <c r="CZ541">
        <v>0</v>
      </c>
      <c r="DA541">
        <v>1</v>
      </c>
      <c r="DB541">
        <v>0</v>
      </c>
      <c r="DC541">
        <v>0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</row>
    <row r="542" spans="1:113" x14ac:dyDescent="0.3">
      <c r="A542" t="str">
        <f>"02/13/2022 18:38:28.039"</f>
        <v>02/13/2022 18:38:28.039</v>
      </c>
      <c r="C542" t="str">
        <f t="shared" si="55"/>
        <v>FFDFD7C0</v>
      </c>
      <c r="D542" t="s">
        <v>121</v>
      </c>
      <c r="E542">
        <v>2</v>
      </c>
      <c r="H542">
        <v>158</v>
      </c>
      <c r="I542" t="s">
        <v>120</v>
      </c>
      <c r="J542" t="s">
        <v>122</v>
      </c>
      <c r="K542">
        <v>0</v>
      </c>
      <c r="L542">
        <v>3</v>
      </c>
      <c r="M542">
        <v>0</v>
      </c>
      <c r="N542">
        <v>2</v>
      </c>
      <c r="O542">
        <v>1</v>
      </c>
      <c r="P542">
        <v>0</v>
      </c>
      <c r="Q542">
        <v>0</v>
      </c>
      <c r="S542" t="str">
        <f t="shared" ref="S542:T544" si="59">"18:38:27.828"</f>
        <v>18:38:27.828</v>
      </c>
      <c r="T542" t="str">
        <f t="shared" si="59"/>
        <v>18:38:27.828</v>
      </c>
      <c r="U542" t="str">
        <f t="shared" si="54"/>
        <v>AAB6EE</v>
      </c>
      <c r="V542">
        <v>0</v>
      </c>
      <c r="W542">
        <v>0</v>
      </c>
      <c r="X542">
        <v>4</v>
      </c>
      <c r="Z542">
        <v>0</v>
      </c>
      <c r="AA542">
        <v>8</v>
      </c>
      <c r="AB542">
        <v>3</v>
      </c>
      <c r="AC542">
        <v>0</v>
      </c>
      <c r="AD542">
        <v>10</v>
      </c>
      <c r="AE542">
        <v>0</v>
      </c>
      <c r="AF542">
        <v>0</v>
      </c>
      <c r="AG542">
        <v>1</v>
      </c>
      <c r="AH542">
        <v>1</v>
      </c>
      <c r="AI542" t="s">
        <v>483</v>
      </c>
      <c r="AJ542">
        <v>35.435564999999997</v>
      </c>
      <c r="AK542" t="s">
        <v>484</v>
      </c>
      <c r="AL542">
        <v>-76.085578999999996</v>
      </c>
      <c r="AM542">
        <v>25</v>
      </c>
      <c r="AN542">
        <v>3425</v>
      </c>
      <c r="AO542" t="s">
        <v>118</v>
      </c>
      <c r="AP542">
        <v>-98</v>
      </c>
      <c r="AQ542">
        <v>-195</v>
      </c>
      <c r="AR542">
        <v>0</v>
      </c>
      <c r="AZ542">
        <v>1200</v>
      </c>
      <c r="BA542">
        <v>1</v>
      </c>
      <c r="BB542" t="str">
        <f t="shared" si="56"/>
        <v xml:space="preserve">N79NX   </v>
      </c>
      <c r="BC542">
        <v>1</v>
      </c>
      <c r="BE542">
        <v>0</v>
      </c>
      <c r="BF542">
        <v>0</v>
      </c>
      <c r="BG542">
        <v>0</v>
      </c>
      <c r="BH542">
        <v>3275</v>
      </c>
      <c r="BI542">
        <v>0</v>
      </c>
      <c r="BJ542">
        <v>0</v>
      </c>
      <c r="BK542">
        <v>0</v>
      </c>
      <c r="BL542">
        <v>0</v>
      </c>
      <c r="BO542">
        <v>0</v>
      </c>
      <c r="BP542">
        <v>0</v>
      </c>
      <c r="BW542" t="str">
        <f>"18:38:27.831"</f>
        <v>18:38:27.831</v>
      </c>
      <c r="BZ542">
        <v>0</v>
      </c>
      <c r="CA542">
        <v>3488</v>
      </c>
      <c r="CB542">
        <v>216</v>
      </c>
      <c r="CC542">
        <v>583.59379999999999</v>
      </c>
      <c r="CD542">
        <v>1</v>
      </c>
      <c r="CE542">
        <v>1</v>
      </c>
      <c r="CF542">
        <v>0</v>
      </c>
      <c r="CG542">
        <v>1</v>
      </c>
      <c r="CH542">
        <v>0</v>
      </c>
      <c r="CI542">
        <v>0</v>
      </c>
      <c r="CJ542">
        <v>0</v>
      </c>
      <c r="CK542">
        <v>2</v>
      </c>
      <c r="CL542">
        <v>0</v>
      </c>
      <c r="CM542">
        <v>2</v>
      </c>
      <c r="CN542">
        <v>0</v>
      </c>
      <c r="CO542">
        <v>5</v>
      </c>
      <c r="CP542" t="s">
        <v>119</v>
      </c>
      <c r="CQ542">
        <v>145</v>
      </c>
      <c r="CR542">
        <v>1</v>
      </c>
      <c r="CW542">
        <v>8934866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</row>
    <row r="543" spans="1:113" x14ac:dyDescent="0.3">
      <c r="A543" t="str">
        <f>"02/13/2022 18:38:28.039"</f>
        <v>02/13/2022 18:38:28.039</v>
      </c>
      <c r="C543" t="str">
        <f t="shared" si="55"/>
        <v>FFDFD7C0</v>
      </c>
      <c r="D543" t="s">
        <v>113</v>
      </c>
      <c r="E543">
        <v>3</v>
      </c>
      <c r="F543">
        <v>1003</v>
      </c>
      <c r="G543" t="s">
        <v>114</v>
      </c>
      <c r="J543" t="s">
        <v>115</v>
      </c>
      <c r="K543">
        <v>0</v>
      </c>
      <c r="L543">
        <v>3</v>
      </c>
      <c r="M543">
        <v>0</v>
      </c>
      <c r="N543">
        <v>2</v>
      </c>
      <c r="O543">
        <v>1</v>
      </c>
      <c r="P543">
        <v>0</v>
      </c>
      <c r="Q543">
        <v>0</v>
      </c>
      <c r="S543" t="str">
        <f t="shared" si="59"/>
        <v>18:38:27.828</v>
      </c>
      <c r="T543" t="str">
        <f t="shared" si="59"/>
        <v>18:38:27.828</v>
      </c>
      <c r="U543" t="str">
        <f t="shared" si="54"/>
        <v>AAB6EE</v>
      </c>
      <c r="V543">
        <v>0</v>
      </c>
      <c r="W543">
        <v>0</v>
      </c>
      <c r="X543">
        <v>4</v>
      </c>
      <c r="Z543">
        <v>0</v>
      </c>
      <c r="AA543">
        <v>8</v>
      </c>
      <c r="AB543">
        <v>3</v>
      </c>
      <c r="AC543">
        <v>0</v>
      </c>
      <c r="AD543">
        <v>10</v>
      </c>
      <c r="AE543">
        <v>0</v>
      </c>
      <c r="AF543">
        <v>0</v>
      </c>
      <c r="AG543">
        <v>1</v>
      </c>
      <c r="AH543">
        <v>1</v>
      </c>
      <c r="AI543" t="s">
        <v>483</v>
      </c>
      <c r="AJ543">
        <v>35.435564999999997</v>
      </c>
      <c r="AK543" t="s">
        <v>484</v>
      </c>
      <c r="AL543">
        <v>-76.085578999999996</v>
      </c>
      <c r="AM543">
        <v>25</v>
      </c>
      <c r="AN543">
        <v>3425</v>
      </c>
      <c r="AO543" t="s">
        <v>118</v>
      </c>
      <c r="AP543">
        <v>-98</v>
      </c>
      <c r="AQ543">
        <v>-195</v>
      </c>
      <c r="AR543">
        <v>0</v>
      </c>
      <c r="AZ543">
        <v>1200</v>
      </c>
      <c r="BA543">
        <v>1</v>
      </c>
      <c r="BB543" t="str">
        <f t="shared" si="56"/>
        <v xml:space="preserve">N79NX   </v>
      </c>
      <c r="BC543">
        <v>1</v>
      </c>
      <c r="BE543">
        <v>0</v>
      </c>
      <c r="BF543">
        <v>0</v>
      </c>
      <c r="BG543">
        <v>0</v>
      </c>
      <c r="BH543">
        <v>3275</v>
      </c>
      <c r="BI543">
        <v>0</v>
      </c>
      <c r="BJ543">
        <v>0</v>
      </c>
      <c r="BK543">
        <v>0</v>
      </c>
      <c r="BL543">
        <v>0</v>
      </c>
      <c r="BO543">
        <v>0</v>
      </c>
      <c r="BP543">
        <v>0</v>
      </c>
      <c r="BW543" t="str">
        <f>"18:38:27.831"</f>
        <v>18:38:27.831</v>
      </c>
      <c r="BZ543">
        <v>0</v>
      </c>
      <c r="CA543">
        <v>3488</v>
      </c>
      <c r="CB543">
        <v>216</v>
      </c>
      <c r="CC543">
        <v>583.59379999999999</v>
      </c>
      <c r="CD543">
        <v>1</v>
      </c>
      <c r="CE543">
        <v>1</v>
      </c>
      <c r="CF543">
        <v>0</v>
      </c>
      <c r="CG543">
        <v>1</v>
      </c>
      <c r="CH543">
        <v>0</v>
      </c>
      <c r="CI543">
        <v>0</v>
      </c>
      <c r="CJ543">
        <v>0</v>
      </c>
      <c r="CK543">
        <v>2</v>
      </c>
      <c r="CL543">
        <v>0</v>
      </c>
      <c r="CM543">
        <v>2</v>
      </c>
      <c r="CN543">
        <v>0</v>
      </c>
      <c r="CO543">
        <v>5</v>
      </c>
      <c r="CP543" t="s">
        <v>119</v>
      </c>
      <c r="CQ543">
        <v>145</v>
      </c>
      <c r="CR543">
        <v>1</v>
      </c>
      <c r="CW543">
        <v>8934866</v>
      </c>
      <c r="CY543">
        <v>0</v>
      </c>
      <c r="CZ543">
        <v>0</v>
      </c>
      <c r="DA543">
        <v>1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</row>
    <row r="544" spans="1:113" x14ac:dyDescent="0.3">
      <c r="A544" t="str">
        <f>"02/13/2022 18:38:28.039"</f>
        <v>02/13/2022 18:38:28.039</v>
      </c>
      <c r="C544" t="str">
        <f t="shared" si="55"/>
        <v>FFDFD7C0</v>
      </c>
      <c r="D544" t="s">
        <v>113</v>
      </c>
      <c r="E544">
        <v>4</v>
      </c>
      <c r="F544">
        <v>1004</v>
      </c>
      <c r="G544" t="s">
        <v>120</v>
      </c>
      <c r="J544" t="s">
        <v>115</v>
      </c>
      <c r="K544">
        <v>0</v>
      </c>
      <c r="L544">
        <v>3</v>
      </c>
      <c r="M544">
        <v>0</v>
      </c>
      <c r="N544">
        <v>2</v>
      </c>
      <c r="O544">
        <v>1</v>
      </c>
      <c r="P544">
        <v>0</v>
      </c>
      <c r="Q544">
        <v>0</v>
      </c>
      <c r="S544" t="str">
        <f t="shared" si="59"/>
        <v>18:38:27.828</v>
      </c>
      <c r="T544" t="str">
        <f t="shared" si="59"/>
        <v>18:38:27.828</v>
      </c>
      <c r="U544" t="str">
        <f t="shared" si="54"/>
        <v>AAB6EE</v>
      </c>
      <c r="V544">
        <v>0</v>
      </c>
      <c r="W544">
        <v>0</v>
      </c>
      <c r="X544">
        <v>4</v>
      </c>
      <c r="Z544">
        <v>0</v>
      </c>
      <c r="AA544">
        <v>8</v>
      </c>
      <c r="AB544">
        <v>3</v>
      </c>
      <c r="AC544">
        <v>0</v>
      </c>
      <c r="AD544">
        <v>10</v>
      </c>
      <c r="AE544">
        <v>0</v>
      </c>
      <c r="AF544">
        <v>0</v>
      </c>
      <c r="AG544">
        <v>1</v>
      </c>
      <c r="AH544">
        <v>1</v>
      </c>
      <c r="AI544" t="s">
        <v>483</v>
      </c>
      <c r="AJ544">
        <v>35.435564999999997</v>
      </c>
      <c r="AK544" t="s">
        <v>484</v>
      </c>
      <c r="AL544">
        <v>-76.085578999999996</v>
      </c>
      <c r="AM544">
        <v>25</v>
      </c>
      <c r="AN544">
        <v>3425</v>
      </c>
      <c r="AO544" t="s">
        <v>118</v>
      </c>
      <c r="AP544">
        <v>-98</v>
      </c>
      <c r="AQ544">
        <v>-195</v>
      </c>
      <c r="AR544">
        <v>0</v>
      </c>
      <c r="AZ544">
        <v>1200</v>
      </c>
      <c r="BA544">
        <v>1</v>
      </c>
      <c r="BB544" t="str">
        <f t="shared" si="56"/>
        <v xml:space="preserve">N79NX   </v>
      </c>
      <c r="BC544">
        <v>1</v>
      </c>
      <c r="BE544">
        <v>0</v>
      </c>
      <c r="BF544">
        <v>0</v>
      </c>
      <c r="BG544">
        <v>0</v>
      </c>
      <c r="BH544">
        <v>3275</v>
      </c>
      <c r="BI544">
        <v>0</v>
      </c>
      <c r="BJ544">
        <v>0</v>
      </c>
      <c r="BK544">
        <v>0</v>
      </c>
      <c r="BL544">
        <v>0</v>
      </c>
      <c r="BO544">
        <v>0</v>
      </c>
      <c r="BP544">
        <v>0</v>
      </c>
      <c r="BW544" t="str">
        <f>"18:38:27.831"</f>
        <v>18:38:27.831</v>
      </c>
      <c r="BZ544">
        <v>0</v>
      </c>
      <c r="CA544">
        <v>3488</v>
      </c>
      <c r="CB544">
        <v>216</v>
      </c>
      <c r="CC544">
        <v>583.59379999999999</v>
      </c>
      <c r="CD544">
        <v>1</v>
      </c>
      <c r="CE544">
        <v>1</v>
      </c>
      <c r="CF544">
        <v>0</v>
      </c>
      <c r="CG544">
        <v>1</v>
      </c>
      <c r="CH544">
        <v>0</v>
      </c>
      <c r="CI544">
        <v>0</v>
      </c>
      <c r="CJ544">
        <v>0</v>
      </c>
      <c r="CK544">
        <v>2</v>
      </c>
      <c r="CL544">
        <v>0</v>
      </c>
      <c r="CM544">
        <v>2</v>
      </c>
      <c r="CN544">
        <v>0</v>
      </c>
      <c r="CO544">
        <v>5</v>
      </c>
      <c r="CP544" t="s">
        <v>119</v>
      </c>
      <c r="CQ544">
        <v>145</v>
      </c>
      <c r="CR544">
        <v>1</v>
      </c>
      <c r="CW544">
        <v>8934866</v>
      </c>
      <c r="CY544">
        <v>0</v>
      </c>
      <c r="CZ544">
        <v>0</v>
      </c>
      <c r="DA544">
        <v>1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</row>
    <row r="545" spans="1:113" x14ac:dyDescent="0.3">
      <c r="A545" t="str">
        <f>"02/13/2022 18:38:28.962"</f>
        <v>02/13/2022 18:38:28.962</v>
      </c>
      <c r="C545" t="str">
        <f t="shared" si="55"/>
        <v>FFDFD7C0</v>
      </c>
      <c r="D545" t="s">
        <v>121</v>
      </c>
      <c r="E545">
        <v>2</v>
      </c>
      <c r="H545">
        <v>158</v>
      </c>
      <c r="I545" t="s">
        <v>120</v>
      </c>
      <c r="J545" t="s">
        <v>122</v>
      </c>
      <c r="K545">
        <v>0</v>
      </c>
      <c r="L545">
        <v>3</v>
      </c>
      <c r="M545">
        <v>0</v>
      </c>
      <c r="N545">
        <v>2</v>
      </c>
      <c r="O545">
        <v>1</v>
      </c>
      <c r="P545">
        <v>0</v>
      </c>
      <c r="Q545">
        <v>0</v>
      </c>
      <c r="S545" t="str">
        <f>"18:38:28.758"</f>
        <v>18:38:28.758</v>
      </c>
      <c r="T545" t="str">
        <f>"18:38:28.358"</f>
        <v>18:38:28.358</v>
      </c>
      <c r="U545" t="str">
        <f t="shared" si="54"/>
        <v>AAB6EE</v>
      </c>
      <c r="V545">
        <v>0</v>
      </c>
      <c r="W545">
        <v>0</v>
      </c>
      <c r="X545">
        <v>4</v>
      </c>
      <c r="Z545">
        <v>0</v>
      </c>
      <c r="AA545">
        <v>8</v>
      </c>
      <c r="AB545">
        <v>3</v>
      </c>
      <c r="AC545">
        <v>0</v>
      </c>
      <c r="AD545">
        <v>10</v>
      </c>
      <c r="AE545">
        <v>0</v>
      </c>
      <c r="AF545">
        <v>0</v>
      </c>
      <c r="AG545">
        <v>1</v>
      </c>
      <c r="AH545">
        <v>1</v>
      </c>
      <c r="AI545" t="s">
        <v>485</v>
      </c>
      <c r="AJ545">
        <v>35.434705999999998</v>
      </c>
      <c r="AK545" t="s">
        <v>486</v>
      </c>
      <c r="AL545">
        <v>-76.086050999999998</v>
      </c>
      <c r="AM545">
        <v>25</v>
      </c>
      <c r="AN545">
        <v>3425</v>
      </c>
      <c r="AO545" t="s">
        <v>118</v>
      </c>
      <c r="AP545">
        <v>-98</v>
      </c>
      <c r="AQ545">
        <v>-195</v>
      </c>
      <c r="AR545">
        <v>0</v>
      </c>
      <c r="AZ545">
        <v>1200</v>
      </c>
      <c r="BA545">
        <v>1</v>
      </c>
      <c r="BB545" t="str">
        <f t="shared" si="56"/>
        <v xml:space="preserve">N79NX   </v>
      </c>
      <c r="BC545">
        <v>1</v>
      </c>
      <c r="BE545">
        <v>0</v>
      </c>
      <c r="BF545">
        <v>0</v>
      </c>
      <c r="BG545">
        <v>0</v>
      </c>
      <c r="BH545">
        <v>3275</v>
      </c>
      <c r="BI545">
        <v>0</v>
      </c>
      <c r="BJ545">
        <v>0</v>
      </c>
      <c r="BK545">
        <v>0</v>
      </c>
      <c r="BL545">
        <v>0</v>
      </c>
      <c r="BO545">
        <v>0</v>
      </c>
      <c r="BP545">
        <v>0</v>
      </c>
      <c r="BW545" t="str">
        <f>"18:38:28.761"</f>
        <v>18:38:28.761</v>
      </c>
      <c r="BZ545">
        <v>0</v>
      </c>
      <c r="CA545">
        <v>3488</v>
      </c>
      <c r="CB545">
        <v>216</v>
      </c>
      <c r="CC545">
        <v>583.59379999999999</v>
      </c>
      <c r="CD545">
        <v>1</v>
      </c>
      <c r="CE545">
        <v>1</v>
      </c>
      <c r="CF545">
        <v>0</v>
      </c>
      <c r="CG545">
        <v>1</v>
      </c>
      <c r="CH545">
        <v>0</v>
      </c>
      <c r="CI545">
        <v>0</v>
      </c>
      <c r="CJ545">
        <v>0</v>
      </c>
      <c r="CK545">
        <v>2</v>
      </c>
      <c r="CL545">
        <v>0</v>
      </c>
      <c r="CM545">
        <v>2</v>
      </c>
      <c r="CN545">
        <v>0</v>
      </c>
      <c r="CO545">
        <v>5</v>
      </c>
      <c r="CP545" t="s">
        <v>119</v>
      </c>
      <c r="CQ545">
        <v>145</v>
      </c>
      <c r="CR545">
        <v>1</v>
      </c>
      <c r="CW545">
        <v>8935322</v>
      </c>
      <c r="CY545">
        <v>0</v>
      </c>
      <c r="CZ545">
        <v>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</row>
    <row r="546" spans="1:113" x14ac:dyDescent="0.3">
      <c r="A546" t="str">
        <f>"02/13/2022 18:38:28.962"</f>
        <v>02/13/2022 18:38:28.962</v>
      </c>
      <c r="C546" t="str">
        <f t="shared" si="55"/>
        <v>FFDFD7C0</v>
      </c>
      <c r="D546" t="s">
        <v>113</v>
      </c>
      <c r="E546">
        <v>3</v>
      </c>
      <c r="F546">
        <v>1003</v>
      </c>
      <c r="G546" t="s">
        <v>114</v>
      </c>
      <c r="J546" t="s">
        <v>115</v>
      </c>
      <c r="K546">
        <v>0</v>
      </c>
      <c r="L546">
        <v>3</v>
      </c>
      <c r="M546">
        <v>0</v>
      </c>
      <c r="N546">
        <v>2</v>
      </c>
      <c r="O546">
        <v>1</v>
      </c>
      <c r="P546">
        <v>0</v>
      </c>
      <c r="Q546">
        <v>0</v>
      </c>
      <c r="S546" t="str">
        <f>"18:38:28.758"</f>
        <v>18:38:28.758</v>
      </c>
      <c r="T546" t="str">
        <f>"18:38:28.358"</f>
        <v>18:38:28.358</v>
      </c>
      <c r="U546" t="str">
        <f t="shared" si="54"/>
        <v>AAB6EE</v>
      </c>
      <c r="V546">
        <v>0</v>
      </c>
      <c r="W546">
        <v>0</v>
      </c>
      <c r="X546">
        <v>4</v>
      </c>
      <c r="Z546">
        <v>0</v>
      </c>
      <c r="AA546">
        <v>8</v>
      </c>
      <c r="AB546">
        <v>3</v>
      </c>
      <c r="AC546">
        <v>0</v>
      </c>
      <c r="AD546">
        <v>10</v>
      </c>
      <c r="AE546">
        <v>0</v>
      </c>
      <c r="AF546">
        <v>0</v>
      </c>
      <c r="AG546">
        <v>1</v>
      </c>
      <c r="AH546">
        <v>1</v>
      </c>
      <c r="AI546" t="s">
        <v>485</v>
      </c>
      <c r="AJ546">
        <v>35.434705999999998</v>
      </c>
      <c r="AK546" t="s">
        <v>486</v>
      </c>
      <c r="AL546">
        <v>-76.086050999999998</v>
      </c>
      <c r="AM546">
        <v>25</v>
      </c>
      <c r="AN546">
        <v>3425</v>
      </c>
      <c r="AO546" t="s">
        <v>118</v>
      </c>
      <c r="AP546">
        <v>-98</v>
      </c>
      <c r="AQ546">
        <v>-195</v>
      </c>
      <c r="AR546">
        <v>0</v>
      </c>
      <c r="AZ546">
        <v>1200</v>
      </c>
      <c r="BA546">
        <v>1</v>
      </c>
      <c r="BB546" t="str">
        <f t="shared" si="56"/>
        <v xml:space="preserve">N79NX   </v>
      </c>
      <c r="BC546">
        <v>1</v>
      </c>
      <c r="BE546">
        <v>0</v>
      </c>
      <c r="BF546">
        <v>0</v>
      </c>
      <c r="BG546">
        <v>0</v>
      </c>
      <c r="BH546">
        <v>3275</v>
      </c>
      <c r="BI546">
        <v>0</v>
      </c>
      <c r="BJ546">
        <v>0</v>
      </c>
      <c r="BK546">
        <v>0</v>
      </c>
      <c r="BL546">
        <v>0</v>
      </c>
      <c r="BO546">
        <v>0</v>
      </c>
      <c r="BP546">
        <v>0</v>
      </c>
      <c r="BW546" t="str">
        <f>"18:38:28.761"</f>
        <v>18:38:28.761</v>
      </c>
      <c r="BZ546">
        <v>0</v>
      </c>
      <c r="CA546">
        <v>3488</v>
      </c>
      <c r="CB546">
        <v>216</v>
      </c>
      <c r="CC546">
        <v>583.59379999999999</v>
      </c>
      <c r="CD546">
        <v>1</v>
      </c>
      <c r="CE546">
        <v>1</v>
      </c>
      <c r="CF546">
        <v>0</v>
      </c>
      <c r="CG546">
        <v>1</v>
      </c>
      <c r="CH546">
        <v>0</v>
      </c>
      <c r="CI546">
        <v>0</v>
      </c>
      <c r="CJ546">
        <v>0</v>
      </c>
      <c r="CK546">
        <v>2</v>
      </c>
      <c r="CL546">
        <v>0</v>
      </c>
      <c r="CM546">
        <v>2</v>
      </c>
      <c r="CN546">
        <v>0</v>
      </c>
      <c r="CO546">
        <v>5</v>
      </c>
      <c r="CP546" t="s">
        <v>119</v>
      </c>
      <c r="CQ546">
        <v>145</v>
      </c>
      <c r="CR546">
        <v>1</v>
      </c>
      <c r="CW546">
        <v>8935322</v>
      </c>
      <c r="CY546">
        <v>0</v>
      </c>
      <c r="CZ546">
        <v>0</v>
      </c>
      <c r="DA546">
        <v>1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</row>
    <row r="547" spans="1:113" x14ac:dyDescent="0.3">
      <c r="A547" t="str">
        <f>"02/13/2022 18:38:28.962"</f>
        <v>02/13/2022 18:38:28.962</v>
      </c>
      <c r="C547" t="str">
        <f t="shared" si="55"/>
        <v>FFDFD7C0</v>
      </c>
      <c r="D547" t="s">
        <v>113</v>
      </c>
      <c r="E547">
        <v>4</v>
      </c>
      <c r="F547">
        <v>1004</v>
      </c>
      <c r="G547" t="s">
        <v>120</v>
      </c>
      <c r="J547" t="s">
        <v>115</v>
      </c>
      <c r="K547">
        <v>0</v>
      </c>
      <c r="L547">
        <v>3</v>
      </c>
      <c r="M547">
        <v>0</v>
      </c>
      <c r="N547">
        <v>2</v>
      </c>
      <c r="O547">
        <v>1</v>
      </c>
      <c r="P547">
        <v>0</v>
      </c>
      <c r="Q547">
        <v>0</v>
      </c>
      <c r="S547" t="str">
        <f>"18:38:28.758"</f>
        <v>18:38:28.758</v>
      </c>
      <c r="T547" t="str">
        <f>"18:38:28.358"</f>
        <v>18:38:28.358</v>
      </c>
      <c r="U547" t="str">
        <f t="shared" si="54"/>
        <v>AAB6EE</v>
      </c>
      <c r="V547">
        <v>0</v>
      </c>
      <c r="W547">
        <v>0</v>
      </c>
      <c r="X547">
        <v>4</v>
      </c>
      <c r="Z547">
        <v>0</v>
      </c>
      <c r="AA547">
        <v>8</v>
      </c>
      <c r="AB547">
        <v>3</v>
      </c>
      <c r="AC547">
        <v>0</v>
      </c>
      <c r="AD547">
        <v>10</v>
      </c>
      <c r="AE547">
        <v>0</v>
      </c>
      <c r="AF547">
        <v>0</v>
      </c>
      <c r="AG547">
        <v>1</v>
      </c>
      <c r="AH547">
        <v>1</v>
      </c>
      <c r="AI547" t="s">
        <v>485</v>
      </c>
      <c r="AJ547">
        <v>35.434705999999998</v>
      </c>
      <c r="AK547" t="s">
        <v>486</v>
      </c>
      <c r="AL547">
        <v>-76.086050999999998</v>
      </c>
      <c r="AM547">
        <v>25</v>
      </c>
      <c r="AN547">
        <v>3425</v>
      </c>
      <c r="AO547" t="s">
        <v>118</v>
      </c>
      <c r="AP547">
        <v>-98</v>
      </c>
      <c r="AQ547">
        <v>-195</v>
      </c>
      <c r="AR547">
        <v>0</v>
      </c>
      <c r="AZ547">
        <v>1200</v>
      </c>
      <c r="BA547">
        <v>1</v>
      </c>
      <c r="BB547" t="str">
        <f t="shared" si="56"/>
        <v xml:space="preserve">N79NX   </v>
      </c>
      <c r="BC547">
        <v>1</v>
      </c>
      <c r="BE547">
        <v>0</v>
      </c>
      <c r="BF547">
        <v>0</v>
      </c>
      <c r="BG547">
        <v>0</v>
      </c>
      <c r="BH547">
        <v>3275</v>
      </c>
      <c r="BI547">
        <v>0</v>
      </c>
      <c r="BJ547">
        <v>0</v>
      </c>
      <c r="BK547">
        <v>0</v>
      </c>
      <c r="BL547">
        <v>0</v>
      </c>
      <c r="BO547">
        <v>0</v>
      </c>
      <c r="BP547">
        <v>0</v>
      </c>
      <c r="BW547" t="str">
        <f>"18:38:28.761"</f>
        <v>18:38:28.761</v>
      </c>
      <c r="BZ547">
        <v>0</v>
      </c>
      <c r="CA547">
        <v>3488</v>
      </c>
      <c r="CB547">
        <v>216</v>
      </c>
      <c r="CC547">
        <v>583.59379999999999</v>
      </c>
      <c r="CD547">
        <v>1</v>
      </c>
      <c r="CE547">
        <v>1</v>
      </c>
      <c r="CF547">
        <v>0</v>
      </c>
      <c r="CG547">
        <v>1</v>
      </c>
      <c r="CH547">
        <v>0</v>
      </c>
      <c r="CI547">
        <v>0</v>
      </c>
      <c r="CJ547">
        <v>0</v>
      </c>
      <c r="CK547">
        <v>2</v>
      </c>
      <c r="CL547">
        <v>0</v>
      </c>
      <c r="CM547">
        <v>2</v>
      </c>
      <c r="CN547">
        <v>0</v>
      </c>
      <c r="CO547">
        <v>5</v>
      </c>
      <c r="CP547" t="s">
        <v>119</v>
      </c>
      <c r="CQ547">
        <v>145</v>
      </c>
      <c r="CR547">
        <v>1</v>
      </c>
      <c r="CW547">
        <v>8935322</v>
      </c>
      <c r="CY547">
        <v>0</v>
      </c>
      <c r="CZ547">
        <v>0</v>
      </c>
      <c r="DA547">
        <v>1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</row>
    <row r="548" spans="1:113" x14ac:dyDescent="0.3">
      <c r="A548" t="str">
        <f>"02/13/2022 18:38:30.230"</f>
        <v>02/13/2022 18:38:30.230</v>
      </c>
      <c r="C548" t="str">
        <f t="shared" si="55"/>
        <v>FFDFD7C0</v>
      </c>
      <c r="D548" t="s">
        <v>113</v>
      </c>
      <c r="E548">
        <v>3</v>
      </c>
      <c r="F548">
        <v>1003</v>
      </c>
      <c r="G548" t="s">
        <v>114</v>
      </c>
      <c r="J548" t="s">
        <v>115</v>
      </c>
      <c r="K548">
        <v>0</v>
      </c>
      <c r="L548">
        <v>3</v>
      </c>
      <c r="M548">
        <v>0</v>
      </c>
      <c r="N548">
        <v>2</v>
      </c>
      <c r="O548">
        <v>1</v>
      </c>
      <c r="P548">
        <v>0</v>
      </c>
      <c r="Q548">
        <v>0</v>
      </c>
      <c r="S548" t="str">
        <f>"18:38:29.914"</f>
        <v>18:38:29.914</v>
      </c>
      <c r="T548" t="str">
        <f>"18:38:29.414"</f>
        <v>18:38:29.414</v>
      </c>
      <c r="U548" t="str">
        <f t="shared" si="54"/>
        <v>AAB6EE</v>
      </c>
      <c r="V548">
        <v>0</v>
      </c>
      <c r="W548">
        <v>0</v>
      </c>
      <c r="X548">
        <v>4</v>
      </c>
      <c r="Z548">
        <v>0</v>
      </c>
      <c r="AA548">
        <v>8</v>
      </c>
      <c r="AB548">
        <v>3</v>
      </c>
      <c r="AC548">
        <v>0</v>
      </c>
      <c r="AD548">
        <v>10</v>
      </c>
      <c r="AE548">
        <v>0</v>
      </c>
      <c r="AF548">
        <v>0</v>
      </c>
      <c r="AG548">
        <v>1</v>
      </c>
      <c r="AH548">
        <v>1</v>
      </c>
      <c r="AI548" t="s">
        <v>487</v>
      </c>
      <c r="AJ548">
        <v>35.433655000000002</v>
      </c>
      <c r="AK548" t="s">
        <v>488</v>
      </c>
      <c r="AL548">
        <v>-76.086737999999997</v>
      </c>
      <c r="AM548">
        <v>25</v>
      </c>
      <c r="AN548">
        <v>3425</v>
      </c>
      <c r="AO548" t="s">
        <v>118</v>
      </c>
      <c r="AP548">
        <v>-98</v>
      </c>
      <c r="AQ548">
        <v>-195</v>
      </c>
      <c r="AR548">
        <v>0</v>
      </c>
      <c r="AZ548">
        <v>1200</v>
      </c>
      <c r="BA548">
        <v>1</v>
      </c>
      <c r="BB548" t="str">
        <f t="shared" si="56"/>
        <v xml:space="preserve">N79NX   </v>
      </c>
      <c r="BC548">
        <v>1</v>
      </c>
      <c r="BE548">
        <v>0</v>
      </c>
      <c r="BF548">
        <v>0</v>
      </c>
      <c r="BG548">
        <v>0</v>
      </c>
      <c r="BH548">
        <v>3275</v>
      </c>
      <c r="BI548">
        <v>0</v>
      </c>
      <c r="BJ548">
        <v>0</v>
      </c>
      <c r="BK548">
        <v>0</v>
      </c>
      <c r="BL548">
        <v>0</v>
      </c>
      <c r="BO548">
        <v>0</v>
      </c>
      <c r="BP548">
        <v>0</v>
      </c>
      <c r="BW548" t="str">
        <f>"18:38:29.921"</f>
        <v>18:38:29.921</v>
      </c>
      <c r="BZ548">
        <v>0</v>
      </c>
      <c r="CA548">
        <v>3488</v>
      </c>
      <c r="CB548">
        <v>216</v>
      </c>
      <c r="CC548">
        <v>583.59379999999999</v>
      </c>
      <c r="CD548">
        <v>1</v>
      </c>
      <c r="CE548">
        <v>1</v>
      </c>
      <c r="CF548">
        <v>0</v>
      </c>
      <c r="CG548">
        <v>1</v>
      </c>
      <c r="CH548">
        <v>0</v>
      </c>
      <c r="CI548">
        <v>0</v>
      </c>
      <c r="CJ548">
        <v>0</v>
      </c>
      <c r="CK548">
        <v>2</v>
      </c>
      <c r="CL548">
        <v>0</v>
      </c>
      <c r="CM548">
        <v>2</v>
      </c>
      <c r="CN548">
        <v>0</v>
      </c>
      <c r="CO548">
        <v>5</v>
      </c>
      <c r="CP548" t="s">
        <v>119</v>
      </c>
      <c r="CQ548">
        <v>145</v>
      </c>
      <c r="CR548">
        <v>1</v>
      </c>
      <c r="CW548">
        <v>8935906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</row>
    <row r="549" spans="1:113" x14ac:dyDescent="0.3">
      <c r="A549" t="str">
        <f>"02/13/2022 18:38:30.230"</f>
        <v>02/13/2022 18:38:30.230</v>
      </c>
      <c r="C549" t="str">
        <f t="shared" si="55"/>
        <v>FFDFD7C0</v>
      </c>
      <c r="D549" t="s">
        <v>113</v>
      </c>
      <c r="E549">
        <v>4</v>
      </c>
      <c r="F549">
        <v>1004</v>
      </c>
      <c r="G549" t="s">
        <v>120</v>
      </c>
      <c r="J549" t="s">
        <v>115</v>
      </c>
      <c r="K549">
        <v>0</v>
      </c>
      <c r="L549">
        <v>3</v>
      </c>
      <c r="M549">
        <v>0</v>
      </c>
      <c r="N549">
        <v>2</v>
      </c>
      <c r="O549">
        <v>1</v>
      </c>
      <c r="P549">
        <v>0</v>
      </c>
      <c r="Q549">
        <v>0</v>
      </c>
      <c r="S549" t="str">
        <f>"18:38:29.914"</f>
        <v>18:38:29.914</v>
      </c>
      <c r="T549" t="str">
        <f>"18:38:29.414"</f>
        <v>18:38:29.414</v>
      </c>
      <c r="U549" t="str">
        <f t="shared" si="54"/>
        <v>AAB6EE</v>
      </c>
      <c r="V549">
        <v>0</v>
      </c>
      <c r="W549">
        <v>0</v>
      </c>
      <c r="X549">
        <v>4</v>
      </c>
      <c r="Z549">
        <v>0</v>
      </c>
      <c r="AA549">
        <v>8</v>
      </c>
      <c r="AB549">
        <v>3</v>
      </c>
      <c r="AC549">
        <v>0</v>
      </c>
      <c r="AD549">
        <v>10</v>
      </c>
      <c r="AE549">
        <v>0</v>
      </c>
      <c r="AF549">
        <v>0</v>
      </c>
      <c r="AG549">
        <v>1</v>
      </c>
      <c r="AH549">
        <v>1</v>
      </c>
      <c r="AI549" t="s">
        <v>487</v>
      </c>
      <c r="AJ549">
        <v>35.433655000000002</v>
      </c>
      <c r="AK549" t="s">
        <v>488</v>
      </c>
      <c r="AL549">
        <v>-76.086737999999997</v>
      </c>
      <c r="AM549">
        <v>25</v>
      </c>
      <c r="AN549">
        <v>3425</v>
      </c>
      <c r="AO549" t="s">
        <v>118</v>
      </c>
      <c r="AP549">
        <v>-98</v>
      </c>
      <c r="AQ549">
        <v>-195</v>
      </c>
      <c r="AR549">
        <v>0</v>
      </c>
      <c r="AZ549">
        <v>1200</v>
      </c>
      <c r="BA549">
        <v>1</v>
      </c>
      <c r="BB549" t="str">
        <f t="shared" si="56"/>
        <v xml:space="preserve">N79NX   </v>
      </c>
      <c r="BC549">
        <v>1</v>
      </c>
      <c r="BE549">
        <v>0</v>
      </c>
      <c r="BF549">
        <v>0</v>
      </c>
      <c r="BG549">
        <v>0</v>
      </c>
      <c r="BH549">
        <v>3275</v>
      </c>
      <c r="BI549">
        <v>0</v>
      </c>
      <c r="BJ549">
        <v>0</v>
      </c>
      <c r="BK549">
        <v>0</v>
      </c>
      <c r="BL549">
        <v>0</v>
      </c>
      <c r="BO549">
        <v>0</v>
      </c>
      <c r="BP549">
        <v>0</v>
      </c>
      <c r="BW549" t="str">
        <f>"18:38:29.921"</f>
        <v>18:38:29.921</v>
      </c>
      <c r="BZ549">
        <v>0</v>
      </c>
      <c r="CA549">
        <v>3488</v>
      </c>
      <c r="CB549">
        <v>216</v>
      </c>
      <c r="CC549">
        <v>583.59379999999999</v>
      </c>
      <c r="CD549">
        <v>1</v>
      </c>
      <c r="CE549">
        <v>1</v>
      </c>
      <c r="CF549">
        <v>0</v>
      </c>
      <c r="CG549">
        <v>1</v>
      </c>
      <c r="CH549">
        <v>0</v>
      </c>
      <c r="CI549">
        <v>0</v>
      </c>
      <c r="CJ549">
        <v>0</v>
      </c>
      <c r="CK549">
        <v>2</v>
      </c>
      <c r="CL549">
        <v>0</v>
      </c>
      <c r="CM549">
        <v>2</v>
      </c>
      <c r="CN549">
        <v>0</v>
      </c>
      <c r="CO549">
        <v>5</v>
      </c>
      <c r="CP549" t="s">
        <v>119</v>
      </c>
      <c r="CQ549">
        <v>145</v>
      </c>
      <c r="CR549">
        <v>1</v>
      </c>
      <c r="CW549">
        <v>8935906</v>
      </c>
      <c r="CY549">
        <v>0</v>
      </c>
      <c r="CZ549">
        <v>0</v>
      </c>
      <c r="DA549">
        <v>1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</row>
    <row r="550" spans="1:113" x14ac:dyDescent="0.3">
      <c r="A550" t="str">
        <f>"02/13/2022 18:38:30.230"</f>
        <v>02/13/2022 18:38:30.230</v>
      </c>
      <c r="C550" t="str">
        <f t="shared" si="55"/>
        <v>FFDFD7C0</v>
      </c>
      <c r="D550" t="s">
        <v>121</v>
      </c>
      <c r="E550">
        <v>2</v>
      </c>
      <c r="H550">
        <v>158</v>
      </c>
      <c r="I550" t="s">
        <v>120</v>
      </c>
      <c r="J550" t="s">
        <v>122</v>
      </c>
      <c r="K550">
        <v>0</v>
      </c>
      <c r="L550">
        <v>3</v>
      </c>
      <c r="M550">
        <v>0</v>
      </c>
      <c r="N550">
        <v>2</v>
      </c>
      <c r="O550">
        <v>1</v>
      </c>
      <c r="P550">
        <v>0</v>
      </c>
      <c r="Q550">
        <v>0</v>
      </c>
      <c r="S550" t="str">
        <f>"18:38:29.914"</f>
        <v>18:38:29.914</v>
      </c>
      <c r="T550" t="str">
        <f>"18:38:29.414"</f>
        <v>18:38:29.414</v>
      </c>
      <c r="U550" t="str">
        <f t="shared" si="54"/>
        <v>AAB6EE</v>
      </c>
      <c r="V550">
        <v>0</v>
      </c>
      <c r="W550">
        <v>0</v>
      </c>
      <c r="X550">
        <v>4</v>
      </c>
      <c r="Z550">
        <v>0</v>
      </c>
      <c r="AA550">
        <v>8</v>
      </c>
      <c r="AB550">
        <v>3</v>
      </c>
      <c r="AC550">
        <v>0</v>
      </c>
      <c r="AD550">
        <v>10</v>
      </c>
      <c r="AE550">
        <v>0</v>
      </c>
      <c r="AF550">
        <v>0</v>
      </c>
      <c r="AG550">
        <v>1</v>
      </c>
      <c r="AH550">
        <v>1</v>
      </c>
      <c r="AI550" t="s">
        <v>487</v>
      </c>
      <c r="AJ550">
        <v>35.433655000000002</v>
      </c>
      <c r="AK550" t="s">
        <v>488</v>
      </c>
      <c r="AL550">
        <v>-76.086737999999997</v>
      </c>
      <c r="AM550">
        <v>25</v>
      </c>
      <c r="AN550">
        <v>3425</v>
      </c>
      <c r="AO550" t="s">
        <v>118</v>
      </c>
      <c r="AP550">
        <v>-98</v>
      </c>
      <c r="AQ550">
        <v>-195</v>
      </c>
      <c r="AR550">
        <v>0</v>
      </c>
      <c r="AZ550">
        <v>1200</v>
      </c>
      <c r="BA550">
        <v>1</v>
      </c>
      <c r="BB550" t="str">
        <f t="shared" si="56"/>
        <v xml:space="preserve">N79NX   </v>
      </c>
      <c r="BC550">
        <v>1</v>
      </c>
      <c r="BE550">
        <v>0</v>
      </c>
      <c r="BF550">
        <v>0</v>
      </c>
      <c r="BG550">
        <v>0</v>
      </c>
      <c r="BH550">
        <v>3275</v>
      </c>
      <c r="BI550">
        <v>0</v>
      </c>
      <c r="BJ550">
        <v>0</v>
      </c>
      <c r="BK550">
        <v>0</v>
      </c>
      <c r="BL550">
        <v>0</v>
      </c>
      <c r="BO550">
        <v>0</v>
      </c>
      <c r="BP550">
        <v>0</v>
      </c>
      <c r="BW550" t="str">
        <f>"18:38:29.921"</f>
        <v>18:38:29.921</v>
      </c>
      <c r="BZ550">
        <v>0</v>
      </c>
      <c r="CA550">
        <v>3488</v>
      </c>
      <c r="CB550">
        <v>216</v>
      </c>
      <c r="CC550">
        <v>583.59379999999999</v>
      </c>
      <c r="CD550">
        <v>1</v>
      </c>
      <c r="CE550">
        <v>1</v>
      </c>
      <c r="CF550">
        <v>0</v>
      </c>
      <c r="CG550">
        <v>1</v>
      </c>
      <c r="CH550">
        <v>0</v>
      </c>
      <c r="CI550">
        <v>0</v>
      </c>
      <c r="CJ550">
        <v>0</v>
      </c>
      <c r="CK550">
        <v>2</v>
      </c>
      <c r="CL550">
        <v>0</v>
      </c>
      <c r="CM550">
        <v>2</v>
      </c>
      <c r="CN550">
        <v>0</v>
      </c>
      <c r="CO550">
        <v>5</v>
      </c>
      <c r="CP550" t="s">
        <v>119</v>
      </c>
      <c r="CQ550">
        <v>145</v>
      </c>
      <c r="CR550">
        <v>1</v>
      </c>
      <c r="CW550">
        <v>8935906</v>
      </c>
      <c r="CY550">
        <v>0</v>
      </c>
      <c r="CZ550">
        <v>0</v>
      </c>
      <c r="DA550">
        <v>1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</row>
    <row r="551" spans="1:113" x14ac:dyDescent="0.3">
      <c r="A551" t="str">
        <f>"02/13/2022 18:38:31.175"</f>
        <v>02/13/2022 18:38:31.175</v>
      </c>
      <c r="C551" t="str">
        <f t="shared" si="55"/>
        <v>FFDFD7C0</v>
      </c>
      <c r="D551" t="s">
        <v>121</v>
      </c>
      <c r="E551">
        <v>2</v>
      </c>
      <c r="H551">
        <v>158</v>
      </c>
      <c r="I551" t="s">
        <v>120</v>
      </c>
      <c r="J551" t="s">
        <v>122</v>
      </c>
      <c r="K551">
        <v>0</v>
      </c>
      <c r="L551">
        <v>3</v>
      </c>
      <c r="M551">
        <v>0</v>
      </c>
      <c r="N551">
        <v>2</v>
      </c>
      <c r="O551">
        <v>1</v>
      </c>
      <c r="P551">
        <v>0</v>
      </c>
      <c r="Q551">
        <v>0</v>
      </c>
      <c r="S551" t="str">
        <f>"18:38:31.000"</f>
        <v>18:38:31.000</v>
      </c>
      <c r="T551" t="str">
        <f>"18:38:30.600"</f>
        <v>18:38:30.600</v>
      </c>
      <c r="U551" t="str">
        <f t="shared" si="54"/>
        <v>AAB6EE</v>
      </c>
      <c r="V551">
        <v>0</v>
      </c>
      <c r="W551">
        <v>0</v>
      </c>
      <c r="X551">
        <v>4</v>
      </c>
      <c r="Z551">
        <v>0</v>
      </c>
      <c r="AA551">
        <v>8</v>
      </c>
      <c r="AB551">
        <v>3</v>
      </c>
      <c r="AC551">
        <v>0</v>
      </c>
      <c r="AD551">
        <v>10</v>
      </c>
      <c r="AE551">
        <v>0</v>
      </c>
      <c r="AF551">
        <v>0</v>
      </c>
      <c r="AG551">
        <v>1</v>
      </c>
      <c r="AH551">
        <v>1</v>
      </c>
      <c r="AI551" t="s">
        <v>489</v>
      </c>
      <c r="AJ551">
        <v>35.432732000000001</v>
      </c>
      <c r="AK551" t="s">
        <v>490</v>
      </c>
      <c r="AL551">
        <v>-76.087295999999995</v>
      </c>
      <c r="AM551">
        <v>25</v>
      </c>
      <c r="AN551">
        <v>3425</v>
      </c>
      <c r="AO551" t="s">
        <v>118</v>
      </c>
      <c r="AP551">
        <v>-98</v>
      </c>
      <c r="AQ551">
        <v>-195</v>
      </c>
      <c r="AR551">
        <v>0</v>
      </c>
      <c r="AZ551">
        <v>1200</v>
      </c>
      <c r="BA551">
        <v>1</v>
      </c>
      <c r="BB551" t="str">
        <f t="shared" si="56"/>
        <v xml:space="preserve">N79NX   </v>
      </c>
      <c r="BC551">
        <v>1</v>
      </c>
      <c r="BE551">
        <v>0</v>
      </c>
      <c r="BF551">
        <v>2</v>
      </c>
      <c r="BG551">
        <v>0</v>
      </c>
      <c r="BH551">
        <v>3275</v>
      </c>
      <c r="BI551">
        <v>0</v>
      </c>
      <c r="BJ551">
        <v>0</v>
      </c>
      <c r="BK551">
        <v>0</v>
      </c>
      <c r="BL551">
        <v>0</v>
      </c>
      <c r="BO551">
        <v>0</v>
      </c>
      <c r="BP551">
        <v>0</v>
      </c>
      <c r="BW551" t="str">
        <f>"18:38:31.001"</f>
        <v>18:38:31.001</v>
      </c>
      <c r="BZ551">
        <v>0</v>
      </c>
      <c r="CA551">
        <v>3488</v>
      </c>
      <c r="CB551">
        <v>216</v>
      </c>
      <c r="CC551">
        <v>583.59379999999999</v>
      </c>
      <c r="CD551">
        <v>1</v>
      </c>
      <c r="CE551">
        <v>1</v>
      </c>
      <c r="CF551">
        <v>0</v>
      </c>
      <c r="CG551">
        <v>1</v>
      </c>
      <c r="CH551">
        <v>0</v>
      </c>
      <c r="CI551">
        <v>0</v>
      </c>
      <c r="CJ551">
        <v>0</v>
      </c>
      <c r="CK551">
        <v>2</v>
      </c>
      <c r="CL551">
        <v>0</v>
      </c>
      <c r="CM551">
        <v>2</v>
      </c>
      <c r="CN551">
        <v>0</v>
      </c>
      <c r="CO551">
        <v>5</v>
      </c>
      <c r="CP551" t="s">
        <v>119</v>
      </c>
      <c r="CQ551">
        <v>145</v>
      </c>
      <c r="CR551">
        <v>1</v>
      </c>
      <c r="CW551">
        <v>8936403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</row>
    <row r="552" spans="1:113" x14ac:dyDescent="0.3">
      <c r="A552" t="str">
        <f>"02/13/2022 18:38:31.269"</f>
        <v>02/13/2022 18:38:31.269</v>
      </c>
      <c r="C552" t="str">
        <f t="shared" si="55"/>
        <v>FFDFD7C0</v>
      </c>
      <c r="D552" t="s">
        <v>113</v>
      </c>
      <c r="E552">
        <v>3</v>
      </c>
      <c r="F552">
        <v>1003</v>
      </c>
      <c r="G552" t="s">
        <v>114</v>
      </c>
      <c r="J552" t="s">
        <v>115</v>
      </c>
      <c r="K552">
        <v>0</v>
      </c>
      <c r="L552">
        <v>3</v>
      </c>
      <c r="M552">
        <v>0</v>
      </c>
      <c r="N552">
        <v>2</v>
      </c>
      <c r="O552">
        <v>1</v>
      </c>
      <c r="P552">
        <v>0</v>
      </c>
      <c r="Q552">
        <v>0</v>
      </c>
      <c r="S552" t="str">
        <f>"18:38:31.000"</f>
        <v>18:38:31.000</v>
      </c>
      <c r="T552" t="str">
        <f>"18:38:30.600"</f>
        <v>18:38:30.600</v>
      </c>
      <c r="U552" t="str">
        <f t="shared" si="54"/>
        <v>AAB6EE</v>
      </c>
      <c r="V552">
        <v>0</v>
      </c>
      <c r="W552">
        <v>0</v>
      </c>
      <c r="X552">
        <v>4</v>
      </c>
      <c r="Z552">
        <v>0</v>
      </c>
      <c r="AA552">
        <v>8</v>
      </c>
      <c r="AB552">
        <v>3</v>
      </c>
      <c r="AC552">
        <v>0</v>
      </c>
      <c r="AD552">
        <v>10</v>
      </c>
      <c r="AE552">
        <v>0</v>
      </c>
      <c r="AF552">
        <v>0</v>
      </c>
      <c r="AG552">
        <v>1</v>
      </c>
      <c r="AH552">
        <v>1</v>
      </c>
      <c r="AI552" t="s">
        <v>489</v>
      </c>
      <c r="AJ552">
        <v>35.432732000000001</v>
      </c>
      <c r="AK552" t="s">
        <v>490</v>
      </c>
      <c r="AL552">
        <v>-76.087295999999995</v>
      </c>
      <c r="AM552">
        <v>25</v>
      </c>
      <c r="AN552">
        <v>3425</v>
      </c>
      <c r="AO552" t="s">
        <v>118</v>
      </c>
      <c r="AP552">
        <v>-98</v>
      </c>
      <c r="AQ552">
        <v>-195</v>
      </c>
      <c r="AR552">
        <v>0</v>
      </c>
      <c r="AZ552">
        <v>1200</v>
      </c>
      <c r="BA552">
        <v>1</v>
      </c>
      <c r="BB552" t="str">
        <f t="shared" si="56"/>
        <v xml:space="preserve">N79NX   </v>
      </c>
      <c r="BC552">
        <v>1</v>
      </c>
      <c r="BE552">
        <v>0</v>
      </c>
      <c r="BF552">
        <v>2</v>
      </c>
      <c r="BG552">
        <v>0</v>
      </c>
      <c r="BH552">
        <v>3275</v>
      </c>
      <c r="BI552">
        <v>0</v>
      </c>
      <c r="BJ552">
        <v>0</v>
      </c>
      <c r="BK552">
        <v>0</v>
      </c>
      <c r="BL552">
        <v>0</v>
      </c>
      <c r="BO552">
        <v>0</v>
      </c>
      <c r="BP552">
        <v>0</v>
      </c>
      <c r="BW552" t="str">
        <f>"18:38:31.001"</f>
        <v>18:38:31.001</v>
      </c>
      <c r="BZ552">
        <v>0</v>
      </c>
      <c r="CA552">
        <v>3488</v>
      </c>
      <c r="CB552">
        <v>216</v>
      </c>
      <c r="CC552">
        <v>583.59379999999999</v>
      </c>
      <c r="CD552">
        <v>1</v>
      </c>
      <c r="CE552">
        <v>1</v>
      </c>
      <c r="CF552">
        <v>0</v>
      </c>
      <c r="CG552">
        <v>1</v>
      </c>
      <c r="CH552">
        <v>0</v>
      </c>
      <c r="CI552">
        <v>0</v>
      </c>
      <c r="CJ552">
        <v>0</v>
      </c>
      <c r="CK552">
        <v>2</v>
      </c>
      <c r="CL552">
        <v>0</v>
      </c>
      <c r="CM552">
        <v>2</v>
      </c>
      <c r="CN552">
        <v>0</v>
      </c>
      <c r="CO552">
        <v>5</v>
      </c>
      <c r="CP552" t="s">
        <v>119</v>
      </c>
      <c r="CQ552">
        <v>145</v>
      </c>
      <c r="CR552">
        <v>1</v>
      </c>
      <c r="CW552">
        <v>8936403</v>
      </c>
      <c r="CY552">
        <v>0</v>
      </c>
      <c r="CZ552">
        <v>0</v>
      </c>
      <c r="DA552">
        <v>1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</row>
    <row r="553" spans="1:113" x14ac:dyDescent="0.3">
      <c r="A553" t="str">
        <f>"02/13/2022 18:38:31.269"</f>
        <v>02/13/2022 18:38:31.269</v>
      </c>
      <c r="C553" t="str">
        <f t="shared" si="55"/>
        <v>FFDFD7C0</v>
      </c>
      <c r="D553" t="s">
        <v>113</v>
      </c>
      <c r="E553">
        <v>4</v>
      </c>
      <c r="F553">
        <v>1004</v>
      </c>
      <c r="G553" t="s">
        <v>120</v>
      </c>
      <c r="J553" t="s">
        <v>115</v>
      </c>
      <c r="K553">
        <v>0</v>
      </c>
      <c r="L553">
        <v>3</v>
      </c>
      <c r="M553">
        <v>0</v>
      </c>
      <c r="N553">
        <v>2</v>
      </c>
      <c r="O553">
        <v>1</v>
      </c>
      <c r="P553">
        <v>0</v>
      </c>
      <c r="Q553">
        <v>0</v>
      </c>
      <c r="S553" t="str">
        <f>"18:38:31.000"</f>
        <v>18:38:31.000</v>
      </c>
      <c r="T553" t="str">
        <f>"18:38:30.600"</f>
        <v>18:38:30.600</v>
      </c>
      <c r="U553" t="str">
        <f t="shared" si="54"/>
        <v>AAB6EE</v>
      </c>
      <c r="V553">
        <v>0</v>
      </c>
      <c r="W553">
        <v>0</v>
      </c>
      <c r="X553">
        <v>4</v>
      </c>
      <c r="Z553">
        <v>0</v>
      </c>
      <c r="AA553">
        <v>8</v>
      </c>
      <c r="AB553">
        <v>3</v>
      </c>
      <c r="AC553">
        <v>0</v>
      </c>
      <c r="AD553">
        <v>10</v>
      </c>
      <c r="AE553">
        <v>0</v>
      </c>
      <c r="AF553">
        <v>0</v>
      </c>
      <c r="AG553">
        <v>1</v>
      </c>
      <c r="AH553">
        <v>1</v>
      </c>
      <c r="AI553" t="s">
        <v>489</v>
      </c>
      <c r="AJ553">
        <v>35.432732000000001</v>
      </c>
      <c r="AK553" t="s">
        <v>490</v>
      </c>
      <c r="AL553">
        <v>-76.087295999999995</v>
      </c>
      <c r="AM553">
        <v>25</v>
      </c>
      <c r="AN553">
        <v>3425</v>
      </c>
      <c r="AO553" t="s">
        <v>118</v>
      </c>
      <c r="AP553">
        <v>-98</v>
      </c>
      <c r="AQ553">
        <v>-195</v>
      </c>
      <c r="AR553">
        <v>0</v>
      </c>
      <c r="AZ553">
        <v>1200</v>
      </c>
      <c r="BA553">
        <v>1</v>
      </c>
      <c r="BB553" t="str">
        <f t="shared" si="56"/>
        <v xml:space="preserve">N79NX   </v>
      </c>
      <c r="BC553">
        <v>1</v>
      </c>
      <c r="BE553">
        <v>0</v>
      </c>
      <c r="BF553">
        <v>2</v>
      </c>
      <c r="BG553">
        <v>0</v>
      </c>
      <c r="BH553">
        <v>3275</v>
      </c>
      <c r="BI553">
        <v>0</v>
      </c>
      <c r="BJ553">
        <v>0</v>
      </c>
      <c r="BK553">
        <v>0</v>
      </c>
      <c r="BL553">
        <v>0</v>
      </c>
      <c r="BO553">
        <v>0</v>
      </c>
      <c r="BP553">
        <v>0</v>
      </c>
      <c r="BW553" t="str">
        <f>"18:38:31.001"</f>
        <v>18:38:31.001</v>
      </c>
      <c r="BZ553">
        <v>0</v>
      </c>
      <c r="CA553">
        <v>3488</v>
      </c>
      <c r="CB553">
        <v>216</v>
      </c>
      <c r="CC553">
        <v>583.59379999999999</v>
      </c>
      <c r="CD553">
        <v>1</v>
      </c>
      <c r="CE553">
        <v>1</v>
      </c>
      <c r="CF553">
        <v>0</v>
      </c>
      <c r="CG553">
        <v>1</v>
      </c>
      <c r="CH553">
        <v>0</v>
      </c>
      <c r="CI553">
        <v>0</v>
      </c>
      <c r="CJ553">
        <v>0</v>
      </c>
      <c r="CK553">
        <v>2</v>
      </c>
      <c r="CL553">
        <v>0</v>
      </c>
      <c r="CM553">
        <v>2</v>
      </c>
      <c r="CN553">
        <v>0</v>
      </c>
      <c r="CO553">
        <v>5</v>
      </c>
      <c r="CP553" t="s">
        <v>119</v>
      </c>
      <c r="CQ553">
        <v>145</v>
      </c>
      <c r="CR553">
        <v>1</v>
      </c>
      <c r="CW553">
        <v>8936403</v>
      </c>
      <c r="CY553">
        <v>0</v>
      </c>
      <c r="CZ553">
        <v>0</v>
      </c>
      <c r="DA553">
        <v>1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</row>
    <row r="554" spans="1:113" x14ac:dyDescent="0.3">
      <c r="A554" t="str">
        <f>"02/13/2022 18:38:32.128"</f>
        <v>02/13/2022 18:38:32.128</v>
      </c>
      <c r="C554" t="str">
        <f t="shared" si="55"/>
        <v>FFDFD7C0</v>
      </c>
      <c r="D554" t="s">
        <v>113</v>
      </c>
      <c r="E554">
        <v>3</v>
      </c>
      <c r="F554">
        <v>1003</v>
      </c>
      <c r="G554" t="s">
        <v>114</v>
      </c>
      <c r="J554" t="s">
        <v>115</v>
      </c>
      <c r="K554">
        <v>0</v>
      </c>
      <c r="L554">
        <v>3</v>
      </c>
      <c r="M554">
        <v>0</v>
      </c>
      <c r="N554">
        <v>2</v>
      </c>
      <c r="O554">
        <v>1</v>
      </c>
      <c r="P554">
        <v>0</v>
      </c>
      <c r="Q554">
        <v>0</v>
      </c>
      <c r="S554" t="str">
        <f>"18:38:31.938"</f>
        <v>18:38:31.938</v>
      </c>
      <c r="T554" t="str">
        <f>"18:38:31.637"</f>
        <v>18:38:31.637</v>
      </c>
      <c r="U554" t="str">
        <f t="shared" si="54"/>
        <v>AAB6EE</v>
      </c>
      <c r="V554">
        <v>0</v>
      </c>
      <c r="W554">
        <v>0</v>
      </c>
      <c r="X554">
        <v>4</v>
      </c>
      <c r="Z554">
        <v>0</v>
      </c>
      <c r="AA554">
        <v>8</v>
      </c>
      <c r="AB554">
        <v>3</v>
      </c>
      <c r="AC554">
        <v>0</v>
      </c>
      <c r="AD554">
        <v>10</v>
      </c>
      <c r="AE554">
        <v>0</v>
      </c>
      <c r="AF554">
        <v>0</v>
      </c>
      <c r="AG554">
        <v>1</v>
      </c>
      <c r="AH554">
        <v>1</v>
      </c>
      <c r="AI554" t="s">
        <v>491</v>
      </c>
      <c r="AJ554">
        <v>35.431831000000003</v>
      </c>
      <c r="AK554" t="s">
        <v>492</v>
      </c>
      <c r="AL554">
        <v>-76.087811000000002</v>
      </c>
      <c r="AM554">
        <v>25</v>
      </c>
      <c r="AN554">
        <v>3425</v>
      </c>
      <c r="AO554" t="s">
        <v>118</v>
      </c>
      <c r="AP554">
        <v>-98</v>
      </c>
      <c r="AQ554">
        <v>-196</v>
      </c>
      <c r="AR554">
        <v>0</v>
      </c>
      <c r="AZ554">
        <v>1200</v>
      </c>
      <c r="BA554">
        <v>1</v>
      </c>
      <c r="BB554" t="str">
        <f t="shared" si="56"/>
        <v xml:space="preserve">N79NX   </v>
      </c>
      <c r="BC554">
        <v>1</v>
      </c>
      <c r="BE554">
        <v>0</v>
      </c>
      <c r="BF554">
        <v>2</v>
      </c>
      <c r="BG554">
        <v>0</v>
      </c>
      <c r="BH554">
        <v>3275</v>
      </c>
      <c r="BI554">
        <v>0</v>
      </c>
      <c r="BJ554">
        <v>0</v>
      </c>
      <c r="BK554">
        <v>0</v>
      </c>
      <c r="BL554">
        <v>0</v>
      </c>
      <c r="BO554">
        <v>0</v>
      </c>
      <c r="BP554">
        <v>0</v>
      </c>
      <c r="BW554" t="str">
        <f>"18:38:31.941"</f>
        <v>18:38:31.941</v>
      </c>
      <c r="BZ554">
        <v>0</v>
      </c>
      <c r="CA554">
        <v>3488</v>
      </c>
      <c r="CB554">
        <v>216</v>
      </c>
      <c r="CC554">
        <v>583.59379999999999</v>
      </c>
      <c r="CD554">
        <v>1</v>
      </c>
      <c r="CE554">
        <v>1</v>
      </c>
      <c r="CF554">
        <v>0</v>
      </c>
      <c r="CG554">
        <v>1</v>
      </c>
      <c r="CH554">
        <v>0</v>
      </c>
      <c r="CI554">
        <v>0</v>
      </c>
      <c r="CJ554">
        <v>0</v>
      </c>
      <c r="CK554">
        <v>2</v>
      </c>
      <c r="CL554">
        <v>0</v>
      </c>
      <c r="CM554">
        <v>2</v>
      </c>
      <c r="CN554">
        <v>0</v>
      </c>
      <c r="CO554">
        <v>5</v>
      </c>
      <c r="CP554" t="s">
        <v>119</v>
      </c>
      <c r="CQ554">
        <v>145</v>
      </c>
      <c r="CR554">
        <v>1</v>
      </c>
      <c r="CW554">
        <v>8936834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</row>
    <row r="555" spans="1:113" x14ac:dyDescent="0.3">
      <c r="A555" t="str">
        <f>"02/13/2022 18:38:32.128"</f>
        <v>02/13/2022 18:38:32.128</v>
      </c>
      <c r="C555" t="str">
        <f t="shared" si="55"/>
        <v>FFDFD7C0</v>
      </c>
      <c r="D555" t="s">
        <v>113</v>
      </c>
      <c r="E555">
        <v>4</v>
      </c>
      <c r="F555">
        <v>1004</v>
      </c>
      <c r="G555" t="s">
        <v>120</v>
      </c>
      <c r="J555" t="s">
        <v>115</v>
      </c>
      <c r="K555">
        <v>0</v>
      </c>
      <c r="L555">
        <v>3</v>
      </c>
      <c r="M555">
        <v>0</v>
      </c>
      <c r="N555">
        <v>2</v>
      </c>
      <c r="O555">
        <v>1</v>
      </c>
      <c r="P555">
        <v>0</v>
      </c>
      <c r="Q555">
        <v>0</v>
      </c>
      <c r="S555" t="str">
        <f>"18:38:31.938"</f>
        <v>18:38:31.938</v>
      </c>
      <c r="T555" t="str">
        <f>"18:38:31.637"</f>
        <v>18:38:31.637</v>
      </c>
      <c r="U555" t="str">
        <f t="shared" si="54"/>
        <v>AAB6EE</v>
      </c>
      <c r="V555">
        <v>0</v>
      </c>
      <c r="W555">
        <v>0</v>
      </c>
      <c r="X555">
        <v>4</v>
      </c>
      <c r="Z555">
        <v>0</v>
      </c>
      <c r="AA555">
        <v>8</v>
      </c>
      <c r="AB555">
        <v>3</v>
      </c>
      <c r="AC555">
        <v>0</v>
      </c>
      <c r="AD555">
        <v>10</v>
      </c>
      <c r="AE555">
        <v>0</v>
      </c>
      <c r="AF555">
        <v>0</v>
      </c>
      <c r="AG555">
        <v>1</v>
      </c>
      <c r="AH555">
        <v>1</v>
      </c>
      <c r="AI555" t="s">
        <v>491</v>
      </c>
      <c r="AJ555">
        <v>35.431831000000003</v>
      </c>
      <c r="AK555" t="s">
        <v>492</v>
      </c>
      <c r="AL555">
        <v>-76.087811000000002</v>
      </c>
      <c r="AM555">
        <v>25</v>
      </c>
      <c r="AN555">
        <v>3425</v>
      </c>
      <c r="AO555" t="s">
        <v>118</v>
      </c>
      <c r="AP555">
        <v>-98</v>
      </c>
      <c r="AQ555">
        <v>-196</v>
      </c>
      <c r="AR555">
        <v>0</v>
      </c>
      <c r="AZ555">
        <v>1200</v>
      </c>
      <c r="BA555">
        <v>1</v>
      </c>
      <c r="BB555" t="str">
        <f t="shared" si="56"/>
        <v xml:space="preserve">N79NX   </v>
      </c>
      <c r="BC555">
        <v>1</v>
      </c>
      <c r="BE555">
        <v>0</v>
      </c>
      <c r="BF555">
        <v>2</v>
      </c>
      <c r="BG555">
        <v>0</v>
      </c>
      <c r="BH555">
        <v>3275</v>
      </c>
      <c r="BI555">
        <v>0</v>
      </c>
      <c r="BJ555">
        <v>0</v>
      </c>
      <c r="BK555">
        <v>0</v>
      </c>
      <c r="BL555">
        <v>0</v>
      </c>
      <c r="BO555">
        <v>0</v>
      </c>
      <c r="BP555">
        <v>0</v>
      </c>
      <c r="BW555" t="str">
        <f>"18:38:31.941"</f>
        <v>18:38:31.941</v>
      </c>
      <c r="BZ555">
        <v>0</v>
      </c>
      <c r="CA555">
        <v>3488</v>
      </c>
      <c r="CB555">
        <v>216</v>
      </c>
      <c r="CC555">
        <v>583.59379999999999</v>
      </c>
      <c r="CD555">
        <v>1</v>
      </c>
      <c r="CE555">
        <v>1</v>
      </c>
      <c r="CF555">
        <v>0</v>
      </c>
      <c r="CG555">
        <v>1</v>
      </c>
      <c r="CH555">
        <v>0</v>
      </c>
      <c r="CI555">
        <v>0</v>
      </c>
      <c r="CJ555">
        <v>0</v>
      </c>
      <c r="CK555">
        <v>2</v>
      </c>
      <c r="CL555">
        <v>0</v>
      </c>
      <c r="CM555">
        <v>2</v>
      </c>
      <c r="CN555">
        <v>0</v>
      </c>
      <c r="CO555">
        <v>5</v>
      </c>
      <c r="CP555" t="s">
        <v>119</v>
      </c>
      <c r="CQ555">
        <v>145</v>
      </c>
      <c r="CR555">
        <v>1</v>
      </c>
      <c r="CW555">
        <v>8936834</v>
      </c>
      <c r="CY555">
        <v>0</v>
      </c>
      <c r="CZ555">
        <v>0</v>
      </c>
      <c r="DA555">
        <v>1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</row>
    <row r="556" spans="1:113" x14ac:dyDescent="0.3">
      <c r="A556" t="str">
        <f>"02/13/2022 18:38:32.206"</f>
        <v>02/13/2022 18:38:32.206</v>
      </c>
      <c r="C556" t="str">
        <f t="shared" si="55"/>
        <v>FFDFD7C0</v>
      </c>
      <c r="D556" t="s">
        <v>121</v>
      </c>
      <c r="E556">
        <v>2</v>
      </c>
      <c r="H556">
        <v>158</v>
      </c>
      <c r="I556" t="s">
        <v>120</v>
      </c>
      <c r="J556" t="s">
        <v>122</v>
      </c>
      <c r="K556">
        <v>0</v>
      </c>
      <c r="L556">
        <v>3</v>
      </c>
      <c r="M556">
        <v>0</v>
      </c>
      <c r="N556">
        <v>2</v>
      </c>
      <c r="O556">
        <v>1</v>
      </c>
      <c r="P556">
        <v>0</v>
      </c>
      <c r="Q556">
        <v>0</v>
      </c>
      <c r="S556" t="str">
        <f>"18:38:31.938"</f>
        <v>18:38:31.938</v>
      </c>
      <c r="T556" t="str">
        <f>"18:38:31.637"</f>
        <v>18:38:31.637</v>
      </c>
      <c r="U556" t="str">
        <f t="shared" si="54"/>
        <v>AAB6EE</v>
      </c>
      <c r="V556">
        <v>0</v>
      </c>
      <c r="W556">
        <v>0</v>
      </c>
      <c r="X556">
        <v>4</v>
      </c>
      <c r="Z556">
        <v>0</v>
      </c>
      <c r="AA556">
        <v>8</v>
      </c>
      <c r="AB556">
        <v>3</v>
      </c>
      <c r="AC556">
        <v>0</v>
      </c>
      <c r="AD556">
        <v>10</v>
      </c>
      <c r="AE556">
        <v>0</v>
      </c>
      <c r="AF556">
        <v>0</v>
      </c>
      <c r="AG556">
        <v>1</v>
      </c>
      <c r="AH556">
        <v>1</v>
      </c>
      <c r="AI556" t="s">
        <v>491</v>
      </c>
      <c r="AJ556">
        <v>35.431831000000003</v>
      </c>
      <c r="AK556" t="s">
        <v>492</v>
      </c>
      <c r="AL556">
        <v>-76.087811000000002</v>
      </c>
      <c r="AM556">
        <v>25</v>
      </c>
      <c r="AN556">
        <v>3425</v>
      </c>
      <c r="AO556" t="s">
        <v>118</v>
      </c>
      <c r="AP556">
        <v>-98</v>
      </c>
      <c r="AQ556">
        <v>-196</v>
      </c>
      <c r="AR556">
        <v>0</v>
      </c>
      <c r="AZ556">
        <v>1200</v>
      </c>
      <c r="BA556">
        <v>1</v>
      </c>
      <c r="BB556" t="str">
        <f t="shared" si="56"/>
        <v xml:space="preserve">N79NX   </v>
      </c>
      <c r="BC556">
        <v>1</v>
      </c>
      <c r="BE556">
        <v>0</v>
      </c>
      <c r="BF556">
        <v>2</v>
      </c>
      <c r="BG556">
        <v>0</v>
      </c>
      <c r="BH556">
        <v>3275</v>
      </c>
      <c r="BI556">
        <v>0</v>
      </c>
      <c r="BJ556">
        <v>0</v>
      </c>
      <c r="BK556">
        <v>0</v>
      </c>
      <c r="BL556">
        <v>0</v>
      </c>
      <c r="BO556">
        <v>0</v>
      </c>
      <c r="BP556">
        <v>0</v>
      </c>
      <c r="BW556" t="str">
        <f>"18:38:31.941"</f>
        <v>18:38:31.941</v>
      </c>
      <c r="BZ556">
        <v>0</v>
      </c>
      <c r="CA556">
        <v>3488</v>
      </c>
      <c r="CB556">
        <v>216</v>
      </c>
      <c r="CC556">
        <v>583.59379999999999</v>
      </c>
      <c r="CD556">
        <v>1</v>
      </c>
      <c r="CE556">
        <v>1</v>
      </c>
      <c r="CF556">
        <v>0</v>
      </c>
      <c r="CG556">
        <v>1</v>
      </c>
      <c r="CH556">
        <v>0</v>
      </c>
      <c r="CI556">
        <v>0</v>
      </c>
      <c r="CJ556">
        <v>0</v>
      </c>
      <c r="CK556">
        <v>2</v>
      </c>
      <c r="CL556">
        <v>0</v>
      </c>
      <c r="CM556">
        <v>2</v>
      </c>
      <c r="CN556">
        <v>0</v>
      </c>
      <c r="CO556">
        <v>5</v>
      </c>
      <c r="CP556" t="s">
        <v>119</v>
      </c>
      <c r="CQ556">
        <v>145</v>
      </c>
      <c r="CR556">
        <v>1</v>
      </c>
      <c r="CW556">
        <v>8936834</v>
      </c>
      <c r="CY556">
        <v>0</v>
      </c>
      <c r="CZ556">
        <v>0</v>
      </c>
      <c r="DA556">
        <v>1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</row>
    <row r="557" spans="1:113" x14ac:dyDescent="0.3">
      <c r="A557" t="str">
        <f>"02/13/2022 18:38:33.034"</f>
        <v>02/13/2022 18:38:33.034</v>
      </c>
      <c r="C557" t="str">
        <f t="shared" si="55"/>
        <v>FFDFD7C0</v>
      </c>
      <c r="D557" t="s">
        <v>113</v>
      </c>
      <c r="E557">
        <v>4</v>
      </c>
      <c r="F557">
        <v>1004</v>
      </c>
      <c r="G557" t="s">
        <v>120</v>
      </c>
      <c r="J557" t="s">
        <v>115</v>
      </c>
      <c r="K557">
        <v>0</v>
      </c>
      <c r="L557">
        <v>3</v>
      </c>
      <c r="M557">
        <v>0</v>
      </c>
      <c r="N557">
        <v>2</v>
      </c>
      <c r="O557">
        <v>1</v>
      </c>
      <c r="P557">
        <v>0</v>
      </c>
      <c r="Q557">
        <v>0</v>
      </c>
      <c r="S557" t="str">
        <f>"18:38:32.844"</f>
        <v>18:38:32.844</v>
      </c>
      <c r="T557" t="str">
        <f>"18:38:32.544"</f>
        <v>18:38:32.544</v>
      </c>
      <c r="U557" t="str">
        <f t="shared" si="54"/>
        <v>AAB6EE</v>
      </c>
      <c r="V557">
        <v>0</v>
      </c>
      <c r="W557">
        <v>0</v>
      </c>
      <c r="X557">
        <v>4</v>
      </c>
      <c r="Z557">
        <v>0</v>
      </c>
      <c r="AA557">
        <v>8</v>
      </c>
      <c r="AB557">
        <v>3</v>
      </c>
      <c r="AC557">
        <v>0</v>
      </c>
      <c r="AD557">
        <v>10</v>
      </c>
      <c r="AE557">
        <v>0</v>
      </c>
      <c r="AF557">
        <v>0</v>
      </c>
      <c r="AG557">
        <v>1</v>
      </c>
      <c r="AH557">
        <v>1</v>
      </c>
      <c r="AI557" t="s">
        <v>493</v>
      </c>
      <c r="AJ557">
        <v>35.430993999999998</v>
      </c>
      <c r="AK557" t="s">
        <v>494</v>
      </c>
      <c r="AL557">
        <v>-76.088325999999995</v>
      </c>
      <c r="AM557">
        <v>25</v>
      </c>
      <c r="AN557">
        <v>3425</v>
      </c>
      <c r="AO557" t="s">
        <v>118</v>
      </c>
      <c r="AP557">
        <v>-98</v>
      </c>
      <c r="AQ557">
        <v>-196</v>
      </c>
      <c r="AR557">
        <v>0</v>
      </c>
      <c r="AZ557">
        <v>1200</v>
      </c>
      <c r="BA557">
        <v>1</v>
      </c>
      <c r="BB557" t="str">
        <f t="shared" si="56"/>
        <v xml:space="preserve">N79NX   </v>
      </c>
      <c r="BC557">
        <v>1</v>
      </c>
      <c r="BE557">
        <v>0</v>
      </c>
      <c r="BF557">
        <v>2</v>
      </c>
      <c r="BG557">
        <v>0</v>
      </c>
      <c r="BH557">
        <v>3275</v>
      </c>
      <c r="BI557">
        <v>0</v>
      </c>
      <c r="BJ557">
        <v>0</v>
      </c>
      <c r="BK557">
        <v>0</v>
      </c>
      <c r="BL557">
        <v>0</v>
      </c>
      <c r="BO557">
        <v>0</v>
      </c>
      <c r="BP557">
        <v>0</v>
      </c>
      <c r="BW557" t="str">
        <f>"18:38:32.851"</f>
        <v>18:38:32.851</v>
      </c>
      <c r="BZ557">
        <v>0</v>
      </c>
      <c r="CA557">
        <v>3488</v>
      </c>
      <c r="CB557">
        <v>216</v>
      </c>
      <c r="CC557">
        <v>583.59379999999999</v>
      </c>
      <c r="CD557">
        <v>1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0</v>
      </c>
      <c r="CK557">
        <v>2</v>
      </c>
      <c r="CL557">
        <v>0</v>
      </c>
      <c r="CM557">
        <v>2</v>
      </c>
      <c r="CN557">
        <v>0</v>
      </c>
      <c r="CO557">
        <v>5</v>
      </c>
      <c r="CP557" t="s">
        <v>119</v>
      </c>
      <c r="CQ557">
        <v>145</v>
      </c>
      <c r="CR557">
        <v>1</v>
      </c>
      <c r="CW557">
        <v>8937276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</row>
    <row r="558" spans="1:113" x14ac:dyDescent="0.3">
      <c r="A558" t="str">
        <f>"02/13/2022 18:38:33.034"</f>
        <v>02/13/2022 18:38:33.034</v>
      </c>
      <c r="C558" t="str">
        <f t="shared" si="55"/>
        <v>FFDFD7C0</v>
      </c>
      <c r="D558" t="s">
        <v>113</v>
      </c>
      <c r="E558">
        <v>3</v>
      </c>
      <c r="F558">
        <v>1003</v>
      </c>
      <c r="G558" t="s">
        <v>114</v>
      </c>
      <c r="J558" t="s">
        <v>115</v>
      </c>
      <c r="K558">
        <v>0</v>
      </c>
      <c r="L558">
        <v>3</v>
      </c>
      <c r="M558">
        <v>0</v>
      </c>
      <c r="N558">
        <v>2</v>
      </c>
      <c r="O558">
        <v>1</v>
      </c>
      <c r="P558">
        <v>0</v>
      </c>
      <c r="Q558">
        <v>0</v>
      </c>
      <c r="S558" t="str">
        <f>"18:38:32.844"</f>
        <v>18:38:32.844</v>
      </c>
      <c r="T558" t="str">
        <f>"18:38:32.544"</f>
        <v>18:38:32.544</v>
      </c>
      <c r="U558" t="str">
        <f t="shared" si="54"/>
        <v>AAB6EE</v>
      </c>
      <c r="V558">
        <v>0</v>
      </c>
      <c r="W558">
        <v>0</v>
      </c>
      <c r="X558">
        <v>4</v>
      </c>
      <c r="Z558">
        <v>0</v>
      </c>
      <c r="AA558">
        <v>8</v>
      </c>
      <c r="AB558">
        <v>3</v>
      </c>
      <c r="AC558">
        <v>0</v>
      </c>
      <c r="AD558">
        <v>10</v>
      </c>
      <c r="AE558">
        <v>0</v>
      </c>
      <c r="AF558">
        <v>0</v>
      </c>
      <c r="AG558">
        <v>1</v>
      </c>
      <c r="AH558">
        <v>1</v>
      </c>
      <c r="AI558" t="s">
        <v>493</v>
      </c>
      <c r="AJ558">
        <v>35.430993999999998</v>
      </c>
      <c r="AK558" t="s">
        <v>494</v>
      </c>
      <c r="AL558">
        <v>-76.088325999999995</v>
      </c>
      <c r="AM558">
        <v>25</v>
      </c>
      <c r="AN558">
        <v>3425</v>
      </c>
      <c r="AO558" t="s">
        <v>118</v>
      </c>
      <c r="AP558">
        <v>-98</v>
      </c>
      <c r="AQ558">
        <v>-196</v>
      </c>
      <c r="AR558">
        <v>0</v>
      </c>
      <c r="AZ558">
        <v>1200</v>
      </c>
      <c r="BA558">
        <v>1</v>
      </c>
      <c r="BB558" t="str">
        <f t="shared" si="56"/>
        <v xml:space="preserve">N79NX   </v>
      </c>
      <c r="BC558">
        <v>1</v>
      </c>
      <c r="BE558">
        <v>0</v>
      </c>
      <c r="BF558">
        <v>2</v>
      </c>
      <c r="BG558">
        <v>0</v>
      </c>
      <c r="BH558">
        <v>3275</v>
      </c>
      <c r="BI558">
        <v>0</v>
      </c>
      <c r="BJ558">
        <v>0</v>
      </c>
      <c r="BK558">
        <v>0</v>
      </c>
      <c r="BL558">
        <v>0</v>
      </c>
      <c r="BO558">
        <v>0</v>
      </c>
      <c r="BP558">
        <v>0</v>
      </c>
      <c r="BW558" t="str">
        <f>"18:38:32.851"</f>
        <v>18:38:32.851</v>
      </c>
      <c r="BZ558">
        <v>0</v>
      </c>
      <c r="CA558">
        <v>3488</v>
      </c>
      <c r="CB558">
        <v>216</v>
      </c>
      <c r="CC558">
        <v>583.59379999999999</v>
      </c>
      <c r="CD558">
        <v>1</v>
      </c>
      <c r="CE558">
        <v>1</v>
      </c>
      <c r="CF558">
        <v>0</v>
      </c>
      <c r="CG558">
        <v>1</v>
      </c>
      <c r="CH558">
        <v>0</v>
      </c>
      <c r="CI558">
        <v>0</v>
      </c>
      <c r="CJ558">
        <v>0</v>
      </c>
      <c r="CK558">
        <v>2</v>
      </c>
      <c r="CL558">
        <v>0</v>
      </c>
      <c r="CM558">
        <v>2</v>
      </c>
      <c r="CN558">
        <v>0</v>
      </c>
      <c r="CO558">
        <v>5</v>
      </c>
      <c r="CP558" t="s">
        <v>119</v>
      </c>
      <c r="CQ558">
        <v>145</v>
      </c>
      <c r="CR558">
        <v>1</v>
      </c>
      <c r="CW558">
        <v>8937276</v>
      </c>
      <c r="CY558">
        <v>0</v>
      </c>
      <c r="CZ558">
        <v>0</v>
      </c>
      <c r="DA558">
        <v>1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</row>
    <row r="559" spans="1:113" x14ac:dyDescent="0.3">
      <c r="A559" t="str">
        <f>"02/13/2022 18:38:33.050"</f>
        <v>02/13/2022 18:38:33.050</v>
      </c>
      <c r="C559" t="str">
        <f t="shared" si="55"/>
        <v>FFDFD7C0</v>
      </c>
      <c r="D559" t="s">
        <v>121</v>
      </c>
      <c r="E559">
        <v>2</v>
      </c>
      <c r="H559">
        <v>158</v>
      </c>
      <c r="I559" t="s">
        <v>120</v>
      </c>
      <c r="J559" t="s">
        <v>122</v>
      </c>
      <c r="K559">
        <v>0</v>
      </c>
      <c r="L559">
        <v>3</v>
      </c>
      <c r="M559">
        <v>0</v>
      </c>
      <c r="N559">
        <v>2</v>
      </c>
      <c r="O559">
        <v>1</v>
      </c>
      <c r="P559">
        <v>0</v>
      </c>
      <c r="Q559">
        <v>0</v>
      </c>
      <c r="S559" t="str">
        <f>"18:38:32.844"</f>
        <v>18:38:32.844</v>
      </c>
      <c r="T559" t="str">
        <f>"18:38:32.544"</f>
        <v>18:38:32.544</v>
      </c>
      <c r="U559" t="str">
        <f t="shared" si="54"/>
        <v>AAB6EE</v>
      </c>
      <c r="V559">
        <v>0</v>
      </c>
      <c r="W559">
        <v>0</v>
      </c>
      <c r="X559">
        <v>4</v>
      </c>
      <c r="Z559">
        <v>0</v>
      </c>
      <c r="AA559">
        <v>8</v>
      </c>
      <c r="AB559">
        <v>3</v>
      </c>
      <c r="AC559">
        <v>0</v>
      </c>
      <c r="AD559">
        <v>10</v>
      </c>
      <c r="AE559">
        <v>0</v>
      </c>
      <c r="AF559">
        <v>0</v>
      </c>
      <c r="AG559">
        <v>1</v>
      </c>
      <c r="AH559">
        <v>1</v>
      </c>
      <c r="AI559" t="s">
        <v>493</v>
      </c>
      <c r="AJ559">
        <v>35.430993999999998</v>
      </c>
      <c r="AK559" t="s">
        <v>494</v>
      </c>
      <c r="AL559">
        <v>-76.088325999999995</v>
      </c>
      <c r="AM559">
        <v>25</v>
      </c>
      <c r="AN559">
        <v>3425</v>
      </c>
      <c r="AO559" t="s">
        <v>118</v>
      </c>
      <c r="AP559">
        <v>-98</v>
      </c>
      <c r="AQ559">
        <v>-196</v>
      </c>
      <c r="AR559">
        <v>0</v>
      </c>
      <c r="AZ559">
        <v>1200</v>
      </c>
      <c r="BA559">
        <v>1</v>
      </c>
      <c r="BB559" t="str">
        <f t="shared" si="56"/>
        <v xml:space="preserve">N79NX   </v>
      </c>
      <c r="BC559">
        <v>1</v>
      </c>
      <c r="BE559">
        <v>0</v>
      </c>
      <c r="BF559">
        <v>2</v>
      </c>
      <c r="BG559">
        <v>0</v>
      </c>
      <c r="BH559">
        <v>3275</v>
      </c>
      <c r="BI559">
        <v>0</v>
      </c>
      <c r="BJ559">
        <v>0</v>
      </c>
      <c r="BK559">
        <v>0</v>
      </c>
      <c r="BL559">
        <v>0</v>
      </c>
      <c r="BO559">
        <v>0</v>
      </c>
      <c r="BP559">
        <v>0</v>
      </c>
      <c r="BW559" t="str">
        <f>"18:38:32.851"</f>
        <v>18:38:32.851</v>
      </c>
      <c r="BZ559">
        <v>0</v>
      </c>
      <c r="CA559">
        <v>3488</v>
      </c>
      <c r="CB559">
        <v>216</v>
      </c>
      <c r="CC559">
        <v>583.59379999999999</v>
      </c>
      <c r="CD559">
        <v>1</v>
      </c>
      <c r="CE559">
        <v>1</v>
      </c>
      <c r="CF559">
        <v>0</v>
      </c>
      <c r="CG559">
        <v>1</v>
      </c>
      <c r="CH559">
        <v>0</v>
      </c>
      <c r="CI559">
        <v>0</v>
      </c>
      <c r="CJ559">
        <v>0</v>
      </c>
      <c r="CK559">
        <v>2</v>
      </c>
      <c r="CL559">
        <v>0</v>
      </c>
      <c r="CM559">
        <v>2</v>
      </c>
      <c r="CN559">
        <v>0</v>
      </c>
      <c r="CO559">
        <v>5</v>
      </c>
      <c r="CP559" t="s">
        <v>119</v>
      </c>
      <c r="CQ559">
        <v>145</v>
      </c>
      <c r="CR559">
        <v>1</v>
      </c>
      <c r="CW559">
        <v>8937276</v>
      </c>
      <c r="CY559">
        <v>0</v>
      </c>
      <c r="CZ559">
        <v>0</v>
      </c>
      <c r="DA559">
        <v>1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</row>
    <row r="560" spans="1:113" x14ac:dyDescent="0.3">
      <c r="A560" t="str">
        <f>"02/13/2022 18:38:34.097"</f>
        <v>02/13/2022 18:38:34.097</v>
      </c>
      <c r="C560" t="str">
        <f t="shared" si="55"/>
        <v>FFDFD7C0</v>
      </c>
      <c r="D560" t="s">
        <v>113</v>
      </c>
      <c r="E560">
        <v>3</v>
      </c>
      <c r="F560">
        <v>1003</v>
      </c>
      <c r="G560" t="s">
        <v>114</v>
      </c>
      <c r="J560" t="s">
        <v>115</v>
      </c>
      <c r="K560">
        <v>0</v>
      </c>
      <c r="L560">
        <v>3</v>
      </c>
      <c r="M560">
        <v>0</v>
      </c>
      <c r="N560">
        <v>2</v>
      </c>
      <c r="O560">
        <v>1</v>
      </c>
      <c r="P560">
        <v>0</v>
      </c>
      <c r="Q560">
        <v>0</v>
      </c>
      <c r="S560" t="str">
        <f>"18:38:33.898"</f>
        <v>18:38:33.898</v>
      </c>
      <c r="T560" t="str">
        <f>"18:38:33.498"</f>
        <v>18:38:33.498</v>
      </c>
      <c r="U560" t="str">
        <f t="shared" si="54"/>
        <v>AAB6EE</v>
      </c>
      <c r="V560">
        <v>0</v>
      </c>
      <c r="W560">
        <v>0</v>
      </c>
      <c r="X560">
        <v>4</v>
      </c>
      <c r="Z560">
        <v>0</v>
      </c>
      <c r="AA560">
        <v>8</v>
      </c>
      <c r="AB560">
        <v>3</v>
      </c>
      <c r="AC560">
        <v>0</v>
      </c>
      <c r="AD560">
        <v>10</v>
      </c>
      <c r="AE560">
        <v>0</v>
      </c>
      <c r="AF560">
        <v>0</v>
      </c>
      <c r="AG560">
        <v>1</v>
      </c>
      <c r="AH560">
        <v>1</v>
      </c>
      <c r="AI560" t="s">
        <v>495</v>
      </c>
      <c r="AJ560">
        <v>35.430114000000003</v>
      </c>
      <c r="AK560" t="s">
        <v>496</v>
      </c>
      <c r="AL560">
        <v>-76.088904999999997</v>
      </c>
      <c r="AM560">
        <v>25</v>
      </c>
      <c r="AN560">
        <v>3425</v>
      </c>
      <c r="AO560" t="s">
        <v>118</v>
      </c>
      <c r="AP560">
        <v>-98</v>
      </c>
      <c r="AQ560">
        <v>-196</v>
      </c>
      <c r="AR560">
        <v>0</v>
      </c>
      <c r="AZ560">
        <v>1200</v>
      </c>
      <c r="BA560">
        <v>1</v>
      </c>
      <c r="BB560" t="str">
        <f t="shared" si="56"/>
        <v xml:space="preserve">N79NX   </v>
      </c>
      <c r="BC560">
        <v>1</v>
      </c>
      <c r="BE560">
        <v>0</v>
      </c>
      <c r="BF560">
        <v>2</v>
      </c>
      <c r="BG560">
        <v>0</v>
      </c>
      <c r="BH560">
        <v>3275</v>
      </c>
      <c r="BI560">
        <v>0</v>
      </c>
      <c r="BJ560">
        <v>0</v>
      </c>
      <c r="BK560">
        <v>0</v>
      </c>
      <c r="BL560">
        <v>0</v>
      </c>
      <c r="BO560">
        <v>0</v>
      </c>
      <c r="BP560">
        <v>0</v>
      </c>
      <c r="BW560" t="str">
        <f>"18:38:33.901"</f>
        <v>18:38:33.901</v>
      </c>
      <c r="BZ560">
        <v>0</v>
      </c>
      <c r="CA560">
        <v>3488</v>
      </c>
      <c r="CB560">
        <v>216</v>
      </c>
      <c r="CC560">
        <v>583.59379999999999</v>
      </c>
      <c r="CD560">
        <v>1</v>
      </c>
      <c r="CE560">
        <v>1</v>
      </c>
      <c r="CF560">
        <v>0</v>
      </c>
      <c r="CG560">
        <v>1</v>
      </c>
      <c r="CH560">
        <v>0</v>
      </c>
      <c r="CI560">
        <v>0</v>
      </c>
      <c r="CJ560">
        <v>0</v>
      </c>
      <c r="CK560">
        <v>2</v>
      </c>
      <c r="CL560">
        <v>0</v>
      </c>
      <c r="CM560">
        <v>2</v>
      </c>
      <c r="CN560">
        <v>0</v>
      </c>
      <c r="CO560">
        <v>5</v>
      </c>
      <c r="CP560" t="s">
        <v>119</v>
      </c>
      <c r="CQ560">
        <v>145</v>
      </c>
      <c r="CR560">
        <v>1</v>
      </c>
      <c r="CW560">
        <v>8937800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</row>
    <row r="561" spans="1:113" x14ac:dyDescent="0.3">
      <c r="A561" t="str">
        <f>"02/13/2022 18:38:34.097"</f>
        <v>02/13/2022 18:38:34.097</v>
      </c>
      <c r="C561" t="str">
        <f t="shared" si="55"/>
        <v>FFDFD7C0</v>
      </c>
      <c r="D561" t="s">
        <v>113</v>
      </c>
      <c r="E561">
        <v>4</v>
      </c>
      <c r="F561">
        <v>1004</v>
      </c>
      <c r="G561" t="s">
        <v>120</v>
      </c>
      <c r="J561" t="s">
        <v>115</v>
      </c>
      <c r="K561">
        <v>0</v>
      </c>
      <c r="L561">
        <v>3</v>
      </c>
      <c r="M561">
        <v>0</v>
      </c>
      <c r="N561">
        <v>2</v>
      </c>
      <c r="O561">
        <v>1</v>
      </c>
      <c r="P561">
        <v>0</v>
      </c>
      <c r="Q561">
        <v>0</v>
      </c>
      <c r="S561" t="str">
        <f>"18:38:33.898"</f>
        <v>18:38:33.898</v>
      </c>
      <c r="T561" t="str">
        <f>"18:38:33.498"</f>
        <v>18:38:33.498</v>
      </c>
      <c r="U561" t="str">
        <f t="shared" si="54"/>
        <v>AAB6EE</v>
      </c>
      <c r="V561">
        <v>0</v>
      </c>
      <c r="W561">
        <v>0</v>
      </c>
      <c r="X561">
        <v>4</v>
      </c>
      <c r="Z561">
        <v>0</v>
      </c>
      <c r="AA561">
        <v>8</v>
      </c>
      <c r="AB561">
        <v>3</v>
      </c>
      <c r="AC561">
        <v>0</v>
      </c>
      <c r="AD561">
        <v>10</v>
      </c>
      <c r="AE561">
        <v>0</v>
      </c>
      <c r="AF561">
        <v>0</v>
      </c>
      <c r="AG561">
        <v>1</v>
      </c>
      <c r="AH561">
        <v>1</v>
      </c>
      <c r="AI561" t="s">
        <v>495</v>
      </c>
      <c r="AJ561">
        <v>35.430114000000003</v>
      </c>
      <c r="AK561" t="s">
        <v>496</v>
      </c>
      <c r="AL561">
        <v>-76.088904999999997</v>
      </c>
      <c r="AM561">
        <v>25</v>
      </c>
      <c r="AN561">
        <v>3425</v>
      </c>
      <c r="AO561" t="s">
        <v>118</v>
      </c>
      <c r="AP561">
        <v>-98</v>
      </c>
      <c r="AQ561">
        <v>-196</v>
      </c>
      <c r="AR561">
        <v>0</v>
      </c>
      <c r="AZ561">
        <v>1200</v>
      </c>
      <c r="BA561">
        <v>1</v>
      </c>
      <c r="BB561" t="str">
        <f t="shared" si="56"/>
        <v xml:space="preserve">N79NX   </v>
      </c>
      <c r="BC561">
        <v>1</v>
      </c>
      <c r="BE561">
        <v>0</v>
      </c>
      <c r="BF561">
        <v>2</v>
      </c>
      <c r="BG561">
        <v>0</v>
      </c>
      <c r="BH561">
        <v>3275</v>
      </c>
      <c r="BI561">
        <v>0</v>
      </c>
      <c r="BJ561">
        <v>0</v>
      </c>
      <c r="BK561">
        <v>0</v>
      </c>
      <c r="BL561">
        <v>0</v>
      </c>
      <c r="BO561">
        <v>0</v>
      </c>
      <c r="BP561">
        <v>0</v>
      </c>
      <c r="BW561" t="str">
        <f>"18:38:33.901"</f>
        <v>18:38:33.901</v>
      </c>
      <c r="BZ561">
        <v>0</v>
      </c>
      <c r="CA561">
        <v>3488</v>
      </c>
      <c r="CB561">
        <v>216</v>
      </c>
      <c r="CC561">
        <v>583.59379999999999</v>
      </c>
      <c r="CD561">
        <v>1</v>
      </c>
      <c r="CE561">
        <v>1</v>
      </c>
      <c r="CF561">
        <v>0</v>
      </c>
      <c r="CG561">
        <v>1</v>
      </c>
      <c r="CH561">
        <v>0</v>
      </c>
      <c r="CI561">
        <v>0</v>
      </c>
      <c r="CJ561">
        <v>0</v>
      </c>
      <c r="CK561">
        <v>2</v>
      </c>
      <c r="CL561">
        <v>0</v>
      </c>
      <c r="CM561">
        <v>2</v>
      </c>
      <c r="CN561">
        <v>0</v>
      </c>
      <c r="CO561">
        <v>5</v>
      </c>
      <c r="CP561" t="s">
        <v>119</v>
      </c>
      <c r="CQ561">
        <v>145</v>
      </c>
      <c r="CR561">
        <v>1</v>
      </c>
      <c r="CW561">
        <v>8937800</v>
      </c>
      <c r="CY561">
        <v>0</v>
      </c>
      <c r="CZ561">
        <v>0</v>
      </c>
      <c r="DA561">
        <v>1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</row>
    <row r="562" spans="1:113" x14ac:dyDescent="0.3">
      <c r="A562" t="str">
        <f>"02/13/2022 18:38:34.097"</f>
        <v>02/13/2022 18:38:34.097</v>
      </c>
      <c r="C562" t="str">
        <f t="shared" si="55"/>
        <v>FFDFD7C0</v>
      </c>
      <c r="D562" t="s">
        <v>121</v>
      </c>
      <c r="E562">
        <v>2</v>
      </c>
      <c r="H562">
        <v>158</v>
      </c>
      <c r="I562" t="s">
        <v>120</v>
      </c>
      <c r="J562" t="s">
        <v>122</v>
      </c>
      <c r="K562">
        <v>0</v>
      </c>
      <c r="L562">
        <v>3</v>
      </c>
      <c r="M562">
        <v>0</v>
      </c>
      <c r="N562">
        <v>2</v>
      </c>
      <c r="O562">
        <v>1</v>
      </c>
      <c r="P562">
        <v>0</v>
      </c>
      <c r="Q562">
        <v>0</v>
      </c>
      <c r="S562" t="str">
        <f>"18:38:33.898"</f>
        <v>18:38:33.898</v>
      </c>
      <c r="T562" t="str">
        <f>"18:38:33.498"</f>
        <v>18:38:33.498</v>
      </c>
      <c r="U562" t="str">
        <f t="shared" si="54"/>
        <v>AAB6EE</v>
      </c>
      <c r="V562">
        <v>0</v>
      </c>
      <c r="W562">
        <v>0</v>
      </c>
      <c r="X562">
        <v>4</v>
      </c>
      <c r="Z562">
        <v>0</v>
      </c>
      <c r="AA562">
        <v>8</v>
      </c>
      <c r="AB562">
        <v>3</v>
      </c>
      <c r="AC562">
        <v>0</v>
      </c>
      <c r="AD562">
        <v>10</v>
      </c>
      <c r="AE562">
        <v>0</v>
      </c>
      <c r="AF562">
        <v>0</v>
      </c>
      <c r="AG562">
        <v>1</v>
      </c>
      <c r="AH562">
        <v>1</v>
      </c>
      <c r="AI562" t="s">
        <v>495</v>
      </c>
      <c r="AJ562">
        <v>35.430114000000003</v>
      </c>
      <c r="AK562" t="s">
        <v>496</v>
      </c>
      <c r="AL562">
        <v>-76.088904999999997</v>
      </c>
      <c r="AM562">
        <v>25</v>
      </c>
      <c r="AN562">
        <v>3425</v>
      </c>
      <c r="AO562" t="s">
        <v>118</v>
      </c>
      <c r="AP562">
        <v>-98</v>
      </c>
      <c r="AQ562">
        <v>-196</v>
      </c>
      <c r="AR562">
        <v>0</v>
      </c>
      <c r="AZ562">
        <v>1200</v>
      </c>
      <c r="BA562">
        <v>1</v>
      </c>
      <c r="BB562" t="str">
        <f t="shared" si="56"/>
        <v xml:space="preserve">N79NX   </v>
      </c>
      <c r="BC562">
        <v>1</v>
      </c>
      <c r="BE562">
        <v>0</v>
      </c>
      <c r="BF562">
        <v>2</v>
      </c>
      <c r="BG562">
        <v>0</v>
      </c>
      <c r="BH562">
        <v>3275</v>
      </c>
      <c r="BI562">
        <v>0</v>
      </c>
      <c r="BJ562">
        <v>0</v>
      </c>
      <c r="BK562">
        <v>0</v>
      </c>
      <c r="BL562">
        <v>0</v>
      </c>
      <c r="BO562">
        <v>0</v>
      </c>
      <c r="BP562">
        <v>0</v>
      </c>
      <c r="BW562" t="str">
        <f>"18:38:33.901"</f>
        <v>18:38:33.901</v>
      </c>
      <c r="BZ562">
        <v>0</v>
      </c>
      <c r="CA562">
        <v>3488</v>
      </c>
      <c r="CB562">
        <v>216</v>
      </c>
      <c r="CC562">
        <v>583.59379999999999</v>
      </c>
      <c r="CD562">
        <v>1</v>
      </c>
      <c r="CE562">
        <v>1</v>
      </c>
      <c r="CF562">
        <v>0</v>
      </c>
      <c r="CG562">
        <v>1</v>
      </c>
      <c r="CH562">
        <v>0</v>
      </c>
      <c r="CI562">
        <v>0</v>
      </c>
      <c r="CJ562">
        <v>0</v>
      </c>
      <c r="CK562">
        <v>2</v>
      </c>
      <c r="CL562">
        <v>0</v>
      </c>
      <c r="CM562">
        <v>2</v>
      </c>
      <c r="CN562">
        <v>0</v>
      </c>
      <c r="CO562">
        <v>5</v>
      </c>
      <c r="CP562" t="s">
        <v>119</v>
      </c>
      <c r="CQ562">
        <v>145</v>
      </c>
      <c r="CR562">
        <v>1</v>
      </c>
      <c r="CW562">
        <v>8937800</v>
      </c>
      <c r="CY562">
        <v>0</v>
      </c>
      <c r="CZ562">
        <v>0</v>
      </c>
      <c r="DA562">
        <v>1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</row>
    <row r="563" spans="1:113" x14ac:dyDescent="0.3">
      <c r="A563" t="str">
        <f>"02/13/2022 18:38:35.052"</f>
        <v>02/13/2022 18:38:35.052</v>
      </c>
      <c r="C563" t="str">
        <f t="shared" si="55"/>
        <v>FFDFD7C0</v>
      </c>
      <c r="D563" t="s">
        <v>113</v>
      </c>
      <c r="E563">
        <v>3</v>
      </c>
      <c r="F563">
        <v>1003</v>
      </c>
      <c r="G563" t="s">
        <v>114</v>
      </c>
      <c r="J563" t="s">
        <v>115</v>
      </c>
      <c r="K563">
        <v>0</v>
      </c>
      <c r="L563">
        <v>3</v>
      </c>
      <c r="M563">
        <v>0</v>
      </c>
      <c r="N563">
        <v>2</v>
      </c>
      <c r="O563">
        <v>1</v>
      </c>
      <c r="P563">
        <v>0</v>
      </c>
      <c r="Q563">
        <v>0</v>
      </c>
      <c r="S563" t="str">
        <f>"18:38:34.828"</f>
        <v>18:38:34.828</v>
      </c>
      <c r="T563" t="str">
        <f>"18:38:34.528"</f>
        <v>18:38:34.528</v>
      </c>
      <c r="U563" t="str">
        <f t="shared" si="54"/>
        <v>AAB6EE</v>
      </c>
      <c r="V563">
        <v>0</v>
      </c>
      <c r="W563">
        <v>0</v>
      </c>
      <c r="X563">
        <v>4</v>
      </c>
      <c r="Z563">
        <v>0</v>
      </c>
      <c r="AA563">
        <v>8</v>
      </c>
      <c r="AB563">
        <v>3</v>
      </c>
      <c r="AC563">
        <v>0</v>
      </c>
      <c r="AD563">
        <v>10</v>
      </c>
      <c r="AE563">
        <v>0</v>
      </c>
      <c r="AF563">
        <v>0</v>
      </c>
      <c r="AG563">
        <v>1</v>
      </c>
      <c r="AH563">
        <v>1</v>
      </c>
      <c r="AI563" t="s">
        <v>497</v>
      </c>
      <c r="AJ563">
        <v>35.429192</v>
      </c>
      <c r="AK563" t="s">
        <v>498</v>
      </c>
      <c r="AL563">
        <v>-76.089442000000005</v>
      </c>
      <c r="AM563">
        <v>25</v>
      </c>
      <c r="AN563">
        <v>3425</v>
      </c>
      <c r="AO563" t="s">
        <v>118</v>
      </c>
      <c r="AP563">
        <v>-98</v>
      </c>
      <c r="AQ563">
        <v>-196</v>
      </c>
      <c r="AR563">
        <v>64</v>
      </c>
      <c r="AZ563">
        <v>1200</v>
      </c>
      <c r="BA563">
        <v>1</v>
      </c>
      <c r="BB563" t="str">
        <f t="shared" si="56"/>
        <v xml:space="preserve">N79NX   </v>
      </c>
      <c r="BC563">
        <v>1</v>
      </c>
      <c r="BE563">
        <v>0</v>
      </c>
      <c r="BF563">
        <v>2</v>
      </c>
      <c r="BG563">
        <v>0</v>
      </c>
      <c r="BH563">
        <v>3300</v>
      </c>
      <c r="BI563">
        <v>0</v>
      </c>
      <c r="BJ563">
        <v>0</v>
      </c>
      <c r="BK563">
        <v>0</v>
      </c>
      <c r="BL563">
        <v>0</v>
      </c>
      <c r="BO563">
        <v>0</v>
      </c>
      <c r="BP563">
        <v>0</v>
      </c>
      <c r="BW563" t="str">
        <f>"18:38:34.831"</f>
        <v>18:38:34.831</v>
      </c>
      <c r="BZ563">
        <v>0</v>
      </c>
      <c r="CA563">
        <v>3488</v>
      </c>
      <c r="CB563">
        <v>216</v>
      </c>
      <c r="CC563">
        <v>583.59379999999999</v>
      </c>
      <c r="CD563">
        <v>1</v>
      </c>
      <c r="CE563">
        <v>1</v>
      </c>
      <c r="CF563">
        <v>0</v>
      </c>
      <c r="CG563">
        <v>1</v>
      </c>
      <c r="CH563">
        <v>0</v>
      </c>
      <c r="CI563">
        <v>0</v>
      </c>
      <c r="CJ563">
        <v>0</v>
      </c>
      <c r="CK563">
        <v>2</v>
      </c>
      <c r="CL563">
        <v>0</v>
      </c>
      <c r="CM563">
        <v>2</v>
      </c>
      <c r="CN563">
        <v>0</v>
      </c>
      <c r="CO563">
        <v>5</v>
      </c>
      <c r="CP563" t="s">
        <v>119</v>
      </c>
      <c r="CQ563">
        <v>145</v>
      </c>
      <c r="CR563">
        <v>1</v>
      </c>
      <c r="CW563">
        <v>8938287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</row>
    <row r="564" spans="1:113" x14ac:dyDescent="0.3">
      <c r="A564" t="str">
        <f>"02/13/2022 18:38:35.052"</f>
        <v>02/13/2022 18:38:35.052</v>
      </c>
      <c r="C564" t="str">
        <f t="shared" si="55"/>
        <v>FFDFD7C0</v>
      </c>
      <c r="D564" t="s">
        <v>113</v>
      </c>
      <c r="E564">
        <v>4</v>
      </c>
      <c r="F564">
        <v>1004</v>
      </c>
      <c r="G564" t="s">
        <v>120</v>
      </c>
      <c r="J564" t="s">
        <v>115</v>
      </c>
      <c r="K564">
        <v>0</v>
      </c>
      <c r="L564">
        <v>3</v>
      </c>
      <c r="M564">
        <v>0</v>
      </c>
      <c r="N564">
        <v>2</v>
      </c>
      <c r="O564">
        <v>1</v>
      </c>
      <c r="P564">
        <v>0</v>
      </c>
      <c r="Q564">
        <v>0</v>
      </c>
      <c r="S564" t="str">
        <f>"18:38:34.828"</f>
        <v>18:38:34.828</v>
      </c>
      <c r="T564" t="str">
        <f>"18:38:34.528"</f>
        <v>18:38:34.528</v>
      </c>
      <c r="U564" t="str">
        <f t="shared" si="54"/>
        <v>AAB6EE</v>
      </c>
      <c r="V564">
        <v>0</v>
      </c>
      <c r="W564">
        <v>0</v>
      </c>
      <c r="X564">
        <v>4</v>
      </c>
      <c r="Z564">
        <v>0</v>
      </c>
      <c r="AA564">
        <v>8</v>
      </c>
      <c r="AB564">
        <v>3</v>
      </c>
      <c r="AC564">
        <v>0</v>
      </c>
      <c r="AD564">
        <v>10</v>
      </c>
      <c r="AE564">
        <v>0</v>
      </c>
      <c r="AF564">
        <v>0</v>
      </c>
      <c r="AG564">
        <v>1</v>
      </c>
      <c r="AH564">
        <v>1</v>
      </c>
      <c r="AI564" t="s">
        <v>497</v>
      </c>
      <c r="AJ564">
        <v>35.429192</v>
      </c>
      <c r="AK564" t="s">
        <v>498</v>
      </c>
      <c r="AL564">
        <v>-76.089442000000005</v>
      </c>
      <c r="AM564">
        <v>25</v>
      </c>
      <c r="AN564">
        <v>3425</v>
      </c>
      <c r="AO564" t="s">
        <v>118</v>
      </c>
      <c r="AP564">
        <v>-98</v>
      </c>
      <c r="AQ564">
        <v>-196</v>
      </c>
      <c r="AR564">
        <v>64</v>
      </c>
      <c r="AZ564">
        <v>1200</v>
      </c>
      <c r="BA564">
        <v>1</v>
      </c>
      <c r="BB564" t="str">
        <f t="shared" si="56"/>
        <v xml:space="preserve">N79NX   </v>
      </c>
      <c r="BC564">
        <v>1</v>
      </c>
      <c r="BE564">
        <v>0</v>
      </c>
      <c r="BF564">
        <v>2</v>
      </c>
      <c r="BG564">
        <v>0</v>
      </c>
      <c r="BH564">
        <v>3300</v>
      </c>
      <c r="BI564">
        <v>0</v>
      </c>
      <c r="BJ564">
        <v>0</v>
      </c>
      <c r="BK564">
        <v>0</v>
      </c>
      <c r="BL564">
        <v>0</v>
      </c>
      <c r="BO564">
        <v>0</v>
      </c>
      <c r="BP564">
        <v>0</v>
      </c>
      <c r="BW564" t="str">
        <f>"18:38:34.831"</f>
        <v>18:38:34.831</v>
      </c>
      <c r="BZ564">
        <v>0</v>
      </c>
      <c r="CA564">
        <v>3488</v>
      </c>
      <c r="CB564">
        <v>216</v>
      </c>
      <c r="CC564">
        <v>583.59379999999999</v>
      </c>
      <c r="CD564">
        <v>1</v>
      </c>
      <c r="CE564">
        <v>1</v>
      </c>
      <c r="CF564">
        <v>0</v>
      </c>
      <c r="CG564">
        <v>1</v>
      </c>
      <c r="CH564">
        <v>0</v>
      </c>
      <c r="CI564">
        <v>0</v>
      </c>
      <c r="CJ564">
        <v>0</v>
      </c>
      <c r="CK564">
        <v>2</v>
      </c>
      <c r="CL564">
        <v>0</v>
      </c>
      <c r="CM564">
        <v>2</v>
      </c>
      <c r="CN564">
        <v>0</v>
      </c>
      <c r="CO564">
        <v>5</v>
      </c>
      <c r="CP564" t="s">
        <v>119</v>
      </c>
      <c r="CQ564">
        <v>145</v>
      </c>
      <c r="CR564">
        <v>1</v>
      </c>
      <c r="CW564">
        <v>8938287</v>
      </c>
      <c r="CY564">
        <v>0</v>
      </c>
      <c r="CZ564">
        <v>0</v>
      </c>
      <c r="DA564">
        <v>1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</row>
    <row r="565" spans="1:113" x14ac:dyDescent="0.3">
      <c r="A565" t="str">
        <f>"02/13/2022 18:38:35.099"</f>
        <v>02/13/2022 18:38:35.099</v>
      </c>
      <c r="C565" t="str">
        <f t="shared" si="55"/>
        <v>FFDFD7C0</v>
      </c>
      <c r="D565" t="s">
        <v>121</v>
      </c>
      <c r="E565">
        <v>2</v>
      </c>
      <c r="H565">
        <v>158</v>
      </c>
      <c r="I565" t="s">
        <v>120</v>
      </c>
      <c r="J565" t="s">
        <v>122</v>
      </c>
      <c r="K565">
        <v>0</v>
      </c>
      <c r="L565">
        <v>3</v>
      </c>
      <c r="M565">
        <v>0</v>
      </c>
      <c r="N565">
        <v>2</v>
      </c>
      <c r="O565">
        <v>1</v>
      </c>
      <c r="P565">
        <v>0</v>
      </c>
      <c r="Q565">
        <v>0</v>
      </c>
      <c r="S565" t="str">
        <f>"18:38:34.828"</f>
        <v>18:38:34.828</v>
      </c>
      <c r="T565" t="str">
        <f>"18:38:34.528"</f>
        <v>18:38:34.528</v>
      </c>
      <c r="U565" t="str">
        <f t="shared" si="54"/>
        <v>AAB6EE</v>
      </c>
      <c r="V565">
        <v>0</v>
      </c>
      <c r="W565">
        <v>0</v>
      </c>
      <c r="X565">
        <v>4</v>
      </c>
      <c r="Z565">
        <v>0</v>
      </c>
      <c r="AA565">
        <v>8</v>
      </c>
      <c r="AB565">
        <v>3</v>
      </c>
      <c r="AC565">
        <v>0</v>
      </c>
      <c r="AD565">
        <v>10</v>
      </c>
      <c r="AE565">
        <v>0</v>
      </c>
      <c r="AF565">
        <v>0</v>
      </c>
      <c r="AG565">
        <v>1</v>
      </c>
      <c r="AH565">
        <v>1</v>
      </c>
      <c r="AI565" t="s">
        <v>497</v>
      </c>
      <c r="AJ565">
        <v>35.429192</v>
      </c>
      <c r="AK565" t="s">
        <v>498</v>
      </c>
      <c r="AL565">
        <v>-76.089442000000005</v>
      </c>
      <c r="AM565">
        <v>25</v>
      </c>
      <c r="AN565">
        <v>3425</v>
      </c>
      <c r="AO565" t="s">
        <v>118</v>
      </c>
      <c r="AP565">
        <v>-98</v>
      </c>
      <c r="AQ565">
        <v>-196</v>
      </c>
      <c r="AR565">
        <v>64</v>
      </c>
      <c r="AZ565">
        <v>1200</v>
      </c>
      <c r="BA565">
        <v>1</v>
      </c>
      <c r="BB565" t="str">
        <f t="shared" si="56"/>
        <v xml:space="preserve">N79NX   </v>
      </c>
      <c r="BC565">
        <v>1</v>
      </c>
      <c r="BE565">
        <v>0</v>
      </c>
      <c r="BF565">
        <v>2</v>
      </c>
      <c r="BG565">
        <v>0</v>
      </c>
      <c r="BH565">
        <v>3300</v>
      </c>
      <c r="BI565">
        <v>0</v>
      </c>
      <c r="BJ565">
        <v>0</v>
      </c>
      <c r="BK565">
        <v>0</v>
      </c>
      <c r="BL565">
        <v>0</v>
      </c>
      <c r="BO565">
        <v>0</v>
      </c>
      <c r="BP565">
        <v>0</v>
      </c>
      <c r="BW565" t="str">
        <f>"18:38:34.831"</f>
        <v>18:38:34.831</v>
      </c>
      <c r="BZ565">
        <v>0</v>
      </c>
      <c r="CA565">
        <v>3488</v>
      </c>
      <c r="CB565">
        <v>216</v>
      </c>
      <c r="CC565">
        <v>583.59379999999999</v>
      </c>
      <c r="CD565">
        <v>1</v>
      </c>
      <c r="CE565">
        <v>1</v>
      </c>
      <c r="CF565">
        <v>0</v>
      </c>
      <c r="CG565">
        <v>1</v>
      </c>
      <c r="CH565">
        <v>0</v>
      </c>
      <c r="CI565">
        <v>0</v>
      </c>
      <c r="CJ565">
        <v>0</v>
      </c>
      <c r="CK565">
        <v>2</v>
      </c>
      <c r="CL565">
        <v>0</v>
      </c>
      <c r="CM565">
        <v>2</v>
      </c>
      <c r="CN565">
        <v>0</v>
      </c>
      <c r="CO565">
        <v>5</v>
      </c>
      <c r="CP565" t="s">
        <v>119</v>
      </c>
      <c r="CQ565">
        <v>145</v>
      </c>
      <c r="CR565">
        <v>1</v>
      </c>
      <c r="CW565">
        <v>8938287</v>
      </c>
      <c r="CY565">
        <v>0</v>
      </c>
      <c r="CZ565">
        <v>0</v>
      </c>
      <c r="DA565">
        <v>1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</row>
    <row r="566" spans="1:113" x14ac:dyDescent="0.3">
      <c r="A566" t="str">
        <f>"02/13/2022 18:38:36.116"</f>
        <v>02/13/2022 18:38:36.116</v>
      </c>
      <c r="C566" t="str">
        <f t="shared" si="55"/>
        <v>FFDFD7C0</v>
      </c>
      <c r="D566" t="s">
        <v>113</v>
      </c>
      <c r="E566">
        <v>3</v>
      </c>
      <c r="F566">
        <v>1003</v>
      </c>
      <c r="G566" t="s">
        <v>114</v>
      </c>
      <c r="J566" t="s">
        <v>115</v>
      </c>
      <c r="K566">
        <v>0</v>
      </c>
      <c r="L566">
        <v>3</v>
      </c>
      <c r="M566">
        <v>0</v>
      </c>
      <c r="N566">
        <v>2</v>
      </c>
      <c r="O566">
        <v>1</v>
      </c>
      <c r="P566">
        <v>0</v>
      </c>
      <c r="Q566">
        <v>0</v>
      </c>
      <c r="S566" t="str">
        <f>"18:38:35.766"</f>
        <v>18:38:35.766</v>
      </c>
      <c r="T566" t="str">
        <f>"18:38:35.466"</f>
        <v>18:38:35.466</v>
      </c>
      <c r="U566" t="str">
        <f t="shared" si="54"/>
        <v>AAB6EE</v>
      </c>
      <c r="V566">
        <v>0</v>
      </c>
      <c r="W566">
        <v>0</v>
      </c>
      <c r="X566">
        <v>4</v>
      </c>
      <c r="Z566">
        <v>0</v>
      </c>
      <c r="AA566">
        <v>8</v>
      </c>
      <c r="AB566">
        <v>3</v>
      </c>
      <c r="AC566">
        <v>0</v>
      </c>
      <c r="AD566">
        <v>10</v>
      </c>
      <c r="AE566">
        <v>0</v>
      </c>
      <c r="AF566">
        <v>0</v>
      </c>
      <c r="AG566">
        <v>1</v>
      </c>
      <c r="AH566">
        <v>1</v>
      </c>
      <c r="AI566" t="s">
        <v>499</v>
      </c>
      <c r="AJ566">
        <v>35.428398000000001</v>
      </c>
      <c r="AK566" t="s">
        <v>500</v>
      </c>
      <c r="AL566">
        <v>-76.089934999999997</v>
      </c>
      <c r="AM566">
        <v>25</v>
      </c>
      <c r="AN566">
        <v>3425</v>
      </c>
      <c r="AO566" t="s">
        <v>118</v>
      </c>
      <c r="AP566">
        <v>-99</v>
      </c>
      <c r="AQ566">
        <v>-196</v>
      </c>
      <c r="AR566">
        <v>0</v>
      </c>
      <c r="AZ566">
        <v>4516</v>
      </c>
      <c r="BA566">
        <v>1</v>
      </c>
      <c r="BB566" t="str">
        <f t="shared" si="56"/>
        <v xml:space="preserve">N79NX   </v>
      </c>
      <c r="BC566">
        <v>1</v>
      </c>
      <c r="BE566">
        <v>0</v>
      </c>
      <c r="BF566">
        <v>2</v>
      </c>
      <c r="BG566">
        <v>0</v>
      </c>
      <c r="BH566">
        <v>3300</v>
      </c>
      <c r="BI566">
        <v>0</v>
      </c>
      <c r="BJ566">
        <v>0</v>
      </c>
      <c r="BK566">
        <v>0</v>
      </c>
      <c r="BL566">
        <v>0</v>
      </c>
      <c r="BO566">
        <v>0</v>
      </c>
      <c r="BP566">
        <v>0</v>
      </c>
      <c r="BW566" t="str">
        <f>"18:38:35.771"</f>
        <v>18:38:35.771</v>
      </c>
      <c r="BZ566">
        <v>0</v>
      </c>
      <c r="CA566">
        <v>3488</v>
      </c>
      <c r="CB566">
        <v>216</v>
      </c>
      <c r="CC566">
        <v>583.59379999999999</v>
      </c>
      <c r="CD566">
        <v>1</v>
      </c>
      <c r="CE566">
        <v>1</v>
      </c>
      <c r="CF566">
        <v>0</v>
      </c>
      <c r="CG566">
        <v>1</v>
      </c>
      <c r="CH566">
        <v>0</v>
      </c>
      <c r="CI566">
        <v>0</v>
      </c>
      <c r="CJ566">
        <v>0</v>
      </c>
      <c r="CK566">
        <v>2</v>
      </c>
      <c r="CL566">
        <v>0</v>
      </c>
      <c r="CM566">
        <v>2</v>
      </c>
      <c r="CN566">
        <v>0</v>
      </c>
      <c r="CO566">
        <v>5</v>
      </c>
      <c r="CP566" t="s">
        <v>119</v>
      </c>
      <c r="CQ566">
        <v>145</v>
      </c>
      <c r="CR566">
        <v>1</v>
      </c>
      <c r="CW566">
        <v>8938691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</row>
    <row r="567" spans="1:113" x14ac:dyDescent="0.3">
      <c r="A567" t="str">
        <f>"02/13/2022 18:38:36.116"</f>
        <v>02/13/2022 18:38:36.116</v>
      </c>
      <c r="C567" t="str">
        <f t="shared" si="55"/>
        <v>FFDFD7C0</v>
      </c>
      <c r="D567" t="s">
        <v>113</v>
      </c>
      <c r="E567">
        <v>4</v>
      </c>
      <c r="F567">
        <v>1004</v>
      </c>
      <c r="G567" t="s">
        <v>120</v>
      </c>
      <c r="J567" t="s">
        <v>115</v>
      </c>
      <c r="K567">
        <v>0</v>
      </c>
      <c r="L567">
        <v>3</v>
      </c>
      <c r="M567">
        <v>0</v>
      </c>
      <c r="N567">
        <v>2</v>
      </c>
      <c r="O567">
        <v>1</v>
      </c>
      <c r="P567">
        <v>0</v>
      </c>
      <c r="Q567">
        <v>0</v>
      </c>
      <c r="S567" t="str">
        <f>"18:38:35.766"</f>
        <v>18:38:35.766</v>
      </c>
      <c r="T567" t="str">
        <f>"18:38:35.466"</f>
        <v>18:38:35.466</v>
      </c>
      <c r="U567" t="str">
        <f t="shared" si="54"/>
        <v>AAB6EE</v>
      </c>
      <c r="V567">
        <v>0</v>
      </c>
      <c r="W567">
        <v>0</v>
      </c>
      <c r="X567">
        <v>4</v>
      </c>
      <c r="Z567">
        <v>0</v>
      </c>
      <c r="AA567">
        <v>8</v>
      </c>
      <c r="AB567">
        <v>3</v>
      </c>
      <c r="AC567">
        <v>0</v>
      </c>
      <c r="AD567">
        <v>10</v>
      </c>
      <c r="AE567">
        <v>0</v>
      </c>
      <c r="AF567">
        <v>0</v>
      </c>
      <c r="AG567">
        <v>1</v>
      </c>
      <c r="AH567">
        <v>1</v>
      </c>
      <c r="AI567" t="s">
        <v>499</v>
      </c>
      <c r="AJ567">
        <v>35.428398000000001</v>
      </c>
      <c r="AK567" t="s">
        <v>500</v>
      </c>
      <c r="AL567">
        <v>-76.089934999999997</v>
      </c>
      <c r="AM567">
        <v>25</v>
      </c>
      <c r="AN567">
        <v>3425</v>
      </c>
      <c r="AO567" t="s">
        <v>118</v>
      </c>
      <c r="AP567">
        <v>-99</v>
      </c>
      <c r="AQ567">
        <v>-196</v>
      </c>
      <c r="AR567">
        <v>0</v>
      </c>
      <c r="AZ567">
        <v>4516</v>
      </c>
      <c r="BA567">
        <v>1</v>
      </c>
      <c r="BB567" t="str">
        <f t="shared" si="56"/>
        <v xml:space="preserve">N79NX   </v>
      </c>
      <c r="BC567">
        <v>1</v>
      </c>
      <c r="BE567">
        <v>0</v>
      </c>
      <c r="BF567">
        <v>2</v>
      </c>
      <c r="BG567">
        <v>0</v>
      </c>
      <c r="BH567">
        <v>3300</v>
      </c>
      <c r="BI567">
        <v>0</v>
      </c>
      <c r="BJ567">
        <v>0</v>
      </c>
      <c r="BK567">
        <v>0</v>
      </c>
      <c r="BL567">
        <v>0</v>
      </c>
      <c r="BO567">
        <v>0</v>
      </c>
      <c r="BP567">
        <v>0</v>
      </c>
      <c r="BW567" t="str">
        <f>"18:38:35.771"</f>
        <v>18:38:35.771</v>
      </c>
      <c r="BZ567">
        <v>0</v>
      </c>
      <c r="CA567">
        <v>3488</v>
      </c>
      <c r="CB567">
        <v>216</v>
      </c>
      <c r="CC567">
        <v>583.59379999999999</v>
      </c>
      <c r="CD567">
        <v>1</v>
      </c>
      <c r="CE567">
        <v>1</v>
      </c>
      <c r="CF567">
        <v>0</v>
      </c>
      <c r="CG567">
        <v>1</v>
      </c>
      <c r="CH567">
        <v>0</v>
      </c>
      <c r="CI567">
        <v>0</v>
      </c>
      <c r="CJ567">
        <v>0</v>
      </c>
      <c r="CK567">
        <v>2</v>
      </c>
      <c r="CL567">
        <v>0</v>
      </c>
      <c r="CM567">
        <v>2</v>
      </c>
      <c r="CN567">
        <v>0</v>
      </c>
      <c r="CO567">
        <v>5</v>
      </c>
      <c r="CP567" t="s">
        <v>119</v>
      </c>
      <c r="CQ567">
        <v>145</v>
      </c>
      <c r="CR567">
        <v>1</v>
      </c>
      <c r="CW567">
        <v>8938691</v>
      </c>
      <c r="CY567">
        <v>0</v>
      </c>
      <c r="CZ567">
        <v>0</v>
      </c>
      <c r="DA567">
        <v>1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</row>
    <row r="568" spans="1:113" x14ac:dyDescent="0.3">
      <c r="A568" t="str">
        <f>"02/13/2022 18:38:36.116"</f>
        <v>02/13/2022 18:38:36.116</v>
      </c>
      <c r="C568" t="str">
        <f t="shared" si="55"/>
        <v>FFDFD7C0</v>
      </c>
      <c r="D568" t="s">
        <v>121</v>
      </c>
      <c r="E568">
        <v>2</v>
      </c>
      <c r="H568">
        <v>158</v>
      </c>
      <c r="I568" t="s">
        <v>120</v>
      </c>
      <c r="J568" t="s">
        <v>122</v>
      </c>
      <c r="K568">
        <v>0</v>
      </c>
      <c r="L568">
        <v>3</v>
      </c>
      <c r="M568">
        <v>0</v>
      </c>
      <c r="N568">
        <v>2</v>
      </c>
      <c r="O568">
        <v>1</v>
      </c>
      <c r="P568">
        <v>0</v>
      </c>
      <c r="Q568">
        <v>0</v>
      </c>
      <c r="S568" t="str">
        <f>"18:38:35.766"</f>
        <v>18:38:35.766</v>
      </c>
      <c r="T568" t="str">
        <f>"18:38:35.466"</f>
        <v>18:38:35.466</v>
      </c>
      <c r="U568" t="str">
        <f t="shared" si="54"/>
        <v>AAB6EE</v>
      </c>
      <c r="V568">
        <v>0</v>
      </c>
      <c r="W568">
        <v>0</v>
      </c>
      <c r="X568">
        <v>4</v>
      </c>
      <c r="Z568">
        <v>0</v>
      </c>
      <c r="AA568">
        <v>8</v>
      </c>
      <c r="AB568">
        <v>3</v>
      </c>
      <c r="AC568">
        <v>0</v>
      </c>
      <c r="AD568">
        <v>10</v>
      </c>
      <c r="AE568">
        <v>0</v>
      </c>
      <c r="AF568">
        <v>0</v>
      </c>
      <c r="AG568">
        <v>1</v>
      </c>
      <c r="AH568">
        <v>1</v>
      </c>
      <c r="AI568" t="s">
        <v>499</v>
      </c>
      <c r="AJ568">
        <v>35.428398000000001</v>
      </c>
      <c r="AK568" t="s">
        <v>500</v>
      </c>
      <c r="AL568">
        <v>-76.089934999999997</v>
      </c>
      <c r="AM568">
        <v>25</v>
      </c>
      <c r="AN568">
        <v>3425</v>
      </c>
      <c r="AO568" t="s">
        <v>118</v>
      </c>
      <c r="AP568">
        <v>-99</v>
      </c>
      <c r="AQ568">
        <v>-196</v>
      </c>
      <c r="AR568">
        <v>0</v>
      </c>
      <c r="AZ568">
        <v>4516</v>
      </c>
      <c r="BA568">
        <v>1</v>
      </c>
      <c r="BB568" t="str">
        <f t="shared" si="56"/>
        <v xml:space="preserve">N79NX   </v>
      </c>
      <c r="BC568">
        <v>1</v>
      </c>
      <c r="BE568">
        <v>0</v>
      </c>
      <c r="BF568">
        <v>2</v>
      </c>
      <c r="BG568">
        <v>0</v>
      </c>
      <c r="BH568">
        <v>3300</v>
      </c>
      <c r="BI568">
        <v>0</v>
      </c>
      <c r="BJ568">
        <v>0</v>
      </c>
      <c r="BK568">
        <v>0</v>
      </c>
      <c r="BL568">
        <v>0</v>
      </c>
      <c r="BO568">
        <v>0</v>
      </c>
      <c r="BP568">
        <v>0</v>
      </c>
      <c r="BW568" t="str">
        <f>"18:38:35.771"</f>
        <v>18:38:35.771</v>
      </c>
      <c r="BZ568">
        <v>0</v>
      </c>
      <c r="CA568">
        <v>3488</v>
      </c>
      <c r="CB568">
        <v>216</v>
      </c>
      <c r="CC568">
        <v>583.59379999999999</v>
      </c>
      <c r="CD568">
        <v>1</v>
      </c>
      <c r="CE568">
        <v>1</v>
      </c>
      <c r="CF568">
        <v>0</v>
      </c>
      <c r="CG568">
        <v>1</v>
      </c>
      <c r="CH568">
        <v>0</v>
      </c>
      <c r="CI568">
        <v>0</v>
      </c>
      <c r="CJ568">
        <v>0</v>
      </c>
      <c r="CK568">
        <v>2</v>
      </c>
      <c r="CL568">
        <v>0</v>
      </c>
      <c r="CM568">
        <v>2</v>
      </c>
      <c r="CN568">
        <v>0</v>
      </c>
      <c r="CO568">
        <v>5</v>
      </c>
      <c r="CP568" t="s">
        <v>119</v>
      </c>
      <c r="CQ568">
        <v>145</v>
      </c>
      <c r="CR568">
        <v>1</v>
      </c>
      <c r="CW568">
        <v>8938691</v>
      </c>
      <c r="CY568">
        <v>0</v>
      </c>
      <c r="CZ568">
        <v>0</v>
      </c>
      <c r="DA568">
        <v>1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</row>
    <row r="569" spans="1:113" x14ac:dyDescent="0.3">
      <c r="A569" t="str">
        <f>"02/13/2022 18:38:36.819"</f>
        <v>02/13/2022 18:38:36.819</v>
      </c>
      <c r="C569" t="str">
        <f t="shared" si="55"/>
        <v>FFDFD7C0</v>
      </c>
      <c r="D569" t="s">
        <v>121</v>
      </c>
      <c r="E569">
        <v>2</v>
      </c>
      <c r="H569">
        <v>158</v>
      </c>
      <c r="I569" t="s">
        <v>120</v>
      </c>
      <c r="J569" t="s">
        <v>122</v>
      </c>
      <c r="K569">
        <v>0</v>
      </c>
      <c r="L569">
        <v>3</v>
      </c>
      <c r="M569">
        <v>0</v>
      </c>
      <c r="N569">
        <v>2</v>
      </c>
      <c r="O569">
        <v>1</v>
      </c>
      <c r="P569">
        <v>0</v>
      </c>
      <c r="Q569">
        <v>0</v>
      </c>
      <c r="S569" t="str">
        <f>"18:38:36.594"</f>
        <v>18:38:36.594</v>
      </c>
      <c r="T569" t="str">
        <f>"18:38:36.394"</f>
        <v>18:38:36.394</v>
      </c>
      <c r="U569" t="str">
        <f t="shared" si="54"/>
        <v>AAB6EE</v>
      </c>
      <c r="V569">
        <v>0</v>
      </c>
      <c r="W569">
        <v>0</v>
      </c>
      <c r="X569">
        <v>4</v>
      </c>
      <c r="Z569">
        <v>0</v>
      </c>
      <c r="AA569">
        <v>8</v>
      </c>
      <c r="AB569">
        <v>3</v>
      </c>
      <c r="AC569">
        <v>0</v>
      </c>
      <c r="AD569">
        <v>10</v>
      </c>
      <c r="AE569">
        <v>0</v>
      </c>
      <c r="AF569">
        <v>0</v>
      </c>
      <c r="AG569">
        <v>1</v>
      </c>
      <c r="AH569">
        <v>1</v>
      </c>
      <c r="AI569" t="s">
        <v>501</v>
      </c>
      <c r="AJ569">
        <v>35.427667999999997</v>
      </c>
      <c r="AK569" t="s">
        <v>502</v>
      </c>
      <c r="AL569">
        <v>-76.090385999999995</v>
      </c>
      <c r="AM569">
        <v>25</v>
      </c>
      <c r="AN569">
        <v>3425</v>
      </c>
      <c r="AO569" t="s">
        <v>118</v>
      </c>
      <c r="AP569">
        <v>-99</v>
      </c>
      <c r="AQ569">
        <v>-196</v>
      </c>
      <c r="AR569">
        <v>0</v>
      </c>
      <c r="AZ569">
        <v>4516</v>
      </c>
      <c r="BA569">
        <v>1</v>
      </c>
      <c r="BB569" t="str">
        <f t="shared" si="56"/>
        <v xml:space="preserve">N79NX   </v>
      </c>
      <c r="BC569">
        <v>1</v>
      </c>
      <c r="BE569">
        <v>0</v>
      </c>
      <c r="BF569">
        <v>2</v>
      </c>
      <c r="BG569">
        <v>0</v>
      </c>
      <c r="BH569">
        <v>3325</v>
      </c>
      <c r="BI569">
        <v>0</v>
      </c>
      <c r="BJ569">
        <v>0</v>
      </c>
      <c r="BK569">
        <v>0</v>
      </c>
      <c r="BL569">
        <v>0</v>
      </c>
      <c r="BO569">
        <v>0</v>
      </c>
      <c r="BP569">
        <v>0</v>
      </c>
      <c r="BW569" t="str">
        <f>"18:38:36.601"</f>
        <v>18:38:36.601</v>
      </c>
      <c r="BZ569">
        <v>0</v>
      </c>
      <c r="CA569">
        <v>3488</v>
      </c>
      <c r="CB569">
        <v>216</v>
      </c>
      <c r="CC569">
        <v>583.59379999999999</v>
      </c>
      <c r="CD569">
        <v>1</v>
      </c>
      <c r="CE569">
        <v>1</v>
      </c>
      <c r="CF569">
        <v>0</v>
      </c>
      <c r="CG569">
        <v>1</v>
      </c>
      <c r="CH569">
        <v>0</v>
      </c>
      <c r="CI569">
        <v>0</v>
      </c>
      <c r="CJ569">
        <v>0</v>
      </c>
      <c r="CK569">
        <v>2</v>
      </c>
      <c r="CL569">
        <v>0</v>
      </c>
      <c r="CM569">
        <v>2</v>
      </c>
      <c r="CN569">
        <v>0</v>
      </c>
      <c r="CO569">
        <v>5</v>
      </c>
      <c r="CP569" t="s">
        <v>119</v>
      </c>
      <c r="CQ569">
        <v>145</v>
      </c>
      <c r="CR569">
        <v>1</v>
      </c>
      <c r="CW569">
        <v>8939053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</row>
    <row r="570" spans="1:113" x14ac:dyDescent="0.3">
      <c r="A570" t="str">
        <f>"02/13/2022 18:38:36.819"</f>
        <v>02/13/2022 18:38:36.819</v>
      </c>
      <c r="C570" t="str">
        <f t="shared" si="55"/>
        <v>FFDFD7C0</v>
      </c>
      <c r="D570" t="s">
        <v>113</v>
      </c>
      <c r="E570">
        <v>3</v>
      </c>
      <c r="F570">
        <v>1003</v>
      </c>
      <c r="G570" t="s">
        <v>114</v>
      </c>
      <c r="J570" t="s">
        <v>115</v>
      </c>
      <c r="K570">
        <v>0</v>
      </c>
      <c r="L570">
        <v>3</v>
      </c>
      <c r="M570">
        <v>0</v>
      </c>
      <c r="N570">
        <v>2</v>
      </c>
      <c r="O570">
        <v>1</v>
      </c>
      <c r="P570">
        <v>0</v>
      </c>
      <c r="Q570">
        <v>0</v>
      </c>
      <c r="S570" t="str">
        <f>"18:38:36.594"</f>
        <v>18:38:36.594</v>
      </c>
      <c r="T570" t="str">
        <f>"18:38:36.394"</f>
        <v>18:38:36.394</v>
      </c>
      <c r="U570" t="str">
        <f t="shared" si="54"/>
        <v>AAB6EE</v>
      </c>
      <c r="V570">
        <v>0</v>
      </c>
      <c r="W570">
        <v>0</v>
      </c>
      <c r="X570">
        <v>4</v>
      </c>
      <c r="Z570">
        <v>0</v>
      </c>
      <c r="AA570">
        <v>8</v>
      </c>
      <c r="AB570">
        <v>3</v>
      </c>
      <c r="AC570">
        <v>0</v>
      </c>
      <c r="AD570">
        <v>10</v>
      </c>
      <c r="AE570">
        <v>0</v>
      </c>
      <c r="AF570">
        <v>0</v>
      </c>
      <c r="AG570">
        <v>1</v>
      </c>
      <c r="AH570">
        <v>1</v>
      </c>
      <c r="AI570" t="s">
        <v>501</v>
      </c>
      <c r="AJ570">
        <v>35.427667999999997</v>
      </c>
      <c r="AK570" t="s">
        <v>502</v>
      </c>
      <c r="AL570">
        <v>-76.090385999999995</v>
      </c>
      <c r="AM570">
        <v>25</v>
      </c>
      <c r="AN570">
        <v>3425</v>
      </c>
      <c r="AO570" t="s">
        <v>118</v>
      </c>
      <c r="AP570">
        <v>-99</v>
      </c>
      <c r="AQ570">
        <v>-196</v>
      </c>
      <c r="AR570">
        <v>0</v>
      </c>
      <c r="AZ570">
        <v>4516</v>
      </c>
      <c r="BA570">
        <v>1</v>
      </c>
      <c r="BB570" t="str">
        <f t="shared" si="56"/>
        <v xml:space="preserve">N79NX   </v>
      </c>
      <c r="BC570">
        <v>1</v>
      </c>
      <c r="BE570">
        <v>0</v>
      </c>
      <c r="BF570">
        <v>2</v>
      </c>
      <c r="BG570">
        <v>0</v>
      </c>
      <c r="BH570">
        <v>3325</v>
      </c>
      <c r="BI570">
        <v>0</v>
      </c>
      <c r="BJ570">
        <v>0</v>
      </c>
      <c r="BK570">
        <v>0</v>
      </c>
      <c r="BL570">
        <v>0</v>
      </c>
      <c r="BO570">
        <v>0</v>
      </c>
      <c r="BP570">
        <v>0</v>
      </c>
      <c r="BW570" t="str">
        <f>"18:38:36.601"</f>
        <v>18:38:36.601</v>
      </c>
      <c r="BZ570">
        <v>0</v>
      </c>
      <c r="CA570">
        <v>3488</v>
      </c>
      <c r="CB570">
        <v>216</v>
      </c>
      <c r="CC570">
        <v>583.59379999999999</v>
      </c>
      <c r="CD570">
        <v>1</v>
      </c>
      <c r="CE570">
        <v>1</v>
      </c>
      <c r="CF570">
        <v>0</v>
      </c>
      <c r="CG570">
        <v>1</v>
      </c>
      <c r="CH570">
        <v>0</v>
      </c>
      <c r="CI570">
        <v>0</v>
      </c>
      <c r="CJ570">
        <v>0</v>
      </c>
      <c r="CK570">
        <v>2</v>
      </c>
      <c r="CL570">
        <v>0</v>
      </c>
      <c r="CM570">
        <v>2</v>
      </c>
      <c r="CN570">
        <v>0</v>
      </c>
      <c r="CO570">
        <v>5</v>
      </c>
      <c r="CP570" t="s">
        <v>119</v>
      </c>
      <c r="CQ570">
        <v>145</v>
      </c>
      <c r="CR570">
        <v>1</v>
      </c>
      <c r="CW570">
        <v>8939053</v>
      </c>
      <c r="CY570">
        <v>0</v>
      </c>
      <c r="CZ570">
        <v>0</v>
      </c>
      <c r="DA570">
        <v>1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</row>
    <row r="571" spans="1:113" x14ac:dyDescent="0.3">
      <c r="A571" t="str">
        <f>"02/13/2022 18:38:36.819"</f>
        <v>02/13/2022 18:38:36.819</v>
      </c>
      <c r="C571" t="str">
        <f t="shared" si="55"/>
        <v>FFDFD7C0</v>
      </c>
      <c r="D571" t="s">
        <v>113</v>
      </c>
      <c r="E571">
        <v>4</v>
      </c>
      <c r="F571">
        <v>1004</v>
      </c>
      <c r="G571" t="s">
        <v>120</v>
      </c>
      <c r="J571" t="s">
        <v>115</v>
      </c>
      <c r="K571">
        <v>0</v>
      </c>
      <c r="L571">
        <v>3</v>
      </c>
      <c r="M571">
        <v>0</v>
      </c>
      <c r="N571">
        <v>2</v>
      </c>
      <c r="O571">
        <v>1</v>
      </c>
      <c r="P571">
        <v>0</v>
      </c>
      <c r="Q571">
        <v>0</v>
      </c>
      <c r="S571" t="str">
        <f>"18:38:36.594"</f>
        <v>18:38:36.594</v>
      </c>
      <c r="T571" t="str">
        <f>"18:38:36.394"</f>
        <v>18:38:36.394</v>
      </c>
      <c r="U571" t="str">
        <f t="shared" si="54"/>
        <v>AAB6EE</v>
      </c>
      <c r="V571">
        <v>0</v>
      </c>
      <c r="W571">
        <v>0</v>
      </c>
      <c r="X571">
        <v>4</v>
      </c>
      <c r="Z571">
        <v>0</v>
      </c>
      <c r="AA571">
        <v>8</v>
      </c>
      <c r="AB571">
        <v>3</v>
      </c>
      <c r="AC571">
        <v>0</v>
      </c>
      <c r="AD571">
        <v>10</v>
      </c>
      <c r="AE571">
        <v>0</v>
      </c>
      <c r="AF571">
        <v>0</v>
      </c>
      <c r="AG571">
        <v>1</v>
      </c>
      <c r="AH571">
        <v>1</v>
      </c>
      <c r="AI571" t="s">
        <v>501</v>
      </c>
      <c r="AJ571">
        <v>35.427667999999997</v>
      </c>
      <c r="AK571" t="s">
        <v>502</v>
      </c>
      <c r="AL571">
        <v>-76.090385999999995</v>
      </c>
      <c r="AM571">
        <v>25</v>
      </c>
      <c r="AN571">
        <v>3425</v>
      </c>
      <c r="AO571" t="s">
        <v>118</v>
      </c>
      <c r="AP571">
        <v>-99</v>
      </c>
      <c r="AQ571">
        <v>-196</v>
      </c>
      <c r="AR571">
        <v>0</v>
      </c>
      <c r="AZ571">
        <v>4516</v>
      </c>
      <c r="BA571">
        <v>1</v>
      </c>
      <c r="BB571" t="str">
        <f t="shared" si="56"/>
        <v xml:space="preserve">N79NX   </v>
      </c>
      <c r="BC571">
        <v>1</v>
      </c>
      <c r="BE571">
        <v>0</v>
      </c>
      <c r="BF571">
        <v>2</v>
      </c>
      <c r="BG571">
        <v>0</v>
      </c>
      <c r="BH571">
        <v>3325</v>
      </c>
      <c r="BI571">
        <v>0</v>
      </c>
      <c r="BJ571">
        <v>0</v>
      </c>
      <c r="BK571">
        <v>0</v>
      </c>
      <c r="BL571">
        <v>0</v>
      </c>
      <c r="BO571">
        <v>0</v>
      </c>
      <c r="BP571">
        <v>0</v>
      </c>
      <c r="BW571" t="str">
        <f>"18:38:36.601"</f>
        <v>18:38:36.601</v>
      </c>
      <c r="BZ571">
        <v>0</v>
      </c>
      <c r="CA571">
        <v>3488</v>
      </c>
      <c r="CB571">
        <v>216</v>
      </c>
      <c r="CC571">
        <v>583.59379999999999</v>
      </c>
      <c r="CD571">
        <v>1</v>
      </c>
      <c r="CE571">
        <v>1</v>
      </c>
      <c r="CF571">
        <v>0</v>
      </c>
      <c r="CG571">
        <v>1</v>
      </c>
      <c r="CH571">
        <v>0</v>
      </c>
      <c r="CI571">
        <v>0</v>
      </c>
      <c r="CJ571">
        <v>0</v>
      </c>
      <c r="CK571">
        <v>2</v>
      </c>
      <c r="CL571">
        <v>0</v>
      </c>
      <c r="CM571">
        <v>2</v>
      </c>
      <c r="CN571">
        <v>0</v>
      </c>
      <c r="CO571">
        <v>5</v>
      </c>
      <c r="CP571" t="s">
        <v>119</v>
      </c>
      <c r="CQ571">
        <v>145</v>
      </c>
      <c r="CR571">
        <v>1</v>
      </c>
      <c r="CW571">
        <v>8939053</v>
      </c>
      <c r="CY571">
        <v>0</v>
      </c>
      <c r="CZ571">
        <v>0</v>
      </c>
      <c r="DA571">
        <v>1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</row>
    <row r="572" spans="1:113" x14ac:dyDescent="0.3">
      <c r="A572" t="str">
        <f>"02/13/2022 18:38:37.882"</f>
        <v>02/13/2022 18:38:37.882</v>
      </c>
      <c r="C572" t="str">
        <f t="shared" si="55"/>
        <v>FFDFD7C0</v>
      </c>
      <c r="D572" t="s">
        <v>113</v>
      </c>
      <c r="E572">
        <v>4</v>
      </c>
      <c r="F572">
        <v>1004</v>
      </c>
      <c r="G572" t="s">
        <v>120</v>
      </c>
      <c r="J572" t="s">
        <v>115</v>
      </c>
      <c r="K572">
        <v>0</v>
      </c>
      <c r="L572">
        <v>3</v>
      </c>
      <c r="M572">
        <v>0</v>
      </c>
      <c r="N572">
        <v>2</v>
      </c>
      <c r="O572">
        <v>1</v>
      </c>
      <c r="P572">
        <v>0</v>
      </c>
      <c r="Q572">
        <v>0</v>
      </c>
      <c r="S572" t="str">
        <f>"18:38:37.648"</f>
        <v>18:38:37.648</v>
      </c>
      <c r="T572" t="str">
        <f>"18:38:37.248"</f>
        <v>18:38:37.248</v>
      </c>
      <c r="U572" t="str">
        <f t="shared" si="54"/>
        <v>AAB6EE</v>
      </c>
      <c r="V572">
        <v>0</v>
      </c>
      <c r="W572">
        <v>0</v>
      </c>
      <c r="X572">
        <v>4</v>
      </c>
      <c r="Z572">
        <v>0</v>
      </c>
      <c r="AA572">
        <v>8</v>
      </c>
      <c r="AB572">
        <v>3</v>
      </c>
      <c r="AC572">
        <v>0</v>
      </c>
      <c r="AD572">
        <v>10</v>
      </c>
      <c r="AE572">
        <v>0</v>
      </c>
      <c r="AF572">
        <v>0</v>
      </c>
      <c r="AG572">
        <v>1</v>
      </c>
      <c r="AH572">
        <v>1</v>
      </c>
      <c r="AI572" t="s">
        <v>503</v>
      </c>
      <c r="AJ572">
        <v>35.426681000000002</v>
      </c>
      <c r="AK572" t="s">
        <v>504</v>
      </c>
      <c r="AL572">
        <v>-76.091008000000002</v>
      </c>
      <c r="AM572">
        <v>25</v>
      </c>
      <c r="AN572">
        <v>3425</v>
      </c>
      <c r="AO572" t="s">
        <v>118</v>
      </c>
      <c r="AP572">
        <v>-99</v>
      </c>
      <c r="AQ572">
        <v>-196</v>
      </c>
      <c r="AR572">
        <v>-64</v>
      </c>
      <c r="AZ572">
        <v>4516</v>
      </c>
      <c r="BA572">
        <v>1</v>
      </c>
      <c r="BB572" t="str">
        <f t="shared" si="56"/>
        <v xml:space="preserve">N79NX   </v>
      </c>
      <c r="BC572">
        <v>1</v>
      </c>
      <c r="BE572">
        <v>0</v>
      </c>
      <c r="BF572">
        <v>2</v>
      </c>
      <c r="BG572">
        <v>0</v>
      </c>
      <c r="BH572">
        <v>3300</v>
      </c>
      <c r="BI572">
        <v>0</v>
      </c>
      <c r="BJ572">
        <v>0</v>
      </c>
      <c r="BK572">
        <v>0</v>
      </c>
      <c r="BL572">
        <v>0</v>
      </c>
      <c r="BO572">
        <v>0</v>
      </c>
      <c r="BP572">
        <v>0</v>
      </c>
      <c r="BW572" t="str">
        <f>"18:38:37.651"</f>
        <v>18:38:37.651</v>
      </c>
      <c r="BZ572">
        <v>0</v>
      </c>
      <c r="CA572">
        <v>3488</v>
      </c>
      <c r="CB572">
        <v>216</v>
      </c>
      <c r="CC572">
        <v>583.59379999999999</v>
      </c>
      <c r="CD572">
        <v>1</v>
      </c>
      <c r="CE572">
        <v>1</v>
      </c>
      <c r="CF572">
        <v>0</v>
      </c>
      <c r="CG572">
        <v>1</v>
      </c>
      <c r="CH572">
        <v>0</v>
      </c>
      <c r="CI572">
        <v>0</v>
      </c>
      <c r="CJ572">
        <v>0</v>
      </c>
      <c r="CK572">
        <v>2</v>
      </c>
      <c r="CL572">
        <v>0</v>
      </c>
      <c r="CM572">
        <v>2</v>
      </c>
      <c r="CN572">
        <v>0</v>
      </c>
      <c r="CO572">
        <v>5</v>
      </c>
      <c r="CP572" t="s">
        <v>119</v>
      </c>
      <c r="CQ572">
        <v>145</v>
      </c>
      <c r="CR572">
        <v>1</v>
      </c>
      <c r="CW572">
        <v>8939563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</row>
    <row r="573" spans="1:113" x14ac:dyDescent="0.3">
      <c r="A573" t="str">
        <f>"02/13/2022 18:38:37.882"</f>
        <v>02/13/2022 18:38:37.882</v>
      </c>
      <c r="C573" t="str">
        <f t="shared" si="55"/>
        <v>FFDFD7C0</v>
      </c>
      <c r="D573" t="s">
        <v>113</v>
      </c>
      <c r="E573">
        <v>3</v>
      </c>
      <c r="F573">
        <v>1003</v>
      </c>
      <c r="G573" t="s">
        <v>114</v>
      </c>
      <c r="J573" t="s">
        <v>115</v>
      </c>
      <c r="K573">
        <v>0</v>
      </c>
      <c r="L573">
        <v>3</v>
      </c>
      <c r="M573">
        <v>0</v>
      </c>
      <c r="N573">
        <v>2</v>
      </c>
      <c r="O573">
        <v>1</v>
      </c>
      <c r="P573">
        <v>0</v>
      </c>
      <c r="Q573">
        <v>0</v>
      </c>
      <c r="S573" t="str">
        <f>"18:38:37.648"</f>
        <v>18:38:37.648</v>
      </c>
      <c r="T573" t="str">
        <f>"18:38:37.248"</f>
        <v>18:38:37.248</v>
      </c>
      <c r="U573" t="str">
        <f t="shared" si="54"/>
        <v>AAB6EE</v>
      </c>
      <c r="V573">
        <v>0</v>
      </c>
      <c r="W573">
        <v>0</v>
      </c>
      <c r="X573">
        <v>4</v>
      </c>
      <c r="Z573">
        <v>0</v>
      </c>
      <c r="AA573">
        <v>8</v>
      </c>
      <c r="AB573">
        <v>3</v>
      </c>
      <c r="AC573">
        <v>0</v>
      </c>
      <c r="AD573">
        <v>10</v>
      </c>
      <c r="AE573">
        <v>0</v>
      </c>
      <c r="AF573">
        <v>0</v>
      </c>
      <c r="AG573">
        <v>1</v>
      </c>
      <c r="AH573">
        <v>1</v>
      </c>
      <c r="AI573" t="s">
        <v>503</v>
      </c>
      <c r="AJ573">
        <v>35.426681000000002</v>
      </c>
      <c r="AK573" t="s">
        <v>504</v>
      </c>
      <c r="AL573">
        <v>-76.091008000000002</v>
      </c>
      <c r="AM573">
        <v>25</v>
      </c>
      <c r="AN573">
        <v>3425</v>
      </c>
      <c r="AO573" t="s">
        <v>118</v>
      </c>
      <c r="AP573">
        <v>-99</v>
      </c>
      <c r="AQ573">
        <v>-196</v>
      </c>
      <c r="AR573">
        <v>-64</v>
      </c>
      <c r="AZ573">
        <v>4516</v>
      </c>
      <c r="BA573">
        <v>1</v>
      </c>
      <c r="BB573" t="str">
        <f t="shared" si="56"/>
        <v xml:space="preserve">N79NX   </v>
      </c>
      <c r="BC573">
        <v>1</v>
      </c>
      <c r="BE573">
        <v>0</v>
      </c>
      <c r="BF573">
        <v>2</v>
      </c>
      <c r="BG573">
        <v>0</v>
      </c>
      <c r="BH573">
        <v>3300</v>
      </c>
      <c r="BI573">
        <v>0</v>
      </c>
      <c r="BJ573">
        <v>0</v>
      </c>
      <c r="BK573">
        <v>0</v>
      </c>
      <c r="BL573">
        <v>0</v>
      </c>
      <c r="BO573">
        <v>0</v>
      </c>
      <c r="BP573">
        <v>0</v>
      </c>
      <c r="BW573" t="str">
        <f>"18:38:37.651"</f>
        <v>18:38:37.651</v>
      </c>
      <c r="BZ573">
        <v>0</v>
      </c>
      <c r="CA573">
        <v>3488</v>
      </c>
      <c r="CB573">
        <v>216</v>
      </c>
      <c r="CC573">
        <v>583.59379999999999</v>
      </c>
      <c r="CD573">
        <v>1</v>
      </c>
      <c r="CE573">
        <v>1</v>
      </c>
      <c r="CF573">
        <v>0</v>
      </c>
      <c r="CG573">
        <v>1</v>
      </c>
      <c r="CH573">
        <v>0</v>
      </c>
      <c r="CI573">
        <v>0</v>
      </c>
      <c r="CJ573">
        <v>0</v>
      </c>
      <c r="CK573">
        <v>2</v>
      </c>
      <c r="CL573">
        <v>0</v>
      </c>
      <c r="CM573">
        <v>2</v>
      </c>
      <c r="CN573">
        <v>0</v>
      </c>
      <c r="CO573">
        <v>5</v>
      </c>
      <c r="CP573" t="s">
        <v>119</v>
      </c>
      <c r="CQ573">
        <v>145</v>
      </c>
      <c r="CR573">
        <v>1</v>
      </c>
      <c r="CW573">
        <v>8939563</v>
      </c>
      <c r="CY573">
        <v>0</v>
      </c>
      <c r="CZ573">
        <v>0</v>
      </c>
      <c r="DA573">
        <v>1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</row>
    <row r="574" spans="1:113" x14ac:dyDescent="0.3">
      <c r="A574" t="str">
        <f>"02/13/2022 18:38:37.882"</f>
        <v>02/13/2022 18:38:37.882</v>
      </c>
      <c r="C574" t="str">
        <f t="shared" si="55"/>
        <v>FFDFD7C0</v>
      </c>
      <c r="D574" t="s">
        <v>121</v>
      </c>
      <c r="E574">
        <v>2</v>
      </c>
      <c r="H574">
        <v>158</v>
      </c>
      <c r="I574" t="s">
        <v>120</v>
      </c>
      <c r="J574" t="s">
        <v>122</v>
      </c>
      <c r="K574">
        <v>0</v>
      </c>
      <c r="L574">
        <v>3</v>
      </c>
      <c r="M574">
        <v>0</v>
      </c>
      <c r="N574">
        <v>2</v>
      </c>
      <c r="O574">
        <v>1</v>
      </c>
      <c r="P574">
        <v>0</v>
      </c>
      <c r="Q574">
        <v>0</v>
      </c>
      <c r="S574" t="str">
        <f>"18:38:37.648"</f>
        <v>18:38:37.648</v>
      </c>
      <c r="T574" t="str">
        <f>"18:38:37.248"</f>
        <v>18:38:37.248</v>
      </c>
      <c r="U574" t="str">
        <f t="shared" si="54"/>
        <v>AAB6EE</v>
      </c>
      <c r="V574">
        <v>0</v>
      </c>
      <c r="W574">
        <v>0</v>
      </c>
      <c r="X574">
        <v>4</v>
      </c>
      <c r="Z574">
        <v>0</v>
      </c>
      <c r="AA574">
        <v>8</v>
      </c>
      <c r="AB574">
        <v>3</v>
      </c>
      <c r="AC574">
        <v>0</v>
      </c>
      <c r="AD574">
        <v>10</v>
      </c>
      <c r="AE574">
        <v>0</v>
      </c>
      <c r="AF574">
        <v>0</v>
      </c>
      <c r="AG574">
        <v>1</v>
      </c>
      <c r="AH574">
        <v>1</v>
      </c>
      <c r="AI574" t="s">
        <v>503</v>
      </c>
      <c r="AJ574">
        <v>35.426681000000002</v>
      </c>
      <c r="AK574" t="s">
        <v>504</v>
      </c>
      <c r="AL574">
        <v>-76.091008000000002</v>
      </c>
      <c r="AM574">
        <v>25</v>
      </c>
      <c r="AN574">
        <v>3425</v>
      </c>
      <c r="AO574" t="s">
        <v>118</v>
      </c>
      <c r="AP574">
        <v>-99</v>
      </c>
      <c r="AQ574">
        <v>-196</v>
      </c>
      <c r="AR574">
        <v>-64</v>
      </c>
      <c r="AZ574">
        <v>4516</v>
      </c>
      <c r="BA574">
        <v>1</v>
      </c>
      <c r="BB574" t="str">
        <f t="shared" si="56"/>
        <v xml:space="preserve">N79NX   </v>
      </c>
      <c r="BC574">
        <v>1</v>
      </c>
      <c r="BE574">
        <v>0</v>
      </c>
      <c r="BF574">
        <v>2</v>
      </c>
      <c r="BG574">
        <v>0</v>
      </c>
      <c r="BH574">
        <v>3300</v>
      </c>
      <c r="BI574">
        <v>0</v>
      </c>
      <c r="BJ574">
        <v>0</v>
      </c>
      <c r="BK574">
        <v>0</v>
      </c>
      <c r="BL574">
        <v>0</v>
      </c>
      <c r="BO574">
        <v>0</v>
      </c>
      <c r="BP574">
        <v>0</v>
      </c>
      <c r="BW574" t="str">
        <f>"18:38:37.651"</f>
        <v>18:38:37.651</v>
      </c>
      <c r="BZ574">
        <v>0</v>
      </c>
      <c r="CA574">
        <v>3488</v>
      </c>
      <c r="CB574">
        <v>216</v>
      </c>
      <c r="CC574">
        <v>583.59379999999999</v>
      </c>
      <c r="CD574">
        <v>1</v>
      </c>
      <c r="CE574">
        <v>1</v>
      </c>
      <c r="CF574">
        <v>0</v>
      </c>
      <c r="CG574">
        <v>1</v>
      </c>
      <c r="CH574">
        <v>0</v>
      </c>
      <c r="CI574">
        <v>0</v>
      </c>
      <c r="CJ574">
        <v>0</v>
      </c>
      <c r="CK574">
        <v>2</v>
      </c>
      <c r="CL574">
        <v>0</v>
      </c>
      <c r="CM574">
        <v>2</v>
      </c>
      <c r="CN574">
        <v>0</v>
      </c>
      <c r="CO574">
        <v>5</v>
      </c>
      <c r="CP574" t="s">
        <v>119</v>
      </c>
      <c r="CQ574">
        <v>145</v>
      </c>
      <c r="CR574">
        <v>1</v>
      </c>
      <c r="CW574">
        <v>8939563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</row>
    <row r="575" spans="1:113" x14ac:dyDescent="0.3">
      <c r="A575" t="str">
        <f>"02/13/2022 18:38:39.007"</f>
        <v>02/13/2022 18:38:39.007</v>
      </c>
      <c r="C575" t="str">
        <f t="shared" si="55"/>
        <v>FFDFD7C0</v>
      </c>
      <c r="D575" t="s">
        <v>121</v>
      </c>
      <c r="E575">
        <v>2</v>
      </c>
      <c r="H575">
        <v>158</v>
      </c>
      <c r="I575" t="s">
        <v>120</v>
      </c>
      <c r="J575" t="s">
        <v>122</v>
      </c>
      <c r="K575">
        <v>0</v>
      </c>
      <c r="L575">
        <v>3</v>
      </c>
      <c r="M575">
        <v>0</v>
      </c>
      <c r="N575">
        <v>2</v>
      </c>
      <c r="O575">
        <v>1</v>
      </c>
      <c r="P575">
        <v>0</v>
      </c>
      <c r="Q575">
        <v>0</v>
      </c>
      <c r="S575" t="str">
        <f>"18:38:38.727"</f>
        <v>18:38:38.727</v>
      </c>
      <c r="T575" t="str">
        <f>"18:38:38.327"</f>
        <v>18:38:38.327</v>
      </c>
      <c r="U575" t="str">
        <f t="shared" si="54"/>
        <v>AAB6EE</v>
      </c>
      <c r="V575">
        <v>0</v>
      </c>
      <c r="W575">
        <v>0</v>
      </c>
      <c r="X575">
        <v>4</v>
      </c>
      <c r="Z575">
        <v>0</v>
      </c>
      <c r="AA575">
        <v>8</v>
      </c>
      <c r="AB575">
        <v>3</v>
      </c>
      <c r="AC575">
        <v>0</v>
      </c>
      <c r="AD575">
        <v>10</v>
      </c>
      <c r="AE575">
        <v>0</v>
      </c>
      <c r="AF575">
        <v>0</v>
      </c>
      <c r="AG575">
        <v>1</v>
      </c>
      <c r="AH575">
        <v>1</v>
      </c>
      <c r="AI575" t="s">
        <v>505</v>
      </c>
      <c r="AJ575">
        <v>35.425651000000002</v>
      </c>
      <c r="AK575" t="s">
        <v>506</v>
      </c>
      <c r="AL575">
        <v>-76.091651999999996</v>
      </c>
      <c r="AM575">
        <v>25</v>
      </c>
      <c r="AN575">
        <v>3425</v>
      </c>
      <c r="AO575" t="s">
        <v>118</v>
      </c>
      <c r="AP575">
        <v>-99</v>
      </c>
      <c r="AQ575">
        <v>-196</v>
      </c>
      <c r="AR575">
        <v>-64</v>
      </c>
      <c r="AZ575">
        <v>4516</v>
      </c>
      <c r="BA575">
        <v>1</v>
      </c>
      <c r="BB575" t="str">
        <f t="shared" si="56"/>
        <v xml:space="preserve">N79NX   </v>
      </c>
      <c r="BC575">
        <v>1</v>
      </c>
      <c r="BE575">
        <v>0</v>
      </c>
      <c r="BF575">
        <v>2</v>
      </c>
      <c r="BG575">
        <v>0</v>
      </c>
      <c r="BH575">
        <v>3300</v>
      </c>
      <c r="BI575">
        <v>0</v>
      </c>
      <c r="BJ575">
        <v>0</v>
      </c>
      <c r="BK575">
        <v>0</v>
      </c>
      <c r="BL575">
        <v>0</v>
      </c>
      <c r="BO575">
        <v>0</v>
      </c>
      <c r="BP575">
        <v>0</v>
      </c>
      <c r="BW575" t="str">
        <f>"18:38:38.731"</f>
        <v>18:38:38.731</v>
      </c>
      <c r="BZ575">
        <v>0</v>
      </c>
      <c r="CA575">
        <v>3488</v>
      </c>
      <c r="CB575">
        <v>216</v>
      </c>
      <c r="CC575">
        <v>583.59379999999999</v>
      </c>
      <c r="CD575">
        <v>1</v>
      </c>
      <c r="CE575">
        <v>1</v>
      </c>
      <c r="CF575">
        <v>0</v>
      </c>
      <c r="CG575">
        <v>1</v>
      </c>
      <c r="CH575">
        <v>0</v>
      </c>
      <c r="CI575">
        <v>0</v>
      </c>
      <c r="CJ575">
        <v>0</v>
      </c>
      <c r="CK575">
        <v>2</v>
      </c>
      <c r="CL575">
        <v>0</v>
      </c>
      <c r="CM575">
        <v>2</v>
      </c>
      <c r="CN575">
        <v>0</v>
      </c>
      <c r="CO575">
        <v>5</v>
      </c>
      <c r="CP575" t="s">
        <v>119</v>
      </c>
      <c r="CQ575">
        <v>145</v>
      </c>
      <c r="CR575">
        <v>1</v>
      </c>
      <c r="CW575">
        <v>8940126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</row>
    <row r="576" spans="1:113" x14ac:dyDescent="0.3">
      <c r="A576" t="str">
        <f>"02/13/2022 18:38:39.007"</f>
        <v>02/13/2022 18:38:39.007</v>
      </c>
      <c r="C576" t="str">
        <f t="shared" si="55"/>
        <v>FFDFD7C0</v>
      </c>
      <c r="D576" t="s">
        <v>113</v>
      </c>
      <c r="E576">
        <v>3</v>
      </c>
      <c r="F576">
        <v>1003</v>
      </c>
      <c r="G576" t="s">
        <v>114</v>
      </c>
      <c r="J576" t="s">
        <v>115</v>
      </c>
      <c r="K576">
        <v>0</v>
      </c>
      <c r="L576">
        <v>3</v>
      </c>
      <c r="M576">
        <v>0</v>
      </c>
      <c r="N576">
        <v>2</v>
      </c>
      <c r="O576">
        <v>1</v>
      </c>
      <c r="P576">
        <v>0</v>
      </c>
      <c r="Q576">
        <v>0</v>
      </c>
      <c r="S576" t="str">
        <f>"18:38:38.727"</f>
        <v>18:38:38.727</v>
      </c>
      <c r="T576" t="str">
        <f>"18:38:38.327"</f>
        <v>18:38:38.327</v>
      </c>
      <c r="U576" t="str">
        <f t="shared" si="54"/>
        <v>AAB6EE</v>
      </c>
      <c r="V576">
        <v>0</v>
      </c>
      <c r="W576">
        <v>0</v>
      </c>
      <c r="X576">
        <v>4</v>
      </c>
      <c r="Z576">
        <v>0</v>
      </c>
      <c r="AA576">
        <v>8</v>
      </c>
      <c r="AB576">
        <v>3</v>
      </c>
      <c r="AC576">
        <v>0</v>
      </c>
      <c r="AD576">
        <v>10</v>
      </c>
      <c r="AE576">
        <v>0</v>
      </c>
      <c r="AF576">
        <v>0</v>
      </c>
      <c r="AG576">
        <v>1</v>
      </c>
      <c r="AH576">
        <v>1</v>
      </c>
      <c r="AI576" t="s">
        <v>505</v>
      </c>
      <c r="AJ576">
        <v>35.425651000000002</v>
      </c>
      <c r="AK576" t="s">
        <v>506</v>
      </c>
      <c r="AL576">
        <v>-76.091651999999996</v>
      </c>
      <c r="AM576">
        <v>25</v>
      </c>
      <c r="AN576">
        <v>3425</v>
      </c>
      <c r="AO576" t="s">
        <v>118</v>
      </c>
      <c r="AP576">
        <v>-99</v>
      </c>
      <c r="AQ576">
        <v>-196</v>
      </c>
      <c r="AR576">
        <v>-64</v>
      </c>
      <c r="AZ576">
        <v>4516</v>
      </c>
      <c r="BA576">
        <v>1</v>
      </c>
      <c r="BB576" t="str">
        <f t="shared" si="56"/>
        <v xml:space="preserve">N79NX   </v>
      </c>
      <c r="BC576">
        <v>1</v>
      </c>
      <c r="BE576">
        <v>0</v>
      </c>
      <c r="BF576">
        <v>2</v>
      </c>
      <c r="BG576">
        <v>0</v>
      </c>
      <c r="BH576">
        <v>3300</v>
      </c>
      <c r="BI576">
        <v>0</v>
      </c>
      <c r="BJ576">
        <v>0</v>
      </c>
      <c r="BK576">
        <v>0</v>
      </c>
      <c r="BL576">
        <v>0</v>
      </c>
      <c r="BO576">
        <v>0</v>
      </c>
      <c r="BP576">
        <v>0</v>
      </c>
      <c r="BW576" t="str">
        <f>"18:38:38.731"</f>
        <v>18:38:38.731</v>
      </c>
      <c r="BZ576">
        <v>0</v>
      </c>
      <c r="CA576">
        <v>3488</v>
      </c>
      <c r="CB576">
        <v>216</v>
      </c>
      <c r="CC576">
        <v>583.59379999999999</v>
      </c>
      <c r="CD576">
        <v>1</v>
      </c>
      <c r="CE576">
        <v>1</v>
      </c>
      <c r="CF576">
        <v>0</v>
      </c>
      <c r="CG576">
        <v>1</v>
      </c>
      <c r="CH576">
        <v>0</v>
      </c>
      <c r="CI576">
        <v>0</v>
      </c>
      <c r="CJ576">
        <v>0</v>
      </c>
      <c r="CK576">
        <v>2</v>
      </c>
      <c r="CL576">
        <v>0</v>
      </c>
      <c r="CM576">
        <v>2</v>
      </c>
      <c r="CN576">
        <v>0</v>
      </c>
      <c r="CO576">
        <v>5</v>
      </c>
      <c r="CP576" t="s">
        <v>119</v>
      </c>
      <c r="CQ576">
        <v>145</v>
      </c>
      <c r="CR576">
        <v>1</v>
      </c>
      <c r="CW576">
        <v>8940126</v>
      </c>
      <c r="CY576">
        <v>0</v>
      </c>
      <c r="CZ576">
        <v>0</v>
      </c>
      <c r="DA576">
        <v>1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</row>
    <row r="577" spans="1:113" x14ac:dyDescent="0.3">
      <c r="A577" t="str">
        <f>"02/13/2022 18:38:39.007"</f>
        <v>02/13/2022 18:38:39.007</v>
      </c>
      <c r="C577" t="str">
        <f t="shared" si="55"/>
        <v>FFDFD7C0</v>
      </c>
      <c r="D577" t="s">
        <v>113</v>
      </c>
      <c r="E577">
        <v>4</v>
      </c>
      <c r="F577">
        <v>1004</v>
      </c>
      <c r="G577" t="s">
        <v>120</v>
      </c>
      <c r="J577" t="s">
        <v>115</v>
      </c>
      <c r="K577">
        <v>0</v>
      </c>
      <c r="L577">
        <v>3</v>
      </c>
      <c r="M577">
        <v>0</v>
      </c>
      <c r="N577">
        <v>2</v>
      </c>
      <c r="O577">
        <v>1</v>
      </c>
      <c r="P577">
        <v>0</v>
      </c>
      <c r="Q577">
        <v>0</v>
      </c>
      <c r="S577" t="str">
        <f>"18:38:38.727"</f>
        <v>18:38:38.727</v>
      </c>
      <c r="T577" t="str">
        <f>"18:38:38.327"</f>
        <v>18:38:38.327</v>
      </c>
      <c r="U577" t="str">
        <f t="shared" si="54"/>
        <v>AAB6EE</v>
      </c>
      <c r="V577">
        <v>0</v>
      </c>
      <c r="W577">
        <v>0</v>
      </c>
      <c r="X577">
        <v>4</v>
      </c>
      <c r="Z577">
        <v>0</v>
      </c>
      <c r="AA577">
        <v>8</v>
      </c>
      <c r="AB577">
        <v>3</v>
      </c>
      <c r="AC577">
        <v>0</v>
      </c>
      <c r="AD577">
        <v>10</v>
      </c>
      <c r="AE577">
        <v>0</v>
      </c>
      <c r="AF577">
        <v>0</v>
      </c>
      <c r="AG577">
        <v>1</v>
      </c>
      <c r="AH577">
        <v>1</v>
      </c>
      <c r="AI577" t="s">
        <v>505</v>
      </c>
      <c r="AJ577">
        <v>35.425651000000002</v>
      </c>
      <c r="AK577" t="s">
        <v>506</v>
      </c>
      <c r="AL577">
        <v>-76.091651999999996</v>
      </c>
      <c r="AM577">
        <v>25</v>
      </c>
      <c r="AN577">
        <v>3425</v>
      </c>
      <c r="AO577" t="s">
        <v>118</v>
      </c>
      <c r="AP577">
        <v>-99</v>
      </c>
      <c r="AQ577">
        <v>-196</v>
      </c>
      <c r="AR577">
        <v>-64</v>
      </c>
      <c r="AZ577">
        <v>4516</v>
      </c>
      <c r="BA577">
        <v>1</v>
      </c>
      <c r="BB577" t="str">
        <f t="shared" si="56"/>
        <v xml:space="preserve">N79NX   </v>
      </c>
      <c r="BC577">
        <v>1</v>
      </c>
      <c r="BE577">
        <v>0</v>
      </c>
      <c r="BF577">
        <v>2</v>
      </c>
      <c r="BG577">
        <v>0</v>
      </c>
      <c r="BH577">
        <v>3300</v>
      </c>
      <c r="BI577">
        <v>0</v>
      </c>
      <c r="BJ577">
        <v>0</v>
      </c>
      <c r="BK577">
        <v>0</v>
      </c>
      <c r="BL577">
        <v>0</v>
      </c>
      <c r="BO577">
        <v>0</v>
      </c>
      <c r="BP577">
        <v>0</v>
      </c>
      <c r="BW577" t="str">
        <f>"18:38:38.731"</f>
        <v>18:38:38.731</v>
      </c>
      <c r="BZ577">
        <v>0</v>
      </c>
      <c r="CA577">
        <v>3488</v>
      </c>
      <c r="CB577">
        <v>216</v>
      </c>
      <c r="CC577">
        <v>583.59379999999999</v>
      </c>
      <c r="CD577">
        <v>1</v>
      </c>
      <c r="CE577">
        <v>1</v>
      </c>
      <c r="CF577">
        <v>0</v>
      </c>
      <c r="CG577">
        <v>1</v>
      </c>
      <c r="CH577">
        <v>0</v>
      </c>
      <c r="CI577">
        <v>0</v>
      </c>
      <c r="CJ577">
        <v>0</v>
      </c>
      <c r="CK577">
        <v>2</v>
      </c>
      <c r="CL577">
        <v>0</v>
      </c>
      <c r="CM577">
        <v>2</v>
      </c>
      <c r="CN577">
        <v>0</v>
      </c>
      <c r="CO577">
        <v>5</v>
      </c>
      <c r="CP577" t="s">
        <v>119</v>
      </c>
      <c r="CQ577">
        <v>145</v>
      </c>
      <c r="CR577">
        <v>1</v>
      </c>
      <c r="CW577">
        <v>8940126</v>
      </c>
      <c r="CY577">
        <v>0</v>
      </c>
      <c r="CZ577">
        <v>0</v>
      </c>
      <c r="DA577">
        <v>1</v>
      </c>
      <c r="DB577">
        <v>0</v>
      </c>
      <c r="DC577">
        <v>0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</row>
    <row r="578" spans="1:113" x14ac:dyDescent="0.3">
      <c r="A578" t="str">
        <f>"02/13/2022 18:38:39.806"</f>
        <v>02/13/2022 18:38:39.806</v>
      </c>
      <c r="C578" t="str">
        <f t="shared" si="55"/>
        <v>FFDFD7C0</v>
      </c>
      <c r="D578" t="s">
        <v>121</v>
      </c>
      <c r="E578">
        <v>2</v>
      </c>
      <c r="H578">
        <v>158</v>
      </c>
      <c r="I578" t="s">
        <v>120</v>
      </c>
      <c r="J578" t="s">
        <v>122</v>
      </c>
      <c r="K578">
        <v>0</v>
      </c>
      <c r="L578">
        <v>3</v>
      </c>
      <c r="M578">
        <v>0</v>
      </c>
      <c r="N578">
        <v>2</v>
      </c>
      <c r="O578">
        <v>1</v>
      </c>
      <c r="P578">
        <v>0</v>
      </c>
      <c r="Q578">
        <v>0</v>
      </c>
      <c r="S578" t="str">
        <f>"18:38:39.555"</f>
        <v>18:38:39.555</v>
      </c>
      <c r="T578" t="str">
        <f>"18:38:39.355"</f>
        <v>18:38:39.355</v>
      </c>
      <c r="U578" t="str">
        <f t="shared" ref="U578:U641" si="60">"AAB6EE"</f>
        <v>AAB6EE</v>
      </c>
      <c r="V578">
        <v>0</v>
      </c>
      <c r="W578">
        <v>0</v>
      </c>
      <c r="X578">
        <v>4</v>
      </c>
      <c r="Z578">
        <v>0</v>
      </c>
      <c r="AA578">
        <v>8</v>
      </c>
      <c r="AB578">
        <v>3</v>
      </c>
      <c r="AC578">
        <v>0</v>
      </c>
      <c r="AD578">
        <v>10</v>
      </c>
      <c r="AE578">
        <v>0</v>
      </c>
      <c r="AF578">
        <v>0</v>
      </c>
      <c r="AG578">
        <v>1</v>
      </c>
      <c r="AH578">
        <v>1</v>
      </c>
      <c r="AI578" t="s">
        <v>507</v>
      </c>
      <c r="AJ578">
        <v>35.424922000000002</v>
      </c>
      <c r="AK578" t="s">
        <v>508</v>
      </c>
      <c r="AL578">
        <v>-76.092060000000004</v>
      </c>
      <c r="AM578">
        <v>25</v>
      </c>
      <c r="AN578">
        <v>3425</v>
      </c>
      <c r="AO578" t="s">
        <v>118</v>
      </c>
      <c r="AP578">
        <v>-99</v>
      </c>
      <c r="AQ578">
        <v>-196</v>
      </c>
      <c r="AR578">
        <v>0</v>
      </c>
      <c r="AZ578">
        <v>4516</v>
      </c>
      <c r="BA578">
        <v>1</v>
      </c>
      <c r="BB578" t="str">
        <f t="shared" si="56"/>
        <v xml:space="preserve">N79NX   </v>
      </c>
      <c r="BC578">
        <v>1</v>
      </c>
      <c r="BE578">
        <v>0</v>
      </c>
      <c r="BF578">
        <v>2</v>
      </c>
      <c r="BG578">
        <v>0</v>
      </c>
      <c r="BH578">
        <v>3300</v>
      </c>
      <c r="BI578">
        <v>0</v>
      </c>
      <c r="BJ578">
        <v>0</v>
      </c>
      <c r="BK578">
        <v>0</v>
      </c>
      <c r="BL578">
        <v>0</v>
      </c>
      <c r="BO578">
        <v>0</v>
      </c>
      <c r="BP578">
        <v>0</v>
      </c>
      <c r="BW578" t="str">
        <f>"18:38:39.561"</f>
        <v>18:38:39.561</v>
      </c>
      <c r="BZ578">
        <v>0</v>
      </c>
      <c r="CA578">
        <v>3488</v>
      </c>
      <c r="CB578">
        <v>216</v>
      </c>
      <c r="CC578">
        <v>583.59379999999999</v>
      </c>
      <c r="CD578">
        <v>1</v>
      </c>
      <c r="CE578">
        <v>1</v>
      </c>
      <c r="CF578">
        <v>0</v>
      </c>
      <c r="CG578">
        <v>1</v>
      </c>
      <c r="CH578">
        <v>0</v>
      </c>
      <c r="CI578">
        <v>0</v>
      </c>
      <c r="CJ578">
        <v>0</v>
      </c>
      <c r="CK578">
        <v>2</v>
      </c>
      <c r="CL578">
        <v>0</v>
      </c>
      <c r="CM578">
        <v>2</v>
      </c>
      <c r="CN578">
        <v>0</v>
      </c>
      <c r="CO578">
        <v>5</v>
      </c>
      <c r="CP578" t="s">
        <v>119</v>
      </c>
      <c r="CQ578">
        <v>145</v>
      </c>
      <c r="CR578">
        <v>1</v>
      </c>
      <c r="CW578">
        <v>8940548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</row>
    <row r="579" spans="1:113" x14ac:dyDescent="0.3">
      <c r="A579" t="str">
        <f>"02/13/2022 18:38:39.822"</f>
        <v>02/13/2022 18:38:39.822</v>
      </c>
      <c r="C579" t="str">
        <f t="shared" si="55"/>
        <v>FFDFD7C0</v>
      </c>
      <c r="D579" t="s">
        <v>113</v>
      </c>
      <c r="E579">
        <v>3</v>
      </c>
      <c r="F579">
        <v>1003</v>
      </c>
      <c r="G579" t="s">
        <v>114</v>
      </c>
      <c r="J579" t="s">
        <v>115</v>
      </c>
      <c r="K579">
        <v>0</v>
      </c>
      <c r="L579">
        <v>3</v>
      </c>
      <c r="M579">
        <v>0</v>
      </c>
      <c r="N579">
        <v>2</v>
      </c>
      <c r="O579">
        <v>1</v>
      </c>
      <c r="P579">
        <v>0</v>
      </c>
      <c r="Q579">
        <v>0</v>
      </c>
      <c r="S579" t="str">
        <f>"18:38:39.555"</f>
        <v>18:38:39.555</v>
      </c>
      <c r="T579" t="str">
        <f>"18:38:39.355"</f>
        <v>18:38:39.355</v>
      </c>
      <c r="U579" t="str">
        <f t="shared" si="60"/>
        <v>AAB6EE</v>
      </c>
      <c r="V579">
        <v>0</v>
      </c>
      <c r="W579">
        <v>0</v>
      </c>
      <c r="X579">
        <v>4</v>
      </c>
      <c r="Z579">
        <v>0</v>
      </c>
      <c r="AA579">
        <v>8</v>
      </c>
      <c r="AB579">
        <v>3</v>
      </c>
      <c r="AC579">
        <v>0</v>
      </c>
      <c r="AD579">
        <v>10</v>
      </c>
      <c r="AE579">
        <v>0</v>
      </c>
      <c r="AF579">
        <v>0</v>
      </c>
      <c r="AG579">
        <v>1</v>
      </c>
      <c r="AH579">
        <v>1</v>
      </c>
      <c r="AI579" t="s">
        <v>507</v>
      </c>
      <c r="AJ579">
        <v>35.424922000000002</v>
      </c>
      <c r="AK579" t="s">
        <v>508</v>
      </c>
      <c r="AL579">
        <v>-76.092060000000004</v>
      </c>
      <c r="AM579">
        <v>25</v>
      </c>
      <c r="AN579">
        <v>3425</v>
      </c>
      <c r="AO579" t="s">
        <v>118</v>
      </c>
      <c r="AP579">
        <v>-99</v>
      </c>
      <c r="AQ579">
        <v>-196</v>
      </c>
      <c r="AR579">
        <v>0</v>
      </c>
      <c r="AZ579">
        <v>4516</v>
      </c>
      <c r="BA579">
        <v>1</v>
      </c>
      <c r="BB579" t="str">
        <f t="shared" si="56"/>
        <v xml:space="preserve">N79NX   </v>
      </c>
      <c r="BC579">
        <v>1</v>
      </c>
      <c r="BE579">
        <v>0</v>
      </c>
      <c r="BF579">
        <v>2</v>
      </c>
      <c r="BG579">
        <v>0</v>
      </c>
      <c r="BH579">
        <v>3300</v>
      </c>
      <c r="BI579">
        <v>0</v>
      </c>
      <c r="BJ579">
        <v>0</v>
      </c>
      <c r="BK579">
        <v>0</v>
      </c>
      <c r="BL579">
        <v>0</v>
      </c>
      <c r="BO579">
        <v>0</v>
      </c>
      <c r="BP579">
        <v>0</v>
      </c>
      <c r="BW579" t="str">
        <f>"18:38:39.561"</f>
        <v>18:38:39.561</v>
      </c>
      <c r="BZ579">
        <v>0</v>
      </c>
      <c r="CA579">
        <v>3488</v>
      </c>
      <c r="CB579">
        <v>216</v>
      </c>
      <c r="CC579">
        <v>583.59379999999999</v>
      </c>
      <c r="CD579">
        <v>1</v>
      </c>
      <c r="CE579">
        <v>1</v>
      </c>
      <c r="CF579">
        <v>0</v>
      </c>
      <c r="CG579">
        <v>1</v>
      </c>
      <c r="CH579">
        <v>0</v>
      </c>
      <c r="CI579">
        <v>0</v>
      </c>
      <c r="CJ579">
        <v>0</v>
      </c>
      <c r="CK579">
        <v>2</v>
      </c>
      <c r="CL579">
        <v>0</v>
      </c>
      <c r="CM579">
        <v>2</v>
      </c>
      <c r="CN579">
        <v>0</v>
      </c>
      <c r="CO579">
        <v>5</v>
      </c>
      <c r="CP579" t="s">
        <v>119</v>
      </c>
      <c r="CQ579">
        <v>145</v>
      </c>
      <c r="CR579">
        <v>1</v>
      </c>
      <c r="CW579">
        <v>8940548</v>
      </c>
      <c r="CY579">
        <v>0</v>
      </c>
      <c r="CZ579">
        <v>0</v>
      </c>
      <c r="DA579">
        <v>1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</row>
    <row r="580" spans="1:113" x14ac:dyDescent="0.3">
      <c r="A580" t="str">
        <f>"02/13/2022 18:38:39.822"</f>
        <v>02/13/2022 18:38:39.822</v>
      </c>
      <c r="C580" t="str">
        <f t="shared" si="55"/>
        <v>FFDFD7C0</v>
      </c>
      <c r="D580" t="s">
        <v>113</v>
      </c>
      <c r="E580">
        <v>4</v>
      </c>
      <c r="F580">
        <v>1004</v>
      </c>
      <c r="G580" t="s">
        <v>120</v>
      </c>
      <c r="J580" t="s">
        <v>115</v>
      </c>
      <c r="K580">
        <v>0</v>
      </c>
      <c r="L580">
        <v>3</v>
      </c>
      <c r="M580">
        <v>0</v>
      </c>
      <c r="N580">
        <v>2</v>
      </c>
      <c r="O580">
        <v>1</v>
      </c>
      <c r="P580">
        <v>0</v>
      </c>
      <c r="Q580">
        <v>0</v>
      </c>
      <c r="S580" t="str">
        <f>"18:38:39.555"</f>
        <v>18:38:39.555</v>
      </c>
      <c r="T580" t="str">
        <f>"18:38:39.355"</f>
        <v>18:38:39.355</v>
      </c>
      <c r="U580" t="str">
        <f t="shared" si="60"/>
        <v>AAB6EE</v>
      </c>
      <c r="V580">
        <v>0</v>
      </c>
      <c r="W580">
        <v>0</v>
      </c>
      <c r="X580">
        <v>4</v>
      </c>
      <c r="Z580">
        <v>0</v>
      </c>
      <c r="AA580">
        <v>8</v>
      </c>
      <c r="AB580">
        <v>3</v>
      </c>
      <c r="AC580">
        <v>0</v>
      </c>
      <c r="AD580">
        <v>10</v>
      </c>
      <c r="AE580">
        <v>0</v>
      </c>
      <c r="AF580">
        <v>0</v>
      </c>
      <c r="AG580">
        <v>1</v>
      </c>
      <c r="AH580">
        <v>1</v>
      </c>
      <c r="AI580" t="s">
        <v>507</v>
      </c>
      <c r="AJ580">
        <v>35.424922000000002</v>
      </c>
      <c r="AK580" t="s">
        <v>508</v>
      </c>
      <c r="AL580">
        <v>-76.092060000000004</v>
      </c>
      <c r="AM580">
        <v>25</v>
      </c>
      <c r="AN580">
        <v>3425</v>
      </c>
      <c r="AO580" t="s">
        <v>118</v>
      </c>
      <c r="AP580">
        <v>-99</v>
      </c>
      <c r="AQ580">
        <v>-196</v>
      </c>
      <c r="AR580">
        <v>0</v>
      </c>
      <c r="AZ580">
        <v>4516</v>
      </c>
      <c r="BA580">
        <v>1</v>
      </c>
      <c r="BB580" t="str">
        <f t="shared" si="56"/>
        <v xml:space="preserve">N79NX   </v>
      </c>
      <c r="BC580">
        <v>1</v>
      </c>
      <c r="BE580">
        <v>0</v>
      </c>
      <c r="BF580">
        <v>2</v>
      </c>
      <c r="BG580">
        <v>0</v>
      </c>
      <c r="BH580">
        <v>3300</v>
      </c>
      <c r="BI580">
        <v>0</v>
      </c>
      <c r="BJ580">
        <v>0</v>
      </c>
      <c r="BK580">
        <v>0</v>
      </c>
      <c r="BL580">
        <v>0</v>
      </c>
      <c r="BO580">
        <v>0</v>
      </c>
      <c r="BP580">
        <v>0</v>
      </c>
      <c r="BW580" t="str">
        <f>"18:38:39.561"</f>
        <v>18:38:39.561</v>
      </c>
      <c r="BZ580">
        <v>0</v>
      </c>
      <c r="CA580">
        <v>3488</v>
      </c>
      <c r="CB580">
        <v>216</v>
      </c>
      <c r="CC580">
        <v>583.59379999999999</v>
      </c>
      <c r="CD580">
        <v>1</v>
      </c>
      <c r="CE580">
        <v>1</v>
      </c>
      <c r="CF580">
        <v>0</v>
      </c>
      <c r="CG580">
        <v>1</v>
      </c>
      <c r="CH580">
        <v>0</v>
      </c>
      <c r="CI580">
        <v>0</v>
      </c>
      <c r="CJ580">
        <v>0</v>
      </c>
      <c r="CK580">
        <v>2</v>
      </c>
      <c r="CL580">
        <v>0</v>
      </c>
      <c r="CM580">
        <v>2</v>
      </c>
      <c r="CN580">
        <v>0</v>
      </c>
      <c r="CO580">
        <v>5</v>
      </c>
      <c r="CP580" t="s">
        <v>119</v>
      </c>
      <c r="CQ580">
        <v>145</v>
      </c>
      <c r="CR580">
        <v>1</v>
      </c>
      <c r="CW580">
        <v>8940548</v>
      </c>
      <c r="CY580">
        <v>0</v>
      </c>
      <c r="CZ580">
        <v>0</v>
      </c>
      <c r="DA580">
        <v>1</v>
      </c>
      <c r="DB580">
        <v>0</v>
      </c>
      <c r="DC580">
        <v>0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0</v>
      </c>
    </row>
    <row r="581" spans="1:113" x14ac:dyDescent="0.3">
      <c r="A581" t="str">
        <f>"02/13/2022 18:38:40.807"</f>
        <v>02/13/2022 18:38:40.807</v>
      </c>
      <c r="C581" t="str">
        <f t="shared" ref="C581:C644" si="61">"FFDFD7C0"</f>
        <v>FFDFD7C0</v>
      </c>
      <c r="D581" t="s">
        <v>121</v>
      </c>
      <c r="E581">
        <v>2</v>
      </c>
      <c r="H581">
        <v>158</v>
      </c>
      <c r="I581" t="s">
        <v>120</v>
      </c>
      <c r="J581" t="s">
        <v>122</v>
      </c>
      <c r="K581">
        <v>0</v>
      </c>
      <c r="L581">
        <v>3</v>
      </c>
      <c r="M581">
        <v>0</v>
      </c>
      <c r="N581">
        <v>2</v>
      </c>
      <c r="O581">
        <v>1</v>
      </c>
      <c r="P581">
        <v>0</v>
      </c>
      <c r="Q581">
        <v>0</v>
      </c>
      <c r="S581" t="str">
        <f>"18:38:40.609"</f>
        <v>18:38:40.609</v>
      </c>
      <c r="T581" t="str">
        <f>"18:38:40.209"</f>
        <v>18:38:40.209</v>
      </c>
      <c r="U581" t="str">
        <f t="shared" si="60"/>
        <v>AAB6EE</v>
      </c>
      <c r="V581">
        <v>0</v>
      </c>
      <c r="W581">
        <v>0</v>
      </c>
      <c r="X581">
        <v>4</v>
      </c>
      <c r="Z581">
        <v>0</v>
      </c>
      <c r="AA581">
        <v>8</v>
      </c>
      <c r="AB581">
        <v>3</v>
      </c>
      <c r="AC581">
        <v>0</v>
      </c>
      <c r="AD581">
        <v>10</v>
      </c>
      <c r="AE581">
        <v>0</v>
      </c>
      <c r="AF581">
        <v>0</v>
      </c>
      <c r="AG581">
        <v>1</v>
      </c>
      <c r="AH581">
        <v>1</v>
      </c>
      <c r="AI581" t="s">
        <v>509</v>
      </c>
      <c r="AJ581">
        <v>35.423934000000003</v>
      </c>
      <c r="AK581" t="s">
        <v>510</v>
      </c>
      <c r="AL581">
        <v>-76.092703</v>
      </c>
      <c r="AM581">
        <v>25</v>
      </c>
      <c r="AN581">
        <v>3425</v>
      </c>
      <c r="AO581" t="s">
        <v>118</v>
      </c>
      <c r="AP581">
        <v>-99</v>
      </c>
      <c r="AQ581">
        <v>-196</v>
      </c>
      <c r="AR581">
        <v>0</v>
      </c>
      <c r="AZ581">
        <v>4516</v>
      </c>
      <c r="BA581">
        <v>1</v>
      </c>
      <c r="BB581" t="str">
        <f t="shared" ref="BB581:BB644" si="62">"N79NX   "</f>
        <v xml:space="preserve">N79NX   </v>
      </c>
      <c r="BC581">
        <v>1</v>
      </c>
      <c r="BE581">
        <v>0</v>
      </c>
      <c r="BF581">
        <v>2</v>
      </c>
      <c r="BG581">
        <v>0</v>
      </c>
      <c r="BH581">
        <v>3275</v>
      </c>
      <c r="BI581">
        <v>0</v>
      </c>
      <c r="BJ581">
        <v>0</v>
      </c>
      <c r="BK581">
        <v>0</v>
      </c>
      <c r="BL581">
        <v>0</v>
      </c>
      <c r="BO581">
        <v>0</v>
      </c>
      <c r="BP581">
        <v>0</v>
      </c>
      <c r="BW581" t="str">
        <f>"18:38:40.611"</f>
        <v>18:38:40.611</v>
      </c>
      <c r="BZ581">
        <v>0</v>
      </c>
      <c r="CA581">
        <v>3488</v>
      </c>
      <c r="CB581">
        <v>216</v>
      </c>
      <c r="CC581">
        <v>583.59379999999999</v>
      </c>
      <c r="CD581">
        <v>1</v>
      </c>
      <c r="CE581">
        <v>1</v>
      </c>
      <c r="CF581">
        <v>0</v>
      </c>
      <c r="CG581">
        <v>1</v>
      </c>
      <c r="CH581">
        <v>0</v>
      </c>
      <c r="CI581">
        <v>0</v>
      </c>
      <c r="CJ581">
        <v>0</v>
      </c>
      <c r="CK581">
        <v>2</v>
      </c>
      <c r="CL581">
        <v>0</v>
      </c>
      <c r="CM581">
        <v>2</v>
      </c>
      <c r="CN581">
        <v>0</v>
      </c>
      <c r="CO581">
        <v>5</v>
      </c>
      <c r="CP581" t="s">
        <v>119</v>
      </c>
      <c r="CQ581">
        <v>145</v>
      </c>
      <c r="CR581">
        <v>1</v>
      </c>
      <c r="CW581">
        <v>8941024</v>
      </c>
      <c r="CY581">
        <v>0</v>
      </c>
      <c r="CZ581">
        <v>0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0</v>
      </c>
      <c r="DH581">
        <v>0</v>
      </c>
      <c r="DI581">
        <v>0</v>
      </c>
    </row>
    <row r="582" spans="1:113" x14ac:dyDescent="0.3">
      <c r="A582" t="str">
        <f>"02/13/2022 18:38:40.807"</f>
        <v>02/13/2022 18:38:40.807</v>
      </c>
      <c r="C582" t="str">
        <f t="shared" si="61"/>
        <v>FFDFD7C0</v>
      </c>
      <c r="D582" t="s">
        <v>113</v>
      </c>
      <c r="E582">
        <v>3</v>
      </c>
      <c r="F582">
        <v>1003</v>
      </c>
      <c r="G582" t="s">
        <v>114</v>
      </c>
      <c r="J582" t="s">
        <v>115</v>
      </c>
      <c r="K582">
        <v>0</v>
      </c>
      <c r="L582">
        <v>3</v>
      </c>
      <c r="M582">
        <v>0</v>
      </c>
      <c r="N582">
        <v>2</v>
      </c>
      <c r="O582">
        <v>1</v>
      </c>
      <c r="P582">
        <v>0</v>
      </c>
      <c r="Q582">
        <v>0</v>
      </c>
      <c r="S582" t="str">
        <f>"18:38:40.609"</f>
        <v>18:38:40.609</v>
      </c>
      <c r="T582" t="str">
        <f>"18:38:40.209"</f>
        <v>18:38:40.209</v>
      </c>
      <c r="U582" t="str">
        <f t="shared" si="60"/>
        <v>AAB6EE</v>
      </c>
      <c r="V582">
        <v>0</v>
      </c>
      <c r="W582">
        <v>0</v>
      </c>
      <c r="X582">
        <v>4</v>
      </c>
      <c r="Z582">
        <v>0</v>
      </c>
      <c r="AA582">
        <v>8</v>
      </c>
      <c r="AB582">
        <v>3</v>
      </c>
      <c r="AC582">
        <v>0</v>
      </c>
      <c r="AD582">
        <v>10</v>
      </c>
      <c r="AE582">
        <v>0</v>
      </c>
      <c r="AF582">
        <v>0</v>
      </c>
      <c r="AG582">
        <v>1</v>
      </c>
      <c r="AH582">
        <v>1</v>
      </c>
      <c r="AI582" t="s">
        <v>509</v>
      </c>
      <c r="AJ582">
        <v>35.423934000000003</v>
      </c>
      <c r="AK582" t="s">
        <v>510</v>
      </c>
      <c r="AL582">
        <v>-76.092703</v>
      </c>
      <c r="AM582">
        <v>25</v>
      </c>
      <c r="AN582">
        <v>3425</v>
      </c>
      <c r="AO582" t="s">
        <v>118</v>
      </c>
      <c r="AP582">
        <v>-99</v>
      </c>
      <c r="AQ582">
        <v>-196</v>
      </c>
      <c r="AR582">
        <v>0</v>
      </c>
      <c r="AZ582">
        <v>4516</v>
      </c>
      <c r="BA582">
        <v>1</v>
      </c>
      <c r="BB582" t="str">
        <f t="shared" si="62"/>
        <v xml:space="preserve">N79NX   </v>
      </c>
      <c r="BC582">
        <v>1</v>
      </c>
      <c r="BE582">
        <v>0</v>
      </c>
      <c r="BF582">
        <v>2</v>
      </c>
      <c r="BG582">
        <v>0</v>
      </c>
      <c r="BH582">
        <v>3275</v>
      </c>
      <c r="BI582">
        <v>0</v>
      </c>
      <c r="BJ582">
        <v>0</v>
      </c>
      <c r="BK582">
        <v>0</v>
      </c>
      <c r="BL582">
        <v>0</v>
      </c>
      <c r="BO582">
        <v>0</v>
      </c>
      <c r="BP582">
        <v>0</v>
      </c>
      <c r="BW582" t="str">
        <f>"18:38:40.611"</f>
        <v>18:38:40.611</v>
      </c>
      <c r="BZ582">
        <v>0</v>
      </c>
      <c r="CA582">
        <v>3488</v>
      </c>
      <c r="CB582">
        <v>216</v>
      </c>
      <c r="CC582">
        <v>583.59379999999999</v>
      </c>
      <c r="CD582">
        <v>1</v>
      </c>
      <c r="CE582">
        <v>1</v>
      </c>
      <c r="CF582">
        <v>0</v>
      </c>
      <c r="CG582">
        <v>1</v>
      </c>
      <c r="CH582">
        <v>0</v>
      </c>
      <c r="CI582">
        <v>0</v>
      </c>
      <c r="CJ582">
        <v>0</v>
      </c>
      <c r="CK582">
        <v>2</v>
      </c>
      <c r="CL582">
        <v>0</v>
      </c>
      <c r="CM582">
        <v>2</v>
      </c>
      <c r="CN582">
        <v>0</v>
      </c>
      <c r="CO582">
        <v>5</v>
      </c>
      <c r="CP582" t="s">
        <v>119</v>
      </c>
      <c r="CQ582">
        <v>145</v>
      </c>
      <c r="CR582">
        <v>1</v>
      </c>
      <c r="CW582">
        <v>8941024</v>
      </c>
      <c r="CY582">
        <v>0</v>
      </c>
      <c r="CZ582">
        <v>0</v>
      </c>
      <c r="DA582">
        <v>1</v>
      </c>
      <c r="DB582">
        <v>0</v>
      </c>
      <c r="DC582">
        <v>0</v>
      </c>
      <c r="DD582">
        <v>0</v>
      </c>
      <c r="DE582">
        <v>0</v>
      </c>
      <c r="DF582">
        <v>0</v>
      </c>
      <c r="DG582">
        <v>0</v>
      </c>
      <c r="DH582">
        <v>0</v>
      </c>
      <c r="DI582">
        <v>0</v>
      </c>
    </row>
    <row r="583" spans="1:113" x14ac:dyDescent="0.3">
      <c r="A583" t="str">
        <f>"02/13/2022 18:38:40.807"</f>
        <v>02/13/2022 18:38:40.807</v>
      </c>
      <c r="C583" t="str">
        <f t="shared" si="61"/>
        <v>FFDFD7C0</v>
      </c>
      <c r="D583" t="s">
        <v>113</v>
      </c>
      <c r="E583">
        <v>4</v>
      </c>
      <c r="F583">
        <v>1004</v>
      </c>
      <c r="G583" t="s">
        <v>120</v>
      </c>
      <c r="J583" t="s">
        <v>115</v>
      </c>
      <c r="K583">
        <v>0</v>
      </c>
      <c r="L583">
        <v>3</v>
      </c>
      <c r="M583">
        <v>0</v>
      </c>
      <c r="N583">
        <v>2</v>
      </c>
      <c r="O583">
        <v>1</v>
      </c>
      <c r="P583">
        <v>0</v>
      </c>
      <c r="Q583">
        <v>0</v>
      </c>
      <c r="S583" t="str">
        <f>"18:38:40.609"</f>
        <v>18:38:40.609</v>
      </c>
      <c r="T583" t="str">
        <f>"18:38:40.209"</f>
        <v>18:38:40.209</v>
      </c>
      <c r="U583" t="str">
        <f t="shared" si="60"/>
        <v>AAB6EE</v>
      </c>
      <c r="V583">
        <v>0</v>
      </c>
      <c r="W583">
        <v>0</v>
      </c>
      <c r="X583">
        <v>4</v>
      </c>
      <c r="Z583">
        <v>0</v>
      </c>
      <c r="AA583">
        <v>8</v>
      </c>
      <c r="AB583">
        <v>3</v>
      </c>
      <c r="AC583">
        <v>0</v>
      </c>
      <c r="AD583">
        <v>10</v>
      </c>
      <c r="AE583">
        <v>0</v>
      </c>
      <c r="AF583">
        <v>0</v>
      </c>
      <c r="AG583">
        <v>1</v>
      </c>
      <c r="AH583">
        <v>1</v>
      </c>
      <c r="AI583" t="s">
        <v>509</v>
      </c>
      <c r="AJ583">
        <v>35.423934000000003</v>
      </c>
      <c r="AK583" t="s">
        <v>510</v>
      </c>
      <c r="AL583">
        <v>-76.092703</v>
      </c>
      <c r="AM583">
        <v>25</v>
      </c>
      <c r="AN583">
        <v>3425</v>
      </c>
      <c r="AO583" t="s">
        <v>118</v>
      </c>
      <c r="AP583">
        <v>-99</v>
      </c>
      <c r="AQ583">
        <v>-196</v>
      </c>
      <c r="AR583">
        <v>0</v>
      </c>
      <c r="AZ583">
        <v>4516</v>
      </c>
      <c r="BA583">
        <v>1</v>
      </c>
      <c r="BB583" t="str">
        <f t="shared" si="62"/>
        <v xml:space="preserve">N79NX   </v>
      </c>
      <c r="BC583">
        <v>1</v>
      </c>
      <c r="BE583">
        <v>0</v>
      </c>
      <c r="BF583">
        <v>2</v>
      </c>
      <c r="BG583">
        <v>0</v>
      </c>
      <c r="BH583">
        <v>3275</v>
      </c>
      <c r="BI583">
        <v>0</v>
      </c>
      <c r="BJ583">
        <v>0</v>
      </c>
      <c r="BK583">
        <v>0</v>
      </c>
      <c r="BL583">
        <v>0</v>
      </c>
      <c r="BO583">
        <v>0</v>
      </c>
      <c r="BP583">
        <v>0</v>
      </c>
      <c r="BW583" t="str">
        <f>"18:38:40.611"</f>
        <v>18:38:40.611</v>
      </c>
      <c r="BZ583">
        <v>0</v>
      </c>
      <c r="CA583">
        <v>3488</v>
      </c>
      <c r="CB583">
        <v>216</v>
      </c>
      <c r="CC583">
        <v>583.59379999999999</v>
      </c>
      <c r="CD583">
        <v>1</v>
      </c>
      <c r="CE583">
        <v>1</v>
      </c>
      <c r="CF583">
        <v>0</v>
      </c>
      <c r="CG583">
        <v>1</v>
      </c>
      <c r="CH583">
        <v>0</v>
      </c>
      <c r="CI583">
        <v>0</v>
      </c>
      <c r="CJ583">
        <v>0</v>
      </c>
      <c r="CK583">
        <v>2</v>
      </c>
      <c r="CL583">
        <v>0</v>
      </c>
      <c r="CM583">
        <v>2</v>
      </c>
      <c r="CN583">
        <v>0</v>
      </c>
      <c r="CO583">
        <v>5</v>
      </c>
      <c r="CP583" t="s">
        <v>119</v>
      </c>
      <c r="CQ583">
        <v>145</v>
      </c>
      <c r="CR583">
        <v>1</v>
      </c>
      <c r="CW583">
        <v>8941024</v>
      </c>
      <c r="CY583">
        <v>0</v>
      </c>
      <c r="CZ583">
        <v>0</v>
      </c>
      <c r="DA583">
        <v>1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</row>
    <row r="584" spans="1:113" x14ac:dyDescent="0.3">
      <c r="A584" t="str">
        <f>"02/13/2022 18:38:41.917"</f>
        <v>02/13/2022 18:38:41.917</v>
      </c>
      <c r="C584" t="str">
        <f t="shared" si="61"/>
        <v>FFDFD7C0</v>
      </c>
      <c r="D584" t="s">
        <v>121</v>
      </c>
      <c r="E584">
        <v>2</v>
      </c>
      <c r="H584">
        <v>158</v>
      </c>
      <c r="I584" t="s">
        <v>120</v>
      </c>
      <c r="J584" t="s">
        <v>122</v>
      </c>
      <c r="K584">
        <v>0</v>
      </c>
      <c r="L584">
        <v>3</v>
      </c>
      <c r="M584">
        <v>0</v>
      </c>
      <c r="N584">
        <v>2</v>
      </c>
      <c r="O584">
        <v>1</v>
      </c>
      <c r="P584">
        <v>0</v>
      </c>
      <c r="Q584">
        <v>0</v>
      </c>
      <c r="S584" t="str">
        <f t="shared" ref="S584:T586" si="63">"18:38:41.688"</f>
        <v>18:38:41.688</v>
      </c>
      <c r="T584" t="str">
        <f t="shared" si="63"/>
        <v>18:38:41.688</v>
      </c>
      <c r="U584" t="str">
        <f t="shared" si="60"/>
        <v>AAB6EE</v>
      </c>
      <c r="V584">
        <v>0</v>
      </c>
      <c r="W584">
        <v>0</v>
      </c>
      <c r="X584">
        <v>4</v>
      </c>
      <c r="Z584">
        <v>0</v>
      </c>
      <c r="AA584">
        <v>8</v>
      </c>
      <c r="AB584">
        <v>3</v>
      </c>
      <c r="AC584">
        <v>0</v>
      </c>
      <c r="AD584">
        <v>10</v>
      </c>
      <c r="AE584">
        <v>0</v>
      </c>
      <c r="AF584">
        <v>0</v>
      </c>
      <c r="AG584">
        <v>1</v>
      </c>
      <c r="AH584">
        <v>1</v>
      </c>
      <c r="AI584" t="s">
        <v>511</v>
      </c>
      <c r="AJ584">
        <v>35.423032999999997</v>
      </c>
      <c r="AK584" t="s">
        <v>512</v>
      </c>
      <c r="AL584">
        <v>-76.093239999999994</v>
      </c>
      <c r="AM584">
        <v>25</v>
      </c>
      <c r="AN584">
        <v>3425</v>
      </c>
      <c r="AO584" t="s">
        <v>118</v>
      </c>
      <c r="AP584">
        <v>-100</v>
      </c>
      <c r="AQ584">
        <v>-196</v>
      </c>
      <c r="AR584">
        <v>0</v>
      </c>
      <c r="AZ584">
        <v>4516</v>
      </c>
      <c r="BA584">
        <v>1</v>
      </c>
      <c r="BB584" t="str">
        <f t="shared" si="62"/>
        <v xml:space="preserve">N79NX   </v>
      </c>
      <c r="BC584">
        <v>1</v>
      </c>
      <c r="BE584">
        <v>0</v>
      </c>
      <c r="BF584">
        <v>2</v>
      </c>
      <c r="BG584">
        <v>0</v>
      </c>
      <c r="BH584">
        <v>3275</v>
      </c>
      <c r="BI584">
        <v>0</v>
      </c>
      <c r="BJ584">
        <v>0</v>
      </c>
      <c r="BK584">
        <v>0</v>
      </c>
      <c r="BL584">
        <v>0</v>
      </c>
      <c r="BO584">
        <v>0</v>
      </c>
      <c r="BP584">
        <v>0</v>
      </c>
      <c r="BW584" t="str">
        <f>"18:38:41.691"</f>
        <v>18:38:41.691</v>
      </c>
      <c r="BZ584">
        <v>0</v>
      </c>
      <c r="CA584">
        <v>3488</v>
      </c>
      <c r="CB584">
        <v>216</v>
      </c>
      <c r="CC584">
        <v>583.59379999999999</v>
      </c>
      <c r="CD584">
        <v>1</v>
      </c>
      <c r="CE584">
        <v>1</v>
      </c>
      <c r="CF584">
        <v>0</v>
      </c>
      <c r="CG584">
        <v>1</v>
      </c>
      <c r="CH584">
        <v>0</v>
      </c>
      <c r="CI584">
        <v>0</v>
      </c>
      <c r="CJ584">
        <v>0</v>
      </c>
      <c r="CK584">
        <v>2</v>
      </c>
      <c r="CL584">
        <v>0</v>
      </c>
      <c r="CM584">
        <v>2</v>
      </c>
      <c r="CN584">
        <v>0</v>
      </c>
      <c r="CO584">
        <v>5</v>
      </c>
      <c r="CP584" t="s">
        <v>119</v>
      </c>
      <c r="CQ584">
        <v>145</v>
      </c>
      <c r="CR584">
        <v>1</v>
      </c>
      <c r="CW584">
        <v>8941497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</row>
    <row r="585" spans="1:113" x14ac:dyDescent="0.3">
      <c r="A585" t="str">
        <f>"02/13/2022 18:38:41.932"</f>
        <v>02/13/2022 18:38:41.932</v>
      </c>
      <c r="C585" t="str">
        <f t="shared" si="61"/>
        <v>FFDFD7C0</v>
      </c>
      <c r="D585" t="s">
        <v>113</v>
      </c>
      <c r="E585">
        <v>3</v>
      </c>
      <c r="F585">
        <v>1003</v>
      </c>
      <c r="G585" t="s">
        <v>114</v>
      </c>
      <c r="J585" t="s">
        <v>115</v>
      </c>
      <c r="K585">
        <v>0</v>
      </c>
      <c r="L585">
        <v>3</v>
      </c>
      <c r="M585">
        <v>0</v>
      </c>
      <c r="N585">
        <v>2</v>
      </c>
      <c r="O585">
        <v>1</v>
      </c>
      <c r="P585">
        <v>0</v>
      </c>
      <c r="Q585">
        <v>0</v>
      </c>
      <c r="S585" t="str">
        <f t="shared" si="63"/>
        <v>18:38:41.688</v>
      </c>
      <c r="T585" t="str">
        <f t="shared" si="63"/>
        <v>18:38:41.688</v>
      </c>
      <c r="U585" t="str">
        <f t="shared" si="60"/>
        <v>AAB6EE</v>
      </c>
      <c r="V585">
        <v>0</v>
      </c>
      <c r="W585">
        <v>0</v>
      </c>
      <c r="X585">
        <v>4</v>
      </c>
      <c r="Z585">
        <v>0</v>
      </c>
      <c r="AA585">
        <v>8</v>
      </c>
      <c r="AB585">
        <v>3</v>
      </c>
      <c r="AC585">
        <v>0</v>
      </c>
      <c r="AD585">
        <v>10</v>
      </c>
      <c r="AE585">
        <v>0</v>
      </c>
      <c r="AF585">
        <v>0</v>
      </c>
      <c r="AG585">
        <v>1</v>
      </c>
      <c r="AH585">
        <v>1</v>
      </c>
      <c r="AI585" t="s">
        <v>511</v>
      </c>
      <c r="AJ585">
        <v>35.423032999999997</v>
      </c>
      <c r="AK585" t="s">
        <v>512</v>
      </c>
      <c r="AL585">
        <v>-76.093239999999994</v>
      </c>
      <c r="AM585">
        <v>25</v>
      </c>
      <c r="AN585">
        <v>3425</v>
      </c>
      <c r="AO585" t="s">
        <v>118</v>
      </c>
      <c r="AP585">
        <v>-100</v>
      </c>
      <c r="AQ585">
        <v>-196</v>
      </c>
      <c r="AR585">
        <v>0</v>
      </c>
      <c r="AZ585">
        <v>4516</v>
      </c>
      <c r="BA585">
        <v>1</v>
      </c>
      <c r="BB585" t="str">
        <f t="shared" si="62"/>
        <v xml:space="preserve">N79NX   </v>
      </c>
      <c r="BC585">
        <v>1</v>
      </c>
      <c r="BE585">
        <v>0</v>
      </c>
      <c r="BF585">
        <v>2</v>
      </c>
      <c r="BG585">
        <v>0</v>
      </c>
      <c r="BH585">
        <v>3275</v>
      </c>
      <c r="BI585">
        <v>0</v>
      </c>
      <c r="BJ585">
        <v>0</v>
      </c>
      <c r="BK585">
        <v>0</v>
      </c>
      <c r="BL585">
        <v>0</v>
      </c>
      <c r="BO585">
        <v>0</v>
      </c>
      <c r="BP585">
        <v>0</v>
      </c>
      <c r="BW585" t="str">
        <f>"18:38:41.691"</f>
        <v>18:38:41.691</v>
      </c>
      <c r="BZ585">
        <v>0</v>
      </c>
      <c r="CA585">
        <v>3488</v>
      </c>
      <c r="CB585">
        <v>216</v>
      </c>
      <c r="CC585">
        <v>583.59379999999999</v>
      </c>
      <c r="CD585">
        <v>1</v>
      </c>
      <c r="CE585">
        <v>1</v>
      </c>
      <c r="CF585">
        <v>0</v>
      </c>
      <c r="CG585">
        <v>1</v>
      </c>
      <c r="CH585">
        <v>0</v>
      </c>
      <c r="CI585">
        <v>0</v>
      </c>
      <c r="CJ585">
        <v>0</v>
      </c>
      <c r="CK585">
        <v>2</v>
      </c>
      <c r="CL585">
        <v>0</v>
      </c>
      <c r="CM585">
        <v>2</v>
      </c>
      <c r="CN585">
        <v>0</v>
      </c>
      <c r="CO585">
        <v>5</v>
      </c>
      <c r="CP585" t="s">
        <v>119</v>
      </c>
      <c r="CQ585">
        <v>145</v>
      </c>
      <c r="CR585">
        <v>1</v>
      </c>
      <c r="CW585">
        <v>8941497</v>
      </c>
      <c r="CY585">
        <v>0</v>
      </c>
      <c r="CZ585">
        <v>0</v>
      </c>
      <c r="DA585">
        <v>1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</row>
    <row r="586" spans="1:113" x14ac:dyDescent="0.3">
      <c r="A586" t="str">
        <f>"02/13/2022 18:38:41.932"</f>
        <v>02/13/2022 18:38:41.932</v>
      </c>
      <c r="C586" t="str">
        <f t="shared" si="61"/>
        <v>FFDFD7C0</v>
      </c>
      <c r="D586" t="s">
        <v>113</v>
      </c>
      <c r="E586">
        <v>4</v>
      </c>
      <c r="F586">
        <v>1004</v>
      </c>
      <c r="G586" t="s">
        <v>120</v>
      </c>
      <c r="J586" t="s">
        <v>115</v>
      </c>
      <c r="K586">
        <v>0</v>
      </c>
      <c r="L586">
        <v>3</v>
      </c>
      <c r="M586">
        <v>0</v>
      </c>
      <c r="N586">
        <v>2</v>
      </c>
      <c r="O586">
        <v>1</v>
      </c>
      <c r="P586">
        <v>0</v>
      </c>
      <c r="Q586">
        <v>0</v>
      </c>
      <c r="S586" t="str">
        <f t="shared" si="63"/>
        <v>18:38:41.688</v>
      </c>
      <c r="T586" t="str">
        <f t="shared" si="63"/>
        <v>18:38:41.688</v>
      </c>
      <c r="U586" t="str">
        <f t="shared" si="60"/>
        <v>AAB6EE</v>
      </c>
      <c r="V586">
        <v>0</v>
      </c>
      <c r="W586">
        <v>0</v>
      </c>
      <c r="X586">
        <v>4</v>
      </c>
      <c r="Z586">
        <v>0</v>
      </c>
      <c r="AA586">
        <v>8</v>
      </c>
      <c r="AB586">
        <v>3</v>
      </c>
      <c r="AC586">
        <v>0</v>
      </c>
      <c r="AD586">
        <v>10</v>
      </c>
      <c r="AE586">
        <v>0</v>
      </c>
      <c r="AF586">
        <v>0</v>
      </c>
      <c r="AG586">
        <v>1</v>
      </c>
      <c r="AH586">
        <v>1</v>
      </c>
      <c r="AI586" t="s">
        <v>511</v>
      </c>
      <c r="AJ586">
        <v>35.423032999999997</v>
      </c>
      <c r="AK586" t="s">
        <v>512</v>
      </c>
      <c r="AL586">
        <v>-76.093239999999994</v>
      </c>
      <c r="AM586">
        <v>25</v>
      </c>
      <c r="AN586">
        <v>3425</v>
      </c>
      <c r="AO586" t="s">
        <v>118</v>
      </c>
      <c r="AP586">
        <v>-100</v>
      </c>
      <c r="AQ586">
        <v>-196</v>
      </c>
      <c r="AR586">
        <v>0</v>
      </c>
      <c r="AZ586">
        <v>4516</v>
      </c>
      <c r="BA586">
        <v>1</v>
      </c>
      <c r="BB586" t="str">
        <f t="shared" si="62"/>
        <v xml:space="preserve">N79NX   </v>
      </c>
      <c r="BC586">
        <v>1</v>
      </c>
      <c r="BE586">
        <v>0</v>
      </c>
      <c r="BF586">
        <v>2</v>
      </c>
      <c r="BG586">
        <v>0</v>
      </c>
      <c r="BH586">
        <v>3275</v>
      </c>
      <c r="BI586">
        <v>0</v>
      </c>
      <c r="BJ586">
        <v>0</v>
      </c>
      <c r="BK586">
        <v>0</v>
      </c>
      <c r="BL586">
        <v>0</v>
      </c>
      <c r="BO586">
        <v>0</v>
      </c>
      <c r="BP586">
        <v>0</v>
      </c>
      <c r="BW586" t="str">
        <f>"18:38:41.691"</f>
        <v>18:38:41.691</v>
      </c>
      <c r="BZ586">
        <v>0</v>
      </c>
      <c r="CA586">
        <v>3488</v>
      </c>
      <c r="CB586">
        <v>216</v>
      </c>
      <c r="CC586">
        <v>583.59379999999999</v>
      </c>
      <c r="CD586">
        <v>1</v>
      </c>
      <c r="CE586">
        <v>1</v>
      </c>
      <c r="CF586">
        <v>0</v>
      </c>
      <c r="CG586">
        <v>1</v>
      </c>
      <c r="CH586">
        <v>0</v>
      </c>
      <c r="CI586">
        <v>0</v>
      </c>
      <c r="CJ586">
        <v>0</v>
      </c>
      <c r="CK586">
        <v>2</v>
      </c>
      <c r="CL586">
        <v>0</v>
      </c>
      <c r="CM586">
        <v>2</v>
      </c>
      <c r="CN586">
        <v>0</v>
      </c>
      <c r="CO586">
        <v>5</v>
      </c>
      <c r="CP586" t="s">
        <v>119</v>
      </c>
      <c r="CQ586">
        <v>145</v>
      </c>
      <c r="CR586">
        <v>1</v>
      </c>
      <c r="CW586">
        <v>8941497</v>
      </c>
      <c r="CY586">
        <v>0</v>
      </c>
      <c r="CZ586">
        <v>0</v>
      </c>
      <c r="DA586">
        <v>1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</row>
    <row r="587" spans="1:113" x14ac:dyDescent="0.3">
      <c r="A587" t="str">
        <f>"02/13/2022 18:38:43.073"</f>
        <v>02/13/2022 18:38:43.073</v>
      </c>
      <c r="C587" t="str">
        <f t="shared" si="61"/>
        <v>FFDFD7C0</v>
      </c>
      <c r="D587" t="s">
        <v>113</v>
      </c>
      <c r="E587">
        <v>3</v>
      </c>
      <c r="F587">
        <v>1003</v>
      </c>
      <c r="G587" t="s">
        <v>114</v>
      </c>
      <c r="J587" t="s">
        <v>115</v>
      </c>
      <c r="K587">
        <v>0</v>
      </c>
      <c r="L587">
        <v>3</v>
      </c>
      <c r="M587">
        <v>0</v>
      </c>
      <c r="N587">
        <v>2</v>
      </c>
      <c r="O587">
        <v>1</v>
      </c>
      <c r="P587">
        <v>0</v>
      </c>
      <c r="Q587">
        <v>0</v>
      </c>
      <c r="S587" t="str">
        <f t="shared" ref="S587:T589" si="64">"18:38:42.805"</f>
        <v>18:38:42.805</v>
      </c>
      <c r="T587" t="str">
        <f t="shared" si="64"/>
        <v>18:38:42.805</v>
      </c>
      <c r="U587" t="str">
        <f t="shared" si="60"/>
        <v>AAB6EE</v>
      </c>
      <c r="V587">
        <v>0</v>
      </c>
      <c r="W587">
        <v>0</v>
      </c>
      <c r="X587">
        <v>4</v>
      </c>
      <c r="Z587">
        <v>0</v>
      </c>
      <c r="AA587">
        <v>8</v>
      </c>
      <c r="AB587">
        <v>3</v>
      </c>
      <c r="AC587">
        <v>0</v>
      </c>
      <c r="AD587">
        <v>10</v>
      </c>
      <c r="AE587">
        <v>0</v>
      </c>
      <c r="AF587">
        <v>0</v>
      </c>
      <c r="AG587">
        <v>1</v>
      </c>
      <c r="AH587">
        <v>1</v>
      </c>
      <c r="AI587" t="s">
        <v>513</v>
      </c>
      <c r="AJ587">
        <v>35.421917000000001</v>
      </c>
      <c r="AK587" t="s">
        <v>514</v>
      </c>
      <c r="AL587">
        <v>-76.093947999999997</v>
      </c>
      <c r="AM587">
        <v>25</v>
      </c>
      <c r="AN587">
        <v>3425</v>
      </c>
      <c r="AO587" t="s">
        <v>118</v>
      </c>
      <c r="AP587">
        <v>-99</v>
      </c>
      <c r="AQ587">
        <v>-196</v>
      </c>
      <c r="AR587">
        <v>0</v>
      </c>
      <c r="AZ587">
        <v>4516</v>
      </c>
      <c r="BA587">
        <v>1</v>
      </c>
      <c r="BB587" t="str">
        <f t="shared" si="62"/>
        <v xml:space="preserve">N79NX   </v>
      </c>
      <c r="BC587">
        <v>1</v>
      </c>
      <c r="BE587">
        <v>0</v>
      </c>
      <c r="BF587">
        <v>2</v>
      </c>
      <c r="BG587">
        <v>0</v>
      </c>
      <c r="BH587">
        <v>3275</v>
      </c>
      <c r="BI587">
        <v>0</v>
      </c>
      <c r="BJ587">
        <v>0</v>
      </c>
      <c r="BK587">
        <v>0</v>
      </c>
      <c r="BL587">
        <v>0</v>
      </c>
      <c r="BO587">
        <v>0</v>
      </c>
      <c r="BP587">
        <v>0</v>
      </c>
      <c r="BW587" t="str">
        <f>"18:38:42.811"</f>
        <v>18:38:42.811</v>
      </c>
      <c r="BZ587">
        <v>0</v>
      </c>
      <c r="CA587">
        <v>3488</v>
      </c>
      <c r="CB587">
        <v>216</v>
      </c>
      <c r="CC587">
        <v>583.59379999999999</v>
      </c>
      <c r="CD587">
        <v>1</v>
      </c>
      <c r="CE587">
        <v>1</v>
      </c>
      <c r="CF587">
        <v>0</v>
      </c>
      <c r="CG587">
        <v>1</v>
      </c>
      <c r="CH587">
        <v>0</v>
      </c>
      <c r="CI587">
        <v>0</v>
      </c>
      <c r="CJ587">
        <v>0</v>
      </c>
      <c r="CK587">
        <v>2</v>
      </c>
      <c r="CL587">
        <v>0</v>
      </c>
      <c r="CM587">
        <v>2</v>
      </c>
      <c r="CN587">
        <v>0</v>
      </c>
      <c r="CO587">
        <v>5</v>
      </c>
      <c r="CP587" t="s">
        <v>119</v>
      </c>
      <c r="CQ587">
        <v>145</v>
      </c>
      <c r="CR587">
        <v>1</v>
      </c>
      <c r="CW587">
        <v>8942063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</row>
    <row r="588" spans="1:113" x14ac:dyDescent="0.3">
      <c r="A588" t="str">
        <f>"02/13/2022 18:38:43.073"</f>
        <v>02/13/2022 18:38:43.073</v>
      </c>
      <c r="C588" t="str">
        <f t="shared" si="61"/>
        <v>FFDFD7C0</v>
      </c>
      <c r="D588" t="s">
        <v>113</v>
      </c>
      <c r="E588">
        <v>4</v>
      </c>
      <c r="F588">
        <v>1004</v>
      </c>
      <c r="G588" t="s">
        <v>120</v>
      </c>
      <c r="J588" t="s">
        <v>115</v>
      </c>
      <c r="K588">
        <v>0</v>
      </c>
      <c r="L588">
        <v>3</v>
      </c>
      <c r="M588">
        <v>0</v>
      </c>
      <c r="N588">
        <v>2</v>
      </c>
      <c r="O588">
        <v>1</v>
      </c>
      <c r="P588">
        <v>0</v>
      </c>
      <c r="Q588">
        <v>0</v>
      </c>
      <c r="S588" t="str">
        <f t="shared" si="64"/>
        <v>18:38:42.805</v>
      </c>
      <c r="T588" t="str">
        <f t="shared" si="64"/>
        <v>18:38:42.805</v>
      </c>
      <c r="U588" t="str">
        <f t="shared" si="60"/>
        <v>AAB6EE</v>
      </c>
      <c r="V588">
        <v>0</v>
      </c>
      <c r="W588">
        <v>0</v>
      </c>
      <c r="X588">
        <v>4</v>
      </c>
      <c r="Z588">
        <v>0</v>
      </c>
      <c r="AA588">
        <v>8</v>
      </c>
      <c r="AB588">
        <v>3</v>
      </c>
      <c r="AC588">
        <v>0</v>
      </c>
      <c r="AD588">
        <v>10</v>
      </c>
      <c r="AE588">
        <v>0</v>
      </c>
      <c r="AF588">
        <v>0</v>
      </c>
      <c r="AG588">
        <v>1</v>
      </c>
      <c r="AH588">
        <v>1</v>
      </c>
      <c r="AI588" t="s">
        <v>513</v>
      </c>
      <c r="AJ588">
        <v>35.421917000000001</v>
      </c>
      <c r="AK588" t="s">
        <v>514</v>
      </c>
      <c r="AL588">
        <v>-76.093947999999997</v>
      </c>
      <c r="AM588">
        <v>25</v>
      </c>
      <c r="AN588">
        <v>3425</v>
      </c>
      <c r="AO588" t="s">
        <v>118</v>
      </c>
      <c r="AP588">
        <v>-99</v>
      </c>
      <c r="AQ588">
        <v>-196</v>
      </c>
      <c r="AR588">
        <v>0</v>
      </c>
      <c r="AZ588">
        <v>4516</v>
      </c>
      <c r="BA588">
        <v>1</v>
      </c>
      <c r="BB588" t="str">
        <f t="shared" si="62"/>
        <v xml:space="preserve">N79NX   </v>
      </c>
      <c r="BC588">
        <v>1</v>
      </c>
      <c r="BE588">
        <v>0</v>
      </c>
      <c r="BF588">
        <v>2</v>
      </c>
      <c r="BG588">
        <v>0</v>
      </c>
      <c r="BH588">
        <v>3275</v>
      </c>
      <c r="BI588">
        <v>0</v>
      </c>
      <c r="BJ588">
        <v>0</v>
      </c>
      <c r="BK588">
        <v>0</v>
      </c>
      <c r="BL588">
        <v>0</v>
      </c>
      <c r="BO588">
        <v>0</v>
      </c>
      <c r="BP588">
        <v>0</v>
      </c>
      <c r="BW588" t="str">
        <f>"18:38:42.811"</f>
        <v>18:38:42.811</v>
      </c>
      <c r="BZ588">
        <v>0</v>
      </c>
      <c r="CA588">
        <v>3488</v>
      </c>
      <c r="CB588">
        <v>216</v>
      </c>
      <c r="CC588">
        <v>583.59379999999999</v>
      </c>
      <c r="CD588">
        <v>1</v>
      </c>
      <c r="CE588">
        <v>1</v>
      </c>
      <c r="CF588">
        <v>0</v>
      </c>
      <c r="CG588">
        <v>1</v>
      </c>
      <c r="CH588">
        <v>0</v>
      </c>
      <c r="CI588">
        <v>0</v>
      </c>
      <c r="CJ588">
        <v>0</v>
      </c>
      <c r="CK588">
        <v>2</v>
      </c>
      <c r="CL588">
        <v>0</v>
      </c>
      <c r="CM588">
        <v>2</v>
      </c>
      <c r="CN588">
        <v>0</v>
      </c>
      <c r="CO588">
        <v>5</v>
      </c>
      <c r="CP588" t="s">
        <v>119</v>
      </c>
      <c r="CQ588">
        <v>145</v>
      </c>
      <c r="CR588">
        <v>1</v>
      </c>
      <c r="CW588">
        <v>8942063</v>
      </c>
      <c r="CY588">
        <v>0</v>
      </c>
      <c r="CZ588">
        <v>0</v>
      </c>
      <c r="DA588">
        <v>1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</row>
    <row r="589" spans="1:113" x14ac:dyDescent="0.3">
      <c r="A589" t="str">
        <f>"02/13/2022 18:38:43.073"</f>
        <v>02/13/2022 18:38:43.073</v>
      </c>
      <c r="C589" t="str">
        <f t="shared" si="61"/>
        <v>FFDFD7C0</v>
      </c>
      <c r="D589" t="s">
        <v>121</v>
      </c>
      <c r="E589">
        <v>2</v>
      </c>
      <c r="H589">
        <v>158</v>
      </c>
      <c r="I589" t="s">
        <v>120</v>
      </c>
      <c r="J589" t="s">
        <v>122</v>
      </c>
      <c r="K589">
        <v>0</v>
      </c>
      <c r="L589">
        <v>3</v>
      </c>
      <c r="M589">
        <v>0</v>
      </c>
      <c r="N589">
        <v>2</v>
      </c>
      <c r="O589">
        <v>1</v>
      </c>
      <c r="P589">
        <v>0</v>
      </c>
      <c r="Q589">
        <v>0</v>
      </c>
      <c r="S589" t="str">
        <f t="shared" si="64"/>
        <v>18:38:42.805</v>
      </c>
      <c r="T589" t="str">
        <f t="shared" si="64"/>
        <v>18:38:42.805</v>
      </c>
      <c r="U589" t="str">
        <f t="shared" si="60"/>
        <v>AAB6EE</v>
      </c>
      <c r="V589">
        <v>0</v>
      </c>
      <c r="W589">
        <v>0</v>
      </c>
      <c r="X589">
        <v>4</v>
      </c>
      <c r="Z589">
        <v>0</v>
      </c>
      <c r="AA589">
        <v>8</v>
      </c>
      <c r="AB589">
        <v>3</v>
      </c>
      <c r="AC589">
        <v>0</v>
      </c>
      <c r="AD589">
        <v>10</v>
      </c>
      <c r="AE589">
        <v>0</v>
      </c>
      <c r="AF589">
        <v>0</v>
      </c>
      <c r="AG589">
        <v>1</v>
      </c>
      <c r="AH589">
        <v>1</v>
      </c>
      <c r="AI589" t="s">
        <v>513</v>
      </c>
      <c r="AJ589">
        <v>35.421917000000001</v>
      </c>
      <c r="AK589" t="s">
        <v>514</v>
      </c>
      <c r="AL589">
        <v>-76.093947999999997</v>
      </c>
      <c r="AM589">
        <v>25</v>
      </c>
      <c r="AN589">
        <v>3425</v>
      </c>
      <c r="AO589" t="s">
        <v>118</v>
      </c>
      <c r="AP589">
        <v>-99</v>
      </c>
      <c r="AQ589">
        <v>-196</v>
      </c>
      <c r="AR589">
        <v>0</v>
      </c>
      <c r="AZ589">
        <v>4516</v>
      </c>
      <c r="BA589">
        <v>1</v>
      </c>
      <c r="BB589" t="str">
        <f t="shared" si="62"/>
        <v xml:space="preserve">N79NX   </v>
      </c>
      <c r="BC589">
        <v>1</v>
      </c>
      <c r="BE589">
        <v>0</v>
      </c>
      <c r="BF589">
        <v>2</v>
      </c>
      <c r="BG589">
        <v>0</v>
      </c>
      <c r="BH589">
        <v>3275</v>
      </c>
      <c r="BI589">
        <v>0</v>
      </c>
      <c r="BJ589">
        <v>0</v>
      </c>
      <c r="BK589">
        <v>0</v>
      </c>
      <c r="BL589">
        <v>0</v>
      </c>
      <c r="BO589">
        <v>0</v>
      </c>
      <c r="BP589">
        <v>0</v>
      </c>
      <c r="BW589" t="str">
        <f>"18:38:42.811"</f>
        <v>18:38:42.811</v>
      </c>
      <c r="BZ589">
        <v>0</v>
      </c>
      <c r="CA589">
        <v>3488</v>
      </c>
      <c r="CB589">
        <v>216</v>
      </c>
      <c r="CC589">
        <v>583.59379999999999</v>
      </c>
      <c r="CD589">
        <v>1</v>
      </c>
      <c r="CE589">
        <v>1</v>
      </c>
      <c r="CF589">
        <v>0</v>
      </c>
      <c r="CG589">
        <v>1</v>
      </c>
      <c r="CH589">
        <v>0</v>
      </c>
      <c r="CI589">
        <v>0</v>
      </c>
      <c r="CJ589">
        <v>0</v>
      </c>
      <c r="CK589">
        <v>2</v>
      </c>
      <c r="CL589">
        <v>0</v>
      </c>
      <c r="CM589">
        <v>2</v>
      </c>
      <c r="CN589">
        <v>0</v>
      </c>
      <c r="CO589">
        <v>5</v>
      </c>
      <c r="CP589" t="s">
        <v>119</v>
      </c>
      <c r="CQ589">
        <v>145</v>
      </c>
      <c r="CR589">
        <v>1</v>
      </c>
      <c r="CW589">
        <v>8942063</v>
      </c>
      <c r="CY589">
        <v>0</v>
      </c>
      <c r="CZ589">
        <v>0</v>
      </c>
      <c r="DA589">
        <v>1</v>
      </c>
      <c r="DB589">
        <v>0</v>
      </c>
      <c r="DC589">
        <v>0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</row>
    <row r="590" spans="1:113" x14ac:dyDescent="0.3">
      <c r="A590" t="str">
        <f>"02/13/2022 18:38:44.716"</f>
        <v>02/13/2022 18:38:44.716</v>
      </c>
      <c r="C590" t="str">
        <f t="shared" si="61"/>
        <v>FFDFD7C0</v>
      </c>
      <c r="D590" t="s">
        <v>121</v>
      </c>
      <c r="E590">
        <v>2</v>
      </c>
      <c r="H590">
        <v>158</v>
      </c>
      <c r="I590" t="s">
        <v>120</v>
      </c>
      <c r="J590" t="s">
        <v>122</v>
      </c>
      <c r="K590">
        <v>0</v>
      </c>
      <c r="L590">
        <v>3</v>
      </c>
      <c r="M590">
        <v>0</v>
      </c>
      <c r="N590">
        <v>2</v>
      </c>
      <c r="O590">
        <v>1</v>
      </c>
      <c r="P590">
        <v>0</v>
      </c>
      <c r="Q590">
        <v>0</v>
      </c>
      <c r="S590" t="str">
        <f t="shared" ref="S590:T592" si="65">"18:38:44.453"</f>
        <v>18:38:44.453</v>
      </c>
      <c r="T590" t="str">
        <f t="shared" si="65"/>
        <v>18:38:44.453</v>
      </c>
      <c r="U590" t="str">
        <f t="shared" si="60"/>
        <v>AAB6EE</v>
      </c>
      <c r="V590">
        <v>0</v>
      </c>
      <c r="W590">
        <v>0</v>
      </c>
      <c r="X590">
        <v>4</v>
      </c>
      <c r="Z590">
        <v>0</v>
      </c>
      <c r="AA590">
        <v>8</v>
      </c>
      <c r="AB590">
        <v>3</v>
      </c>
      <c r="AC590">
        <v>0</v>
      </c>
      <c r="AD590">
        <v>10</v>
      </c>
      <c r="AE590">
        <v>0</v>
      </c>
      <c r="AF590">
        <v>0</v>
      </c>
      <c r="AG590">
        <v>1</v>
      </c>
      <c r="AH590">
        <v>1</v>
      </c>
      <c r="AI590" t="s">
        <v>515</v>
      </c>
      <c r="AJ590">
        <v>35.420479999999998</v>
      </c>
      <c r="AK590" t="s">
        <v>516</v>
      </c>
      <c r="AL590">
        <v>-76.094806000000005</v>
      </c>
      <c r="AM590">
        <v>25</v>
      </c>
      <c r="AN590">
        <v>3425</v>
      </c>
      <c r="AO590" t="s">
        <v>118</v>
      </c>
      <c r="AP590">
        <v>-100</v>
      </c>
      <c r="AQ590">
        <v>-196</v>
      </c>
      <c r="AR590">
        <v>0</v>
      </c>
      <c r="AZ590">
        <v>4516</v>
      </c>
      <c r="BA590">
        <v>1</v>
      </c>
      <c r="BB590" t="str">
        <f t="shared" si="62"/>
        <v xml:space="preserve">N79NX   </v>
      </c>
      <c r="BC590">
        <v>1</v>
      </c>
      <c r="BE590">
        <v>0</v>
      </c>
      <c r="BF590">
        <v>2</v>
      </c>
      <c r="BG590">
        <v>0</v>
      </c>
      <c r="BH590">
        <v>3300</v>
      </c>
      <c r="BI590">
        <v>0</v>
      </c>
      <c r="BJ590">
        <v>0</v>
      </c>
      <c r="BK590">
        <v>0</v>
      </c>
      <c r="BL590">
        <v>0</v>
      </c>
      <c r="BO590">
        <v>0</v>
      </c>
      <c r="BP590">
        <v>0</v>
      </c>
      <c r="BW590" t="str">
        <f>"18:38:44.461"</f>
        <v>18:38:44.461</v>
      </c>
      <c r="BZ590">
        <v>0</v>
      </c>
      <c r="CA590">
        <v>3488</v>
      </c>
      <c r="CB590">
        <v>216</v>
      </c>
      <c r="CC590">
        <v>583.59379999999999</v>
      </c>
      <c r="CD590">
        <v>1</v>
      </c>
      <c r="CE590">
        <v>1</v>
      </c>
      <c r="CF590">
        <v>0</v>
      </c>
      <c r="CG590">
        <v>1</v>
      </c>
      <c r="CH590">
        <v>0</v>
      </c>
      <c r="CI590">
        <v>0</v>
      </c>
      <c r="CJ590">
        <v>0</v>
      </c>
      <c r="CK590">
        <v>2</v>
      </c>
      <c r="CL590">
        <v>0</v>
      </c>
      <c r="CM590">
        <v>2</v>
      </c>
      <c r="CN590">
        <v>0</v>
      </c>
      <c r="CO590">
        <v>6</v>
      </c>
      <c r="CP590" t="s">
        <v>119</v>
      </c>
      <c r="CQ590">
        <v>145</v>
      </c>
      <c r="CR590">
        <v>1</v>
      </c>
      <c r="CW590">
        <v>8942952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</row>
    <row r="591" spans="1:113" x14ac:dyDescent="0.3">
      <c r="A591" t="str">
        <f>"02/13/2022 18:38:44.716"</f>
        <v>02/13/2022 18:38:44.716</v>
      </c>
      <c r="C591" t="str">
        <f t="shared" si="61"/>
        <v>FFDFD7C0</v>
      </c>
      <c r="D591" t="s">
        <v>113</v>
      </c>
      <c r="E591">
        <v>3</v>
      </c>
      <c r="F591">
        <v>1003</v>
      </c>
      <c r="G591" t="s">
        <v>114</v>
      </c>
      <c r="J591" t="s">
        <v>115</v>
      </c>
      <c r="K591">
        <v>0</v>
      </c>
      <c r="L591">
        <v>3</v>
      </c>
      <c r="M591">
        <v>0</v>
      </c>
      <c r="N591">
        <v>2</v>
      </c>
      <c r="O591">
        <v>1</v>
      </c>
      <c r="P591">
        <v>0</v>
      </c>
      <c r="Q591">
        <v>0</v>
      </c>
      <c r="S591" t="str">
        <f t="shared" si="65"/>
        <v>18:38:44.453</v>
      </c>
      <c r="T591" t="str">
        <f t="shared" si="65"/>
        <v>18:38:44.453</v>
      </c>
      <c r="U591" t="str">
        <f t="shared" si="60"/>
        <v>AAB6EE</v>
      </c>
      <c r="V591">
        <v>0</v>
      </c>
      <c r="W591">
        <v>0</v>
      </c>
      <c r="X591">
        <v>4</v>
      </c>
      <c r="Z591">
        <v>0</v>
      </c>
      <c r="AA591">
        <v>8</v>
      </c>
      <c r="AB591">
        <v>3</v>
      </c>
      <c r="AC591">
        <v>0</v>
      </c>
      <c r="AD591">
        <v>10</v>
      </c>
      <c r="AE591">
        <v>0</v>
      </c>
      <c r="AF591">
        <v>0</v>
      </c>
      <c r="AG591">
        <v>1</v>
      </c>
      <c r="AH591">
        <v>1</v>
      </c>
      <c r="AI591" t="s">
        <v>515</v>
      </c>
      <c r="AJ591">
        <v>35.420479999999998</v>
      </c>
      <c r="AK591" t="s">
        <v>516</v>
      </c>
      <c r="AL591">
        <v>-76.094806000000005</v>
      </c>
      <c r="AM591">
        <v>25</v>
      </c>
      <c r="AN591">
        <v>3425</v>
      </c>
      <c r="AO591" t="s">
        <v>118</v>
      </c>
      <c r="AP591">
        <v>-100</v>
      </c>
      <c r="AQ591">
        <v>-196</v>
      </c>
      <c r="AR591">
        <v>0</v>
      </c>
      <c r="AZ591">
        <v>4516</v>
      </c>
      <c r="BA591">
        <v>1</v>
      </c>
      <c r="BB591" t="str">
        <f t="shared" si="62"/>
        <v xml:space="preserve">N79NX   </v>
      </c>
      <c r="BC591">
        <v>1</v>
      </c>
      <c r="BE591">
        <v>0</v>
      </c>
      <c r="BF591">
        <v>2</v>
      </c>
      <c r="BG591">
        <v>0</v>
      </c>
      <c r="BH591">
        <v>3300</v>
      </c>
      <c r="BI591">
        <v>0</v>
      </c>
      <c r="BJ591">
        <v>0</v>
      </c>
      <c r="BK591">
        <v>0</v>
      </c>
      <c r="BL591">
        <v>0</v>
      </c>
      <c r="BO591">
        <v>0</v>
      </c>
      <c r="BP591">
        <v>0</v>
      </c>
      <c r="BW591" t="str">
        <f>"18:38:44.461"</f>
        <v>18:38:44.461</v>
      </c>
      <c r="BZ591">
        <v>0</v>
      </c>
      <c r="CA591">
        <v>3488</v>
      </c>
      <c r="CB591">
        <v>216</v>
      </c>
      <c r="CC591">
        <v>583.59379999999999</v>
      </c>
      <c r="CD591">
        <v>1</v>
      </c>
      <c r="CE591">
        <v>1</v>
      </c>
      <c r="CF591">
        <v>0</v>
      </c>
      <c r="CG591">
        <v>1</v>
      </c>
      <c r="CH591">
        <v>0</v>
      </c>
      <c r="CI591">
        <v>0</v>
      </c>
      <c r="CJ591">
        <v>0</v>
      </c>
      <c r="CK591">
        <v>2</v>
      </c>
      <c r="CL591">
        <v>0</v>
      </c>
      <c r="CM591">
        <v>2</v>
      </c>
      <c r="CN591">
        <v>0</v>
      </c>
      <c r="CO591">
        <v>6</v>
      </c>
      <c r="CP591" t="s">
        <v>119</v>
      </c>
      <c r="CQ591">
        <v>145</v>
      </c>
      <c r="CR591">
        <v>1</v>
      </c>
      <c r="CW591">
        <v>8942952</v>
      </c>
      <c r="CY591">
        <v>0</v>
      </c>
      <c r="CZ591">
        <v>0</v>
      </c>
      <c r="DA591">
        <v>1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</row>
    <row r="592" spans="1:113" x14ac:dyDescent="0.3">
      <c r="A592" t="str">
        <f>"02/13/2022 18:38:44.716"</f>
        <v>02/13/2022 18:38:44.716</v>
      </c>
      <c r="C592" t="str">
        <f t="shared" si="61"/>
        <v>FFDFD7C0</v>
      </c>
      <c r="D592" t="s">
        <v>113</v>
      </c>
      <c r="E592">
        <v>4</v>
      </c>
      <c r="F592">
        <v>1004</v>
      </c>
      <c r="G592" t="s">
        <v>120</v>
      </c>
      <c r="J592" t="s">
        <v>115</v>
      </c>
      <c r="K592">
        <v>0</v>
      </c>
      <c r="L592">
        <v>3</v>
      </c>
      <c r="M592">
        <v>0</v>
      </c>
      <c r="N592">
        <v>2</v>
      </c>
      <c r="O592">
        <v>1</v>
      </c>
      <c r="P592">
        <v>0</v>
      </c>
      <c r="Q592">
        <v>0</v>
      </c>
      <c r="S592" t="str">
        <f t="shared" si="65"/>
        <v>18:38:44.453</v>
      </c>
      <c r="T592" t="str">
        <f t="shared" si="65"/>
        <v>18:38:44.453</v>
      </c>
      <c r="U592" t="str">
        <f t="shared" si="60"/>
        <v>AAB6EE</v>
      </c>
      <c r="V592">
        <v>0</v>
      </c>
      <c r="W592">
        <v>0</v>
      </c>
      <c r="X592">
        <v>4</v>
      </c>
      <c r="Z592">
        <v>0</v>
      </c>
      <c r="AA592">
        <v>8</v>
      </c>
      <c r="AB592">
        <v>3</v>
      </c>
      <c r="AC592">
        <v>0</v>
      </c>
      <c r="AD592">
        <v>10</v>
      </c>
      <c r="AE592">
        <v>0</v>
      </c>
      <c r="AF592">
        <v>0</v>
      </c>
      <c r="AG592">
        <v>1</v>
      </c>
      <c r="AH592">
        <v>1</v>
      </c>
      <c r="AI592" t="s">
        <v>515</v>
      </c>
      <c r="AJ592">
        <v>35.420479999999998</v>
      </c>
      <c r="AK592" t="s">
        <v>516</v>
      </c>
      <c r="AL592">
        <v>-76.094806000000005</v>
      </c>
      <c r="AM592">
        <v>25</v>
      </c>
      <c r="AN592">
        <v>3425</v>
      </c>
      <c r="AO592" t="s">
        <v>118</v>
      </c>
      <c r="AP592">
        <v>-100</v>
      </c>
      <c r="AQ592">
        <v>-196</v>
      </c>
      <c r="AR592">
        <v>0</v>
      </c>
      <c r="AZ592">
        <v>4516</v>
      </c>
      <c r="BA592">
        <v>1</v>
      </c>
      <c r="BB592" t="str">
        <f t="shared" si="62"/>
        <v xml:space="preserve">N79NX   </v>
      </c>
      <c r="BC592">
        <v>1</v>
      </c>
      <c r="BE592">
        <v>0</v>
      </c>
      <c r="BF592">
        <v>2</v>
      </c>
      <c r="BG592">
        <v>0</v>
      </c>
      <c r="BH592">
        <v>3300</v>
      </c>
      <c r="BI592">
        <v>0</v>
      </c>
      <c r="BJ592">
        <v>0</v>
      </c>
      <c r="BK592">
        <v>0</v>
      </c>
      <c r="BL592">
        <v>0</v>
      </c>
      <c r="BO592">
        <v>0</v>
      </c>
      <c r="BP592">
        <v>0</v>
      </c>
      <c r="BW592" t="str">
        <f>"18:38:44.461"</f>
        <v>18:38:44.461</v>
      </c>
      <c r="BZ592">
        <v>0</v>
      </c>
      <c r="CA592">
        <v>3488</v>
      </c>
      <c r="CB592">
        <v>216</v>
      </c>
      <c r="CC592">
        <v>583.59379999999999</v>
      </c>
      <c r="CD592">
        <v>1</v>
      </c>
      <c r="CE592">
        <v>1</v>
      </c>
      <c r="CF592">
        <v>0</v>
      </c>
      <c r="CG592">
        <v>1</v>
      </c>
      <c r="CH592">
        <v>0</v>
      </c>
      <c r="CI592">
        <v>0</v>
      </c>
      <c r="CJ592">
        <v>0</v>
      </c>
      <c r="CK592">
        <v>2</v>
      </c>
      <c r="CL592">
        <v>0</v>
      </c>
      <c r="CM592">
        <v>2</v>
      </c>
      <c r="CN592">
        <v>0</v>
      </c>
      <c r="CO592">
        <v>6</v>
      </c>
      <c r="CP592" t="s">
        <v>119</v>
      </c>
      <c r="CQ592">
        <v>145</v>
      </c>
      <c r="CR592">
        <v>1</v>
      </c>
      <c r="CW592">
        <v>8942952</v>
      </c>
      <c r="CY592">
        <v>0</v>
      </c>
      <c r="CZ592">
        <v>0</v>
      </c>
      <c r="DA592">
        <v>1</v>
      </c>
      <c r="DB592">
        <v>0</v>
      </c>
      <c r="DC592">
        <v>0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</row>
    <row r="593" spans="1:113" x14ac:dyDescent="0.3">
      <c r="A593" t="str">
        <f>"02/13/2022 18:38:45.639"</f>
        <v>02/13/2022 18:38:45.639</v>
      </c>
      <c r="C593" t="str">
        <f t="shared" si="61"/>
        <v>FFDFD7C0</v>
      </c>
      <c r="D593" t="s">
        <v>113</v>
      </c>
      <c r="E593">
        <v>3</v>
      </c>
      <c r="F593">
        <v>1003</v>
      </c>
      <c r="G593" t="s">
        <v>114</v>
      </c>
      <c r="J593" t="s">
        <v>115</v>
      </c>
      <c r="K593">
        <v>0</v>
      </c>
      <c r="L593">
        <v>3</v>
      </c>
      <c r="M593">
        <v>0</v>
      </c>
      <c r="N593">
        <v>2</v>
      </c>
      <c r="O593">
        <v>1</v>
      </c>
      <c r="P593">
        <v>0</v>
      </c>
      <c r="Q593">
        <v>0</v>
      </c>
      <c r="S593" t="str">
        <f>"18:38:45.398"</f>
        <v>18:38:45.398</v>
      </c>
      <c r="T593" t="str">
        <f>"18:38:45.098"</f>
        <v>18:38:45.098</v>
      </c>
      <c r="U593" t="str">
        <f t="shared" si="60"/>
        <v>AAB6EE</v>
      </c>
      <c r="V593">
        <v>0</v>
      </c>
      <c r="W593">
        <v>0</v>
      </c>
      <c r="X593">
        <v>4</v>
      </c>
      <c r="Z593">
        <v>0</v>
      </c>
      <c r="AA593">
        <v>8</v>
      </c>
      <c r="AB593">
        <v>3</v>
      </c>
      <c r="AC593">
        <v>0</v>
      </c>
      <c r="AD593">
        <v>10</v>
      </c>
      <c r="AE593">
        <v>0</v>
      </c>
      <c r="AF593">
        <v>0</v>
      </c>
      <c r="AG593">
        <v>2</v>
      </c>
      <c r="AH593">
        <v>1</v>
      </c>
      <c r="AI593" t="s">
        <v>517</v>
      </c>
      <c r="AJ593">
        <v>35.419643000000001</v>
      </c>
      <c r="AK593" t="s">
        <v>518</v>
      </c>
      <c r="AL593">
        <v>-76.095364000000004</v>
      </c>
      <c r="AM593">
        <v>25</v>
      </c>
      <c r="AN593">
        <v>3425</v>
      </c>
      <c r="AO593" t="s">
        <v>118</v>
      </c>
      <c r="AP593">
        <v>-100</v>
      </c>
      <c r="AQ593">
        <v>-196</v>
      </c>
      <c r="AR593">
        <v>0</v>
      </c>
      <c r="AZ593">
        <v>4516</v>
      </c>
      <c r="BA593">
        <v>1</v>
      </c>
      <c r="BB593" t="str">
        <f t="shared" si="62"/>
        <v xml:space="preserve">N79NX   </v>
      </c>
      <c r="BC593">
        <v>1</v>
      </c>
      <c r="BE593">
        <v>0</v>
      </c>
      <c r="BF593">
        <v>2</v>
      </c>
      <c r="BG593">
        <v>0</v>
      </c>
      <c r="BH593">
        <v>3300</v>
      </c>
      <c r="BI593">
        <v>0</v>
      </c>
      <c r="BJ593">
        <v>0</v>
      </c>
      <c r="BK593">
        <v>0</v>
      </c>
      <c r="BL593">
        <v>0</v>
      </c>
      <c r="BO593">
        <v>0</v>
      </c>
      <c r="BP593">
        <v>0</v>
      </c>
      <c r="BW593" t="str">
        <f>"18:38:45.401"</f>
        <v>18:38:45.401</v>
      </c>
      <c r="BZ593">
        <v>0</v>
      </c>
      <c r="CA593">
        <v>3488</v>
      </c>
      <c r="CB593">
        <v>216</v>
      </c>
      <c r="CC593">
        <v>583.59379999999999</v>
      </c>
      <c r="CD593">
        <v>1</v>
      </c>
      <c r="CE593">
        <v>1</v>
      </c>
      <c r="CF593">
        <v>0</v>
      </c>
      <c r="CG593">
        <v>1</v>
      </c>
      <c r="CH593">
        <v>0</v>
      </c>
      <c r="CI593">
        <v>0</v>
      </c>
      <c r="CJ593">
        <v>0</v>
      </c>
      <c r="CK593">
        <v>2</v>
      </c>
      <c r="CL593">
        <v>0</v>
      </c>
      <c r="CM593">
        <v>2</v>
      </c>
      <c r="CN593">
        <v>0</v>
      </c>
      <c r="CO593">
        <v>6</v>
      </c>
      <c r="CP593" t="s">
        <v>119</v>
      </c>
      <c r="CQ593">
        <v>145</v>
      </c>
      <c r="CR593">
        <v>1</v>
      </c>
      <c r="CW593">
        <v>8943312</v>
      </c>
      <c r="CY593">
        <v>0</v>
      </c>
      <c r="CZ593">
        <v>0</v>
      </c>
      <c r="DA593">
        <v>0</v>
      </c>
      <c r="DB593">
        <v>0</v>
      </c>
      <c r="DC593">
        <v>0</v>
      </c>
      <c r="DD593">
        <v>0</v>
      </c>
      <c r="DE593">
        <v>0</v>
      </c>
      <c r="DF593">
        <v>0</v>
      </c>
      <c r="DG593">
        <v>0</v>
      </c>
      <c r="DH593">
        <v>0</v>
      </c>
      <c r="DI593">
        <v>0</v>
      </c>
    </row>
    <row r="594" spans="1:113" x14ac:dyDescent="0.3">
      <c r="A594" t="str">
        <f>"02/13/2022 18:38:45.639"</f>
        <v>02/13/2022 18:38:45.639</v>
      </c>
      <c r="C594" t="str">
        <f t="shared" si="61"/>
        <v>FFDFD7C0</v>
      </c>
      <c r="D594" t="s">
        <v>113</v>
      </c>
      <c r="E594">
        <v>4</v>
      </c>
      <c r="F594">
        <v>1004</v>
      </c>
      <c r="G594" t="s">
        <v>120</v>
      </c>
      <c r="J594" t="s">
        <v>115</v>
      </c>
      <c r="K594">
        <v>0</v>
      </c>
      <c r="L594">
        <v>3</v>
      </c>
      <c r="M594">
        <v>0</v>
      </c>
      <c r="N594">
        <v>2</v>
      </c>
      <c r="O594">
        <v>1</v>
      </c>
      <c r="P594">
        <v>0</v>
      </c>
      <c r="Q594">
        <v>0</v>
      </c>
      <c r="S594" t="str">
        <f>"18:38:45.398"</f>
        <v>18:38:45.398</v>
      </c>
      <c r="T594" t="str">
        <f>"18:38:45.098"</f>
        <v>18:38:45.098</v>
      </c>
      <c r="U594" t="str">
        <f t="shared" si="60"/>
        <v>AAB6EE</v>
      </c>
      <c r="V594">
        <v>0</v>
      </c>
      <c r="W594">
        <v>0</v>
      </c>
      <c r="X594">
        <v>4</v>
      </c>
      <c r="Z594">
        <v>0</v>
      </c>
      <c r="AA594">
        <v>8</v>
      </c>
      <c r="AB594">
        <v>3</v>
      </c>
      <c r="AC594">
        <v>0</v>
      </c>
      <c r="AD594">
        <v>10</v>
      </c>
      <c r="AE594">
        <v>0</v>
      </c>
      <c r="AF594">
        <v>0</v>
      </c>
      <c r="AG594">
        <v>2</v>
      </c>
      <c r="AH594">
        <v>1</v>
      </c>
      <c r="AI594" t="s">
        <v>517</v>
      </c>
      <c r="AJ594">
        <v>35.419643000000001</v>
      </c>
      <c r="AK594" t="s">
        <v>518</v>
      </c>
      <c r="AL594">
        <v>-76.095364000000004</v>
      </c>
      <c r="AM594">
        <v>25</v>
      </c>
      <c r="AN594">
        <v>3425</v>
      </c>
      <c r="AO594" t="s">
        <v>118</v>
      </c>
      <c r="AP594">
        <v>-100</v>
      </c>
      <c r="AQ594">
        <v>-196</v>
      </c>
      <c r="AR594">
        <v>0</v>
      </c>
      <c r="AZ594">
        <v>4516</v>
      </c>
      <c r="BA594">
        <v>1</v>
      </c>
      <c r="BB594" t="str">
        <f t="shared" si="62"/>
        <v xml:space="preserve">N79NX   </v>
      </c>
      <c r="BC594">
        <v>1</v>
      </c>
      <c r="BE594">
        <v>0</v>
      </c>
      <c r="BF594">
        <v>2</v>
      </c>
      <c r="BG594">
        <v>0</v>
      </c>
      <c r="BH594">
        <v>3300</v>
      </c>
      <c r="BI594">
        <v>0</v>
      </c>
      <c r="BJ594">
        <v>0</v>
      </c>
      <c r="BK594">
        <v>0</v>
      </c>
      <c r="BL594">
        <v>0</v>
      </c>
      <c r="BO594">
        <v>0</v>
      </c>
      <c r="BP594">
        <v>0</v>
      </c>
      <c r="BW594" t="str">
        <f>"18:38:45.401"</f>
        <v>18:38:45.401</v>
      </c>
      <c r="BZ594">
        <v>0</v>
      </c>
      <c r="CA594">
        <v>3488</v>
      </c>
      <c r="CB594">
        <v>216</v>
      </c>
      <c r="CC594">
        <v>583.59379999999999</v>
      </c>
      <c r="CD594">
        <v>1</v>
      </c>
      <c r="CE594">
        <v>1</v>
      </c>
      <c r="CF594">
        <v>0</v>
      </c>
      <c r="CG594">
        <v>1</v>
      </c>
      <c r="CH594">
        <v>0</v>
      </c>
      <c r="CI594">
        <v>0</v>
      </c>
      <c r="CJ594">
        <v>0</v>
      </c>
      <c r="CK594">
        <v>2</v>
      </c>
      <c r="CL594">
        <v>0</v>
      </c>
      <c r="CM594">
        <v>2</v>
      </c>
      <c r="CN594">
        <v>0</v>
      </c>
      <c r="CO594">
        <v>6</v>
      </c>
      <c r="CP594" t="s">
        <v>119</v>
      </c>
      <c r="CQ594">
        <v>145</v>
      </c>
      <c r="CR594">
        <v>1</v>
      </c>
      <c r="CW594">
        <v>8943312</v>
      </c>
      <c r="CY594">
        <v>0</v>
      </c>
      <c r="CZ594">
        <v>0</v>
      </c>
      <c r="DA594">
        <v>1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</row>
    <row r="595" spans="1:113" x14ac:dyDescent="0.3">
      <c r="A595" t="str">
        <f>"02/13/2022 18:38:45.639"</f>
        <v>02/13/2022 18:38:45.639</v>
      </c>
      <c r="C595" t="str">
        <f t="shared" si="61"/>
        <v>FFDFD7C0</v>
      </c>
      <c r="D595" t="s">
        <v>121</v>
      </c>
      <c r="E595">
        <v>2</v>
      </c>
      <c r="H595">
        <v>158</v>
      </c>
      <c r="I595" t="s">
        <v>120</v>
      </c>
      <c r="J595" t="s">
        <v>122</v>
      </c>
      <c r="K595">
        <v>0</v>
      </c>
      <c r="L595">
        <v>3</v>
      </c>
      <c r="M595">
        <v>0</v>
      </c>
      <c r="N595">
        <v>2</v>
      </c>
      <c r="O595">
        <v>1</v>
      </c>
      <c r="P595">
        <v>0</v>
      </c>
      <c r="Q595">
        <v>0</v>
      </c>
      <c r="S595" t="str">
        <f>"18:38:45.398"</f>
        <v>18:38:45.398</v>
      </c>
      <c r="T595" t="str">
        <f>"18:38:45.098"</f>
        <v>18:38:45.098</v>
      </c>
      <c r="U595" t="str">
        <f t="shared" si="60"/>
        <v>AAB6EE</v>
      </c>
      <c r="V595">
        <v>0</v>
      </c>
      <c r="W595">
        <v>0</v>
      </c>
      <c r="X595">
        <v>4</v>
      </c>
      <c r="Z595">
        <v>0</v>
      </c>
      <c r="AA595">
        <v>8</v>
      </c>
      <c r="AB595">
        <v>3</v>
      </c>
      <c r="AC595">
        <v>0</v>
      </c>
      <c r="AD595">
        <v>10</v>
      </c>
      <c r="AE595">
        <v>0</v>
      </c>
      <c r="AF595">
        <v>0</v>
      </c>
      <c r="AG595">
        <v>2</v>
      </c>
      <c r="AH595">
        <v>1</v>
      </c>
      <c r="AI595" t="s">
        <v>517</v>
      </c>
      <c r="AJ595">
        <v>35.419643000000001</v>
      </c>
      <c r="AK595" t="s">
        <v>518</v>
      </c>
      <c r="AL595">
        <v>-76.095364000000004</v>
      </c>
      <c r="AM595">
        <v>25</v>
      </c>
      <c r="AN595">
        <v>3425</v>
      </c>
      <c r="AO595" t="s">
        <v>118</v>
      </c>
      <c r="AP595">
        <v>-100</v>
      </c>
      <c r="AQ595">
        <v>-196</v>
      </c>
      <c r="AR595">
        <v>0</v>
      </c>
      <c r="AZ595">
        <v>4516</v>
      </c>
      <c r="BA595">
        <v>1</v>
      </c>
      <c r="BB595" t="str">
        <f t="shared" si="62"/>
        <v xml:space="preserve">N79NX   </v>
      </c>
      <c r="BC595">
        <v>1</v>
      </c>
      <c r="BE595">
        <v>0</v>
      </c>
      <c r="BF595">
        <v>2</v>
      </c>
      <c r="BG595">
        <v>0</v>
      </c>
      <c r="BH595">
        <v>3300</v>
      </c>
      <c r="BI595">
        <v>0</v>
      </c>
      <c r="BJ595">
        <v>0</v>
      </c>
      <c r="BK595">
        <v>0</v>
      </c>
      <c r="BL595">
        <v>0</v>
      </c>
      <c r="BO595">
        <v>0</v>
      </c>
      <c r="BP595">
        <v>0</v>
      </c>
      <c r="BW595" t="str">
        <f>"18:38:45.401"</f>
        <v>18:38:45.401</v>
      </c>
      <c r="BZ595">
        <v>0</v>
      </c>
      <c r="CA595">
        <v>3488</v>
      </c>
      <c r="CB595">
        <v>216</v>
      </c>
      <c r="CC595">
        <v>583.59379999999999</v>
      </c>
      <c r="CD595">
        <v>1</v>
      </c>
      <c r="CE595">
        <v>1</v>
      </c>
      <c r="CF595">
        <v>0</v>
      </c>
      <c r="CG595">
        <v>1</v>
      </c>
      <c r="CH595">
        <v>0</v>
      </c>
      <c r="CI595">
        <v>0</v>
      </c>
      <c r="CJ595">
        <v>0</v>
      </c>
      <c r="CK595">
        <v>2</v>
      </c>
      <c r="CL595">
        <v>0</v>
      </c>
      <c r="CM595">
        <v>2</v>
      </c>
      <c r="CN595">
        <v>0</v>
      </c>
      <c r="CO595">
        <v>6</v>
      </c>
      <c r="CP595" t="s">
        <v>119</v>
      </c>
      <c r="CQ595">
        <v>145</v>
      </c>
      <c r="CR595">
        <v>1</v>
      </c>
      <c r="CW595">
        <v>8943312</v>
      </c>
      <c r="CY595">
        <v>0</v>
      </c>
      <c r="CZ595">
        <v>0</v>
      </c>
      <c r="DA595">
        <v>1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</row>
    <row r="596" spans="1:113" x14ac:dyDescent="0.3">
      <c r="A596" t="str">
        <f>"02/13/2022 18:38:46.529"</f>
        <v>02/13/2022 18:38:46.529</v>
      </c>
      <c r="C596" t="str">
        <f t="shared" si="61"/>
        <v>FFDFD7C0</v>
      </c>
      <c r="D596" t="s">
        <v>113</v>
      </c>
      <c r="E596">
        <v>3</v>
      </c>
      <c r="F596">
        <v>1003</v>
      </c>
      <c r="G596" t="s">
        <v>114</v>
      </c>
      <c r="J596" t="s">
        <v>115</v>
      </c>
      <c r="K596">
        <v>0</v>
      </c>
      <c r="L596">
        <v>3</v>
      </c>
      <c r="M596">
        <v>0</v>
      </c>
      <c r="N596">
        <v>2</v>
      </c>
      <c r="O596">
        <v>1</v>
      </c>
      <c r="P596">
        <v>0</v>
      </c>
      <c r="Q596">
        <v>0</v>
      </c>
      <c r="S596" t="str">
        <f>"18:38:46.305"</f>
        <v>18:38:46.305</v>
      </c>
      <c r="T596" t="str">
        <f>"18:38:46.005"</f>
        <v>18:38:46.005</v>
      </c>
      <c r="U596" t="str">
        <f t="shared" si="60"/>
        <v>AAB6EE</v>
      </c>
      <c r="V596">
        <v>0</v>
      </c>
      <c r="W596">
        <v>0</v>
      </c>
      <c r="X596">
        <v>4</v>
      </c>
      <c r="Z596">
        <v>0</v>
      </c>
      <c r="AA596">
        <v>8</v>
      </c>
      <c r="AB596">
        <v>3</v>
      </c>
      <c r="AC596">
        <v>0</v>
      </c>
      <c r="AD596">
        <v>10</v>
      </c>
      <c r="AE596">
        <v>0</v>
      </c>
      <c r="AF596">
        <v>0</v>
      </c>
      <c r="AG596">
        <v>2</v>
      </c>
      <c r="AH596">
        <v>1</v>
      </c>
      <c r="AI596" t="s">
        <v>519</v>
      </c>
      <c r="AJ596">
        <v>35.418742000000002</v>
      </c>
      <c r="AK596" t="s">
        <v>520</v>
      </c>
      <c r="AL596">
        <v>-76.095878999999996</v>
      </c>
      <c r="AM596">
        <v>25</v>
      </c>
      <c r="AN596">
        <v>3425</v>
      </c>
      <c r="AO596" t="s">
        <v>118</v>
      </c>
      <c r="AP596">
        <v>-100</v>
      </c>
      <c r="AQ596">
        <v>-196</v>
      </c>
      <c r="AR596">
        <v>0</v>
      </c>
      <c r="AZ596">
        <v>4516</v>
      </c>
      <c r="BA596">
        <v>1</v>
      </c>
      <c r="BB596" t="str">
        <f t="shared" si="62"/>
        <v xml:space="preserve">N79NX   </v>
      </c>
      <c r="BC596">
        <v>1</v>
      </c>
      <c r="BE596">
        <v>0</v>
      </c>
      <c r="BF596">
        <v>2</v>
      </c>
      <c r="BG596">
        <v>0</v>
      </c>
      <c r="BH596">
        <v>3300</v>
      </c>
      <c r="BI596">
        <v>0</v>
      </c>
      <c r="BJ596">
        <v>0</v>
      </c>
      <c r="BK596">
        <v>0</v>
      </c>
      <c r="BL596">
        <v>0</v>
      </c>
      <c r="BO596">
        <v>0</v>
      </c>
      <c r="BP596">
        <v>0</v>
      </c>
      <c r="BW596" t="str">
        <f>"18:38:46.311"</f>
        <v>18:38:46.311</v>
      </c>
      <c r="BZ596">
        <v>0</v>
      </c>
      <c r="CA596">
        <v>3488</v>
      </c>
      <c r="CB596">
        <v>216</v>
      </c>
      <c r="CC596">
        <v>583.59379999999999</v>
      </c>
      <c r="CD596">
        <v>1</v>
      </c>
      <c r="CE596">
        <v>1</v>
      </c>
      <c r="CF596">
        <v>0</v>
      </c>
      <c r="CG596">
        <v>1</v>
      </c>
      <c r="CH596">
        <v>0</v>
      </c>
      <c r="CI596">
        <v>0</v>
      </c>
      <c r="CJ596">
        <v>0</v>
      </c>
      <c r="CK596">
        <v>2</v>
      </c>
      <c r="CL596">
        <v>0</v>
      </c>
      <c r="CM596">
        <v>2</v>
      </c>
      <c r="CN596">
        <v>0</v>
      </c>
      <c r="CO596">
        <v>6</v>
      </c>
      <c r="CP596" t="s">
        <v>119</v>
      </c>
      <c r="CQ596">
        <v>145</v>
      </c>
      <c r="CR596">
        <v>1</v>
      </c>
      <c r="CW596">
        <v>8943707</v>
      </c>
      <c r="CY596">
        <v>0</v>
      </c>
      <c r="CZ596">
        <v>0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0</v>
      </c>
      <c r="DG596">
        <v>0</v>
      </c>
      <c r="DH596">
        <v>0</v>
      </c>
      <c r="DI596">
        <v>0</v>
      </c>
    </row>
    <row r="597" spans="1:113" x14ac:dyDescent="0.3">
      <c r="A597" t="str">
        <f>"02/13/2022 18:38:46.592"</f>
        <v>02/13/2022 18:38:46.592</v>
      </c>
      <c r="C597" t="str">
        <f t="shared" si="61"/>
        <v>FFDFD7C0</v>
      </c>
      <c r="D597" t="s">
        <v>121</v>
      </c>
      <c r="E597">
        <v>2</v>
      </c>
      <c r="H597">
        <v>158</v>
      </c>
      <c r="I597" t="s">
        <v>120</v>
      </c>
      <c r="J597" t="s">
        <v>122</v>
      </c>
      <c r="K597">
        <v>0</v>
      </c>
      <c r="L597">
        <v>3</v>
      </c>
      <c r="M597">
        <v>0</v>
      </c>
      <c r="N597">
        <v>2</v>
      </c>
      <c r="O597">
        <v>1</v>
      </c>
      <c r="P597">
        <v>0</v>
      </c>
      <c r="Q597">
        <v>0</v>
      </c>
      <c r="S597" t="str">
        <f>"18:38:46.305"</f>
        <v>18:38:46.305</v>
      </c>
      <c r="T597" t="str">
        <f>"18:38:46.005"</f>
        <v>18:38:46.005</v>
      </c>
      <c r="U597" t="str">
        <f t="shared" si="60"/>
        <v>AAB6EE</v>
      </c>
      <c r="V597">
        <v>0</v>
      </c>
      <c r="W597">
        <v>0</v>
      </c>
      <c r="X597">
        <v>4</v>
      </c>
      <c r="Z597">
        <v>0</v>
      </c>
      <c r="AA597">
        <v>8</v>
      </c>
      <c r="AB597">
        <v>3</v>
      </c>
      <c r="AC597">
        <v>0</v>
      </c>
      <c r="AD597">
        <v>10</v>
      </c>
      <c r="AE597">
        <v>0</v>
      </c>
      <c r="AF597">
        <v>0</v>
      </c>
      <c r="AG597">
        <v>2</v>
      </c>
      <c r="AH597">
        <v>1</v>
      </c>
      <c r="AI597" t="s">
        <v>519</v>
      </c>
      <c r="AJ597">
        <v>35.418742000000002</v>
      </c>
      <c r="AK597" t="s">
        <v>520</v>
      </c>
      <c r="AL597">
        <v>-76.095878999999996</v>
      </c>
      <c r="AM597">
        <v>25</v>
      </c>
      <c r="AN597">
        <v>3425</v>
      </c>
      <c r="AO597" t="s">
        <v>118</v>
      </c>
      <c r="AP597">
        <v>-100</v>
      </c>
      <c r="AQ597">
        <v>-196</v>
      </c>
      <c r="AR597">
        <v>0</v>
      </c>
      <c r="AZ597">
        <v>4516</v>
      </c>
      <c r="BA597">
        <v>1</v>
      </c>
      <c r="BB597" t="str">
        <f t="shared" si="62"/>
        <v xml:space="preserve">N79NX   </v>
      </c>
      <c r="BC597">
        <v>1</v>
      </c>
      <c r="BE597">
        <v>0</v>
      </c>
      <c r="BF597">
        <v>2</v>
      </c>
      <c r="BG597">
        <v>0</v>
      </c>
      <c r="BH597">
        <v>3300</v>
      </c>
      <c r="BI597">
        <v>0</v>
      </c>
      <c r="BJ597">
        <v>0</v>
      </c>
      <c r="BK597">
        <v>0</v>
      </c>
      <c r="BL597">
        <v>0</v>
      </c>
      <c r="BO597">
        <v>0</v>
      </c>
      <c r="BP597">
        <v>0</v>
      </c>
      <c r="BW597" t="str">
        <f>"18:38:46.311"</f>
        <v>18:38:46.311</v>
      </c>
      <c r="BZ597">
        <v>0</v>
      </c>
      <c r="CA597">
        <v>3488</v>
      </c>
      <c r="CB597">
        <v>216</v>
      </c>
      <c r="CC597">
        <v>583.59379999999999</v>
      </c>
      <c r="CD597">
        <v>1</v>
      </c>
      <c r="CE597">
        <v>1</v>
      </c>
      <c r="CF597">
        <v>0</v>
      </c>
      <c r="CG597">
        <v>1</v>
      </c>
      <c r="CH597">
        <v>0</v>
      </c>
      <c r="CI597">
        <v>0</v>
      </c>
      <c r="CJ597">
        <v>0</v>
      </c>
      <c r="CK597">
        <v>2</v>
      </c>
      <c r="CL597">
        <v>0</v>
      </c>
      <c r="CM597">
        <v>2</v>
      </c>
      <c r="CN597">
        <v>0</v>
      </c>
      <c r="CO597">
        <v>6</v>
      </c>
      <c r="CP597" t="s">
        <v>119</v>
      </c>
      <c r="CQ597">
        <v>145</v>
      </c>
      <c r="CR597">
        <v>1</v>
      </c>
      <c r="CW597">
        <v>8943707</v>
      </c>
      <c r="CY597">
        <v>0</v>
      </c>
      <c r="CZ597">
        <v>0</v>
      </c>
      <c r="DA597">
        <v>1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</row>
    <row r="598" spans="1:113" x14ac:dyDescent="0.3">
      <c r="A598" t="str">
        <f>"02/13/2022 18:38:46.592"</f>
        <v>02/13/2022 18:38:46.592</v>
      </c>
      <c r="C598" t="str">
        <f t="shared" si="61"/>
        <v>FFDFD7C0</v>
      </c>
      <c r="D598" t="s">
        <v>113</v>
      </c>
      <c r="E598">
        <v>4</v>
      </c>
      <c r="F598">
        <v>1004</v>
      </c>
      <c r="G598" t="s">
        <v>120</v>
      </c>
      <c r="J598" t="s">
        <v>115</v>
      </c>
      <c r="K598">
        <v>0</v>
      </c>
      <c r="L598">
        <v>3</v>
      </c>
      <c r="M598">
        <v>0</v>
      </c>
      <c r="N598">
        <v>2</v>
      </c>
      <c r="O598">
        <v>1</v>
      </c>
      <c r="P598">
        <v>0</v>
      </c>
      <c r="Q598">
        <v>0</v>
      </c>
      <c r="S598" t="str">
        <f>"18:38:46.305"</f>
        <v>18:38:46.305</v>
      </c>
      <c r="T598" t="str">
        <f>"18:38:46.005"</f>
        <v>18:38:46.005</v>
      </c>
      <c r="U598" t="str">
        <f t="shared" si="60"/>
        <v>AAB6EE</v>
      </c>
      <c r="V598">
        <v>0</v>
      </c>
      <c r="W598">
        <v>0</v>
      </c>
      <c r="X598">
        <v>4</v>
      </c>
      <c r="Z598">
        <v>0</v>
      </c>
      <c r="AA598">
        <v>8</v>
      </c>
      <c r="AB598">
        <v>3</v>
      </c>
      <c r="AC598">
        <v>0</v>
      </c>
      <c r="AD598">
        <v>10</v>
      </c>
      <c r="AE598">
        <v>0</v>
      </c>
      <c r="AF598">
        <v>0</v>
      </c>
      <c r="AG598">
        <v>2</v>
      </c>
      <c r="AH598">
        <v>1</v>
      </c>
      <c r="AI598" t="s">
        <v>519</v>
      </c>
      <c r="AJ598">
        <v>35.418742000000002</v>
      </c>
      <c r="AK598" t="s">
        <v>520</v>
      </c>
      <c r="AL598">
        <v>-76.095878999999996</v>
      </c>
      <c r="AM598">
        <v>25</v>
      </c>
      <c r="AN598">
        <v>3425</v>
      </c>
      <c r="AO598" t="s">
        <v>118</v>
      </c>
      <c r="AP598">
        <v>-100</v>
      </c>
      <c r="AQ598">
        <v>-196</v>
      </c>
      <c r="AR598">
        <v>0</v>
      </c>
      <c r="AZ598">
        <v>4516</v>
      </c>
      <c r="BA598">
        <v>1</v>
      </c>
      <c r="BB598" t="str">
        <f t="shared" si="62"/>
        <v xml:space="preserve">N79NX   </v>
      </c>
      <c r="BC598">
        <v>1</v>
      </c>
      <c r="BE598">
        <v>0</v>
      </c>
      <c r="BF598">
        <v>2</v>
      </c>
      <c r="BG598">
        <v>0</v>
      </c>
      <c r="BH598">
        <v>3300</v>
      </c>
      <c r="BI598">
        <v>0</v>
      </c>
      <c r="BJ598">
        <v>0</v>
      </c>
      <c r="BK598">
        <v>0</v>
      </c>
      <c r="BL598">
        <v>0</v>
      </c>
      <c r="BO598">
        <v>0</v>
      </c>
      <c r="BP598">
        <v>0</v>
      </c>
      <c r="BW598" t="str">
        <f>"18:38:46.311"</f>
        <v>18:38:46.311</v>
      </c>
      <c r="BZ598">
        <v>0</v>
      </c>
      <c r="CA598">
        <v>3488</v>
      </c>
      <c r="CB598">
        <v>216</v>
      </c>
      <c r="CC598">
        <v>583.59379999999999</v>
      </c>
      <c r="CD598">
        <v>1</v>
      </c>
      <c r="CE598">
        <v>1</v>
      </c>
      <c r="CF598">
        <v>0</v>
      </c>
      <c r="CG598">
        <v>1</v>
      </c>
      <c r="CH598">
        <v>0</v>
      </c>
      <c r="CI598">
        <v>0</v>
      </c>
      <c r="CJ598">
        <v>0</v>
      </c>
      <c r="CK598">
        <v>2</v>
      </c>
      <c r="CL598">
        <v>0</v>
      </c>
      <c r="CM598">
        <v>2</v>
      </c>
      <c r="CN598">
        <v>0</v>
      </c>
      <c r="CO598">
        <v>6</v>
      </c>
      <c r="CP598" t="s">
        <v>119</v>
      </c>
      <c r="CQ598">
        <v>145</v>
      </c>
      <c r="CR598">
        <v>1</v>
      </c>
      <c r="CW598">
        <v>8943707</v>
      </c>
      <c r="CY598">
        <v>0</v>
      </c>
      <c r="CZ598">
        <v>0</v>
      </c>
      <c r="DA598">
        <v>1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</row>
    <row r="599" spans="1:113" x14ac:dyDescent="0.3">
      <c r="A599" t="str">
        <f>"02/13/2022 18:38:47.561"</f>
        <v>02/13/2022 18:38:47.561</v>
      </c>
      <c r="C599" t="str">
        <f t="shared" si="61"/>
        <v>FFDFD7C0</v>
      </c>
      <c r="D599" t="s">
        <v>121</v>
      </c>
      <c r="E599">
        <v>2</v>
      </c>
      <c r="H599">
        <v>158</v>
      </c>
      <c r="I599" t="s">
        <v>120</v>
      </c>
      <c r="J599" t="s">
        <v>122</v>
      </c>
      <c r="K599">
        <v>0</v>
      </c>
      <c r="L599">
        <v>3</v>
      </c>
      <c r="M599">
        <v>0</v>
      </c>
      <c r="N599">
        <v>2</v>
      </c>
      <c r="O599">
        <v>1</v>
      </c>
      <c r="P599">
        <v>0</v>
      </c>
      <c r="Q599">
        <v>0</v>
      </c>
      <c r="S599" t="str">
        <f>"18:38:47.359"</f>
        <v>18:38:47.359</v>
      </c>
      <c r="T599" t="str">
        <f>"18:38:46.559"</f>
        <v>18:38:46.559</v>
      </c>
      <c r="U599" t="str">
        <f t="shared" si="60"/>
        <v>AAB6EE</v>
      </c>
      <c r="V599">
        <v>0</v>
      </c>
      <c r="W599">
        <v>0</v>
      </c>
      <c r="X599">
        <v>4</v>
      </c>
      <c r="Z599">
        <v>0</v>
      </c>
      <c r="AA599">
        <v>8</v>
      </c>
      <c r="AB599">
        <v>3</v>
      </c>
      <c r="AC599">
        <v>0</v>
      </c>
      <c r="AD599">
        <v>10</v>
      </c>
      <c r="AE599">
        <v>0</v>
      </c>
      <c r="AF599">
        <v>0</v>
      </c>
      <c r="AG599">
        <v>2</v>
      </c>
      <c r="AH599">
        <v>1</v>
      </c>
      <c r="AI599" t="s">
        <v>521</v>
      </c>
      <c r="AJ599">
        <v>35.417819000000001</v>
      </c>
      <c r="AK599" t="s">
        <v>522</v>
      </c>
      <c r="AL599">
        <v>-76.096457999999998</v>
      </c>
      <c r="AM599">
        <v>25</v>
      </c>
      <c r="AN599">
        <v>3425</v>
      </c>
      <c r="AO599" t="s">
        <v>118</v>
      </c>
      <c r="AP599">
        <v>-100</v>
      </c>
      <c r="AQ599">
        <v>-196</v>
      </c>
      <c r="AR599">
        <v>0</v>
      </c>
      <c r="AZ599">
        <v>4516</v>
      </c>
      <c r="BA599">
        <v>1</v>
      </c>
      <c r="BB599" t="str">
        <f t="shared" si="62"/>
        <v xml:space="preserve">N79NX   </v>
      </c>
      <c r="BC599">
        <v>1</v>
      </c>
      <c r="BE599">
        <v>0</v>
      </c>
      <c r="BF599">
        <v>2</v>
      </c>
      <c r="BG599">
        <v>0</v>
      </c>
      <c r="BH599">
        <v>3300</v>
      </c>
      <c r="BI599">
        <v>0</v>
      </c>
      <c r="BJ599">
        <v>0</v>
      </c>
      <c r="BK599">
        <v>0</v>
      </c>
      <c r="BL599">
        <v>0</v>
      </c>
      <c r="BO599">
        <v>0</v>
      </c>
      <c r="BP599">
        <v>0</v>
      </c>
      <c r="BW599" t="str">
        <f>"18:38:47.361"</f>
        <v>18:38:47.361</v>
      </c>
      <c r="BZ599">
        <v>0</v>
      </c>
      <c r="CA599">
        <v>3488</v>
      </c>
      <c r="CB599">
        <v>216</v>
      </c>
      <c r="CC599">
        <v>583.59379999999999</v>
      </c>
      <c r="CD599">
        <v>1</v>
      </c>
      <c r="CE599">
        <v>1</v>
      </c>
      <c r="CF599">
        <v>0</v>
      </c>
      <c r="CG599">
        <v>1</v>
      </c>
      <c r="CH599">
        <v>0</v>
      </c>
      <c r="CI599">
        <v>0</v>
      </c>
      <c r="CJ599">
        <v>0</v>
      </c>
      <c r="CK599">
        <v>2</v>
      </c>
      <c r="CL599">
        <v>0</v>
      </c>
      <c r="CM599">
        <v>2</v>
      </c>
      <c r="CN599">
        <v>0</v>
      </c>
      <c r="CO599">
        <v>6</v>
      </c>
      <c r="CP599" t="s">
        <v>119</v>
      </c>
      <c r="CQ599">
        <v>145</v>
      </c>
      <c r="CR599">
        <v>1</v>
      </c>
      <c r="CW599">
        <v>8944239</v>
      </c>
      <c r="CY599">
        <v>0</v>
      </c>
      <c r="CZ599">
        <v>0</v>
      </c>
      <c r="DA599">
        <v>0</v>
      </c>
      <c r="DB599">
        <v>0</v>
      </c>
      <c r="DC599">
        <v>0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</row>
    <row r="600" spans="1:113" x14ac:dyDescent="0.3">
      <c r="A600" t="str">
        <f>"02/13/2022 18:38:47.623"</f>
        <v>02/13/2022 18:38:47.623</v>
      </c>
      <c r="C600" t="str">
        <f t="shared" si="61"/>
        <v>FFDFD7C0</v>
      </c>
      <c r="D600" t="s">
        <v>113</v>
      </c>
      <c r="E600">
        <v>4</v>
      </c>
      <c r="F600">
        <v>1004</v>
      </c>
      <c r="G600" t="s">
        <v>120</v>
      </c>
      <c r="J600" t="s">
        <v>115</v>
      </c>
      <c r="K600">
        <v>0</v>
      </c>
      <c r="L600">
        <v>3</v>
      </c>
      <c r="M600">
        <v>0</v>
      </c>
      <c r="N600">
        <v>2</v>
      </c>
      <c r="O600">
        <v>1</v>
      </c>
      <c r="P600">
        <v>0</v>
      </c>
      <c r="Q600">
        <v>0</v>
      </c>
      <c r="S600" t="str">
        <f>"18:38:47.359"</f>
        <v>18:38:47.359</v>
      </c>
      <c r="T600" t="str">
        <f>"18:38:46.559"</f>
        <v>18:38:46.559</v>
      </c>
      <c r="U600" t="str">
        <f t="shared" si="60"/>
        <v>AAB6EE</v>
      </c>
      <c r="V600">
        <v>0</v>
      </c>
      <c r="W600">
        <v>0</v>
      </c>
      <c r="X600">
        <v>4</v>
      </c>
      <c r="Z600">
        <v>0</v>
      </c>
      <c r="AA600">
        <v>8</v>
      </c>
      <c r="AB600">
        <v>3</v>
      </c>
      <c r="AC600">
        <v>0</v>
      </c>
      <c r="AD600">
        <v>10</v>
      </c>
      <c r="AE600">
        <v>0</v>
      </c>
      <c r="AF600">
        <v>0</v>
      </c>
      <c r="AG600">
        <v>2</v>
      </c>
      <c r="AH600">
        <v>1</v>
      </c>
      <c r="AI600" t="s">
        <v>521</v>
      </c>
      <c r="AJ600">
        <v>35.417819000000001</v>
      </c>
      <c r="AK600" t="s">
        <v>522</v>
      </c>
      <c r="AL600">
        <v>-76.096457999999998</v>
      </c>
      <c r="AM600">
        <v>25</v>
      </c>
      <c r="AN600">
        <v>3425</v>
      </c>
      <c r="AO600" t="s">
        <v>118</v>
      </c>
      <c r="AP600">
        <v>-100</v>
      </c>
      <c r="AQ600">
        <v>-196</v>
      </c>
      <c r="AR600">
        <v>0</v>
      </c>
      <c r="AZ600">
        <v>4516</v>
      </c>
      <c r="BA600">
        <v>1</v>
      </c>
      <c r="BB600" t="str">
        <f t="shared" si="62"/>
        <v xml:space="preserve">N79NX   </v>
      </c>
      <c r="BC600">
        <v>1</v>
      </c>
      <c r="BE600">
        <v>0</v>
      </c>
      <c r="BF600">
        <v>2</v>
      </c>
      <c r="BG600">
        <v>0</v>
      </c>
      <c r="BH600">
        <v>3300</v>
      </c>
      <c r="BI600">
        <v>0</v>
      </c>
      <c r="BJ600">
        <v>0</v>
      </c>
      <c r="BK600">
        <v>0</v>
      </c>
      <c r="BL600">
        <v>0</v>
      </c>
      <c r="BO600">
        <v>0</v>
      </c>
      <c r="BP600">
        <v>0</v>
      </c>
      <c r="BW600" t="str">
        <f>"18:38:47.361"</f>
        <v>18:38:47.361</v>
      </c>
      <c r="BZ600">
        <v>0</v>
      </c>
      <c r="CA600">
        <v>3488</v>
      </c>
      <c r="CB600">
        <v>216</v>
      </c>
      <c r="CC600">
        <v>583.59379999999999</v>
      </c>
      <c r="CD600">
        <v>1</v>
      </c>
      <c r="CE600">
        <v>1</v>
      </c>
      <c r="CF600">
        <v>0</v>
      </c>
      <c r="CG600">
        <v>1</v>
      </c>
      <c r="CH600">
        <v>0</v>
      </c>
      <c r="CI600">
        <v>0</v>
      </c>
      <c r="CJ600">
        <v>0</v>
      </c>
      <c r="CK600">
        <v>2</v>
      </c>
      <c r="CL600">
        <v>0</v>
      </c>
      <c r="CM600">
        <v>2</v>
      </c>
      <c r="CN600">
        <v>0</v>
      </c>
      <c r="CO600">
        <v>6</v>
      </c>
      <c r="CP600" t="s">
        <v>119</v>
      </c>
      <c r="CQ600">
        <v>145</v>
      </c>
      <c r="CR600">
        <v>1</v>
      </c>
      <c r="CW600">
        <v>8944239</v>
      </c>
      <c r="CY600">
        <v>0</v>
      </c>
      <c r="CZ600">
        <v>0</v>
      </c>
      <c r="DA600">
        <v>1</v>
      </c>
      <c r="DB600">
        <v>0</v>
      </c>
      <c r="DC600">
        <v>0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</row>
    <row r="601" spans="1:113" x14ac:dyDescent="0.3">
      <c r="A601" t="str">
        <f>"02/13/2022 18:38:47.623"</f>
        <v>02/13/2022 18:38:47.623</v>
      </c>
      <c r="C601" t="str">
        <f t="shared" si="61"/>
        <v>FFDFD7C0</v>
      </c>
      <c r="D601" t="s">
        <v>113</v>
      </c>
      <c r="E601">
        <v>3</v>
      </c>
      <c r="F601">
        <v>1003</v>
      </c>
      <c r="G601" t="s">
        <v>114</v>
      </c>
      <c r="J601" t="s">
        <v>115</v>
      </c>
      <c r="K601">
        <v>0</v>
      </c>
      <c r="L601">
        <v>3</v>
      </c>
      <c r="M601">
        <v>0</v>
      </c>
      <c r="N601">
        <v>2</v>
      </c>
      <c r="O601">
        <v>1</v>
      </c>
      <c r="P601">
        <v>0</v>
      </c>
      <c r="Q601">
        <v>0</v>
      </c>
      <c r="S601" t="str">
        <f>"18:38:47.359"</f>
        <v>18:38:47.359</v>
      </c>
      <c r="T601" t="str">
        <f>"18:38:46.559"</f>
        <v>18:38:46.559</v>
      </c>
      <c r="U601" t="str">
        <f t="shared" si="60"/>
        <v>AAB6EE</v>
      </c>
      <c r="V601">
        <v>0</v>
      </c>
      <c r="W601">
        <v>0</v>
      </c>
      <c r="X601">
        <v>4</v>
      </c>
      <c r="Z601">
        <v>0</v>
      </c>
      <c r="AA601">
        <v>8</v>
      </c>
      <c r="AB601">
        <v>3</v>
      </c>
      <c r="AC601">
        <v>0</v>
      </c>
      <c r="AD601">
        <v>10</v>
      </c>
      <c r="AE601">
        <v>0</v>
      </c>
      <c r="AF601">
        <v>0</v>
      </c>
      <c r="AG601">
        <v>2</v>
      </c>
      <c r="AH601">
        <v>1</v>
      </c>
      <c r="AI601" t="s">
        <v>521</v>
      </c>
      <c r="AJ601">
        <v>35.417819000000001</v>
      </c>
      <c r="AK601" t="s">
        <v>522</v>
      </c>
      <c r="AL601">
        <v>-76.096457999999998</v>
      </c>
      <c r="AM601">
        <v>25</v>
      </c>
      <c r="AN601">
        <v>3425</v>
      </c>
      <c r="AO601" t="s">
        <v>118</v>
      </c>
      <c r="AP601">
        <v>-100</v>
      </c>
      <c r="AQ601">
        <v>-196</v>
      </c>
      <c r="AR601">
        <v>0</v>
      </c>
      <c r="AZ601">
        <v>4516</v>
      </c>
      <c r="BA601">
        <v>1</v>
      </c>
      <c r="BB601" t="str">
        <f t="shared" si="62"/>
        <v xml:space="preserve">N79NX   </v>
      </c>
      <c r="BC601">
        <v>1</v>
      </c>
      <c r="BE601">
        <v>0</v>
      </c>
      <c r="BF601">
        <v>2</v>
      </c>
      <c r="BG601">
        <v>0</v>
      </c>
      <c r="BH601">
        <v>3300</v>
      </c>
      <c r="BI601">
        <v>0</v>
      </c>
      <c r="BJ601">
        <v>0</v>
      </c>
      <c r="BK601">
        <v>0</v>
      </c>
      <c r="BL601">
        <v>0</v>
      </c>
      <c r="BO601">
        <v>0</v>
      </c>
      <c r="BP601">
        <v>0</v>
      </c>
      <c r="BW601" t="str">
        <f>"18:38:47.361"</f>
        <v>18:38:47.361</v>
      </c>
      <c r="BZ601">
        <v>0</v>
      </c>
      <c r="CA601">
        <v>3488</v>
      </c>
      <c r="CB601">
        <v>216</v>
      </c>
      <c r="CC601">
        <v>583.59379999999999</v>
      </c>
      <c r="CD601">
        <v>1</v>
      </c>
      <c r="CE601">
        <v>1</v>
      </c>
      <c r="CF601">
        <v>0</v>
      </c>
      <c r="CG601">
        <v>1</v>
      </c>
      <c r="CH601">
        <v>0</v>
      </c>
      <c r="CI601">
        <v>0</v>
      </c>
      <c r="CJ601">
        <v>0</v>
      </c>
      <c r="CK601">
        <v>2</v>
      </c>
      <c r="CL601">
        <v>0</v>
      </c>
      <c r="CM601">
        <v>2</v>
      </c>
      <c r="CN601">
        <v>0</v>
      </c>
      <c r="CO601">
        <v>6</v>
      </c>
      <c r="CP601" t="s">
        <v>119</v>
      </c>
      <c r="CQ601">
        <v>145</v>
      </c>
      <c r="CR601">
        <v>1</v>
      </c>
      <c r="CW601">
        <v>8944239</v>
      </c>
      <c r="CY601">
        <v>0</v>
      </c>
      <c r="CZ601">
        <v>0</v>
      </c>
      <c r="DA601">
        <v>1</v>
      </c>
      <c r="DB601">
        <v>0</v>
      </c>
      <c r="DC601">
        <v>0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</row>
    <row r="602" spans="1:113" x14ac:dyDescent="0.3">
      <c r="A602" t="str">
        <f>"02/13/2022 18:38:48.498"</f>
        <v>02/13/2022 18:38:48.498</v>
      </c>
      <c r="C602" t="str">
        <f t="shared" si="61"/>
        <v>FFDFD7C0</v>
      </c>
      <c r="D602" t="s">
        <v>113</v>
      </c>
      <c r="E602">
        <v>3</v>
      </c>
      <c r="F602">
        <v>1003</v>
      </c>
      <c r="G602" t="s">
        <v>114</v>
      </c>
      <c r="J602" t="s">
        <v>115</v>
      </c>
      <c r="K602">
        <v>0</v>
      </c>
      <c r="L602">
        <v>3</v>
      </c>
      <c r="M602">
        <v>0</v>
      </c>
      <c r="N602">
        <v>2</v>
      </c>
      <c r="O602">
        <v>1</v>
      </c>
      <c r="P602">
        <v>0</v>
      </c>
      <c r="Q602">
        <v>0</v>
      </c>
      <c r="S602" t="str">
        <f>"18:38:48.289"</f>
        <v>18:38:48.289</v>
      </c>
      <c r="T602" t="str">
        <f>"18:38:47.889"</f>
        <v>18:38:47.889</v>
      </c>
      <c r="U602" t="str">
        <f t="shared" si="60"/>
        <v>AAB6EE</v>
      </c>
      <c r="V602">
        <v>0</v>
      </c>
      <c r="W602">
        <v>0</v>
      </c>
      <c r="X602">
        <v>4</v>
      </c>
      <c r="Z602">
        <v>0</v>
      </c>
      <c r="AA602">
        <v>8</v>
      </c>
      <c r="AB602">
        <v>3</v>
      </c>
      <c r="AC602">
        <v>0</v>
      </c>
      <c r="AD602">
        <v>10</v>
      </c>
      <c r="AE602">
        <v>0</v>
      </c>
      <c r="AF602">
        <v>0</v>
      </c>
      <c r="AG602">
        <v>2</v>
      </c>
      <c r="AH602">
        <v>1</v>
      </c>
      <c r="AI602" t="s">
        <v>523</v>
      </c>
      <c r="AJ602">
        <v>35.417025000000002</v>
      </c>
      <c r="AK602" t="s">
        <v>524</v>
      </c>
      <c r="AL602">
        <v>-76.096973000000006</v>
      </c>
      <c r="AM602">
        <v>25</v>
      </c>
      <c r="AN602">
        <v>3425</v>
      </c>
      <c r="AO602" t="s">
        <v>118</v>
      </c>
      <c r="AP602">
        <v>-100</v>
      </c>
      <c r="AQ602">
        <v>-196</v>
      </c>
      <c r="AR602">
        <v>0</v>
      </c>
      <c r="AZ602">
        <v>4516</v>
      </c>
      <c r="BA602">
        <v>1</v>
      </c>
      <c r="BB602" t="str">
        <f t="shared" si="62"/>
        <v xml:space="preserve">N79NX   </v>
      </c>
      <c r="BC602">
        <v>1</v>
      </c>
      <c r="BE602">
        <v>0</v>
      </c>
      <c r="BF602">
        <v>2</v>
      </c>
      <c r="BG602">
        <v>0</v>
      </c>
      <c r="BH602">
        <v>3300</v>
      </c>
      <c r="BI602">
        <v>0</v>
      </c>
      <c r="BJ602">
        <v>0</v>
      </c>
      <c r="BK602">
        <v>0</v>
      </c>
      <c r="BL602">
        <v>0</v>
      </c>
      <c r="BO602">
        <v>0</v>
      </c>
      <c r="BP602">
        <v>0</v>
      </c>
      <c r="BW602" t="str">
        <f>"18:38:48.291"</f>
        <v>18:38:48.291</v>
      </c>
      <c r="BZ602">
        <v>0</v>
      </c>
      <c r="CA602">
        <v>3488</v>
      </c>
      <c r="CB602">
        <v>216</v>
      </c>
      <c r="CC602">
        <v>583.59379999999999</v>
      </c>
      <c r="CD602">
        <v>1</v>
      </c>
      <c r="CE602">
        <v>1</v>
      </c>
      <c r="CF602">
        <v>0</v>
      </c>
      <c r="CG602">
        <v>1</v>
      </c>
      <c r="CH602">
        <v>0</v>
      </c>
      <c r="CI602">
        <v>0</v>
      </c>
      <c r="CJ602">
        <v>0</v>
      </c>
      <c r="CK602">
        <v>2</v>
      </c>
      <c r="CL602">
        <v>0</v>
      </c>
      <c r="CM602">
        <v>2</v>
      </c>
      <c r="CN602">
        <v>0</v>
      </c>
      <c r="CO602">
        <v>6</v>
      </c>
      <c r="CP602" t="s">
        <v>119</v>
      </c>
      <c r="CQ602">
        <v>145</v>
      </c>
      <c r="CR602">
        <v>1</v>
      </c>
      <c r="CW602">
        <v>8944732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</row>
    <row r="603" spans="1:113" x14ac:dyDescent="0.3">
      <c r="A603" t="str">
        <f>"02/13/2022 18:38:48.498"</f>
        <v>02/13/2022 18:38:48.498</v>
      </c>
      <c r="C603" t="str">
        <f t="shared" si="61"/>
        <v>FFDFD7C0</v>
      </c>
      <c r="D603" t="s">
        <v>113</v>
      </c>
      <c r="E603">
        <v>4</v>
      </c>
      <c r="F603">
        <v>1004</v>
      </c>
      <c r="G603" t="s">
        <v>120</v>
      </c>
      <c r="J603" t="s">
        <v>115</v>
      </c>
      <c r="K603">
        <v>0</v>
      </c>
      <c r="L603">
        <v>3</v>
      </c>
      <c r="M603">
        <v>0</v>
      </c>
      <c r="N603">
        <v>2</v>
      </c>
      <c r="O603">
        <v>1</v>
      </c>
      <c r="P603">
        <v>0</v>
      </c>
      <c r="Q603">
        <v>0</v>
      </c>
      <c r="S603" t="str">
        <f>"18:38:48.289"</f>
        <v>18:38:48.289</v>
      </c>
      <c r="T603" t="str">
        <f>"18:38:47.889"</f>
        <v>18:38:47.889</v>
      </c>
      <c r="U603" t="str">
        <f t="shared" si="60"/>
        <v>AAB6EE</v>
      </c>
      <c r="V603">
        <v>0</v>
      </c>
      <c r="W603">
        <v>0</v>
      </c>
      <c r="X603">
        <v>4</v>
      </c>
      <c r="Z603">
        <v>0</v>
      </c>
      <c r="AA603">
        <v>8</v>
      </c>
      <c r="AB603">
        <v>3</v>
      </c>
      <c r="AC603">
        <v>0</v>
      </c>
      <c r="AD603">
        <v>10</v>
      </c>
      <c r="AE603">
        <v>0</v>
      </c>
      <c r="AF603">
        <v>0</v>
      </c>
      <c r="AG603">
        <v>2</v>
      </c>
      <c r="AH603">
        <v>1</v>
      </c>
      <c r="AI603" t="s">
        <v>523</v>
      </c>
      <c r="AJ603">
        <v>35.417025000000002</v>
      </c>
      <c r="AK603" t="s">
        <v>524</v>
      </c>
      <c r="AL603">
        <v>-76.096973000000006</v>
      </c>
      <c r="AM603">
        <v>25</v>
      </c>
      <c r="AN603">
        <v>3425</v>
      </c>
      <c r="AO603" t="s">
        <v>118</v>
      </c>
      <c r="AP603">
        <v>-100</v>
      </c>
      <c r="AQ603">
        <v>-196</v>
      </c>
      <c r="AR603">
        <v>0</v>
      </c>
      <c r="AZ603">
        <v>4516</v>
      </c>
      <c r="BA603">
        <v>1</v>
      </c>
      <c r="BB603" t="str">
        <f t="shared" si="62"/>
        <v xml:space="preserve">N79NX   </v>
      </c>
      <c r="BC603">
        <v>1</v>
      </c>
      <c r="BE603">
        <v>0</v>
      </c>
      <c r="BF603">
        <v>2</v>
      </c>
      <c r="BG603">
        <v>0</v>
      </c>
      <c r="BH603">
        <v>3300</v>
      </c>
      <c r="BI603">
        <v>0</v>
      </c>
      <c r="BJ603">
        <v>0</v>
      </c>
      <c r="BK603">
        <v>0</v>
      </c>
      <c r="BL603">
        <v>0</v>
      </c>
      <c r="BO603">
        <v>0</v>
      </c>
      <c r="BP603">
        <v>0</v>
      </c>
      <c r="BW603" t="str">
        <f>"18:38:48.291"</f>
        <v>18:38:48.291</v>
      </c>
      <c r="BZ603">
        <v>0</v>
      </c>
      <c r="CA603">
        <v>3488</v>
      </c>
      <c r="CB603">
        <v>216</v>
      </c>
      <c r="CC603">
        <v>583.59379999999999</v>
      </c>
      <c r="CD603">
        <v>1</v>
      </c>
      <c r="CE603">
        <v>1</v>
      </c>
      <c r="CF603">
        <v>0</v>
      </c>
      <c r="CG603">
        <v>1</v>
      </c>
      <c r="CH603">
        <v>0</v>
      </c>
      <c r="CI603">
        <v>0</v>
      </c>
      <c r="CJ603">
        <v>0</v>
      </c>
      <c r="CK603">
        <v>2</v>
      </c>
      <c r="CL603">
        <v>0</v>
      </c>
      <c r="CM603">
        <v>2</v>
      </c>
      <c r="CN603">
        <v>0</v>
      </c>
      <c r="CO603">
        <v>6</v>
      </c>
      <c r="CP603" t="s">
        <v>119</v>
      </c>
      <c r="CQ603">
        <v>145</v>
      </c>
      <c r="CR603">
        <v>1</v>
      </c>
      <c r="CW603">
        <v>8944732</v>
      </c>
      <c r="CY603">
        <v>0</v>
      </c>
      <c r="CZ603">
        <v>0</v>
      </c>
      <c r="DA603">
        <v>1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</row>
    <row r="604" spans="1:113" x14ac:dyDescent="0.3">
      <c r="A604" t="str">
        <f>"02/13/2022 18:38:48.514"</f>
        <v>02/13/2022 18:38:48.514</v>
      </c>
      <c r="C604" t="str">
        <f t="shared" si="61"/>
        <v>FFDFD7C0</v>
      </c>
      <c r="D604" t="s">
        <v>121</v>
      </c>
      <c r="E604">
        <v>2</v>
      </c>
      <c r="H604">
        <v>158</v>
      </c>
      <c r="I604" t="s">
        <v>120</v>
      </c>
      <c r="J604" t="s">
        <v>122</v>
      </c>
      <c r="K604">
        <v>0</v>
      </c>
      <c r="L604">
        <v>3</v>
      </c>
      <c r="M604">
        <v>0</v>
      </c>
      <c r="N604">
        <v>2</v>
      </c>
      <c r="O604">
        <v>1</v>
      </c>
      <c r="P604">
        <v>0</v>
      </c>
      <c r="Q604">
        <v>0</v>
      </c>
      <c r="S604" t="str">
        <f>"18:38:48.289"</f>
        <v>18:38:48.289</v>
      </c>
      <c r="T604" t="str">
        <f>"18:38:47.889"</f>
        <v>18:38:47.889</v>
      </c>
      <c r="U604" t="str">
        <f t="shared" si="60"/>
        <v>AAB6EE</v>
      </c>
      <c r="V604">
        <v>0</v>
      </c>
      <c r="W604">
        <v>0</v>
      </c>
      <c r="X604">
        <v>4</v>
      </c>
      <c r="Z604">
        <v>0</v>
      </c>
      <c r="AA604">
        <v>8</v>
      </c>
      <c r="AB604">
        <v>3</v>
      </c>
      <c r="AC604">
        <v>0</v>
      </c>
      <c r="AD604">
        <v>10</v>
      </c>
      <c r="AE604">
        <v>0</v>
      </c>
      <c r="AF604">
        <v>0</v>
      </c>
      <c r="AG604">
        <v>2</v>
      </c>
      <c r="AH604">
        <v>1</v>
      </c>
      <c r="AI604" t="s">
        <v>523</v>
      </c>
      <c r="AJ604">
        <v>35.417025000000002</v>
      </c>
      <c r="AK604" t="s">
        <v>524</v>
      </c>
      <c r="AL604">
        <v>-76.096973000000006</v>
      </c>
      <c r="AM604">
        <v>25</v>
      </c>
      <c r="AN604">
        <v>3425</v>
      </c>
      <c r="AO604" t="s">
        <v>118</v>
      </c>
      <c r="AP604">
        <v>-100</v>
      </c>
      <c r="AQ604">
        <v>-196</v>
      </c>
      <c r="AR604">
        <v>0</v>
      </c>
      <c r="AZ604">
        <v>4516</v>
      </c>
      <c r="BA604">
        <v>1</v>
      </c>
      <c r="BB604" t="str">
        <f t="shared" si="62"/>
        <v xml:space="preserve">N79NX   </v>
      </c>
      <c r="BC604">
        <v>1</v>
      </c>
      <c r="BE604">
        <v>0</v>
      </c>
      <c r="BF604">
        <v>2</v>
      </c>
      <c r="BG604">
        <v>0</v>
      </c>
      <c r="BH604">
        <v>3300</v>
      </c>
      <c r="BI604">
        <v>0</v>
      </c>
      <c r="BJ604">
        <v>0</v>
      </c>
      <c r="BK604">
        <v>0</v>
      </c>
      <c r="BL604">
        <v>0</v>
      </c>
      <c r="BO604">
        <v>0</v>
      </c>
      <c r="BP604">
        <v>0</v>
      </c>
      <c r="BW604" t="str">
        <f>"18:38:48.291"</f>
        <v>18:38:48.291</v>
      </c>
      <c r="BZ604">
        <v>0</v>
      </c>
      <c r="CA604">
        <v>3488</v>
      </c>
      <c r="CB604">
        <v>216</v>
      </c>
      <c r="CC604">
        <v>583.59379999999999</v>
      </c>
      <c r="CD604">
        <v>1</v>
      </c>
      <c r="CE604">
        <v>1</v>
      </c>
      <c r="CF604">
        <v>0</v>
      </c>
      <c r="CG604">
        <v>1</v>
      </c>
      <c r="CH604">
        <v>0</v>
      </c>
      <c r="CI604">
        <v>0</v>
      </c>
      <c r="CJ604">
        <v>0</v>
      </c>
      <c r="CK604">
        <v>2</v>
      </c>
      <c r="CL604">
        <v>0</v>
      </c>
      <c r="CM604">
        <v>2</v>
      </c>
      <c r="CN604">
        <v>0</v>
      </c>
      <c r="CO604">
        <v>6</v>
      </c>
      <c r="CP604" t="s">
        <v>119</v>
      </c>
      <c r="CQ604">
        <v>145</v>
      </c>
      <c r="CR604">
        <v>1</v>
      </c>
      <c r="CW604">
        <v>8944732</v>
      </c>
      <c r="CY604">
        <v>0</v>
      </c>
      <c r="CZ604">
        <v>0</v>
      </c>
      <c r="DA604">
        <v>1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</row>
    <row r="605" spans="1:113" x14ac:dyDescent="0.3">
      <c r="A605" t="str">
        <f>"02/13/2022 18:38:49.406"</f>
        <v>02/13/2022 18:38:49.406</v>
      </c>
      <c r="C605" t="str">
        <f t="shared" si="61"/>
        <v>FFDFD7C0</v>
      </c>
      <c r="D605" t="s">
        <v>113</v>
      </c>
      <c r="E605">
        <v>3</v>
      </c>
      <c r="F605">
        <v>1003</v>
      </c>
      <c r="G605" t="s">
        <v>114</v>
      </c>
      <c r="J605" t="s">
        <v>115</v>
      </c>
      <c r="K605">
        <v>0</v>
      </c>
      <c r="L605">
        <v>3</v>
      </c>
      <c r="M605">
        <v>0</v>
      </c>
      <c r="N605">
        <v>2</v>
      </c>
      <c r="O605">
        <v>1</v>
      </c>
      <c r="P605">
        <v>0</v>
      </c>
      <c r="Q605">
        <v>0</v>
      </c>
      <c r="S605" t="str">
        <f>"18:38:49.227"</f>
        <v>18:38:49.227</v>
      </c>
      <c r="T605" t="str">
        <f>"18:38:48.927"</f>
        <v>18:38:48.927</v>
      </c>
      <c r="U605" t="str">
        <f t="shared" si="60"/>
        <v>AAB6EE</v>
      </c>
      <c r="V605">
        <v>0</v>
      </c>
      <c r="W605">
        <v>0</v>
      </c>
      <c r="X605">
        <v>4</v>
      </c>
      <c r="Z605">
        <v>0</v>
      </c>
      <c r="AA605">
        <v>8</v>
      </c>
      <c r="AB605">
        <v>3</v>
      </c>
      <c r="AC605">
        <v>0</v>
      </c>
      <c r="AD605">
        <v>10</v>
      </c>
      <c r="AE605">
        <v>0</v>
      </c>
      <c r="AF605">
        <v>0</v>
      </c>
      <c r="AG605">
        <v>2</v>
      </c>
      <c r="AH605">
        <v>1</v>
      </c>
      <c r="AI605" t="s">
        <v>525</v>
      </c>
      <c r="AJ605">
        <v>35.416102000000002</v>
      </c>
      <c r="AK605" t="s">
        <v>526</v>
      </c>
      <c r="AL605">
        <v>-76.097553000000005</v>
      </c>
      <c r="AM605">
        <v>25</v>
      </c>
      <c r="AN605">
        <v>3425</v>
      </c>
      <c r="AO605" t="s">
        <v>118</v>
      </c>
      <c r="AP605">
        <v>-100</v>
      </c>
      <c r="AQ605">
        <v>-196</v>
      </c>
      <c r="AR605">
        <v>0</v>
      </c>
      <c r="AZ605">
        <v>4516</v>
      </c>
      <c r="BA605">
        <v>1</v>
      </c>
      <c r="BB605" t="str">
        <f t="shared" si="62"/>
        <v xml:space="preserve">N79NX   </v>
      </c>
      <c r="BC605">
        <v>1</v>
      </c>
      <c r="BE605">
        <v>0</v>
      </c>
      <c r="BF605">
        <v>0</v>
      </c>
      <c r="BG605">
        <v>0</v>
      </c>
      <c r="BH605">
        <v>3300</v>
      </c>
      <c r="BI605">
        <v>0</v>
      </c>
      <c r="BJ605">
        <v>0</v>
      </c>
      <c r="BK605">
        <v>0</v>
      </c>
      <c r="BL605">
        <v>0</v>
      </c>
      <c r="BO605">
        <v>0</v>
      </c>
      <c r="BP605">
        <v>0</v>
      </c>
      <c r="BW605" t="str">
        <f>"18:38:49.231"</f>
        <v>18:38:49.231</v>
      </c>
      <c r="BZ605">
        <v>0</v>
      </c>
      <c r="CA605">
        <v>3488</v>
      </c>
      <c r="CB605">
        <v>216</v>
      </c>
      <c r="CC605">
        <v>583.59379999999999</v>
      </c>
      <c r="CD605">
        <v>1</v>
      </c>
      <c r="CE605">
        <v>1</v>
      </c>
      <c r="CF605">
        <v>0</v>
      </c>
      <c r="CG605">
        <v>1</v>
      </c>
      <c r="CH605">
        <v>0</v>
      </c>
      <c r="CI605">
        <v>0</v>
      </c>
      <c r="CJ605">
        <v>0</v>
      </c>
      <c r="CK605">
        <v>2</v>
      </c>
      <c r="CL605">
        <v>0</v>
      </c>
      <c r="CM605">
        <v>2</v>
      </c>
      <c r="CN605">
        <v>0</v>
      </c>
      <c r="CO605">
        <v>6</v>
      </c>
      <c r="CP605" t="s">
        <v>119</v>
      </c>
      <c r="CQ605">
        <v>145</v>
      </c>
      <c r="CR605">
        <v>1</v>
      </c>
      <c r="CW605">
        <v>8945210</v>
      </c>
      <c r="CY605">
        <v>0</v>
      </c>
      <c r="CZ605">
        <v>0</v>
      </c>
      <c r="DA605">
        <v>0</v>
      </c>
      <c r="DB605">
        <v>0</v>
      </c>
      <c r="DC605">
        <v>0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0</v>
      </c>
    </row>
    <row r="606" spans="1:113" x14ac:dyDescent="0.3">
      <c r="A606" t="str">
        <f>"02/13/2022 18:38:49.406"</f>
        <v>02/13/2022 18:38:49.406</v>
      </c>
      <c r="C606" t="str">
        <f t="shared" si="61"/>
        <v>FFDFD7C0</v>
      </c>
      <c r="D606" t="s">
        <v>113</v>
      </c>
      <c r="E606">
        <v>4</v>
      </c>
      <c r="F606">
        <v>1004</v>
      </c>
      <c r="G606" t="s">
        <v>120</v>
      </c>
      <c r="J606" t="s">
        <v>115</v>
      </c>
      <c r="K606">
        <v>0</v>
      </c>
      <c r="L606">
        <v>3</v>
      </c>
      <c r="M606">
        <v>0</v>
      </c>
      <c r="N606">
        <v>2</v>
      </c>
      <c r="O606">
        <v>1</v>
      </c>
      <c r="P606">
        <v>0</v>
      </c>
      <c r="Q606">
        <v>0</v>
      </c>
      <c r="S606" t="str">
        <f>"18:38:49.227"</f>
        <v>18:38:49.227</v>
      </c>
      <c r="T606" t="str">
        <f>"18:38:48.927"</f>
        <v>18:38:48.927</v>
      </c>
      <c r="U606" t="str">
        <f t="shared" si="60"/>
        <v>AAB6EE</v>
      </c>
      <c r="V606">
        <v>0</v>
      </c>
      <c r="W606">
        <v>0</v>
      </c>
      <c r="X606">
        <v>4</v>
      </c>
      <c r="Z606">
        <v>0</v>
      </c>
      <c r="AA606">
        <v>8</v>
      </c>
      <c r="AB606">
        <v>3</v>
      </c>
      <c r="AC606">
        <v>0</v>
      </c>
      <c r="AD606">
        <v>10</v>
      </c>
      <c r="AE606">
        <v>0</v>
      </c>
      <c r="AF606">
        <v>0</v>
      </c>
      <c r="AG606">
        <v>2</v>
      </c>
      <c r="AH606">
        <v>1</v>
      </c>
      <c r="AI606" t="s">
        <v>525</v>
      </c>
      <c r="AJ606">
        <v>35.416102000000002</v>
      </c>
      <c r="AK606" t="s">
        <v>526</v>
      </c>
      <c r="AL606">
        <v>-76.097553000000005</v>
      </c>
      <c r="AM606">
        <v>25</v>
      </c>
      <c r="AN606">
        <v>3425</v>
      </c>
      <c r="AO606" t="s">
        <v>118</v>
      </c>
      <c r="AP606">
        <v>-100</v>
      </c>
      <c r="AQ606">
        <v>-196</v>
      </c>
      <c r="AR606">
        <v>0</v>
      </c>
      <c r="AZ606">
        <v>4516</v>
      </c>
      <c r="BA606">
        <v>1</v>
      </c>
      <c r="BB606" t="str">
        <f t="shared" si="62"/>
        <v xml:space="preserve">N79NX   </v>
      </c>
      <c r="BC606">
        <v>1</v>
      </c>
      <c r="BE606">
        <v>0</v>
      </c>
      <c r="BF606">
        <v>0</v>
      </c>
      <c r="BG606">
        <v>0</v>
      </c>
      <c r="BH606">
        <v>3300</v>
      </c>
      <c r="BI606">
        <v>0</v>
      </c>
      <c r="BJ606">
        <v>0</v>
      </c>
      <c r="BK606">
        <v>0</v>
      </c>
      <c r="BL606">
        <v>0</v>
      </c>
      <c r="BO606">
        <v>0</v>
      </c>
      <c r="BP606">
        <v>0</v>
      </c>
      <c r="BW606" t="str">
        <f>"18:38:49.231"</f>
        <v>18:38:49.231</v>
      </c>
      <c r="BZ606">
        <v>0</v>
      </c>
      <c r="CA606">
        <v>3488</v>
      </c>
      <c r="CB606">
        <v>216</v>
      </c>
      <c r="CC606">
        <v>583.59379999999999</v>
      </c>
      <c r="CD606">
        <v>1</v>
      </c>
      <c r="CE606">
        <v>1</v>
      </c>
      <c r="CF606">
        <v>0</v>
      </c>
      <c r="CG606">
        <v>1</v>
      </c>
      <c r="CH606">
        <v>0</v>
      </c>
      <c r="CI606">
        <v>0</v>
      </c>
      <c r="CJ606">
        <v>0</v>
      </c>
      <c r="CK606">
        <v>2</v>
      </c>
      <c r="CL606">
        <v>0</v>
      </c>
      <c r="CM606">
        <v>2</v>
      </c>
      <c r="CN606">
        <v>0</v>
      </c>
      <c r="CO606">
        <v>6</v>
      </c>
      <c r="CP606" t="s">
        <v>119</v>
      </c>
      <c r="CQ606">
        <v>145</v>
      </c>
      <c r="CR606">
        <v>1</v>
      </c>
      <c r="CW606">
        <v>8945210</v>
      </c>
      <c r="CY606">
        <v>0</v>
      </c>
      <c r="CZ606">
        <v>0</v>
      </c>
      <c r="DA606">
        <v>1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</row>
    <row r="607" spans="1:113" x14ac:dyDescent="0.3">
      <c r="A607" t="str">
        <f>"02/13/2022 18:38:49.453"</f>
        <v>02/13/2022 18:38:49.453</v>
      </c>
      <c r="C607" t="str">
        <f t="shared" si="61"/>
        <v>FFDFD7C0</v>
      </c>
      <c r="D607" t="s">
        <v>121</v>
      </c>
      <c r="E607">
        <v>2</v>
      </c>
      <c r="H607">
        <v>158</v>
      </c>
      <c r="I607" t="s">
        <v>120</v>
      </c>
      <c r="J607" t="s">
        <v>122</v>
      </c>
      <c r="K607">
        <v>0</v>
      </c>
      <c r="L607">
        <v>3</v>
      </c>
      <c r="M607">
        <v>0</v>
      </c>
      <c r="N607">
        <v>2</v>
      </c>
      <c r="O607">
        <v>1</v>
      </c>
      <c r="P607">
        <v>0</v>
      </c>
      <c r="Q607">
        <v>0</v>
      </c>
      <c r="S607" t="str">
        <f>"18:38:49.227"</f>
        <v>18:38:49.227</v>
      </c>
      <c r="T607" t="str">
        <f>"18:38:48.927"</f>
        <v>18:38:48.927</v>
      </c>
      <c r="U607" t="str">
        <f t="shared" si="60"/>
        <v>AAB6EE</v>
      </c>
      <c r="V607">
        <v>0</v>
      </c>
      <c r="W607">
        <v>0</v>
      </c>
      <c r="X607">
        <v>4</v>
      </c>
      <c r="Z607">
        <v>0</v>
      </c>
      <c r="AA607">
        <v>8</v>
      </c>
      <c r="AB607">
        <v>3</v>
      </c>
      <c r="AC607">
        <v>0</v>
      </c>
      <c r="AD607">
        <v>10</v>
      </c>
      <c r="AE607">
        <v>0</v>
      </c>
      <c r="AF607">
        <v>0</v>
      </c>
      <c r="AG607">
        <v>2</v>
      </c>
      <c r="AH607">
        <v>1</v>
      </c>
      <c r="AI607" t="s">
        <v>525</v>
      </c>
      <c r="AJ607">
        <v>35.416102000000002</v>
      </c>
      <c r="AK607" t="s">
        <v>526</v>
      </c>
      <c r="AL607">
        <v>-76.097553000000005</v>
      </c>
      <c r="AM607">
        <v>25</v>
      </c>
      <c r="AN607">
        <v>3425</v>
      </c>
      <c r="AO607" t="s">
        <v>118</v>
      </c>
      <c r="AP607">
        <v>-100</v>
      </c>
      <c r="AQ607">
        <v>-196</v>
      </c>
      <c r="AR607">
        <v>0</v>
      </c>
      <c r="AZ607">
        <v>4516</v>
      </c>
      <c r="BA607">
        <v>1</v>
      </c>
      <c r="BB607" t="str">
        <f t="shared" si="62"/>
        <v xml:space="preserve">N79NX   </v>
      </c>
      <c r="BC607">
        <v>1</v>
      </c>
      <c r="BE607">
        <v>0</v>
      </c>
      <c r="BF607">
        <v>0</v>
      </c>
      <c r="BG607">
        <v>0</v>
      </c>
      <c r="BH607">
        <v>3300</v>
      </c>
      <c r="BI607">
        <v>0</v>
      </c>
      <c r="BJ607">
        <v>0</v>
      </c>
      <c r="BK607">
        <v>0</v>
      </c>
      <c r="BL607">
        <v>0</v>
      </c>
      <c r="BO607">
        <v>0</v>
      </c>
      <c r="BP607">
        <v>0</v>
      </c>
      <c r="BW607" t="str">
        <f>"18:38:49.231"</f>
        <v>18:38:49.231</v>
      </c>
      <c r="BZ607">
        <v>0</v>
      </c>
      <c r="CA607">
        <v>3488</v>
      </c>
      <c r="CB607">
        <v>216</v>
      </c>
      <c r="CC607">
        <v>583.59379999999999</v>
      </c>
      <c r="CD607">
        <v>1</v>
      </c>
      <c r="CE607">
        <v>1</v>
      </c>
      <c r="CF607">
        <v>0</v>
      </c>
      <c r="CG607">
        <v>1</v>
      </c>
      <c r="CH607">
        <v>0</v>
      </c>
      <c r="CI607">
        <v>0</v>
      </c>
      <c r="CJ607">
        <v>0</v>
      </c>
      <c r="CK607">
        <v>2</v>
      </c>
      <c r="CL607">
        <v>0</v>
      </c>
      <c r="CM607">
        <v>2</v>
      </c>
      <c r="CN607">
        <v>0</v>
      </c>
      <c r="CO607">
        <v>6</v>
      </c>
      <c r="CP607" t="s">
        <v>119</v>
      </c>
      <c r="CQ607">
        <v>145</v>
      </c>
      <c r="CR607">
        <v>1</v>
      </c>
      <c r="CW607">
        <v>8945210</v>
      </c>
      <c r="CY607">
        <v>0</v>
      </c>
      <c r="CZ607">
        <v>0</v>
      </c>
      <c r="DA607">
        <v>1</v>
      </c>
      <c r="DB607">
        <v>0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</row>
    <row r="608" spans="1:113" x14ac:dyDescent="0.3">
      <c r="A608" t="str">
        <f>"02/13/2022 18:38:50.549"</f>
        <v>02/13/2022 18:38:50.549</v>
      </c>
      <c r="C608" t="str">
        <f t="shared" si="61"/>
        <v>FFDFD7C0</v>
      </c>
      <c r="D608" t="s">
        <v>121</v>
      </c>
      <c r="E608">
        <v>2</v>
      </c>
      <c r="H608">
        <v>158</v>
      </c>
      <c r="I608" t="s">
        <v>120</v>
      </c>
      <c r="J608" t="s">
        <v>122</v>
      </c>
      <c r="K608">
        <v>0</v>
      </c>
      <c r="L608">
        <v>3</v>
      </c>
      <c r="M608">
        <v>0</v>
      </c>
      <c r="N608">
        <v>2</v>
      </c>
      <c r="O608">
        <v>1</v>
      </c>
      <c r="P608">
        <v>0</v>
      </c>
      <c r="Q608">
        <v>0</v>
      </c>
      <c r="S608" t="str">
        <f>"18:38:50.344"</f>
        <v>18:38:50.344</v>
      </c>
      <c r="T608" t="str">
        <f>"18:38:49.944"</f>
        <v>18:38:49.944</v>
      </c>
      <c r="U608" t="str">
        <f t="shared" si="60"/>
        <v>AAB6EE</v>
      </c>
      <c r="V608">
        <v>0</v>
      </c>
      <c r="W608">
        <v>0</v>
      </c>
      <c r="X608">
        <v>4</v>
      </c>
      <c r="Z608">
        <v>0</v>
      </c>
      <c r="AA608">
        <v>8</v>
      </c>
      <c r="AB608">
        <v>3</v>
      </c>
      <c r="AC608">
        <v>0</v>
      </c>
      <c r="AD608">
        <v>10</v>
      </c>
      <c r="AE608">
        <v>0</v>
      </c>
      <c r="AF608">
        <v>0</v>
      </c>
      <c r="AG608">
        <v>2</v>
      </c>
      <c r="AH608">
        <v>1</v>
      </c>
      <c r="AI608" t="s">
        <v>527</v>
      </c>
      <c r="AJ608">
        <v>35.415115</v>
      </c>
      <c r="AK608" t="s">
        <v>528</v>
      </c>
      <c r="AL608">
        <v>-76.098174999999998</v>
      </c>
      <c r="AM608">
        <v>25</v>
      </c>
      <c r="AN608">
        <v>3425</v>
      </c>
      <c r="AO608" t="s">
        <v>118</v>
      </c>
      <c r="AP608">
        <v>-100</v>
      </c>
      <c r="AQ608">
        <v>-196</v>
      </c>
      <c r="AR608">
        <v>0</v>
      </c>
      <c r="AZ608">
        <v>4516</v>
      </c>
      <c r="BA608">
        <v>1</v>
      </c>
      <c r="BB608" t="str">
        <f t="shared" si="62"/>
        <v xml:space="preserve">N79NX   </v>
      </c>
      <c r="BC608">
        <v>1</v>
      </c>
      <c r="BE608">
        <v>0</v>
      </c>
      <c r="BF608">
        <v>0</v>
      </c>
      <c r="BG608">
        <v>0</v>
      </c>
      <c r="BH608">
        <v>3300</v>
      </c>
      <c r="BI608">
        <v>0</v>
      </c>
      <c r="BJ608">
        <v>0</v>
      </c>
      <c r="BK608">
        <v>0</v>
      </c>
      <c r="BL608">
        <v>0</v>
      </c>
      <c r="BO608">
        <v>0</v>
      </c>
      <c r="BP608">
        <v>0</v>
      </c>
      <c r="BW608" t="str">
        <f>"18:38:50.351"</f>
        <v>18:38:50.351</v>
      </c>
      <c r="BZ608">
        <v>0</v>
      </c>
      <c r="CA608">
        <v>3488</v>
      </c>
      <c r="CB608">
        <v>216</v>
      </c>
      <c r="CC608">
        <v>583.59379999999999</v>
      </c>
      <c r="CD608">
        <v>1</v>
      </c>
      <c r="CE608">
        <v>1</v>
      </c>
      <c r="CF608">
        <v>0</v>
      </c>
      <c r="CG608">
        <v>1</v>
      </c>
      <c r="CH608">
        <v>0</v>
      </c>
      <c r="CI608">
        <v>0</v>
      </c>
      <c r="CJ608">
        <v>0</v>
      </c>
      <c r="CK608">
        <v>2</v>
      </c>
      <c r="CL608">
        <v>0</v>
      </c>
      <c r="CM608">
        <v>2</v>
      </c>
      <c r="CN608">
        <v>0</v>
      </c>
      <c r="CO608">
        <v>6</v>
      </c>
      <c r="CP608" t="s">
        <v>119</v>
      </c>
      <c r="CQ608">
        <v>145</v>
      </c>
      <c r="CR608">
        <v>1</v>
      </c>
      <c r="CW608">
        <v>8945651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</row>
    <row r="609" spans="1:113" x14ac:dyDescent="0.3">
      <c r="A609" t="str">
        <f>"02/13/2022 18:38:50.596"</f>
        <v>02/13/2022 18:38:50.596</v>
      </c>
      <c r="C609" t="str">
        <f t="shared" si="61"/>
        <v>FFDFD7C0</v>
      </c>
      <c r="D609" t="s">
        <v>113</v>
      </c>
      <c r="E609">
        <v>3</v>
      </c>
      <c r="F609">
        <v>1003</v>
      </c>
      <c r="G609" t="s">
        <v>114</v>
      </c>
      <c r="J609" t="s">
        <v>115</v>
      </c>
      <c r="K609">
        <v>0</v>
      </c>
      <c r="L609">
        <v>3</v>
      </c>
      <c r="M609">
        <v>0</v>
      </c>
      <c r="N609">
        <v>2</v>
      </c>
      <c r="O609">
        <v>1</v>
      </c>
      <c r="P609">
        <v>0</v>
      </c>
      <c r="Q609">
        <v>0</v>
      </c>
      <c r="S609" t="str">
        <f>"18:38:50.344"</f>
        <v>18:38:50.344</v>
      </c>
      <c r="T609" t="str">
        <f>"18:38:49.944"</f>
        <v>18:38:49.944</v>
      </c>
      <c r="U609" t="str">
        <f t="shared" si="60"/>
        <v>AAB6EE</v>
      </c>
      <c r="V609">
        <v>0</v>
      </c>
      <c r="W609">
        <v>0</v>
      </c>
      <c r="X609">
        <v>4</v>
      </c>
      <c r="Z609">
        <v>0</v>
      </c>
      <c r="AA609">
        <v>8</v>
      </c>
      <c r="AB609">
        <v>3</v>
      </c>
      <c r="AC609">
        <v>0</v>
      </c>
      <c r="AD609">
        <v>10</v>
      </c>
      <c r="AE609">
        <v>0</v>
      </c>
      <c r="AF609">
        <v>0</v>
      </c>
      <c r="AG609">
        <v>2</v>
      </c>
      <c r="AH609">
        <v>1</v>
      </c>
      <c r="AI609" t="s">
        <v>527</v>
      </c>
      <c r="AJ609">
        <v>35.415115</v>
      </c>
      <c r="AK609" t="s">
        <v>528</v>
      </c>
      <c r="AL609">
        <v>-76.098174999999998</v>
      </c>
      <c r="AM609">
        <v>25</v>
      </c>
      <c r="AN609">
        <v>3425</v>
      </c>
      <c r="AO609" t="s">
        <v>118</v>
      </c>
      <c r="AP609">
        <v>-100</v>
      </c>
      <c r="AQ609">
        <v>-196</v>
      </c>
      <c r="AR609">
        <v>0</v>
      </c>
      <c r="AZ609">
        <v>4516</v>
      </c>
      <c r="BA609">
        <v>1</v>
      </c>
      <c r="BB609" t="str">
        <f t="shared" si="62"/>
        <v xml:space="preserve">N79NX   </v>
      </c>
      <c r="BC609">
        <v>1</v>
      </c>
      <c r="BE609">
        <v>0</v>
      </c>
      <c r="BF609">
        <v>0</v>
      </c>
      <c r="BG609">
        <v>0</v>
      </c>
      <c r="BH609">
        <v>3300</v>
      </c>
      <c r="BI609">
        <v>0</v>
      </c>
      <c r="BJ609">
        <v>0</v>
      </c>
      <c r="BK609">
        <v>0</v>
      </c>
      <c r="BL609">
        <v>0</v>
      </c>
      <c r="BO609">
        <v>0</v>
      </c>
      <c r="BP609">
        <v>0</v>
      </c>
      <c r="BW609" t="str">
        <f>"18:38:50.351"</f>
        <v>18:38:50.351</v>
      </c>
      <c r="BZ609">
        <v>0</v>
      </c>
      <c r="CA609">
        <v>3488</v>
      </c>
      <c r="CB609">
        <v>216</v>
      </c>
      <c r="CC609">
        <v>583.59379999999999</v>
      </c>
      <c r="CD609">
        <v>1</v>
      </c>
      <c r="CE609">
        <v>1</v>
      </c>
      <c r="CF609">
        <v>0</v>
      </c>
      <c r="CG609">
        <v>1</v>
      </c>
      <c r="CH609">
        <v>0</v>
      </c>
      <c r="CI609">
        <v>0</v>
      </c>
      <c r="CJ609">
        <v>0</v>
      </c>
      <c r="CK609">
        <v>2</v>
      </c>
      <c r="CL609">
        <v>0</v>
      </c>
      <c r="CM609">
        <v>2</v>
      </c>
      <c r="CN609">
        <v>0</v>
      </c>
      <c r="CO609">
        <v>6</v>
      </c>
      <c r="CP609" t="s">
        <v>119</v>
      </c>
      <c r="CQ609">
        <v>145</v>
      </c>
      <c r="CR609">
        <v>1</v>
      </c>
      <c r="CW609">
        <v>8945651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</row>
    <row r="610" spans="1:113" x14ac:dyDescent="0.3">
      <c r="A610" t="str">
        <f>"02/13/2022 18:38:50.596"</f>
        <v>02/13/2022 18:38:50.596</v>
      </c>
      <c r="C610" t="str">
        <f t="shared" si="61"/>
        <v>FFDFD7C0</v>
      </c>
      <c r="D610" t="s">
        <v>113</v>
      </c>
      <c r="E610">
        <v>4</v>
      </c>
      <c r="F610">
        <v>1004</v>
      </c>
      <c r="G610" t="s">
        <v>120</v>
      </c>
      <c r="J610" t="s">
        <v>115</v>
      </c>
      <c r="K610">
        <v>0</v>
      </c>
      <c r="L610">
        <v>3</v>
      </c>
      <c r="M610">
        <v>0</v>
      </c>
      <c r="N610">
        <v>2</v>
      </c>
      <c r="O610">
        <v>1</v>
      </c>
      <c r="P610">
        <v>0</v>
      </c>
      <c r="Q610">
        <v>0</v>
      </c>
      <c r="S610" t="str">
        <f>"18:38:50.344"</f>
        <v>18:38:50.344</v>
      </c>
      <c r="T610" t="str">
        <f>"18:38:49.944"</f>
        <v>18:38:49.944</v>
      </c>
      <c r="U610" t="str">
        <f t="shared" si="60"/>
        <v>AAB6EE</v>
      </c>
      <c r="V610">
        <v>0</v>
      </c>
      <c r="W610">
        <v>0</v>
      </c>
      <c r="X610">
        <v>4</v>
      </c>
      <c r="Z610">
        <v>0</v>
      </c>
      <c r="AA610">
        <v>8</v>
      </c>
      <c r="AB610">
        <v>3</v>
      </c>
      <c r="AC610">
        <v>0</v>
      </c>
      <c r="AD610">
        <v>10</v>
      </c>
      <c r="AE610">
        <v>0</v>
      </c>
      <c r="AF610">
        <v>0</v>
      </c>
      <c r="AG610">
        <v>2</v>
      </c>
      <c r="AH610">
        <v>1</v>
      </c>
      <c r="AI610" t="s">
        <v>527</v>
      </c>
      <c r="AJ610">
        <v>35.415115</v>
      </c>
      <c r="AK610" t="s">
        <v>528</v>
      </c>
      <c r="AL610">
        <v>-76.098174999999998</v>
      </c>
      <c r="AM610">
        <v>25</v>
      </c>
      <c r="AN610">
        <v>3425</v>
      </c>
      <c r="AO610" t="s">
        <v>118</v>
      </c>
      <c r="AP610">
        <v>-100</v>
      </c>
      <c r="AQ610">
        <v>-196</v>
      </c>
      <c r="AR610">
        <v>0</v>
      </c>
      <c r="AZ610">
        <v>4516</v>
      </c>
      <c r="BA610">
        <v>1</v>
      </c>
      <c r="BB610" t="str">
        <f t="shared" si="62"/>
        <v xml:space="preserve">N79NX   </v>
      </c>
      <c r="BC610">
        <v>1</v>
      </c>
      <c r="BE610">
        <v>0</v>
      </c>
      <c r="BF610">
        <v>0</v>
      </c>
      <c r="BG610">
        <v>0</v>
      </c>
      <c r="BH610">
        <v>3300</v>
      </c>
      <c r="BI610">
        <v>0</v>
      </c>
      <c r="BJ610">
        <v>0</v>
      </c>
      <c r="BK610">
        <v>0</v>
      </c>
      <c r="BL610">
        <v>0</v>
      </c>
      <c r="BO610">
        <v>0</v>
      </c>
      <c r="BP610">
        <v>0</v>
      </c>
      <c r="BW610" t="str">
        <f>"18:38:50.351"</f>
        <v>18:38:50.351</v>
      </c>
      <c r="BZ610">
        <v>0</v>
      </c>
      <c r="CA610">
        <v>3488</v>
      </c>
      <c r="CB610">
        <v>216</v>
      </c>
      <c r="CC610">
        <v>583.59379999999999</v>
      </c>
      <c r="CD610">
        <v>1</v>
      </c>
      <c r="CE610">
        <v>1</v>
      </c>
      <c r="CF610">
        <v>0</v>
      </c>
      <c r="CG610">
        <v>1</v>
      </c>
      <c r="CH610">
        <v>0</v>
      </c>
      <c r="CI610">
        <v>0</v>
      </c>
      <c r="CJ610">
        <v>0</v>
      </c>
      <c r="CK610">
        <v>2</v>
      </c>
      <c r="CL610">
        <v>0</v>
      </c>
      <c r="CM610">
        <v>2</v>
      </c>
      <c r="CN610">
        <v>0</v>
      </c>
      <c r="CO610">
        <v>6</v>
      </c>
      <c r="CP610" t="s">
        <v>119</v>
      </c>
      <c r="CQ610">
        <v>145</v>
      </c>
      <c r="CR610">
        <v>1</v>
      </c>
      <c r="CW610">
        <v>8945651</v>
      </c>
      <c r="CY610">
        <v>0</v>
      </c>
      <c r="CZ610">
        <v>0</v>
      </c>
      <c r="DA610">
        <v>1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0</v>
      </c>
    </row>
    <row r="611" spans="1:113" x14ac:dyDescent="0.3">
      <c r="A611" t="str">
        <f>"02/13/2022 18:38:51.814"</f>
        <v>02/13/2022 18:38:51.814</v>
      </c>
      <c r="C611" t="str">
        <f t="shared" si="61"/>
        <v>FFDFD7C0</v>
      </c>
      <c r="D611" t="s">
        <v>113</v>
      </c>
      <c r="E611">
        <v>3</v>
      </c>
      <c r="F611">
        <v>1003</v>
      </c>
      <c r="G611" t="s">
        <v>114</v>
      </c>
      <c r="J611" t="s">
        <v>115</v>
      </c>
      <c r="K611">
        <v>0</v>
      </c>
      <c r="L611">
        <v>3</v>
      </c>
      <c r="M611">
        <v>0</v>
      </c>
      <c r="N611">
        <v>2</v>
      </c>
      <c r="O611">
        <v>1</v>
      </c>
      <c r="P611">
        <v>0</v>
      </c>
      <c r="Q611">
        <v>0</v>
      </c>
      <c r="S611" t="str">
        <f>"18:38:51.477"</f>
        <v>18:38:51.477</v>
      </c>
      <c r="T611" t="str">
        <f>"18:38:51.077"</f>
        <v>18:38:51.077</v>
      </c>
      <c r="U611" t="str">
        <f t="shared" si="60"/>
        <v>AAB6EE</v>
      </c>
      <c r="V611">
        <v>0</v>
      </c>
      <c r="W611">
        <v>0</v>
      </c>
      <c r="X611">
        <v>4</v>
      </c>
      <c r="Z611">
        <v>0</v>
      </c>
      <c r="AA611">
        <v>8</v>
      </c>
      <c r="AB611">
        <v>3</v>
      </c>
      <c r="AC611">
        <v>0</v>
      </c>
      <c r="AD611">
        <v>10</v>
      </c>
      <c r="AE611">
        <v>0</v>
      </c>
      <c r="AF611">
        <v>0</v>
      </c>
      <c r="AG611">
        <v>2</v>
      </c>
      <c r="AH611">
        <v>1</v>
      </c>
      <c r="AI611" t="s">
        <v>529</v>
      </c>
      <c r="AJ611">
        <v>35.414107000000001</v>
      </c>
      <c r="AK611" t="s">
        <v>530</v>
      </c>
      <c r="AL611">
        <v>-76.098797000000005</v>
      </c>
      <c r="AM611">
        <v>25</v>
      </c>
      <c r="AN611">
        <v>3425</v>
      </c>
      <c r="AO611" t="s">
        <v>118</v>
      </c>
      <c r="AP611">
        <v>-100</v>
      </c>
      <c r="AQ611">
        <v>-196</v>
      </c>
      <c r="AR611">
        <v>0</v>
      </c>
      <c r="AZ611">
        <v>4516</v>
      </c>
      <c r="BA611">
        <v>1</v>
      </c>
      <c r="BB611" t="str">
        <f t="shared" si="62"/>
        <v xml:space="preserve">N79NX   </v>
      </c>
      <c r="BC611">
        <v>1</v>
      </c>
      <c r="BE611">
        <v>0</v>
      </c>
      <c r="BF611">
        <v>0</v>
      </c>
      <c r="BG611">
        <v>0</v>
      </c>
      <c r="BH611">
        <v>3300</v>
      </c>
      <c r="BI611">
        <v>0</v>
      </c>
      <c r="BJ611">
        <v>0</v>
      </c>
      <c r="BK611">
        <v>0</v>
      </c>
      <c r="BL611">
        <v>0</v>
      </c>
      <c r="BO611">
        <v>0</v>
      </c>
      <c r="BP611">
        <v>0</v>
      </c>
      <c r="BW611" t="str">
        <f>"18:38:51.481"</f>
        <v>18:38:51.481</v>
      </c>
      <c r="BZ611">
        <v>0</v>
      </c>
      <c r="CA611">
        <v>3488</v>
      </c>
      <c r="CB611">
        <v>216</v>
      </c>
      <c r="CC611">
        <v>583.59379999999999</v>
      </c>
      <c r="CD611">
        <v>1</v>
      </c>
      <c r="CE611">
        <v>1</v>
      </c>
      <c r="CF611">
        <v>0</v>
      </c>
      <c r="CG611">
        <v>1</v>
      </c>
      <c r="CH611">
        <v>0</v>
      </c>
      <c r="CI611">
        <v>0</v>
      </c>
      <c r="CJ611">
        <v>0</v>
      </c>
      <c r="CK611">
        <v>2</v>
      </c>
      <c r="CL611">
        <v>0</v>
      </c>
      <c r="CM611">
        <v>2</v>
      </c>
      <c r="CN611">
        <v>0</v>
      </c>
      <c r="CO611">
        <v>6</v>
      </c>
      <c r="CP611" t="s">
        <v>119</v>
      </c>
      <c r="CQ611">
        <v>145</v>
      </c>
      <c r="CR611">
        <v>1</v>
      </c>
      <c r="CW611">
        <v>8946208</v>
      </c>
      <c r="CY611">
        <v>0</v>
      </c>
      <c r="CZ611">
        <v>0</v>
      </c>
      <c r="DA611">
        <v>0</v>
      </c>
      <c r="DB611">
        <v>0</v>
      </c>
      <c r="DC611">
        <v>0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</row>
    <row r="612" spans="1:113" x14ac:dyDescent="0.3">
      <c r="A612" t="str">
        <f>"02/13/2022 18:38:51.814"</f>
        <v>02/13/2022 18:38:51.814</v>
      </c>
      <c r="C612" t="str">
        <f t="shared" si="61"/>
        <v>FFDFD7C0</v>
      </c>
      <c r="D612" t="s">
        <v>113</v>
      </c>
      <c r="E612">
        <v>4</v>
      </c>
      <c r="F612">
        <v>1004</v>
      </c>
      <c r="G612" t="s">
        <v>120</v>
      </c>
      <c r="J612" t="s">
        <v>115</v>
      </c>
      <c r="K612">
        <v>0</v>
      </c>
      <c r="L612">
        <v>3</v>
      </c>
      <c r="M612">
        <v>0</v>
      </c>
      <c r="N612">
        <v>2</v>
      </c>
      <c r="O612">
        <v>1</v>
      </c>
      <c r="P612">
        <v>0</v>
      </c>
      <c r="Q612">
        <v>0</v>
      </c>
      <c r="S612" t="str">
        <f>"18:38:51.477"</f>
        <v>18:38:51.477</v>
      </c>
      <c r="T612" t="str">
        <f>"18:38:51.077"</f>
        <v>18:38:51.077</v>
      </c>
      <c r="U612" t="str">
        <f t="shared" si="60"/>
        <v>AAB6EE</v>
      </c>
      <c r="V612">
        <v>0</v>
      </c>
      <c r="W612">
        <v>0</v>
      </c>
      <c r="X612">
        <v>4</v>
      </c>
      <c r="Z612">
        <v>0</v>
      </c>
      <c r="AA612">
        <v>8</v>
      </c>
      <c r="AB612">
        <v>3</v>
      </c>
      <c r="AC612">
        <v>0</v>
      </c>
      <c r="AD612">
        <v>10</v>
      </c>
      <c r="AE612">
        <v>0</v>
      </c>
      <c r="AF612">
        <v>0</v>
      </c>
      <c r="AG612">
        <v>2</v>
      </c>
      <c r="AH612">
        <v>1</v>
      </c>
      <c r="AI612" t="s">
        <v>529</v>
      </c>
      <c r="AJ612">
        <v>35.414107000000001</v>
      </c>
      <c r="AK612" t="s">
        <v>530</v>
      </c>
      <c r="AL612">
        <v>-76.098797000000005</v>
      </c>
      <c r="AM612">
        <v>25</v>
      </c>
      <c r="AN612">
        <v>3425</v>
      </c>
      <c r="AO612" t="s">
        <v>118</v>
      </c>
      <c r="AP612">
        <v>-100</v>
      </c>
      <c r="AQ612">
        <v>-196</v>
      </c>
      <c r="AR612">
        <v>0</v>
      </c>
      <c r="AZ612">
        <v>4516</v>
      </c>
      <c r="BA612">
        <v>1</v>
      </c>
      <c r="BB612" t="str">
        <f t="shared" si="62"/>
        <v xml:space="preserve">N79NX   </v>
      </c>
      <c r="BC612">
        <v>1</v>
      </c>
      <c r="BE612">
        <v>0</v>
      </c>
      <c r="BF612">
        <v>0</v>
      </c>
      <c r="BG612">
        <v>0</v>
      </c>
      <c r="BH612">
        <v>3300</v>
      </c>
      <c r="BI612">
        <v>0</v>
      </c>
      <c r="BJ612">
        <v>0</v>
      </c>
      <c r="BK612">
        <v>0</v>
      </c>
      <c r="BL612">
        <v>0</v>
      </c>
      <c r="BO612">
        <v>0</v>
      </c>
      <c r="BP612">
        <v>0</v>
      </c>
      <c r="BW612" t="str">
        <f>"18:38:51.481"</f>
        <v>18:38:51.481</v>
      </c>
      <c r="BZ612">
        <v>0</v>
      </c>
      <c r="CA612">
        <v>3488</v>
      </c>
      <c r="CB612">
        <v>216</v>
      </c>
      <c r="CC612">
        <v>583.59379999999999</v>
      </c>
      <c r="CD612">
        <v>1</v>
      </c>
      <c r="CE612">
        <v>1</v>
      </c>
      <c r="CF612">
        <v>0</v>
      </c>
      <c r="CG612">
        <v>1</v>
      </c>
      <c r="CH612">
        <v>0</v>
      </c>
      <c r="CI612">
        <v>0</v>
      </c>
      <c r="CJ612">
        <v>0</v>
      </c>
      <c r="CK612">
        <v>2</v>
      </c>
      <c r="CL612">
        <v>0</v>
      </c>
      <c r="CM612">
        <v>2</v>
      </c>
      <c r="CN612">
        <v>0</v>
      </c>
      <c r="CO612">
        <v>6</v>
      </c>
      <c r="CP612" t="s">
        <v>119</v>
      </c>
      <c r="CQ612">
        <v>145</v>
      </c>
      <c r="CR612">
        <v>1</v>
      </c>
      <c r="CW612">
        <v>8946208</v>
      </c>
      <c r="CY612">
        <v>0</v>
      </c>
      <c r="CZ612">
        <v>0</v>
      </c>
      <c r="DA612">
        <v>1</v>
      </c>
      <c r="DB612">
        <v>0</v>
      </c>
      <c r="DC612">
        <v>0</v>
      </c>
      <c r="DD612">
        <v>0</v>
      </c>
      <c r="DE612">
        <v>0</v>
      </c>
      <c r="DF612">
        <v>0</v>
      </c>
      <c r="DG612">
        <v>0</v>
      </c>
      <c r="DH612">
        <v>0</v>
      </c>
      <c r="DI612">
        <v>0</v>
      </c>
    </row>
    <row r="613" spans="1:113" x14ac:dyDescent="0.3">
      <c r="A613" t="str">
        <f>"02/13/2022 18:38:51.814"</f>
        <v>02/13/2022 18:38:51.814</v>
      </c>
      <c r="C613" t="str">
        <f t="shared" si="61"/>
        <v>FFDFD7C0</v>
      </c>
      <c r="D613" t="s">
        <v>121</v>
      </c>
      <c r="E613">
        <v>2</v>
      </c>
      <c r="H613">
        <v>158</v>
      </c>
      <c r="I613" t="s">
        <v>120</v>
      </c>
      <c r="J613" t="s">
        <v>122</v>
      </c>
      <c r="K613">
        <v>0</v>
      </c>
      <c r="L613">
        <v>3</v>
      </c>
      <c r="M613">
        <v>0</v>
      </c>
      <c r="N613">
        <v>2</v>
      </c>
      <c r="O613">
        <v>1</v>
      </c>
      <c r="P613">
        <v>0</v>
      </c>
      <c r="Q613">
        <v>0</v>
      </c>
      <c r="S613" t="str">
        <f>"18:38:51.477"</f>
        <v>18:38:51.477</v>
      </c>
      <c r="T613" t="str">
        <f>"18:38:51.077"</f>
        <v>18:38:51.077</v>
      </c>
      <c r="U613" t="str">
        <f t="shared" si="60"/>
        <v>AAB6EE</v>
      </c>
      <c r="V613">
        <v>0</v>
      </c>
      <c r="W613">
        <v>0</v>
      </c>
      <c r="X613">
        <v>4</v>
      </c>
      <c r="Z613">
        <v>0</v>
      </c>
      <c r="AA613">
        <v>8</v>
      </c>
      <c r="AB613">
        <v>3</v>
      </c>
      <c r="AC613">
        <v>0</v>
      </c>
      <c r="AD613">
        <v>10</v>
      </c>
      <c r="AE613">
        <v>0</v>
      </c>
      <c r="AF613">
        <v>0</v>
      </c>
      <c r="AG613">
        <v>2</v>
      </c>
      <c r="AH613">
        <v>1</v>
      </c>
      <c r="AI613" t="s">
        <v>529</v>
      </c>
      <c r="AJ613">
        <v>35.414107000000001</v>
      </c>
      <c r="AK613" t="s">
        <v>530</v>
      </c>
      <c r="AL613">
        <v>-76.098797000000005</v>
      </c>
      <c r="AM613">
        <v>25</v>
      </c>
      <c r="AN613">
        <v>3425</v>
      </c>
      <c r="AO613" t="s">
        <v>118</v>
      </c>
      <c r="AP613">
        <v>-100</v>
      </c>
      <c r="AQ613">
        <v>-196</v>
      </c>
      <c r="AR613">
        <v>0</v>
      </c>
      <c r="AZ613">
        <v>4516</v>
      </c>
      <c r="BA613">
        <v>1</v>
      </c>
      <c r="BB613" t="str">
        <f t="shared" si="62"/>
        <v xml:space="preserve">N79NX   </v>
      </c>
      <c r="BC613">
        <v>1</v>
      </c>
      <c r="BE613">
        <v>0</v>
      </c>
      <c r="BF613">
        <v>0</v>
      </c>
      <c r="BG613">
        <v>0</v>
      </c>
      <c r="BH613">
        <v>3300</v>
      </c>
      <c r="BI613">
        <v>0</v>
      </c>
      <c r="BJ613">
        <v>0</v>
      </c>
      <c r="BK613">
        <v>0</v>
      </c>
      <c r="BL613">
        <v>0</v>
      </c>
      <c r="BO613">
        <v>0</v>
      </c>
      <c r="BP613">
        <v>0</v>
      </c>
      <c r="BW613" t="str">
        <f>"18:38:51.481"</f>
        <v>18:38:51.481</v>
      </c>
      <c r="BZ613">
        <v>0</v>
      </c>
      <c r="CA613">
        <v>3488</v>
      </c>
      <c r="CB613">
        <v>216</v>
      </c>
      <c r="CC613">
        <v>583.59379999999999</v>
      </c>
      <c r="CD613">
        <v>1</v>
      </c>
      <c r="CE613">
        <v>1</v>
      </c>
      <c r="CF613">
        <v>0</v>
      </c>
      <c r="CG613">
        <v>1</v>
      </c>
      <c r="CH613">
        <v>0</v>
      </c>
      <c r="CI613">
        <v>0</v>
      </c>
      <c r="CJ613">
        <v>0</v>
      </c>
      <c r="CK613">
        <v>2</v>
      </c>
      <c r="CL613">
        <v>0</v>
      </c>
      <c r="CM613">
        <v>2</v>
      </c>
      <c r="CN613">
        <v>0</v>
      </c>
      <c r="CO613">
        <v>6</v>
      </c>
      <c r="CP613" t="s">
        <v>119</v>
      </c>
      <c r="CQ613">
        <v>145</v>
      </c>
      <c r="CR613">
        <v>1</v>
      </c>
      <c r="CW613">
        <v>8946208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0</v>
      </c>
    </row>
    <row r="614" spans="1:113" x14ac:dyDescent="0.3">
      <c r="A614" t="str">
        <f>"02/13/2022 18:38:52.752"</f>
        <v>02/13/2022 18:38:52.752</v>
      </c>
      <c r="C614" t="str">
        <f t="shared" si="61"/>
        <v>FFDFD7C0</v>
      </c>
      <c r="D614" t="s">
        <v>113</v>
      </c>
      <c r="E614">
        <v>3</v>
      </c>
      <c r="F614">
        <v>1003</v>
      </c>
      <c r="G614" t="s">
        <v>114</v>
      </c>
      <c r="J614" t="s">
        <v>115</v>
      </c>
      <c r="K614">
        <v>0</v>
      </c>
      <c r="L614">
        <v>3</v>
      </c>
      <c r="M614">
        <v>0</v>
      </c>
      <c r="N614">
        <v>2</v>
      </c>
      <c r="O614">
        <v>1</v>
      </c>
      <c r="P614">
        <v>0</v>
      </c>
      <c r="Q614">
        <v>0</v>
      </c>
      <c r="S614" t="str">
        <f>"18:38:52.398"</f>
        <v>18:38:52.398</v>
      </c>
      <c r="T614" t="str">
        <f>"18:38:52.198"</f>
        <v>18:38:52.198</v>
      </c>
      <c r="U614" t="str">
        <f t="shared" si="60"/>
        <v>AAB6EE</v>
      </c>
      <c r="V614">
        <v>0</v>
      </c>
      <c r="W614">
        <v>0</v>
      </c>
      <c r="X614">
        <v>4</v>
      </c>
      <c r="Z614">
        <v>0</v>
      </c>
      <c r="AA614">
        <v>8</v>
      </c>
      <c r="AB614">
        <v>3</v>
      </c>
      <c r="AC614">
        <v>0</v>
      </c>
      <c r="AD614">
        <v>10</v>
      </c>
      <c r="AE614">
        <v>0</v>
      </c>
      <c r="AF614">
        <v>0</v>
      </c>
      <c r="AG614">
        <v>2</v>
      </c>
      <c r="AH614">
        <v>1</v>
      </c>
      <c r="AI614" t="s">
        <v>531</v>
      </c>
      <c r="AJ614">
        <v>35.413291000000001</v>
      </c>
      <c r="AK614" t="s">
        <v>532</v>
      </c>
      <c r="AL614">
        <v>-76.099311999999998</v>
      </c>
      <c r="AM614">
        <v>25</v>
      </c>
      <c r="AN614">
        <v>3425</v>
      </c>
      <c r="AO614" t="s">
        <v>118</v>
      </c>
      <c r="AP614">
        <v>-100</v>
      </c>
      <c r="AQ614">
        <v>-196</v>
      </c>
      <c r="AR614">
        <v>0</v>
      </c>
      <c r="AZ614">
        <v>4516</v>
      </c>
      <c r="BA614">
        <v>1</v>
      </c>
      <c r="BB614" t="str">
        <f t="shared" si="62"/>
        <v xml:space="preserve">N79NX   </v>
      </c>
      <c r="BC614">
        <v>1</v>
      </c>
      <c r="BE614">
        <v>0</v>
      </c>
      <c r="BF614">
        <v>0</v>
      </c>
      <c r="BG614">
        <v>0</v>
      </c>
      <c r="BH614">
        <v>3300</v>
      </c>
      <c r="BI614">
        <v>0</v>
      </c>
      <c r="BJ614">
        <v>0</v>
      </c>
      <c r="BK614">
        <v>0</v>
      </c>
      <c r="BL614">
        <v>0</v>
      </c>
      <c r="BO614">
        <v>0</v>
      </c>
      <c r="BP614">
        <v>0</v>
      </c>
      <c r="BW614" t="str">
        <f>"18:38:52.401"</f>
        <v>18:38:52.401</v>
      </c>
      <c r="BZ614">
        <v>0</v>
      </c>
      <c r="CA614">
        <v>3488</v>
      </c>
      <c r="CB614">
        <v>216</v>
      </c>
      <c r="CC614">
        <v>583.59379999999999</v>
      </c>
      <c r="CD614">
        <v>1</v>
      </c>
      <c r="CE614">
        <v>1</v>
      </c>
      <c r="CF614">
        <v>0</v>
      </c>
      <c r="CG614">
        <v>1</v>
      </c>
      <c r="CH614">
        <v>0</v>
      </c>
      <c r="CI614">
        <v>0</v>
      </c>
      <c r="CJ614">
        <v>0</v>
      </c>
      <c r="CK614">
        <v>2</v>
      </c>
      <c r="CL614">
        <v>0</v>
      </c>
      <c r="CM614">
        <v>2</v>
      </c>
      <c r="CN614">
        <v>0</v>
      </c>
      <c r="CO614">
        <v>6</v>
      </c>
      <c r="CP614" t="s">
        <v>119</v>
      </c>
      <c r="CQ614">
        <v>145</v>
      </c>
      <c r="CR614">
        <v>1</v>
      </c>
      <c r="CW614">
        <v>8946711</v>
      </c>
      <c r="CY614">
        <v>0</v>
      </c>
      <c r="CZ614">
        <v>0</v>
      </c>
      <c r="DA614">
        <v>0</v>
      </c>
      <c r="DB614">
        <v>0</v>
      </c>
      <c r="DC614">
        <v>0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0</v>
      </c>
    </row>
    <row r="615" spans="1:113" x14ac:dyDescent="0.3">
      <c r="A615" t="str">
        <f>"02/13/2022 18:38:52.752"</f>
        <v>02/13/2022 18:38:52.752</v>
      </c>
      <c r="C615" t="str">
        <f t="shared" si="61"/>
        <v>FFDFD7C0</v>
      </c>
      <c r="D615" t="s">
        <v>113</v>
      </c>
      <c r="E615">
        <v>4</v>
      </c>
      <c r="F615">
        <v>1004</v>
      </c>
      <c r="G615" t="s">
        <v>120</v>
      </c>
      <c r="J615" t="s">
        <v>115</v>
      </c>
      <c r="K615">
        <v>0</v>
      </c>
      <c r="L615">
        <v>3</v>
      </c>
      <c r="M615">
        <v>0</v>
      </c>
      <c r="N615">
        <v>2</v>
      </c>
      <c r="O615">
        <v>1</v>
      </c>
      <c r="P615">
        <v>0</v>
      </c>
      <c r="Q615">
        <v>0</v>
      </c>
      <c r="S615" t="str">
        <f>"18:38:52.398"</f>
        <v>18:38:52.398</v>
      </c>
      <c r="T615" t="str">
        <f>"18:38:52.198"</f>
        <v>18:38:52.198</v>
      </c>
      <c r="U615" t="str">
        <f t="shared" si="60"/>
        <v>AAB6EE</v>
      </c>
      <c r="V615">
        <v>0</v>
      </c>
      <c r="W615">
        <v>0</v>
      </c>
      <c r="X615">
        <v>4</v>
      </c>
      <c r="Z615">
        <v>0</v>
      </c>
      <c r="AA615">
        <v>8</v>
      </c>
      <c r="AB615">
        <v>3</v>
      </c>
      <c r="AC615">
        <v>0</v>
      </c>
      <c r="AD615">
        <v>10</v>
      </c>
      <c r="AE615">
        <v>0</v>
      </c>
      <c r="AF615">
        <v>0</v>
      </c>
      <c r="AG615">
        <v>2</v>
      </c>
      <c r="AH615">
        <v>1</v>
      </c>
      <c r="AI615" t="s">
        <v>531</v>
      </c>
      <c r="AJ615">
        <v>35.413291000000001</v>
      </c>
      <c r="AK615" t="s">
        <v>532</v>
      </c>
      <c r="AL615">
        <v>-76.099311999999998</v>
      </c>
      <c r="AM615">
        <v>25</v>
      </c>
      <c r="AN615">
        <v>3425</v>
      </c>
      <c r="AO615" t="s">
        <v>118</v>
      </c>
      <c r="AP615">
        <v>-100</v>
      </c>
      <c r="AQ615">
        <v>-196</v>
      </c>
      <c r="AR615">
        <v>0</v>
      </c>
      <c r="AZ615">
        <v>4516</v>
      </c>
      <c r="BA615">
        <v>1</v>
      </c>
      <c r="BB615" t="str">
        <f t="shared" si="62"/>
        <v xml:space="preserve">N79NX   </v>
      </c>
      <c r="BC615">
        <v>1</v>
      </c>
      <c r="BE615">
        <v>0</v>
      </c>
      <c r="BF615">
        <v>0</v>
      </c>
      <c r="BG615">
        <v>0</v>
      </c>
      <c r="BH615">
        <v>3300</v>
      </c>
      <c r="BI615">
        <v>0</v>
      </c>
      <c r="BJ615">
        <v>0</v>
      </c>
      <c r="BK615">
        <v>0</v>
      </c>
      <c r="BL615">
        <v>0</v>
      </c>
      <c r="BO615">
        <v>0</v>
      </c>
      <c r="BP615">
        <v>0</v>
      </c>
      <c r="BW615" t="str">
        <f>"18:38:52.401"</f>
        <v>18:38:52.401</v>
      </c>
      <c r="BZ615">
        <v>0</v>
      </c>
      <c r="CA615">
        <v>3488</v>
      </c>
      <c r="CB615">
        <v>216</v>
      </c>
      <c r="CC615">
        <v>583.59379999999999</v>
      </c>
      <c r="CD615">
        <v>1</v>
      </c>
      <c r="CE615">
        <v>1</v>
      </c>
      <c r="CF615">
        <v>0</v>
      </c>
      <c r="CG615">
        <v>1</v>
      </c>
      <c r="CH615">
        <v>0</v>
      </c>
      <c r="CI615">
        <v>0</v>
      </c>
      <c r="CJ615">
        <v>0</v>
      </c>
      <c r="CK615">
        <v>2</v>
      </c>
      <c r="CL615">
        <v>0</v>
      </c>
      <c r="CM615">
        <v>2</v>
      </c>
      <c r="CN615">
        <v>0</v>
      </c>
      <c r="CO615">
        <v>6</v>
      </c>
      <c r="CP615" t="s">
        <v>119</v>
      </c>
      <c r="CQ615">
        <v>145</v>
      </c>
      <c r="CR615">
        <v>1</v>
      </c>
      <c r="CW615">
        <v>8946711</v>
      </c>
      <c r="CY615">
        <v>0</v>
      </c>
      <c r="CZ615">
        <v>0</v>
      </c>
      <c r="DA615">
        <v>1</v>
      </c>
      <c r="DB615">
        <v>0</v>
      </c>
      <c r="DC615">
        <v>0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0</v>
      </c>
    </row>
    <row r="616" spans="1:113" x14ac:dyDescent="0.3">
      <c r="A616" t="str">
        <f>"02/13/2022 18:38:52.768"</f>
        <v>02/13/2022 18:38:52.768</v>
      </c>
      <c r="C616" t="str">
        <f t="shared" si="61"/>
        <v>FFDFD7C0</v>
      </c>
      <c r="D616" t="s">
        <v>121</v>
      </c>
      <c r="E616">
        <v>2</v>
      </c>
      <c r="H616">
        <v>158</v>
      </c>
      <c r="I616" t="s">
        <v>120</v>
      </c>
      <c r="J616" t="s">
        <v>122</v>
      </c>
      <c r="K616">
        <v>0</v>
      </c>
      <c r="L616">
        <v>3</v>
      </c>
      <c r="M616">
        <v>0</v>
      </c>
      <c r="N616">
        <v>2</v>
      </c>
      <c r="O616">
        <v>1</v>
      </c>
      <c r="P616">
        <v>0</v>
      </c>
      <c r="Q616">
        <v>0</v>
      </c>
      <c r="S616" t="str">
        <f>"18:38:52.398"</f>
        <v>18:38:52.398</v>
      </c>
      <c r="T616" t="str">
        <f>"18:38:52.198"</f>
        <v>18:38:52.198</v>
      </c>
      <c r="U616" t="str">
        <f t="shared" si="60"/>
        <v>AAB6EE</v>
      </c>
      <c r="V616">
        <v>0</v>
      </c>
      <c r="W616">
        <v>0</v>
      </c>
      <c r="X616">
        <v>4</v>
      </c>
      <c r="Z616">
        <v>0</v>
      </c>
      <c r="AA616">
        <v>8</v>
      </c>
      <c r="AB616">
        <v>3</v>
      </c>
      <c r="AC616">
        <v>0</v>
      </c>
      <c r="AD616">
        <v>10</v>
      </c>
      <c r="AE616">
        <v>0</v>
      </c>
      <c r="AF616">
        <v>0</v>
      </c>
      <c r="AG616">
        <v>2</v>
      </c>
      <c r="AH616">
        <v>1</v>
      </c>
      <c r="AI616" t="s">
        <v>531</v>
      </c>
      <c r="AJ616">
        <v>35.413291000000001</v>
      </c>
      <c r="AK616" t="s">
        <v>532</v>
      </c>
      <c r="AL616">
        <v>-76.099311999999998</v>
      </c>
      <c r="AM616">
        <v>25</v>
      </c>
      <c r="AN616">
        <v>3425</v>
      </c>
      <c r="AO616" t="s">
        <v>118</v>
      </c>
      <c r="AP616">
        <v>-100</v>
      </c>
      <c r="AQ616">
        <v>-196</v>
      </c>
      <c r="AR616">
        <v>0</v>
      </c>
      <c r="AZ616">
        <v>4516</v>
      </c>
      <c r="BA616">
        <v>1</v>
      </c>
      <c r="BB616" t="str">
        <f t="shared" si="62"/>
        <v xml:space="preserve">N79NX   </v>
      </c>
      <c r="BC616">
        <v>1</v>
      </c>
      <c r="BE616">
        <v>0</v>
      </c>
      <c r="BF616">
        <v>0</v>
      </c>
      <c r="BG616">
        <v>0</v>
      </c>
      <c r="BH616">
        <v>3300</v>
      </c>
      <c r="BI616">
        <v>0</v>
      </c>
      <c r="BJ616">
        <v>0</v>
      </c>
      <c r="BK616">
        <v>0</v>
      </c>
      <c r="BL616">
        <v>0</v>
      </c>
      <c r="BO616">
        <v>0</v>
      </c>
      <c r="BP616">
        <v>0</v>
      </c>
      <c r="BW616" t="str">
        <f>"18:38:52.401"</f>
        <v>18:38:52.401</v>
      </c>
      <c r="BZ616">
        <v>0</v>
      </c>
      <c r="CA616">
        <v>3488</v>
      </c>
      <c r="CB616">
        <v>216</v>
      </c>
      <c r="CC616">
        <v>583.59379999999999</v>
      </c>
      <c r="CD616">
        <v>1</v>
      </c>
      <c r="CE616">
        <v>1</v>
      </c>
      <c r="CF616">
        <v>0</v>
      </c>
      <c r="CG616">
        <v>1</v>
      </c>
      <c r="CH616">
        <v>0</v>
      </c>
      <c r="CI616">
        <v>0</v>
      </c>
      <c r="CJ616">
        <v>0</v>
      </c>
      <c r="CK616">
        <v>2</v>
      </c>
      <c r="CL616">
        <v>0</v>
      </c>
      <c r="CM616">
        <v>2</v>
      </c>
      <c r="CN616">
        <v>0</v>
      </c>
      <c r="CO616">
        <v>6</v>
      </c>
      <c r="CP616" t="s">
        <v>119</v>
      </c>
      <c r="CQ616">
        <v>145</v>
      </c>
      <c r="CR616">
        <v>1</v>
      </c>
      <c r="CW616">
        <v>8946711</v>
      </c>
      <c r="CY616">
        <v>0</v>
      </c>
      <c r="CZ616">
        <v>0</v>
      </c>
      <c r="DA616">
        <v>1</v>
      </c>
      <c r="DB616">
        <v>0</v>
      </c>
      <c r="DC616">
        <v>0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0</v>
      </c>
    </row>
    <row r="617" spans="1:113" x14ac:dyDescent="0.3">
      <c r="A617" t="str">
        <f>"02/13/2022 18:38:53.627"</f>
        <v>02/13/2022 18:38:53.627</v>
      </c>
      <c r="C617" t="str">
        <f t="shared" si="61"/>
        <v>FFDFD7C0</v>
      </c>
      <c r="D617" t="s">
        <v>113</v>
      </c>
      <c r="E617">
        <v>3</v>
      </c>
      <c r="F617">
        <v>1003</v>
      </c>
      <c r="G617" t="s">
        <v>114</v>
      </c>
      <c r="J617" t="s">
        <v>115</v>
      </c>
      <c r="K617">
        <v>0</v>
      </c>
      <c r="L617">
        <v>3</v>
      </c>
      <c r="M617">
        <v>0</v>
      </c>
      <c r="N617">
        <v>2</v>
      </c>
      <c r="O617">
        <v>1</v>
      </c>
      <c r="P617">
        <v>0</v>
      </c>
      <c r="Q617">
        <v>0</v>
      </c>
      <c r="S617" t="str">
        <f>"18:38:53.391"</f>
        <v>18:38:53.391</v>
      </c>
      <c r="T617" t="str">
        <f>"18:38:53.291"</f>
        <v>18:38:53.291</v>
      </c>
      <c r="U617" t="str">
        <f t="shared" si="60"/>
        <v>AAB6EE</v>
      </c>
      <c r="V617">
        <v>0</v>
      </c>
      <c r="W617">
        <v>0</v>
      </c>
      <c r="X617">
        <v>4</v>
      </c>
      <c r="Z617">
        <v>0</v>
      </c>
      <c r="AA617">
        <v>8</v>
      </c>
      <c r="AB617">
        <v>3</v>
      </c>
      <c r="AC617">
        <v>0</v>
      </c>
      <c r="AD617">
        <v>10</v>
      </c>
      <c r="AE617">
        <v>0</v>
      </c>
      <c r="AF617">
        <v>0</v>
      </c>
      <c r="AG617">
        <v>2</v>
      </c>
      <c r="AH617">
        <v>1</v>
      </c>
      <c r="AI617" t="s">
        <v>533</v>
      </c>
      <c r="AJ617">
        <v>35.412368999999998</v>
      </c>
      <c r="AK617" t="s">
        <v>534</v>
      </c>
      <c r="AL617">
        <v>-76.099891999999997</v>
      </c>
      <c r="AM617">
        <v>25</v>
      </c>
      <c r="AN617">
        <v>3425</v>
      </c>
      <c r="AO617" t="s">
        <v>118</v>
      </c>
      <c r="AP617">
        <v>-100</v>
      </c>
      <c r="AQ617">
        <v>-196</v>
      </c>
      <c r="AR617">
        <v>0</v>
      </c>
      <c r="AZ617">
        <v>4516</v>
      </c>
      <c r="BA617">
        <v>1</v>
      </c>
      <c r="BB617" t="str">
        <f t="shared" si="62"/>
        <v xml:space="preserve">N79NX   </v>
      </c>
      <c r="BC617">
        <v>1</v>
      </c>
      <c r="BE617">
        <v>0</v>
      </c>
      <c r="BF617">
        <v>0</v>
      </c>
      <c r="BG617">
        <v>0</v>
      </c>
      <c r="BH617">
        <v>3275</v>
      </c>
      <c r="BI617">
        <v>0</v>
      </c>
      <c r="BJ617">
        <v>0</v>
      </c>
      <c r="BK617">
        <v>0</v>
      </c>
      <c r="BL617">
        <v>0</v>
      </c>
      <c r="BO617">
        <v>0</v>
      </c>
      <c r="BP617">
        <v>0</v>
      </c>
      <c r="BW617" t="str">
        <f>"18:38:53.391"</f>
        <v>18:38:53.391</v>
      </c>
      <c r="BZ617">
        <v>0</v>
      </c>
      <c r="CA617">
        <v>3488</v>
      </c>
      <c r="CB617">
        <v>216</v>
      </c>
      <c r="CC617">
        <v>583.59379999999999</v>
      </c>
      <c r="CD617">
        <v>1</v>
      </c>
      <c r="CE617">
        <v>1</v>
      </c>
      <c r="CF617">
        <v>0</v>
      </c>
      <c r="CG617">
        <v>1</v>
      </c>
      <c r="CH617">
        <v>0</v>
      </c>
      <c r="CI617">
        <v>0</v>
      </c>
      <c r="CJ617">
        <v>0</v>
      </c>
      <c r="CK617">
        <v>2</v>
      </c>
      <c r="CL617">
        <v>0</v>
      </c>
      <c r="CM617">
        <v>2</v>
      </c>
      <c r="CN617">
        <v>0</v>
      </c>
      <c r="CO617">
        <v>6</v>
      </c>
      <c r="CP617" t="s">
        <v>119</v>
      </c>
      <c r="CQ617">
        <v>145</v>
      </c>
      <c r="CR617">
        <v>1</v>
      </c>
      <c r="CW617">
        <v>8947209</v>
      </c>
      <c r="CY617">
        <v>0</v>
      </c>
      <c r="CZ617">
        <v>0</v>
      </c>
      <c r="DA617">
        <v>0</v>
      </c>
      <c r="DB617">
        <v>0</v>
      </c>
      <c r="DC617">
        <v>0</v>
      </c>
      <c r="DD617">
        <v>0</v>
      </c>
      <c r="DE617">
        <v>0</v>
      </c>
      <c r="DF617">
        <v>0</v>
      </c>
      <c r="DG617">
        <v>0</v>
      </c>
      <c r="DH617">
        <v>0</v>
      </c>
      <c r="DI617">
        <v>0</v>
      </c>
    </row>
    <row r="618" spans="1:113" x14ac:dyDescent="0.3">
      <c r="A618" t="str">
        <f>"02/13/2022 18:38:53.627"</f>
        <v>02/13/2022 18:38:53.627</v>
      </c>
      <c r="C618" t="str">
        <f t="shared" si="61"/>
        <v>FFDFD7C0</v>
      </c>
      <c r="D618" t="s">
        <v>113</v>
      </c>
      <c r="E618">
        <v>4</v>
      </c>
      <c r="F618">
        <v>1004</v>
      </c>
      <c r="G618" t="s">
        <v>120</v>
      </c>
      <c r="J618" t="s">
        <v>115</v>
      </c>
      <c r="K618">
        <v>0</v>
      </c>
      <c r="L618">
        <v>3</v>
      </c>
      <c r="M618">
        <v>0</v>
      </c>
      <c r="N618">
        <v>2</v>
      </c>
      <c r="O618">
        <v>1</v>
      </c>
      <c r="P618">
        <v>0</v>
      </c>
      <c r="Q618">
        <v>0</v>
      </c>
      <c r="S618" t="str">
        <f>"18:38:53.391"</f>
        <v>18:38:53.391</v>
      </c>
      <c r="T618" t="str">
        <f>"18:38:53.291"</f>
        <v>18:38:53.291</v>
      </c>
      <c r="U618" t="str">
        <f t="shared" si="60"/>
        <v>AAB6EE</v>
      </c>
      <c r="V618">
        <v>0</v>
      </c>
      <c r="W618">
        <v>0</v>
      </c>
      <c r="X618">
        <v>4</v>
      </c>
      <c r="Z618">
        <v>0</v>
      </c>
      <c r="AA618">
        <v>8</v>
      </c>
      <c r="AB618">
        <v>3</v>
      </c>
      <c r="AC618">
        <v>0</v>
      </c>
      <c r="AD618">
        <v>10</v>
      </c>
      <c r="AE618">
        <v>0</v>
      </c>
      <c r="AF618">
        <v>0</v>
      </c>
      <c r="AG618">
        <v>2</v>
      </c>
      <c r="AH618">
        <v>1</v>
      </c>
      <c r="AI618" t="s">
        <v>533</v>
      </c>
      <c r="AJ618">
        <v>35.412368999999998</v>
      </c>
      <c r="AK618" t="s">
        <v>534</v>
      </c>
      <c r="AL618">
        <v>-76.099891999999997</v>
      </c>
      <c r="AM618">
        <v>25</v>
      </c>
      <c r="AN618">
        <v>3425</v>
      </c>
      <c r="AO618" t="s">
        <v>118</v>
      </c>
      <c r="AP618">
        <v>-100</v>
      </c>
      <c r="AQ618">
        <v>-196</v>
      </c>
      <c r="AR618">
        <v>0</v>
      </c>
      <c r="AZ618">
        <v>4516</v>
      </c>
      <c r="BA618">
        <v>1</v>
      </c>
      <c r="BB618" t="str">
        <f t="shared" si="62"/>
        <v xml:space="preserve">N79NX   </v>
      </c>
      <c r="BC618">
        <v>1</v>
      </c>
      <c r="BE618">
        <v>0</v>
      </c>
      <c r="BF618">
        <v>0</v>
      </c>
      <c r="BG618">
        <v>0</v>
      </c>
      <c r="BH618">
        <v>3275</v>
      </c>
      <c r="BI618">
        <v>0</v>
      </c>
      <c r="BJ618">
        <v>0</v>
      </c>
      <c r="BK618">
        <v>0</v>
      </c>
      <c r="BL618">
        <v>0</v>
      </c>
      <c r="BO618">
        <v>0</v>
      </c>
      <c r="BP618">
        <v>0</v>
      </c>
      <c r="BW618" t="str">
        <f>"18:38:53.391"</f>
        <v>18:38:53.391</v>
      </c>
      <c r="BZ618">
        <v>0</v>
      </c>
      <c r="CA618">
        <v>3488</v>
      </c>
      <c r="CB618">
        <v>216</v>
      </c>
      <c r="CC618">
        <v>583.59379999999999</v>
      </c>
      <c r="CD618">
        <v>1</v>
      </c>
      <c r="CE618">
        <v>1</v>
      </c>
      <c r="CF618">
        <v>0</v>
      </c>
      <c r="CG618">
        <v>1</v>
      </c>
      <c r="CH618">
        <v>0</v>
      </c>
      <c r="CI618">
        <v>0</v>
      </c>
      <c r="CJ618">
        <v>0</v>
      </c>
      <c r="CK618">
        <v>2</v>
      </c>
      <c r="CL618">
        <v>0</v>
      </c>
      <c r="CM618">
        <v>2</v>
      </c>
      <c r="CN618">
        <v>0</v>
      </c>
      <c r="CO618">
        <v>6</v>
      </c>
      <c r="CP618" t="s">
        <v>119</v>
      </c>
      <c r="CQ618">
        <v>145</v>
      </c>
      <c r="CR618">
        <v>1</v>
      </c>
      <c r="CW618">
        <v>8947209</v>
      </c>
      <c r="CY618">
        <v>0</v>
      </c>
      <c r="CZ618">
        <v>0</v>
      </c>
      <c r="DA618">
        <v>1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0</v>
      </c>
    </row>
    <row r="619" spans="1:113" x14ac:dyDescent="0.3">
      <c r="A619" t="str">
        <f>"02/13/2022 18:38:53.627"</f>
        <v>02/13/2022 18:38:53.627</v>
      </c>
      <c r="C619" t="str">
        <f t="shared" si="61"/>
        <v>FFDFD7C0</v>
      </c>
      <c r="D619" t="s">
        <v>121</v>
      </c>
      <c r="E619">
        <v>2</v>
      </c>
      <c r="H619">
        <v>158</v>
      </c>
      <c r="I619" t="s">
        <v>120</v>
      </c>
      <c r="J619" t="s">
        <v>122</v>
      </c>
      <c r="K619">
        <v>0</v>
      </c>
      <c r="L619">
        <v>3</v>
      </c>
      <c r="M619">
        <v>0</v>
      </c>
      <c r="N619">
        <v>2</v>
      </c>
      <c r="O619">
        <v>1</v>
      </c>
      <c r="P619">
        <v>0</v>
      </c>
      <c r="Q619">
        <v>0</v>
      </c>
      <c r="S619" t="str">
        <f>"18:38:53.391"</f>
        <v>18:38:53.391</v>
      </c>
      <c r="T619" t="str">
        <f>"18:38:53.291"</f>
        <v>18:38:53.291</v>
      </c>
      <c r="U619" t="str">
        <f t="shared" si="60"/>
        <v>AAB6EE</v>
      </c>
      <c r="V619">
        <v>0</v>
      </c>
      <c r="W619">
        <v>0</v>
      </c>
      <c r="X619">
        <v>4</v>
      </c>
      <c r="Z619">
        <v>0</v>
      </c>
      <c r="AA619">
        <v>8</v>
      </c>
      <c r="AB619">
        <v>3</v>
      </c>
      <c r="AC619">
        <v>0</v>
      </c>
      <c r="AD619">
        <v>10</v>
      </c>
      <c r="AE619">
        <v>0</v>
      </c>
      <c r="AF619">
        <v>0</v>
      </c>
      <c r="AG619">
        <v>2</v>
      </c>
      <c r="AH619">
        <v>1</v>
      </c>
      <c r="AI619" t="s">
        <v>533</v>
      </c>
      <c r="AJ619">
        <v>35.412368999999998</v>
      </c>
      <c r="AK619" t="s">
        <v>534</v>
      </c>
      <c r="AL619">
        <v>-76.099891999999997</v>
      </c>
      <c r="AM619">
        <v>25</v>
      </c>
      <c r="AN619">
        <v>3425</v>
      </c>
      <c r="AO619" t="s">
        <v>118</v>
      </c>
      <c r="AP619">
        <v>-100</v>
      </c>
      <c r="AQ619">
        <v>-196</v>
      </c>
      <c r="AR619">
        <v>0</v>
      </c>
      <c r="AZ619">
        <v>4516</v>
      </c>
      <c r="BA619">
        <v>1</v>
      </c>
      <c r="BB619" t="str">
        <f t="shared" si="62"/>
        <v xml:space="preserve">N79NX   </v>
      </c>
      <c r="BC619">
        <v>1</v>
      </c>
      <c r="BE619">
        <v>0</v>
      </c>
      <c r="BF619">
        <v>0</v>
      </c>
      <c r="BG619">
        <v>0</v>
      </c>
      <c r="BH619">
        <v>3275</v>
      </c>
      <c r="BI619">
        <v>0</v>
      </c>
      <c r="BJ619">
        <v>0</v>
      </c>
      <c r="BK619">
        <v>0</v>
      </c>
      <c r="BL619">
        <v>0</v>
      </c>
      <c r="BO619">
        <v>0</v>
      </c>
      <c r="BP619">
        <v>0</v>
      </c>
      <c r="BW619" t="str">
        <f>"18:38:53.391"</f>
        <v>18:38:53.391</v>
      </c>
      <c r="BZ619">
        <v>0</v>
      </c>
      <c r="CA619">
        <v>3488</v>
      </c>
      <c r="CB619">
        <v>216</v>
      </c>
      <c r="CC619">
        <v>583.59379999999999</v>
      </c>
      <c r="CD619">
        <v>1</v>
      </c>
      <c r="CE619">
        <v>1</v>
      </c>
      <c r="CF619">
        <v>0</v>
      </c>
      <c r="CG619">
        <v>1</v>
      </c>
      <c r="CH619">
        <v>0</v>
      </c>
      <c r="CI619">
        <v>0</v>
      </c>
      <c r="CJ619">
        <v>0</v>
      </c>
      <c r="CK619">
        <v>2</v>
      </c>
      <c r="CL619">
        <v>0</v>
      </c>
      <c r="CM619">
        <v>2</v>
      </c>
      <c r="CN619">
        <v>0</v>
      </c>
      <c r="CO619">
        <v>6</v>
      </c>
      <c r="CP619" t="s">
        <v>119</v>
      </c>
      <c r="CQ619">
        <v>145</v>
      </c>
      <c r="CR619">
        <v>1</v>
      </c>
      <c r="CW619">
        <v>8947209</v>
      </c>
      <c r="CY619">
        <v>0</v>
      </c>
      <c r="CZ619">
        <v>0</v>
      </c>
      <c r="DA619">
        <v>1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</row>
    <row r="620" spans="1:113" x14ac:dyDescent="0.3">
      <c r="A620" t="str">
        <f>"02/13/2022 18:38:54.520"</f>
        <v>02/13/2022 18:38:54.520</v>
      </c>
      <c r="C620" t="str">
        <f t="shared" si="61"/>
        <v>FFDFD7C0</v>
      </c>
      <c r="D620" t="s">
        <v>121</v>
      </c>
      <c r="E620">
        <v>2</v>
      </c>
      <c r="H620">
        <v>158</v>
      </c>
      <c r="I620" t="s">
        <v>120</v>
      </c>
      <c r="J620" t="s">
        <v>122</v>
      </c>
      <c r="K620">
        <v>0</v>
      </c>
      <c r="L620">
        <v>3</v>
      </c>
      <c r="M620">
        <v>0</v>
      </c>
      <c r="N620">
        <v>2</v>
      </c>
      <c r="O620">
        <v>1</v>
      </c>
      <c r="P620">
        <v>0</v>
      </c>
      <c r="Q620">
        <v>0</v>
      </c>
      <c r="S620" t="str">
        <f>"18:38:54.320"</f>
        <v>18:38:54.320</v>
      </c>
      <c r="T620" t="str">
        <f>"18:38:54.220"</f>
        <v>18:38:54.220</v>
      </c>
      <c r="U620" t="str">
        <f t="shared" si="60"/>
        <v>AAB6EE</v>
      </c>
      <c r="V620">
        <v>0</v>
      </c>
      <c r="W620">
        <v>0</v>
      </c>
      <c r="X620">
        <v>4</v>
      </c>
      <c r="Z620">
        <v>0</v>
      </c>
      <c r="AA620">
        <v>8</v>
      </c>
      <c r="AB620">
        <v>3</v>
      </c>
      <c r="AC620">
        <v>0</v>
      </c>
      <c r="AD620">
        <v>10</v>
      </c>
      <c r="AE620">
        <v>0</v>
      </c>
      <c r="AF620">
        <v>0</v>
      </c>
      <c r="AG620">
        <v>2</v>
      </c>
      <c r="AH620">
        <v>1</v>
      </c>
      <c r="AI620" t="s">
        <v>535</v>
      </c>
      <c r="AJ620">
        <v>35.411445999999998</v>
      </c>
      <c r="AK620" t="s">
        <v>536</v>
      </c>
      <c r="AL620">
        <v>-76.100470999999999</v>
      </c>
      <c r="AM620">
        <v>25</v>
      </c>
      <c r="AN620">
        <v>3425</v>
      </c>
      <c r="AO620" t="s">
        <v>118</v>
      </c>
      <c r="AP620">
        <v>-100</v>
      </c>
      <c r="AQ620">
        <v>-196</v>
      </c>
      <c r="AR620">
        <v>0</v>
      </c>
      <c r="AZ620">
        <v>4516</v>
      </c>
      <c r="BA620">
        <v>1</v>
      </c>
      <c r="BB620" t="str">
        <f t="shared" si="62"/>
        <v xml:space="preserve">N79NX   </v>
      </c>
      <c r="BC620">
        <v>1</v>
      </c>
      <c r="BE620">
        <v>0</v>
      </c>
      <c r="BF620">
        <v>0</v>
      </c>
      <c r="BG620">
        <v>0</v>
      </c>
      <c r="BH620">
        <v>3300</v>
      </c>
      <c r="BI620">
        <v>0</v>
      </c>
      <c r="BJ620">
        <v>0</v>
      </c>
      <c r="BK620">
        <v>0</v>
      </c>
      <c r="BL620">
        <v>0</v>
      </c>
      <c r="BO620">
        <v>0</v>
      </c>
      <c r="BP620">
        <v>0</v>
      </c>
      <c r="BW620" t="str">
        <f>"18:38:54.321"</f>
        <v>18:38:54.321</v>
      </c>
      <c r="BZ620">
        <v>0</v>
      </c>
      <c r="CA620">
        <v>3488</v>
      </c>
      <c r="CB620">
        <v>216</v>
      </c>
      <c r="CC620">
        <v>583.59379999999999</v>
      </c>
      <c r="CD620">
        <v>1</v>
      </c>
      <c r="CE620">
        <v>1</v>
      </c>
      <c r="CF620">
        <v>0</v>
      </c>
      <c r="CG620">
        <v>1</v>
      </c>
      <c r="CH620">
        <v>0</v>
      </c>
      <c r="CI620">
        <v>0</v>
      </c>
      <c r="CJ620">
        <v>0</v>
      </c>
      <c r="CK620">
        <v>2</v>
      </c>
      <c r="CL620">
        <v>0</v>
      </c>
      <c r="CM620">
        <v>2</v>
      </c>
      <c r="CN620">
        <v>0</v>
      </c>
      <c r="CO620">
        <v>6</v>
      </c>
      <c r="CP620" t="s">
        <v>119</v>
      </c>
      <c r="CQ620">
        <v>145</v>
      </c>
      <c r="CR620">
        <v>1</v>
      </c>
      <c r="CW620">
        <v>8947618</v>
      </c>
      <c r="CY620">
        <v>0</v>
      </c>
      <c r="CZ620">
        <v>0</v>
      </c>
      <c r="DA620">
        <v>0</v>
      </c>
      <c r="DB620">
        <v>0</v>
      </c>
      <c r="DC620">
        <v>0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</row>
    <row r="621" spans="1:113" x14ac:dyDescent="0.3">
      <c r="A621" t="str">
        <f>"02/13/2022 18:38:54.614"</f>
        <v>02/13/2022 18:38:54.614</v>
      </c>
      <c r="C621" t="str">
        <f t="shared" si="61"/>
        <v>FFDFD7C0</v>
      </c>
      <c r="D621" t="s">
        <v>113</v>
      </c>
      <c r="E621">
        <v>3</v>
      </c>
      <c r="F621">
        <v>1003</v>
      </c>
      <c r="G621" t="s">
        <v>114</v>
      </c>
      <c r="J621" t="s">
        <v>115</v>
      </c>
      <c r="K621">
        <v>0</v>
      </c>
      <c r="L621">
        <v>3</v>
      </c>
      <c r="M621">
        <v>0</v>
      </c>
      <c r="N621">
        <v>2</v>
      </c>
      <c r="O621">
        <v>1</v>
      </c>
      <c r="P621">
        <v>0</v>
      </c>
      <c r="Q621">
        <v>0</v>
      </c>
      <c r="S621" t="str">
        <f>"18:38:54.320"</f>
        <v>18:38:54.320</v>
      </c>
      <c r="T621" t="str">
        <f>"18:38:54.220"</f>
        <v>18:38:54.220</v>
      </c>
      <c r="U621" t="str">
        <f t="shared" si="60"/>
        <v>AAB6EE</v>
      </c>
      <c r="V621">
        <v>0</v>
      </c>
      <c r="W621">
        <v>0</v>
      </c>
      <c r="X621">
        <v>4</v>
      </c>
      <c r="Z621">
        <v>0</v>
      </c>
      <c r="AA621">
        <v>8</v>
      </c>
      <c r="AB621">
        <v>3</v>
      </c>
      <c r="AC621">
        <v>0</v>
      </c>
      <c r="AD621">
        <v>10</v>
      </c>
      <c r="AE621">
        <v>0</v>
      </c>
      <c r="AF621">
        <v>0</v>
      </c>
      <c r="AG621">
        <v>2</v>
      </c>
      <c r="AH621">
        <v>1</v>
      </c>
      <c r="AI621" t="s">
        <v>535</v>
      </c>
      <c r="AJ621">
        <v>35.411445999999998</v>
      </c>
      <c r="AK621" t="s">
        <v>536</v>
      </c>
      <c r="AL621">
        <v>-76.100470999999999</v>
      </c>
      <c r="AM621">
        <v>25</v>
      </c>
      <c r="AN621">
        <v>3425</v>
      </c>
      <c r="AO621" t="s">
        <v>118</v>
      </c>
      <c r="AP621">
        <v>-100</v>
      </c>
      <c r="AQ621">
        <v>-196</v>
      </c>
      <c r="AR621">
        <v>0</v>
      </c>
      <c r="AZ621">
        <v>4516</v>
      </c>
      <c r="BA621">
        <v>1</v>
      </c>
      <c r="BB621" t="str">
        <f t="shared" si="62"/>
        <v xml:space="preserve">N79NX   </v>
      </c>
      <c r="BC621">
        <v>1</v>
      </c>
      <c r="BE621">
        <v>0</v>
      </c>
      <c r="BF621">
        <v>0</v>
      </c>
      <c r="BG621">
        <v>0</v>
      </c>
      <c r="BH621">
        <v>3300</v>
      </c>
      <c r="BI621">
        <v>0</v>
      </c>
      <c r="BJ621">
        <v>0</v>
      </c>
      <c r="BK621">
        <v>0</v>
      </c>
      <c r="BL621">
        <v>0</v>
      </c>
      <c r="BO621">
        <v>0</v>
      </c>
      <c r="BP621">
        <v>0</v>
      </c>
      <c r="BW621" t="str">
        <f>"18:38:54.321"</f>
        <v>18:38:54.321</v>
      </c>
      <c r="BZ621">
        <v>0</v>
      </c>
      <c r="CA621">
        <v>3488</v>
      </c>
      <c r="CB621">
        <v>216</v>
      </c>
      <c r="CC621">
        <v>583.59379999999999</v>
      </c>
      <c r="CD621">
        <v>1</v>
      </c>
      <c r="CE621">
        <v>1</v>
      </c>
      <c r="CF621">
        <v>0</v>
      </c>
      <c r="CG621">
        <v>1</v>
      </c>
      <c r="CH621">
        <v>0</v>
      </c>
      <c r="CI621">
        <v>0</v>
      </c>
      <c r="CJ621">
        <v>0</v>
      </c>
      <c r="CK621">
        <v>2</v>
      </c>
      <c r="CL621">
        <v>0</v>
      </c>
      <c r="CM621">
        <v>2</v>
      </c>
      <c r="CN621">
        <v>0</v>
      </c>
      <c r="CO621">
        <v>6</v>
      </c>
      <c r="CP621" t="s">
        <v>119</v>
      </c>
      <c r="CQ621">
        <v>145</v>
      </c>
      <c r="CR621">
        <v>1</v>
      </c>
      <c r="CW621">
        <v>8947618</v>
      </c>
      <c r="CY621">
        <v>0</v>
      </c>
      <c r="CZ621">
        <v>0</v>
      </c>
      <c r="DA621">
        <v>1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</row>
    <row r="622" spans="1:113" x14ac:dyDescent="0.3">
      <c r="A622" t="str">
        <f>"02/13/2022 18:38:54.614"</f>
        <v>02/13/2022 18:38:54.614</v>
      </c>
      <c r="C622" t="str">
        <f t="shared" si="61"/>
        <v>FFDFD7C0</v>
      </c>
      <c r="D622" t="s">
        <v>113</v>
      </c>
      <c r="E622">
        <v>4</v>
      </c>
      <c r="F622">
        <v>1004</v>
      </c>
      <c r="G622" t="s">
        <v>120</v>
      </c>
      <c r="J622" t="s">
        <v>115</v>
      </c>
      <c r="K622">
        <v>0</v>
      </c>
      <c r="L622">
        <v>3</v>
      </c>
      <c r="M622">
        <v>0</v>
      </c>
      <c r="N622">
        <v>2</v>
      </c>
      <c r="O622">
        <v>1</v>
      </c>
      <c r="P622">
        <v>0</v>
      </c>
      <c r="Q622">
        <v>0</v>
      </c>
      <c r="S622" t="str">
        <f>"18:38:54.320"</f>
        <v>18:38:54.320</v>
      </c>
      <c r="T622" t="str">
        <f>"18:38:54.220"</f>
        <v>18:38:54.220</v>
      </c>
      <c r="U622" t="str">
        <f t="shared" si="60"/>
        <v>AAB6EE</v>
      </c>
      <c r="V622">
        <v>0</v>
      </c>
      <c r="W622">
        <v>0</v>
      </c>
      <c r="X622">
        <v>4</v>
      </c>
      <c r="Z622">
        <v>0</v>
      </c>
      <c r="AA622">
        <v>8</v>
      </c>
      <c r="AB622">
        <v>3</v>
      </c>
      <c r="AC622">
        <v>0</v>
      </c>
      <c r="AD622">
        <v>10</v>
      </c>
      <c r="AE622">
        <v>0</v>
      </c>
      <c r="AF622">
        <v>0</v>
      </c>
      <c r="AG622">
        <v>2</v>
      </c>
      <c r="AH622">
        <v>1</v>
      </c>
      <c r="AI622" t="s">
        <v>535</v>
      </c>
      <c r="AJ622">
        <v>35.411445999999998</v>
      </c>
      <c r="AK622" t="s">
        <v>536</v>
      </c>
      <c r="AL622">
        <v>-76.100470999999999</v>
      </c>
      <c r="AM622">
        <v>25</v>
      </c>
      <c r="AN622">
        <v>3425</v>
      </c>
      <c r="AO622" t="s">
        <v>118</v>
      </c>
      <c r="AP622">
        <v>-100</v>
      </c>
      <c r="AQ622">
        <v>-196</v>
      </c>
      <c r="AR622">
        <v>0</v>
      </c>
      <c r="AZ622">
        <v>4516</v>
      </c>
      <c r="BA622">
        <v>1</v>
      </c>
      <c r="BB622" t="str">
        <f t="shared" si="62"/>
        <v xml:space="preserve">N79NX   </v>
      </c>
      <c r="BC622">
        <v>1</v>
      </c>
      <c r="BE622">
        <v>0</v>
      </c>
      <c r="BF622">
        <v>0</v>
      </c>
      <c r="BG622">
        <v>0</v>
      </c>
      <c r="BH622">
        <v>3300</v>
      </c>
      <c r="BI622">
        <v>0</v>
      </c>
      <c r="BJ622">
        <v>0</v>
      </c>
      <c r="BK622">
        <v>0</v>
      </c>
      <c r="BL622">
        <v>0</v>
      </c>
      <c r="BO622">
        <v>0</v>
      </c>
      <c r="BP622">
        <v>0</v>
      </c>
      <c r="BW622" t="str">
        <f>"18:38:54.321"</f>
        <v>18:38:54.321</v>
      </c>
      <c r="BZ622">
        <v>0</v>
      </c>
      <c r="CA622">
        <v>3488</v>
      </c>
      <c r="CB622">
        <v>216</v>
      </c>
      <c r="CC622">
        <v>583.59379999999999</v>
      </c>
      <c r="CD622">
        <v>1</v>
      </c>
      <c r="CE622">
        <v>1</v>
      </c>
      <c r="CF622">
        <v>0</v>
      </c>
      <c r="CG622">
        <v>1</v>
      </c>
      <c r="CH622">
        <v>0</v>
      </c>
      <c r="CI622">
        <v>0</v>
      </c>
      <c r="CJ622">
        <v>0</v>
      </c>
      <c r="CK622">
        <v>2</v>
      </c>
      <c r="CL622">
        <v>0</v>
      </c>
      <c r="CM622">
        <v>2</v>
      </c>
      <c r="CN622">
        <v>0</v>
      </c>
      <c r="CO622">
        <v>6</v>
      </c>
      <c r="CP622" t="s">
        <v>119</v>
      </c>
      <c r="CQ622">
        <v>145</v>
      </c>
      <c r="CR622">
        <v>1</v>
      </c>
      <c r="CW622">
        <v>8947618</v>
      </c>
      <c r="CY622">
        <v>0</v>
      </c>
      <c r="CZ622">
        <v>0</v>
      </c>
      <c r="DA622">
        <v>1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</row>
    <row r="623" spans="1:113" x14ac:dyDescent="0.3">
      <c r="A623" t="str">
        <f>"02/13/2022 18:38:55.599"</f>
        <v>02/13/2022 18:38:55.599</v>
      </c>
      <c r="C623" t="str">
        <f t="shared" si="61"/>
        <v>FFDFD7C0</v>
      </c>
      <c r="D623" t="s">
        <v>113</v>
      </c>
      <c r="E623">
        <v>3</v>
      </c>
      <c r="F623">
        <v>1003</v>
      </c>
      <c r="G623" t="s">
        <v>114</v>
      </c>
      <c r="J623" t="s">
        <v>115</v>
      </c>
      <c r="K623">
        <v>0</v>
      </c>
      <c r="L623">
        <v>3</v>
      </c>
      <c r="M623">
        <v>0</v>
      </c>
      <c r="N623">
        <v>2</v>
      </c>
      <c r="O623">
        <v>1</v>
      </c>
      <c r="P623">
        <v>0</v>
      </c>
      <c r="Q623">
        <v>0</v>
      </c>
      <c r="S623" t="str">
        <f>"18:38:55.391"</f>
        <v>18:38:55.391</v>
      </c>
      <c r="T623" t="str">
        <f>"18:38:55.191"</f>
        <v>18:38:55.191</v>
      </c>
      <c r="U623" t="str">
        <f t="shared" si="60"/>
        <v>AAB6EE</v>
      </c>
      <c r="V623">
        <v>0</v>
      </c>
      <c r="W623">
        <v>0</v>
      </c>
      <c r="X623">
        <v>4</v>
      </c>
      <c r="Z623">
        <v>0</v>
      </c>
      <c r="AA623">
        <v>8</v>
      </c>
      <c r="AB623">
        <v>3</v>
      </c>
      <c r="AC623">
        <v>0</v>
      </c>
      <c r="AD623">
        <v>10</v>
      </c>
      <c r="AE623">
        <v>0</v>
      </c>
      <c r="AF623">
        <v>0</v>
      </c>
      <c r="AG623">
        <v>2</v>
      </c>
      <c r="AH623">
        <v>1</v>
      </c>
      <c r="AI623" t="s">
        <v>537</v>
      </c>
      <c r="AJ623">
        <v>35.410544999999999</v>
      </c>
      <c r="AK623" t="s">
        <v>538</v>
      </c>
      <c r="AL623">
        <v>-76.101028999999997</v>
      </c>
      <c r="AM623">
        <v>25</v>
      </c>
      <c r="AN623">
        <v>3425</v>
      </c>
      <c r="AO623" t="s">
        <v>118</v>
      </c>
      <c r="AP623">
        <v>-100</v>
      </c>
      <c r="AQ623">
        <v>-196</v>
      </c>
      <c r="AR623">
        <v>64</v>
      </c>
      <c r="AZ623">
        <v>4516</v>
      </c>
      <c r="BA623">
        <v>1</v>
      </c>
      <c r="BB623" t="str">
        <f t="shared" si="62"/>
        <v xml:space="preserve">N79NX   </v>
      </c>
      <c r="BC623">
        <v>1</v>
      </c>
      <c r="BE623">
        <v>0</v>
      </c>
      <c r="BF623">
        <v>0</v>
      </c>
      <c r="BG623">
        <v>0</v>
      </c>
      <c r="BH623">
        <v>3300</v>
      </c>
      <c r="BI623">
        <v>0</v>
      </c>
      <c r="BJ623">
        <v>0</v>
      </c>
      <c r="BK623">
        <v>0</v>
      </c>
      <c r="BL623">
        <v>0</v>
      </c>
      <c r="BO623">
        <v>0</v>
      </c>
      <c r="BP623">
        <v>0</v>
      </c>
      <c r="BW623" t="str">
        <f>"18:38:55.391"</f>
        <v>18:38:55.391</v>
      </c>
      <c r="BZ623">
        <v>0</v>
      </c>
      <c r="CA623">
        <v>3488</v>
      </c>
      <c r="CB623">
        <v>216</v>
      </c>
      <c r="CC623">
        <v>583.59379999999999</v>
      </c>
      <c r="CD623">
        <v>1</v>
      </c>
      <c r="CE623">
        <v>1</v>
      </c>
      <c r="CF623">
        <v>0</v>
      </c>
      <c r="CG623">
        <v>1</v>
      </c>
      <c r="CH623">
        <v>0</v>
      </c>
      <c r="CI623">
        <v>0</v>
      </c>
      <c r="CJ623">
        <v>0</v>
      </c>
      <c r="CK623">
        <v>2</v>
      </c>
      <c r="CL623">
        <v>0</v>
      </c>
      <c r="CM623">
        <v>2</v>
      </c>
      <c r="CN623">
        <v>0</v>
      </c>
      <c r="CO623">
        <v>6</v>
      </c>
      <c r="CP623" t="s">
        <v>119</v>
      </c>
      <c r="CQ623">
        <v>145</v>
      </c>
      <c r="CR623">
        <v>1</v>
      </c>
      <c r="CW623">
        <v>8948072</v>
      </c>
      <c r="CY623">
        <v>0</v>
      </c>
      <c r="CZ623">
        <v>0</v>
      </c>
      <c r="DA623">
        <v>0</v>
      </c>
      <c r="DB623">
        <v>0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</row>
    <row r="624" spans="1:113" x14ac:dyDescent="0.3">
      <c r="A624" t="str">
        <f>"02/13/2022 18:38:55.599"</f>
        <v>02/13/2022 18:38:55.599</v>
      </c>
      <c r="C624" t="str">
        <f t="shared" si="61"/>
        <v>FFDFD7C0</v>
      </c>
      <c r="D624" t="s">
        <v>113</v>
      </c>
      <c r="E624">
        <v>4</v>
      </c>
      <c r="F624">
        <v>1004</v>
      </c>
      <c r="G624" t="s">
        <v>120</v>
      </c>
      <c r="J624" t="s">
        <v>115</v>
      </c>
      <c r="K624">
        <v>0</v>
      </c>
      <c r="L624">
        <v>3</v>
      </c>
      <c r="M624">
        <v>0</v>
      </c>
      <c r="N624">
        <v>2</v>
      </c>
      <c r="O624">
        <v>1</v>
      </c>
      <c r="P624">
        <v>0</v>
      </c>
      <c r="Q624">
        <v>0</v>
      </c>
      <c r="S624" t="str">
        <f>"18:38:55.391"</f>
        <v>18:38:55.391</v>
      </c>
      <c r="T624" t="str">
        <f>"18:38:55.191"</f>
        <v>18:38:55.191</v>
      </c>
      <c r="U624" t="str">
        <f t="shared" si="60"/>
        <v>AAB6EE</v>
      </c>
      <c r="V624">
        <v>0</v>
      </c>
      <c r="W624">
        <v>0</v>
      </c>
      <c r="X624">
        <v>4</v>
      </c>
      <c r="Z624">
        <v>0</v>
      </c>
      <c r="AA624">
        <v>8</v>
      </c>
      <c r="AB624">
        <v>3</v>
      </c>
      <c r="AC624">
        <v>0</v>
      </c>
      <c r="AD624">
        <v>10</v>
      </c>
      <c r="AE624">
        <v>0</v>
      </c>
      <c r="AF624">
        <v>0</v>
      </c>
      <c r="AG624">
        <v>2</v>
      </c>
      <c r="AH624">
        <v>1</v>
      </c>
      <c r="AI624" t="s">
        <v>537</v>
      </c>
      <c r="AJ624">
        <v>35.410544999999999</v>
      </c>
      <c r="AK624" t="s">
        <v>538</v>
      </c>
      <c r="AL624">
        <v>-76.101028999999997</v>
      </c>
      <c r="AM624">
        <v>25</v>
      </c>
      <c r="AN624">
        <v>3425</v>
      </c>
      <c r="AO624" t="s">
        <v>118</v>
      </c>
      <c r="AP624">
        <v>-100</v>
      </c>
      <c r="AQ624">
        <v>-196</v>
      </c>
      <c r="AR624">
        <v>64</v>
      </c>
      <c r="AZ624">
        <v>4516</v>
      </c>
      <c r="BA624">
        <v>1</v>
      </c>
      <c r="BB624" t="str">
        <f t="shared" si="62"/>
        <v xml:space="preserve">N79NX   </v>
      </c>
      <c r="BC624">
        <v>1</v>
      </c>
      <c r="BE624">
        <v>0</v>
      </c>
      <c r="BF624">
        <v>0</v>
      </c>
      <c r="BG624">
        <v>0</v>
      </c>
      <c r="BH624">
        <v>3300</v>
      </c>
      <c r="BI624">
        <v>0</v>
      </c>
      <c r="BJ624">
        <v>0</v>
      </c>
      <c r="BK624">
        <v>0</v>
      </c>
      <c r="BL624">
        <v>0</v>
      </c>
      <c r="BO624">
        <v>0</v>
      </c>
      <c r="BP624">
        <v>0</v>
      </c>
      <c r="BW624" t="str">
        <f>"18:38:55.391"</f>
        <v>18:38:55.391</v>
      </c>
      <c r="BZ624">
        <v>0</v>
      </c>
      <c r="CA624">
        <v>3488</v>
      </c>
      <c r="CB624">
        <v>216</v>
      </c>
      <c r="CC624">
        <v>583.59379999999999</v>
      </c>
      <c r="CD624">
        <v>1</v>
      </c>
      <c r="CE624">
        <v>1</v>
      </c>
      <c r="CF624">
        <v>0</v>
      </c>
      <c r="CG624">
        <v>1</v>
      </c>
      <c r="CH624">
        <v>0</v>
      </c>
      <c r="CI624">
        <v>0</v>
      </c>
      <c r="CJ624">
        <v>0</v>
      </c>
      <c r="CK624">
        <v>2</v>
      </c>
      <c r="CL624">
        <v>0</v>
      </c>
      <c r="CM624">
        <v>2</v>
      </c>
      <c r="CN624">
        <v>0</v>
      </c>
      <c r="CO624">
        <v>6</v>
      </c>
      <c r="CP624" t="s">
        <v>119</v>
      </c>
      <c r="CQ624">
        <v>145</v>
      </c>
      <c r="CR624">
        <v>1</v>
      </c>
      <c r="CW624">
        <v>8948072</v>
      </c>
      <c r="CY624">
        <v>0</v>
      </c>
      <c r="CZ624">
        <v>0</v>
      </c>
      <c r="DA624">
        <v>1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</row>
    <row r="625" spans="1:113" x14ac:dyDescent="0.3">
      <c r="A625" t="str">
        <f>"02/13/2022 18:38:55.599"</f>
        <v>02/13/2022 18:38:55.599</v>
      </c>
      <c r="C625" t="str">
        <f t="shared" si="61"/>
        <v>FFDFD7C0</v>
      </c>
      <c r="D625" t="s">
        <v>121</v>
      </c>
      <c r="E625">
        <v>2</v>
      </c>
      <c r="H625">
        <v>158</v>
      </c>
      <c r="I625" t="s">
        <v>120</v>
      </c>
      <c r="J625" t="s">
        <v>122</v>
      </c>
      <c r="K625">
        <v>0</v>
      </c>
      <c r="L625">
        <v>3</v>
      </c>
      <c r="M625">
        <v>0</v>
      </c>
      <c r="N625">
        <v>2</v>
      </c>
      <c r="O625">
        <v>1</v>
      </c>
      <c r="P625">
        <v>0</v>
      </c>
      <c r="Q625">
        <v>0</v>
      </c>
      <c r="S625" t="str">
        <f>"18:38:55.391"</f>
        <v>18:38:55.391</v>
      </c>
      <c r="T625" t="str">
        <f>"18:38:55.191"</f>
        <v>18:38:55.191</v>
      </c>
      <c r="U625" t="str">
        <f t="shared" si="60"/>
        <v>AAB6EE</v>
      </c>
      <c r="V625">
        <v>0</v>
      </c>
      <c r="W625">
        <v>0</v>
      </c>
      <c r="X625">
        <v>4</v>
      </c>
      <c r="Z625">
        <v>0</v>
      </c>
      <c r="AA625">
        <v>8</v>
      </c>
      <c r="AB625">
        <v>3</v>
      </c>
      <c r="AC625">
        <v>0</v>
      </c>
      <c r="AD625">
        <v>10</v>
      </c>
      <c r="AE625">
        <v>0</v>
      </c>
      <c r="AF625">
        <v>0</v>
      </c>
      <c r="AG625">
        <v>2</v>
      </c>
      <c r="AH625">
        <v>1</v>
      </c>
      <c r="AI625" t="s">
        <v>537</v>
      </c>
      <c r="AJ625">
        <v>35.410544999999999</v>
      </c>
      <c r="AK625" t="s">
        <v>538</v>
      </c>
      <c r="AL625">
        <v>-76.101028999999997</v>
      </c>
      <c r="AM625">
        <v>25</v>
      </c>
      <c r="AN625">
        <v>3425</v>
      </c>
      <c r="AO625" t="s">
        <v>118</v>
      </c>
      <c r="AP625">
        <v>-100</v>
      </c>
      <c r="AQ625">
        <v>-196</v>
      </c>
      <c r="AR625">
        <v>64</v>
      </c>
      <c r="AZ625">
        <v>4516</v>
      </c>
      <c r="BA625">
        <v>1</v>
      </c>
      <c r="BB625" t="str">
        <f t="shared" si="62"/>
        <v xml:space="preserve">N79NX   </v>
      </c>
      <c r="BC625">
        <v>1</v>
      </c>
      <c r="BE625">
        <v>0</v>
      </c>
      <c r="BF625">
        <v>0</v>
      </c>
      <c r="BG625">
        <v>0</v>
      </c>
      <c r="BH625">
        <v>3300</v>
      </c>
      <c r="BI625">
        <v>0</v>
      </c>
      <c r="BJ625">
        <v>0</v>
      </c>
      <c r="BK625">
        <v>0</v>
      </c>
      <c r="BL625">
        <v>0</v>
      </c>
      <c r="BO625">
        <v>0</v>
      </c>
      <c r="BP625">
        <v>0</v>
      </c>
      <c r="BW625" t="str">
        <f>"18:38:55.391"</f>
        <v>18:38:55.391</v>
      </c>
      <c r="BZ625">
        <v>0</v>
      </c>
      <c r="CA625">
        <v>3488</v>
      </c>
      <c r="CB625">
        <v>216</v>
      </c>
      <c r="CC625">
        <v>583.59379999999999</v>
      </c>
      <c r="CD625">
        <v>1</v>
      </c>
      <c r="CE625">
        <v>1</v>
      </c>
      <c r="CF625">
        <v>0</v>
      </c>
      <c r="CG625">
        <v>1</v>
      </c>
      <c r="CH625">
        <v>0</v>
      </c>
      <c r="CI625">
        <v>0</v>
      </c>
      <c r="CJ625">
        <v>0</v>
      </c>
      <c r="CK625">
        <v>2</v>
      </c>
      <c r="CL625">
        <v>0</v>
      </c>
      <c r="CM625">
        <v>2</v>
      </c>
      <c r="CN625">
        <v>0</v>
      </c>
      <c r="CO625">
        <v>6</v>
      </c>
      <c r="CP625" t="s">
        <v>119</v>
      </c>
      <c r="CQ625">
        <v>145</v>
      </c>
      <c r="CR625">
        <v>1</v>
      </c>
      <c r="CW625">
        <v>8948072</v>
      </c>
      <c r="CY625">
        <v>0</v>
      </c>
      <c r="CZ625">
        <v>0</v>
      </c>
      <c r="DA625">
        <v>1</v>
      </c>
      <c r="DB625">
        <v>0</v>
      </c>
      <c r="DC625">
        <v>0</v>
      </c>
      <c r="DD625">
        <v>0</v>
      </c>
      <c r="DE625">
        <v>0</v>
      </c>
      <c r="DF625">
        <v>0</v>
      </c>
      <c r="DG625">
        <v>0</v>
      </c>
      <c r="DH625">
        <v>0</v>
      </c>
      <c r="DI625">
        <v>0</v>
      </c>
    </row>
    <row r="626" spans="1:113" x14ac:dyDescent="0.3">
      <c r="A626" t="str">
        <f>"02/13/2022 18:38:56.537"</f>
        <v>02/13/2022 18:38:56.537</v>
      </c>
      <c r="C626" t="str">
        <f t="shared" si="61"/>
        <v>FFDFD7C0</v>
      </c>
      <c r="D626" t="s">
        <v>113</v>
      </c>
      <c r="E626">
        <v>3</v>
      </c>
      <c r="F626">
        <v>1003</v>
      </c>
      <c r="G626" t="s">
        <v>114</v>
      </c>
      <c r="J626" t="s">
        <v>115</v>
      </c>
      <c r="K626">
        <v>0</v>
      </c>
      <c r="L626">
        <v>3</v>
      </c>
      <c r="M626">
        <v>0</v>
      </c>
      <c r="N626">
        <v>2</v>
      </c>
      <c r="O626">
        <v>1</v>
      </c>
      <c r="P626">
        <v>0</v>
      </c>
      <c r="Q626">
        <v>0</v>
      </c>
      <c r="S626" t="str">
        <f>"18:38:56.258"</f>
        <v>18:38:56.258</v>
      </c>
      <c r="T626" t="str">
        <f>"18:38:56.158"</f>
        <v>18:38:56.158</v>
      </c>
      <c r="U626" t="str">
        <f t="shared" si="60"/>
        <v>AAB6EE</v>
      </c>
      <c r="V626">
        <v>0</v>
      </c>
      <c r="W626">
        <v>0</v>
      </c>
      <c r="X626">
        <v>4</v>
      </c>
      <c r="Z626">
        <v>0</v>
      </c>
      <c r="AA626">
        <v>8</v>
      </c>
      <c r="AB626">
        <v>3</v>
      </c>
      <c r="AC626">
        <v>0</v>
      </c>
      <c r="AD626">
        <v>10</v>
      </c>
      <c r="AE626">
        <v>0</v>
      </c>
      <c r="AF626">
        <v>0</v>
      </c>
      <c r="AG626">
        <v>2</v>
      </c>
      <c r="AH626">
        <v>1</v>
      </c>
      <c r="AI626" t="s">
        <v>539</v>
      </c>
      <c r="AJ626">
        <v>35.409728999999999</v>
      </c>
      <c r="AK626" t="s">
        <v>540</v>
      </c>
      <c r="AL626">
        <v>-76.101544000000004</v>
      </c>
      <c r="AM626">
        <v>25</v>
      </c>
      <c r="AN626">
        <v>3450</v>
      </c>
      <c r="AO626" t="s">
        <v>118</v>
      </c>
      <c r="AP626">
        <v>-101</v>
      </c>
      <c r="AQ626">
        <v>-196</v>
      </c>
      <c r="AR626">
        <v>64</v>
      </c>
      <c r="AZ626">
        <v>4516</v>
      </c>
      <c r="BA626">
        <v>1</v>
      </c>
      <c r="BB626" t="str">
        <f t="shared" si="62"/>
        <v xml:space="preserve">N79NX   </v>
      </c>
      <c r="BC626">
        <v>1</v>
      </c>
      <c r="BE626">
        <v>0</v>
      </c>
      <c r="BF626">
        <v>0</v>
      </c>
      <c r="BG626">
        <v>0</v>
      </c>
      <c r="BH626">
        <v>3300</v>
      </c>
      <c r="BI626">
        <v>0</v>
      </c>
      <c r="BJ626">
        <v>0</v>
      </c>
      <c r="BK626">
        <v>0</v>
      </c>
      <c r="BL626">
        <v>0</v>
      </c>
      <c r="BO626">
        <v>0</v>
      </c>
      <c r="BP626">
        <v>0</v>
      </c>
      <c r="BW626" t="str">
        <f>"18:38:56.261"</f>
        <v>18:38:56.261</v>
      </c>
      <c r="BZ626">
        <v>0</v>
      </c>
      <c r="CA626">
        <v>3488</v>
      </c>
      <c r="CB626">
        <v>216</v>
      </c>
      <c r="CC626">
        <v>583.59379999999999</v>
      </c>
      <c r="CD626">
        <v>1</v>
      </c>
      <c r="CE626">
        <v>1</v>
      </c>
      <c r="CF626">
        <v>0</v>
      </c>
      <c r="CG626">
        <v>1</v>
      </c>
      <c r="CH626">
        <v>0</v>
      </c>
      <c r="CI626">
        <v>0</v>
      </c>
      <c r="CJ626">
        <v>0</v>
      </c>
      <c r="CK626">
        <v>2</v>
      </c>
      <c r="CL626">
        <v>0</v>
      </c>
      <c r="CM626">
        <v>2</v>
      </c>
      <c r="CN626">
        <v>0</v>
      </c>
      <c r="CO626">
        <v>6</v>
      </c>
      <c r="CP626" t="s">
        <v>119</v>
      </c>
      <c r="CQ626">
        <v>145</v>
      </c>
      <c r="CR626">
        <v>1</v>
      </c>
      <c r="CW626">
        <v>8948520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</row>
    <row r="627" spans="1:113" x14ac:dyDescent="0.3">
      <c r="A627" t="str">
        <f>"02/13/2022 18:38:56.537"</f>
        <v>02/13/2022 18:38:56.537</v>
      </c>
      <c r="C627" t="str">
        <f t="shared" si="61"/>
        <v>FFDFD7C0</v>
      </c>
      <c r="D627" t="s">
        <v>113</v>
      </c>
      <c r="E627">
        <v>4</v>
      </c>
      <c r="F627">
        <v>1004</v>
      </c>
      <c r="G627" t="s">
        <v>120</v>
      </c>
      <c r="J627" t="s">
        <v>115</v>
      </c>
      <c r="K627">
        <v>0</v>
      </c>
      <c r="L627">
        <v>3</v>
      </c>
      <c r="M627">
        <v>0</v>
      </c>
      <c r="N627">
        <v>2</v>
      </c>
      <c r="O627">
        <v>1</v>
      </c>
      <c r="P627">
        <v>0</v>
      </c>
      <c r="Q627">
        <v>0</v>
      </c>
      <c r="S627" t="str">
        <f>"18:38:56.258"</f>
        <v>18:38:56.258</v>
      </c>
      <c r="T627" t="str">
        <f>"18:38:56.158"</f>
        <v>18:38:56.158</v>
      </c>
      <c r="U627" t="str">
        <f t="shared" si="60"/>
        <v>AAB6EE</v>
      </c>
      <c r="V627">
        <v>0</v>
      </c>
      <c r="W627">
        <v>0</v>
      </c>
      <c r="X627">
        <v>4</v>
      </c>
      <c r="Z627">
        <v>0</v>
      </c>
      <c r="AA627">
        <v>8</v>
      </c>
      <c r="AB627">
        <v>3</v>
      </c>
      <c r="AC627">
        <v>0</v>
      </c>
      <c r="AD627">
        <v>10</v>
      </c>
      <c r="AE627">
        <v>0</v>
      </c>
      <c r="AF627">
        <v>0</v>
      </c>
      <c r="AG627">
        <v>2</v>
      </c>
      <c r="AH627">
        <v>1</v>
      </c>
      <c r="AI627" t="s">
        <v>539</v>
      </c>
      <c r="AJ627">
        <v>35.409728999999999</v>
      </c>
      <c r="AK627" t="s">
        <v>540</v>
      </c>
      <c r="AL627">
        <v>-76.101544000000004</v>
      </c>
      <c r="AM627">
        <v>25</v>
      </c>
      <c r="AN627">
        <v>3450</v>
      </c>
      <c r="AO627" t="s">
        <v>118</v>
      </c>
      <c r="AP627">
        <v>-101</v>
      </c>
      <c r="AQ627">
        <v>-196</v>
      </c>
      <c r="AR627">
        <v>64</v>
      </c>
      <c r="AZ627">
        <v>4516</v>
      </c>
      <c r="BA627">
        <v>1</v>
      </c>
      <c r="BB627" t="str">
        <f t="shared" si="62"/>
        <v xml:space="preserve">N79NX   </v>
      </c>
      <c r="BC627">
        <v>1</v>
      </c>
      <c r="BE627">
        <v>0</v>
      </c>
      <c r="BF627">
        <v>0</v>
      </c>
      <c r="BG627">
        <v>0</v>
      </c>
      <c r="BH627">
        <v>3300</v>
      </c>
      <c r="BI627">
        <v>0</v>
      </c>
      <c r="BJ627">
        <v>0</v>
      </c>
      <c r="BK627">
        <v>0</v>
      </c>
      <c r="BL627">
        <v>0</v>
      </c>
      <c r="BO627">
        <v>0</v>
      </c>
      <c r="BP627">
        <v>0</v>
      </c>
      <c r="BW627" t="str">
        <f>"18:38:56.261"</f>
        <v>18:38:56.261</v>
      </c>
      <c r="BZ627">
        <v>0</v>
      </c>
      <c r="CA627">
        <v>3488</v>
      </c>
      <c r="CB627">
        <v>216</v>
      </c>
      <c r="CC627">
        <v>583.59379999999999</v>
      </c>
      <c r="CD627">
        <v>1</v>
      </c>
      <c r="CE627">
        <v>1</v>
      </c>
      <c r="CF627">
        <v>0</v>
      </c>
      <c r="CG627">
        <v>1</v>
      </c>
      <c r="CH627">
        <v>0</v>
      </c>
      <c r="CI627">
        <v>0</v>
      </c>
      <c r="CJ627">
        <v>0</v>
      </c>
      <c r="CK627">
        <v>2</v>
      </c>
      <c r="CL627">
        <v>0</v>
      </c>
      <c r="CM627">
        <v>2</v>
      </c>
      <c r="CN627">
        <v>0</v>
      </c>
      <c r="CO627">
        <v>6</v>
      </c>
      <c r="CP627" t="s">
        <v>119</v>
      </c>
      <c r="CQ627">
        <v>145</v>
      </c>
      <c r="CR627">
        <v>1</v>
      </c>
      <c r="CW627">
        <v>8948520</v>
      </c>
      <c r="CY627">
        <v>0</v>
      </c>
      <c r="CZ627">
        <v>0</v>
      </c>
      <c r="DA627">
        <v>1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</row>
    <row r="628" spans="1:113" x14ac:dyDescent="0.3">
      <c r="A628" t="str">
        <f>"02/13/2022 18:38:56.584"</f>
        <v>02/13/2022 18:38:56.584</v>
      </c>
      <c r="C628" t="str">
        <f t="shared" si="61"/>
        <v>FFDFD7C0</v>
      </c>
      <c r="D628" t="s">
        <v>121</v>
      </c>
      <c r="E628">
        <v>2</v>
      </c>
      <c r="H628">
        <v>158</v>
      </c>
      <c r="I628" t="s">
        <v>120</v>
      </c>
      <c r="J628" t="s">
        <v>122</v>
      </c>
      <c r="K628">
        <v>0</v>
      </c>
      <c r="L628">
        <v>3</v>
      </c>
      <c r="M628">
        <v>0</v>
      </c>
      <c r="N628">
        <v>2</v>
      </c>
      <c r="O628">
        <v>1</v>
      </c>
      <c r="P628">
        <v>0</v>
      </c>
      <c r="Q628">
        <v>0</v>
      </c>
      <c r="S628" t="str">
        <f>"18:38:56.258"</f>
        <v>18:38:56.258</v>
      </c>
      <c r="T628" t="str">
        <f>"18:38:56.158"</f>
        <v>18:38:56.158</v>
      </c>
      <c r="U628" t="str">
        <f t="shared" si="60"/>
        <v>AAB6EE</v>
      </c>
      <c r="V628">
        <v>0</v>
      </c>
      <c r="W628">
        <v>0</v>
      </c>
      <c r="X628">
        <v>4</v>
      </c>
      <c r="Z628">
        <v>0</v>
      </c>
      <c r="AA628">
        <v>8</v>
      </c>
      <c r="AB628">
        <v>3</v>
      </c>
      <c r="AC628">
        <v>0</v>
      </c>
      <c r="AD628">
        <v>10</v>
      </c>
      <c r="AE628">
        <v>0</v>
      </c>
      <c r="AF628">
        <v>0</v>
      </c>
      <c r="AG628">
        <v>2</v>
      </c>
      <c r="AH628">
        <v>1</v>
      </c>
      <c r="AI628" t="s">
        <v>539</v>
      </c>
      <c r="AJ628">
        <v>35.409728999999999</v>
      </c>
      <c r="AK628" t="s">
        <v>540</v>
      </c>
      <c r="AL628">
        <v>-76.101544000000004</v>
      </c>
      <c r="AM628">
        <v>25</v>
      </c>
      <c r="AN628">
        <v>3450</v>
      </c>
      <c r="AO628" t="s">
        <v>118</v>
      </c>
      <c r="AP628">
        <v>-101</v>
      </c>
      <c r="AQ628">
        <v>-196</v>
      </c>
      <c r="AR628">
        <v>64</v>
      </c>
      <c r="AZ628">
        <v>4516</v>
      </c>
      <c r="BA628">
        <v>1</v>
      </c>
      <c r="BB628" t="str">
        <f t="shared" si="62"/>
        <v xml:space="preserve">N79NX   </v>
      </c>
      <c r="BC628">
        <v>1</v>
      </c>
      <c r="BE628">
        <v>0</v>
      </c>
      <c r="BF628">
        <v>0</v>
      </c>
      <c r="BG628">
        <v>0</v>
      </c>
      <c r="BH628">
        <v>3300</v>
      </c>
      <c r="BI628">
        <v>0</v>
      </c>
      <c r="BJ628">
        <v>0</v>
      </c>
      <c r="BK628">
        <v>0</v>
      </c>
      <c r="BL628">
        <v>0</v>
      </c>
      <c r="BO628">
        <v>0</v>
      </c>
      <c r="BP628">
        <v>0</v>
      </c>
      <c r="BW628" t="str">
        <f>"18:38:56.261"</f>
        <v>18:38:56.261</v>
      </c>
      <c r="BZ628">
        <v>0</v>
      </c>
      <c r="CA628">
        <v>3488</v>
      </c>
      <c r="CB628">
        <v>216</v>
      </c>
      <c r="CC628">
        <v>583.59379999999999</v>
      </c>
      <c r="CD628">
        <v>1</v>
      </c>
      <c r="CE628">
        <v>1</v>
      </c>
      <c r="CF628">
        <v>0</v>
      </c>
      <c r="CG628">
        <v>1</v>
      </c>
      <c r="CH628">
        <v>0</v>
      </c>
      <c r="CI628">
        <v>0</v>
      </c>
      <c r="CJ628">
        <v>0</v>
      </c>
      <c r="CK628">
        <v>2</v>
      </c>
      <c r="CL628">
        <v>0</v>
      </c>
      <c r="CM628">
        <v>2</v>
      </c>
      <c r="CN628">
        <v>0</v>
      </c>
      <c r="CO628">
        <v>6</v>
      </c>
      <c r="CP628" t="s">
        <v>119</v>
      </c>
      <c r="CQ628">
        <v>145</v>
      </c>
      <c r="CR628">
        <v>1</v>
      </c>
      <c r="CW628">
        <v>8948520</v>
      </c>
      <c r="CY628">
        <v>0</v>
      </c>
      <c r="CZ628">
        <v>0</v>
      </c>
      <c r="DA628">
        <v>1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0</v>
      </c>
    </row>
    <row r="629" spans="1:113" x14ac:dyDescent="0.3">
      <c r="A629" t="str">
        <f>"02/13/2022 18:38:57.412"</f>
        <v>02/13/2022 18:38:57.412</v>
      </c>
      <c r="C629" t="str">
        <f t="shared" si="61"/>
        <v>FFDFD7C0</v>
      </c>
      <c r="D629" t="s">
        <v>121</v>
      </c>
      <c r="E629">
        <v>2</v>
      </c>
      <c r="H629">
        <v>158</v>
      </c>
      <c r="I629" t="s">
        <v>120</v>
      </c>
      <c r="J629" t="s">
        <v>122</v>
      </c>
      <c r="K629">
        <v>0</v>
      </c>
      <c r="L629">
        <v>3</v>
      </c>
      <c r="M629">
        <v>0</v>
      </c>
      <c r="N629">
        <v>2</v>
      </c>
      <c r="O629">
        <v>1</v>
      </c>
      <c r="P629">
        <v>0</v>
      </c>
      <c r="Q629">
        <v>0</v>
      </c>
      <c r="S629" t="str">
        <f t="shared" ref="S629:T631" si="66">"18:38:57.188"</f>
        <v>18:38:57.188</v>
      </c>
      <c r="T629" t="str">
        <f t="shared" si="66"/>
        <v>18:38:57.188</v>
      </c>
      <c r="U629" t="str">
        <f t="shared" si="60"/>
        <v>AAB6EE</v>
      </c>
      <c r="V629">
        <v>0</v>
      </c>
      <c r="W629">
        <v>0</v>
      </c>
      <c r="X629">
        <v>4</v>
      </c>
      <c r="Z629">
        <v>0</v>
      </c>
      <c r="AA629">
        <v>8</v>
      </c>
      <c r="AB629">
        <v>3</v>
      </c>
      <c r="AC629">
        <v>0</v>
      </c>
      <c r="AD629">
        <v>10</v>
      </c>
      <c r="AE629">
        <v>0</v>
      </c>
      <c r="AF629">
        <v>0</v>
      </c>
      <c r="AG629">
        <v>2</v>
      </c>
      <c r="AH629">
        <v>1</v>
      </c>
      <c r="AI629" t="s">
        <v>541</v>
      </c>
      <c r="AJ629">
        <v>35.408935999999997</v>
      </c>
      <c r="AK629" t="s">
        <v>542</v>
      </c>
      <c r="AL629">
        <v>-76.102016000000006</v>
      </c>
      <c r="AM629">
        <v>25</v>
      </c>
      <c r="AN629">
        <v>3450</v>
      </c>
      <c r="AO629" t="s">
        <v>118</v>
      </c>
      <c r="AP629">
        <v>-101</v>
      </c>
      <c r="AQ629">
        <v>-197</v>
      </c>
      <c r="AR629">
        <v>0</v>
      </c>
      <c r="AZ629">
        <v>4516</v>
      </c>
      <c r="BA629">
        <v>1</v>
      </c>
      <c r="BB629" t="str">
        <f t="shared" si="62"/>
        <v xml:space="preserve">N79NX   </v>
      </c>
      <c r="BC629">
        <v>1</v>
      </c>
      <c r="BE629">
        <v>0</v>
      </c>
      <c r="BF629">
        <v>0</v>
      </c>
      <c r="BG629">
        <v>0</v>
      </c>
      <c r="BH629">
        <v>3300</v>
      </c>
      <c r="BI629">
        <v>0</v>
      </c>
      <c r="BJ629">
        <v>0</v>
      </c>
      <c r="BK629">
        <v>0</v>
      </c>
      <c r="BL629">
        <v>0</v>
      </c>
      <c r="BO629">
        <v>0</v>
      </c>
      <c r="BP629">
        <v>0</v>
      </c>
      <c r="BW629" t="str">
        <f>"18:38:57.191"</f>
        <v>18:38:57.191</v>
      </c>
      <c r="BZ629">
        <v>0</v>
      </c>
      <c r="CA629">
        <v>3488</v>
      </c>
      <c r="CB629">
        <v>216</v>
      </c>
      <c r="CC629">
        <v>583.59379999999999</v>
      </c>
      <c r="CD629">
        <v>1</v>
      </c>
      <c r="CE629">
        <v>1</v>
      </c>
      <c r="CF629">
        <v>0</v>
      </c>
      <c r="CG629">
        <v>1</v>
      </c>
      <c r="CH629">
        <v>0</v>
      </c>
      <c r="CI629">
        <v>0</v>
      </c>
      <c r="CJ629">
        <v>0</v>
      </c>
      <c r="CK629">
        <v>2</v>
      </c>
      <c r="CL629">
        <v>0</v>
      </c>
      <c r="CM629">
        <v>2</v>
      </c>
      <c r="CN629">
        <v>0</v>
      </c>
      <c r="CO629">
        <v>6</v>
      </c>
      <c r="CP629" t="s">
        <v>119</v>
      </c>
      <c r="CQ629">
        <v>145</v>
      </c>
      <c r="CR629">
        <v>1</v>
      </c>
      <c r="CW629">
        <v>8949012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</row>
    <row r="630" spans="1:113" x14ac:dyDescent="0.3">
      <c r="A630" t="str">
        <f>"02/13/2022 18:38:57.474"</f>
        <v>02/13/2022 18:38:57.474</v>
      </c>
      <c r="C630" t="str">
        <f t="shared" si="61"/>
        <v>FFDFD7C0</v>
      </c>
      <c r="D630" t="s">
        <v>113</v>
      </c>
      <c r="E630">
        <v>3</v>
      </c>
      <c r="F630">
        <v>1003</v>
      </c>
      <c r="G630" t="s">
        <v>114</v>
      </c>
      <c r="J630" t="s">
        <v>115</v>
      </c>
      <c r="K630">
        <v>0</v>
      </c>
      <c r="L630">
        <v>3</v>
      </c>
      <c r="M630">
        <v>0</v>
      </c>
      <c r="N630">
        <v>2</v>
      </c>
      <c r="O630">
        <v>1</v>
      </c>
      <c r="P630">
        <v>0</v>
      </c>
      <c r="Q630">
        <v>0</v>
      </c>
      <c r="S630" t="str">
        <f t="shared" si="66"/>
        <v>18:38:57.188</v>
      </c>
      <c r="T630" t="str">
        <f t="shared" si="66"/>
        <v>18:38:57.188</v>
      </c>
      <c r="U630" t="str">
        <f t="shared" si="60"/>
        <v>AAB6EE</v>
      </c>
      <c r="V630">
        <v>0</v>
      </c>
      <c r="W630">
        <v>0</v>
      </c>
      <c r="X630">
        <v>4</v>
      </c>
      <c r="Z630">
        <v>0</v>
      </c>
      <c r="AA630">
        <v>8</v>
      </c>
      <c r="AB630">
        <v>3</v>
      </c>
      <c r="AC630">
        <v>0</v>
      </c>
      <c r="AD630">
        <v>10</v>
      </c>
      <c r="AE630">
        <v>0</v>
      </c>
      <c r="AF630">
        <v>0</v>
      </c>
      <c r="AG630">
        <v>2</v>
      </c>
      <c r="AH630">
        <v>1</v>
      </c>
      <c r="AI630" t="s">
        <v>541</v>
      </c>
      <c r="AJ630">
        <v>35.408935999999997</v>
      </c>
      <c r="AK630" t="s">
        <v>542</v>
      </c>
      <c r="AL630">
        <v>-76.102016000000006</v>
      </c>
      <c r="AM630">
        <v>25</v>
      </c>
      <c r="AN630">
        <v>3450</v>
      </c>
      <c r="AO630" t="s">
        <v>118</v>
      </c>
      <c r="AP630">
        <v>-101</v>
      </c>
      <c r="AQ630">
        <v>-197</v>
      </c>
      <c r="AR630">
        <v>0</v>
      </c>
      <c r="AZ630">
        <v>4516</v>
      </c>
      <c r="BA630">
        <v>1</v>
      </c>
      <c r="BB630" t="str">
        <f t="shared" si="62"/>
        <v xml:space="preserve">N79NX   </v>
      </c>
      <c r="BC630">
        <v>1</v>
      </c>
      <c r="BE630">
        <v>0</v>
      </c>
      <c r="BF630">
        <v>0</v>
      </c>
      <c r="BG630">
        <v>0</v>
      </c>
      <c r="BH630">
        <v>3300</v>
      </c>
      <c r="BI630">
        <v>0</v>
      </c>
      <c r="BJ630">
        <v>0</v>
      </c>
      <c r="BK630">
        <v>0</v>
      </c>
      <c r="BL630">
        <v>0</v>
      </c>
      <c r="BO630">
        <v>0</v>
      </c>
      <c r="BP630">
        <v>0</v>
      </c>
      <c r="BW630" t="str">
        <f>"18:38:57.191"</f>
        <v>18:38:57.191</v>
      </c>
      <c r="BZ630">
        <v>0</v>
      </c>
      <c r="CA630">
        <v>3488</v>
      </c>
      <c r="CB630">
        <v>216</v>
      </c>
      <c r="CC630">
        <v>583.59379999999999</v>
      </c>
      <c r="CD630">
        <v>1</v>
      </c>
      <c r="CE630">
        <v>1</v>
      </c>
      <c r="CF630">
        <v>0</v>
      </c>
      <c r="CG630">
        <v>1</v>
      </c>
      <c r="CH630">
        <v>0</v>
      </c>
      <c r="CI630">
        <v>0</v>
      </c>
      <c r="CJ630">
        <v>0</v>
      </c>
      <c r="CK630">
        <v>2</v>
      </c>
      <c r="CL630">
        <v>0</v>
      </c>
      <c r="CM630">
        <v>2</v>
      </c>
      <c r="CN630">
        <v>0</v>
      </c>
      <c r="CO630">
        <v>6</v>
      </c>
      <c r="CP630" t="s">
        <v>119</v>
      </c>
      <c r="CQ630">
        <v>145</v>
      </c>
      <c r="CR630">
        <v>1</v>
      </c>
      <c r="CW630">
        <v>8949012</v>
      </c>
      <c r="CY630">
        <v>0</v>
      </c>
      <c r="CZ630">
        <v>0</v>
      </c>
      <c r="DA630">
        <v>1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</row>
    <row r="631" spans="1:113" x14ac:dyDescent="0.3">
      <c r="A631" t="str">
        <f>"02/13/2022 18:38:57.474"</f>
        <v>02/13/2022 18:38:57.474</v>
      </c>
      <c r="C631" t="str">
        <f t="shared" si="61"/>
        <v>FFDFD7C0</v>
      </c>
      <c r="D631" t="s">
        <v>113</v>
      </c>
      <c r="E631">
        <v>4</v>
      </c>
      <c r="F631">
        <v>1004</v>
      </c>
      <c r="G631" t="s">
        <v>120</v>
      </c>
      <c r="J631" t="s">
        <v>115</v>
      </c>
      <c r="K631">
        <v>0</v>
      </c>
      <c r="L631">
        <v>3</v>
      </c>
      <c r="M631">
        <v>0</v>
      </c>
      <c r="N631">
        <v>2</v>
      </c>
      <c r="O631">
        <v>1</v>
      </c>
      <c r="P631">
        <v>0</v>
      </c>
      <c r="Q631">
        <v>0</v>
      </c>
      <c r="S631" t="str">
        <f t="shared" si="66"/>
        <v>18:38:57.188</v>
      </c>
      <c r="T631" t="str">
        <f t="shared" si="66"/>
        <v>18:38:57.188</v>
      </c>
      <c r="U631" t="str">
        <f t="shared" si="60"/>
        <v>AAB6EE</v>
      </c>
      <c r="V631">
        <v>0</v>
      </c>
      <c r="W631">
        <v>0</v>
      </c>
      <c r="X631">
        <v>4</v>
      </c>
      <c r="Z631">
        <v>0</v>
      </c>
      <c r="AA631">
        <v>8</v>
      </c>
      <c r="AB631">
        <v>3</v>
      </c>
      <c r="AC631">
        <v>0</v>
      </c>
      <c r="AD631">
        <v>10</v>
      </c>
      <c r="AE631">
        <v>0</v>
      </c>
      <c r="AF631">
        <v>0</v>
      </c>
      <c r="AG631">
        <v>2</v>
      </c>
      <c r="AH631">
        <v>1</v>
      </c>
      <c r="AI631" t="s">
        <v>541</v>
      </c>
      <c r="AJ631">
        <v>35.408935999999997</v>
      </c>
      <c r="AK631" t="s">
        <v>542</v>
      </c>
      <c r="AL631">
        <v>-76.102016000000006</v>
      </c>
      <c r="AM631">
        <v>25</v>
      </c>
      <c r="AN631">
        <v>3450</v>
      </c>
      <c r="AO631" t="s">
        <v>118</v>
      </c>
      <c r="AP631">
        <v>-101</v>
      </c>
      <c r="AQ631">
        <v>-197</v>
      </c>
      <c r="AR631">
        <v>0</v>
      </c>
      <c r="AZ631">
        <v>4516</v>
      </c>
      <c r="BA631">
        <v>1</v>
      </c>
      <c r="BB631" t="str">
        <f t="shared" si="62"/>
        <v xml:space="preserve">N79NX   </v>
      </c>
      <c r="BC631">
        <v>1</v>
      </c>
      <c r="BE631">
        <v>0</v>
      </c>
      <c r="BF631">
        <v>0</v>
      </c>
      <c r="BG631">
        <v>0</v>
      </c>
      <c r="BH631">
        <v>3300</v>
      </c>
      <c r="BI631">
        <v>0</v>
      </c>
      <c r="BJ631">
        <v>0</v>
      </c>
      <c r="BK631">
        <v>0</v>
      </c>
      <c r="BL631">
        <v>0</v>
      </c>
      <c r="BO631">
        <v>0</v>
      </c>
      <c r="BP631">
        <v>0</v>
      </c>
      <c r="BW631" t="str">
        <f>"18:38:57.191"</f>
        <v>18:38:57.191</v>
      </c>
      <c r="BZ631">
        <v>0</v>
      </c>
      <c r="CA631">
        <v>3488</v>
      </c>
      <c r="CB631">
        <v>216</v>
      </c>
      <c r="CC631">
        <v>583.59379999999999</v>
      </c>
      <c r="CD631">
        <v>1</v>
      </c>
      <c r="CE631">
        <v>1</v>
      </c>
      <c r="CF631">
        <v>0</v>
      </c>
      <c r="CG631">
        <v>1</v>
      </c>
      <c r="CH631">
        <v>0</v>
      </c>
      <c r="CI631">
        <v>0</v>
      </c>
      <c r="CJ631">
        <v>0</v>
      </c>
      <c r="CK631">
        <v>2</v>
      </c>
      <c r="CL631">
        <v>0</v>
      </c>
      <c r="CM631">
        <v>2</v>
      </c>
      <c r="CN631">
        <v>0</v>
      </c>
      <c r="CO631">
        <v>6</v>
      </c>
      <c r="CP631" t="s">
        <v>119</v>
      </c>
      <c r="CQ631">
        <v>145</v>
      </c>
      <c r="CR631">
        <v>1</v>
      </c>
      <c r="CW631">
        <v>8949012</v>
      </c>
      <c r="CY631">
        <v>0</v>
      </c>
      <c r="CZ631">
        <v>0</v>
      </c>
      <c r="DA631">
        <v>1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</row>
    <row r="632" spans="1:113" x14ac:dyDescent="0.3">
      <c r="A632" t="str">
        <f>"02/13/2022 18:38:58.318"</f>
        <v>02/13/2022 18:38:58.318</v>
      </c>
      <c r="C632" t="str">
        <f t="shared" si="61"/>
        <v>FFDFD7C0</v>
      </c>
      <c r="D632" t="s">
        <v>113</v>
      </c>
      <c r="E632">
        <v>3</v>
      </c>
      <c r="F632">
        <v>1003</v>
      </c>
      <c r="G632" t="s">
        <v>114</v>
      </c>
      <c r="J632" t="s">
        <v>115</v>
      </c>
      <c r="K632">
        <v>0</v>
      </c>
      <c r="L632">
        <v>3</v>
      </c>
      <c r="M632">
        <v>0</v>
      </c>
      <c r="N632">
        <v>2</v>
      </c>
      <c r="O632">
        <v>1</v>
      </c>
      <c r="P632">
        <v>0</v>
      </c>
      <c r="Q632">
        <v>0</v>
      </c>
      <c r="S632" t="str">
        <f t="shared" ref="S632:T634" si="67">"18:38:58.094"</f>
        <v>18:38:58.094</v>
      </c>
      <c r="T632" t="str">
        <f t="shared" si="67"/>
        <v>18:38:58.094</v>
      </c>
      <c r="U632" t="str">
        <f t="shared" si="60"/>
        <v>AAB6EE</v>
      </c>
      <c r="V632">
        <v>0</v>
      </c>
      <c r="W632">
        <v>0</v>
      </c>
      <c r="X632">
        <v>4</v>
      </c>
      <c r="Z632">
        <v>0</v>
      </c>
      <c r="AA632">
        <v>8</v>
      </c>
      <c r="AB632">
        <v>3</v>
      </c>
      <c r="AC632">
        <v>0</v>
      </c>
      <c r="AD632">
        <v>10</v>
      </c>
      <c r="AE632">
        <v>0</v>
      </c>
      <c r="AF632">
        <v>0</v>
      </c>
      <c r="AG632">
        <v>2</v>
      </c>
      <c r="AH632">
        <v>1</v>
      </c>
      <c r="AI632" t="s">
        <v>543</v>
      </c>
      <c r="AJ632">
        <v>35.408099</v>
      </c>
      <c r="AK632" t="s">
        <v>544</v>
      </c>
      <c r="AL632">
        <v>-76.102530999999999</v>
      </c>
      <c r="AM632">
        <v>25</v>
      </c>
      <c r="AN632">
        <v>3425</v>
      </c>
      <c r="AO632" t="s">
        <v>118</v>
      </c>
      <c r="AP632">
        <v>-101</v>
      </c>
      <c r="AQ632">
        <v>-197</v>
      </c>
      <c r="AR632">
        <v>-64</v>
      </c>
      <c r="AZ632">
        <v>4516</v>
      </c>
      <c r="BA632">
        <v>1</v>
      </c>
      <c r="BB632" t="str">
        <f t="shared" si="62"/>
        <v xml:space="preserve">N79NX   </v>
      </c>
      <c r="BC632">
        <v>1</v>
      </c>
      <c r="BE632">
        <v>0</v>
      </c>
      <c r="BF632">
        <v>0</v>
      </c>
      <c r="BG632">
        <v>0</v>
      </c>
      <c r="BH632">
        <v>3325</v>
      </c>
      <c r="BI632">
        <v>0</v>
      </c>
      <c r="BJ632">
        <v>0</v>
      </c>
      <c r="BK632">
        <v>0</v>
      </c>
      <c r="BL632">
        <v>0</v>
      </c>
      <c r="BO632">
        <v>0</v>
      </c>
      <c r="BP632">
        <v>0</v>
      </c>
      <c r="BW632" t="str">
        <f>"18:38:58.101"</f>
        <v>18:38:58.101</v>
      </c>
      <c r="BZ632">
        <v>0</v>
      </c>
      <c r="CA632">
        <v>3488</v>
      </c>
      <c r="CB632">
        <v>216</v>
      </c>
      <c r="CC632">
        <v>583.59379999999999</v>
      </c>
      <c r="CD632">
        <v>1</v>
      </c>
      <c r="CE632">
        <v>1</v>
      </c>
      <c r="CF632">
        <v>0</v>
      </c>
      <c r="CG632">
        <v>1</v>
      </c>
      <c r="CH632">
        <v>0</v>
      </c>
      <c r="CI632">
        <v>0</v>
      </c>
      <c r="CJ632">
        <v>0</v>
      </c>
      <c r="CK632">
        <v>2</v>
      </c>
      <c r="CL632">
        <v>0</v>
      </c>
      <c r="CM632">
        <v>2</v>
      </c>
      <c r="CN632">
        <v>0</v>
      </c>
      <c r="CO632">
        <v>6</v>
      </c>
      <c r="CP632" t="s">
        <v>119</v>
      </c>
      <c r="CQ632">
        <v>145</v>
      </c>
      <c r="CR632">
        <v>1</v>
      </c>
      <c r="CW632">
        <v>8949493</v>
      </c>
      <c r="CY632">
        <v>0</v>
      </c>
      <c r="CZ632">
        <v>0</v>
      </c>
      <c r="DA632">
        <v>0</v>
      </c>
      <c r="DB632">
        <v>0</v>
      </c>
      <c r="DC632">
        <v>0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0</v>
      </c>
    </row>
    <row r="633" spans="1:113" x14ac:dyDescent="0.3">
      <c r="A633" t="str">
        <f>"02/13/2022 18:38:58.318"</f>
        <v>02/13/2022 18:38:58.318</v>
      </c>
      <c r="C633" t="str">
        <f t="shared" si="61"/>
        <v>FFDFD7C0</v>
      </c>
      <c r="D633" t="s">
        <v>113</v>
      </c>
      <c r="E633">
        <v>4</v>
      </c>
      <c r="F633">
        <v>1004</v>
      </c>
      <c r="G633" t="s">
        <v>120</v>
      </c>
      <c r="J633" t="s">
        <v>115</v>
      </c>
      <c r="K633">
        <v>0</v>
      </c>
      <c r="L633">
        <v>3</v>
      </c>
      <c r="M633">
        <v>0</v>
      </c>
      <c r="N633">
        <v>2</v>
      </c>
      <c r="O633">
        <v>1</v>
      </c>
      <c r="P633">
        <v>0</v>
      </c>
      <c r="Q633">
        <v>0</v>
      </c>
      <c r="S633" t="str">
        <f t="shared" si="67"/>
        <v>18:38:58.094</v>
      </c>
      <c r="T633" t="str">
        <f t="shared" si="67"/>
        <v>18:38:58.094</v>
      </c>
      <c r="U633" t="str">
        <f t="shared" si="60"/>
        <v>AAB6EE</v>
      </c>
      <c r="V633">
        <v>0</v>
      </c>
      <c r="W633">
        <v>0</v>
      </c>
      <c r="X633">
        <v>4</v>
      </c>
      <c r="Z633">
        <v>0</v>
      </c>
      <c r="AA633">
        <v>8</v>
      </c>
      <c r="AB633">
        <v>3</v>
      </c>
      <c r="AC633">
        <v>0</v>
      </c>
      <c r="AD633">
        <v>10</v>
      </c>
      <c r="AE633">
        <v>0</v>
      </c>
      <c r="AF633">
        <v>0</v>
      </c>
      <c r="AG633">
        <v>2</v>
      </c>
      <c r="AH633">
        <v>1</v>
      </c>
      <c r="AI633" t="s">
        <v>543</v>
      </c>
      <c r="AJ633">
        <v>35.408099</v>
      </c>
      <c r="AK633" t="s">
        <v>544</v>
      </c>
      <c r="AL633">
        <v>-76.102530999999999</v>
      </c>
      <c r="AM633">
        <v>25</v>
      </c>
      <c r="AN633">
        <v>3425</v>
      </c>
      <c r="AO633" t="s">
        <v>118</v>
      </c>
      <c r="AP633">
        <v>-101</v>
      </c>
      <c r="AQ633">
        <v>-197</v>
      </c>
      <c r="AR633">
        <v>-64</v>
      </c>
      <c r="AZ633">
        <v>4516</v>
      </c>
      <c r="BA633">
        <v>1</v>
      </c>
      <c r="BB633" t="str">
        <f t="shared" si="62"/>
        <v xml:space="preserve">N79NX   </v>
      </c>
      <c r="BC633">
        <v>1</v>
      </c>
      <c r="BE633">
        <v>0</v>
      </c>
      <c r="BF633">
        <v>0</v>
      </c>
      <c r="BG633">
        <v>0</v>
      </c>
      <c r="BH633">
        <v>3325</v>
      </c>
      <c r="BI633">
        <v>0</v>
      </c>
      <c r="BJ633">
        <v>0</v>
      </c>
      <c r="BK633">
        <v>0</v>
      </c>
      <c r="BL633">
        <v>0</v>
      </c>
      <c r="BO633">
        <v>0</v>
      </c>
      <c r="BP633">
        <v>0</v>
      </c>
      <c r="BW633" t="str">
        <f>"18:38:58.101"</f>
        <v>18:38:58.101</v>
      </c>
      <c r="BZ633">
        <v>0</v>
      </c>
      <c r="CA633">
        <v>3488</v>
      </c>
      <c r="CB633">
        <v>216</v>
      </c>
      <c r="CC633">
        <v>583.59379999999999</v>
      </c>
      <c r="CD633">
        <v>1</v>
      </c>
      <c r="CE633">
        <v>1</v>
      </c>
      <c r="CF633">
        <v>0</v>
      </c>
      <c r="CG633">
        <v>1</v>
      </c>
      <c r="CH633">
        <v>0</v>
      </c>
      <c r="CI633">
        <v>0</v>
      </c>
      <c r="CJ633">
        <v>0</v>
      </c>
      <c r="CK633">
        <v>2</v>
      </c>
      <c r="CL633">
        <v>0</v>
      </c>
      <c r="CM633">
        <v>2</v>
      </c>
      <c r="CN633">
        <v>0</v>
      </c>
      <c r="CO633">
        <v>6</v>
      </c>
      <c r="CP633" t="s">
        <v>119</v>
      </c>
      <c r="CQ633">
        <v>145</v>
      </c>
      <c r="CR633">
        <v>1</v>
      </c>
      <c r="CW633">
        <v>8949493</v>
      </c>
      <c r="CY633">
        <v>0</v>
      </c>
      <c r="CZ633">
        <v>0</v>
      </c>
      <c r="DA633">
        <v>1</v>
      </c>
      <c r="DB633">
        <v>0</v>
      </c>
      <c r="DC633">
        <v>0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</row>
    <row r="634" spans="1:113" x14ac:dyDescent="0.3">
      <c r="A634" t="str">
        <f>"02/13/2022 18:38:58.349"</f>
        <v>02/13/2022 18:38:58.349</v>
      </c>
      <c r="C634" t="str">
        <f t="shared" si="61"/>
        <v>FFDFD7C0</v>
      </c>
      <c r="D634" t="s">
        <v>121</v>
      </c>
      <c r="E634">
        <v>2</v>
      </c>
      <c r="H634">
        <v>158</v>
      </c>
      <c r="I634" t="s">
        <v>120</v>
      </c>
      <c r="J634" t="s">
        <v>122</v>
      </c>
      <c r="K634">
        <v>0</v>
      </c>
      <c r="L634">
        <v>3</v>
      </c>
      <c r="M634">
        <v>0</v>
      </c>
      <c r="N634">
        <v>2</v>
      </c>
      <c r="O634">
        <v>1</v>
      </c>
      <c r="P634">
        <v>0</v>
      </c>
      <c r="Q634">
        <v>0</v>
      </c>
      <c r="S634" t="str">
        <f t="shared" si="67"/>
        <v>18:38:58.094</v>
      </c>
      <c r="T634" t="str">
        <f t="shared" si="67"/>
        <v>18:38:58.094</v>
      </c>
      <c r="U634" t="str">
        <f t="shared" si="60"/>
        <v>AAB6EE</v>
      </c>
      <c r="V634">
        <v>0</v>
      </c>
      <c r="W634">
        <v>0</v>
      </c>
      <c r="X634">
        <v>4</v>
      </c>
      <c r="Z634">
        <v>0</v>
      </c>
      <c r="AA634">
        <v>8</v>
      </c>
      <c r="AB634">
        <v>3</v>
      </c>
      <c r="AC634">
        <v>0</v>
      </c>
      <c r="AD634">
        <v>10</v>
      </c>
      <c r="AE634">
        <v>0</v>
      </c>
      <c r="AF634">
        <v>0</v>
      </c>
      <c r="AG634">
        <v>2</v>
      </c>
      <c r="AH634">
        <v>1</v>
      </c>
      <c r="AI634" t="s">
        <v>543</v>
      </c>
      <c r="AJ634">
        <v>35.408099</v>
      </c>
      <c r="AK634" t="s">
        <v>544</v>
      </c>
      <c r="AL634">
        <v>-76.102530999999999</v>
      </c>
      <c r="AM634">
        <v>25</v>
      </c>
      <c r="AN634">
        <v>3425</v>
      </c>
      <c r="AO634" t="s">
        <v>118</v>
      </c>
      <c r="AP634">
        <v>-101</v>
      </c>
      <c r="AQ634">
        <v>-197</v>
      </c>
      <c r="AR634">
        <v>-64</v>
      </c>
      <c r="AZ634">
        <v>4516</v>
      </c>
      <c r="BA634">
        <v>1</v>
      </c>
      <c r="BB634" t="str">
        <f t="shared" si="62"/>
        <v xml:space="preserve">N79NX   </v>
      </c>
      <c r="BC634">
        <v>1</v>
      </c>
      <c r="BE634">
        <v>0</v>
      </c>
      <c r="BF634">
        <v>0</v>
      </c>
      <c r="BG634">
        <v>0</v>
      </c>
      <c r="BH634">
        <v>3325</v>
      </c>
      <c r="BI634">
        <v>0</v>
      </c>
      <c r="BJ634">
        <v>0</v>
      </c>
      <c r="BK634">
        <v>0</v>
      </c>
      <c r="BL634">
        <v>0</v>
      </c>
      <c r="BO634">
        <v>0</v>
      </c>
      <c r="BP634">
        <v>0</v>
      </c>
      <c r="BW634" t="str">
        <f>"18:38:58.101"</f>
        <v>18:38:58.101</v>
      </c>
      <c r="BZ634">
        <v>0</v>
      </c>
      <c r="CA634">
        <v>3488</v>
      </c>
      <c r="CB634">
        <v>216</v>
      </c>
      <c r="CC634">
        <v>583.59379999999999</v>
      </c>
      <c r="CD634">
        <v>1</v>
      </c>
      <c r="CE634">
        <v>1</v>
      </c>
      <c r="CF634">
        <v>0</v>
      </c>
      <c r="CG634">
        <v>1</v>
      </c>
      <c r="CH634">
        <v>0</v>
      </c>
      <c r="CI634">
        <v>0</v>
      </c>
      <c r="CJ634">
        <v>0</v>
      </c>
      <c r="CK634">
        <v>2</v>
      </c>
      <c r="CL634">
        <v>0</v>
      </c>
      <c r="CM634">
        <v>2</v>
      </c>
      <c r="CN634">
        <v>0</v>
      </c>
      <c r="CO634">
        <v>6</v>
      </c>
      <c r="CP634" t="s">
        <v>119</v>
      </c>
      <c r="CQ634">
        <v>145</v>
      </c>
      <c r="CR634">
        <v>1</v>
      </c>
      <c r="CW634">
        <v>8949493</v>
      </c>
      <c r="CY634">
        <v>0</v>
      </c>
      <c r="CZ634">
        <v>0</v>
      </c>
      <c r="DA634">
        <v>1</v>
      </c>
      <c r="DB634">
        <v>0</v>
      </c>
      <c r="DC634">
        <v>0</v>
      </c>
      <c r="DD634">
        <v>0</v>
      </c>
      <c r="DE634">
        <v>0</v>
      </c>
      <c r="DF634">
        <v>0</v>
      </c>
      <c r="DG634">
        <v>0</v>
      </c>
      <c r="DH634">
        <v>0</v>
      </c>
      <c r="DI634">
        <v>0</v>
      </c>
    </row>
    <row r="635" spans="1:113" x14ac:dyDescent="0.3">
      <c r="A635" t="str">
        <f>"02/13/2022 18:38:59.491"</f>
        <v>02/13/2022 18:38:59.491</v>
      </c>
      <c r="C635" t="str">
        <f t="shared" si="61"/>
        <v>FFDFD7C0</v>
      </c>
      <c r="D635" t="s">
        <v>121</v>
      </c>
      <c r="E635">
        <v>2</v>
      </c>
      <c r="H635">
        <v>158</v>
      </c>
      <c r="I635" t="s">
        <v>120</v>
      </c>
      <c r="J635" t="s">
        <v>122</v>
      </c>
      <c r="K635">
        <v>0</v>
      </c>
      <c r="L635">
        <v>3</v>
      </c>
      <c r="M635">
        <v>0</v>
      </c>
      <c r="N635">
        <v>2</v>
      </c>
      <c r="O635">
        <v>1</v>
      </c>
      <c r="P635">
        <v>0</v>
      </c>
      <c r="Q635">
        <v>0</v>
      </c>
      <c r="S635" t="str">
        <f>"18:38:59.250"</f>
        <v>18:38:59.250</v>
      </c>
      <c r="T635" t="str">
        <f>"18:38:58.950"</f>
        <v>18:38:58.950</v>
      </c>
      <c r="U635" t="str">
        <f t="shared" si="60"/>
        <v>AAB6EE</v>
      </c>
      <c r="V635">
        <v>0</v>
      </c>
      <c r="W635">
        <v>0</v>
      </c>
      <c r="X635">
        <v>4</v>
      </c>
      <c r="Z635">
        <v>0</v>
      </c>
      <c r="AA635">
        <v>8</v>
      </c>
      <c r="AB635">
        <v>3</v>
      </c>
      <c r="AC635">
        <v>0</v>
      </c>
      <c r="AD635">
        <v>10</v>
      </c>
      <c r="AE635">
        <v>0</v>
      </c>
      <c r="AF635">
        <v>0</v>
      </c>
      <c r="AG635">
        <v>2</v>
      </c>
      <c r="AH635">
        <v>1</v>
      </c>
      <c r="AI635" t="s">
        <v>545</v>
      </c>
      <c r="AJ635">
        <v>35.406982999999997</v>
      </c>
      <c r="AK635" t="s">
        <v>546</v>
      </c>
      <c r="AL635">
        <v>-76.103239000000002</v>
      </c>
      <c r="AM635">
        <v>25</v>
      </c>
      <c r="AN635">
        <v>3425</v>
      </c>
      <c r="AO635" t="s">
        <v>118</v>
      </c>
      <c r="AP635">
        <v>-101</v>
      </c>
      <c r="AQ635">
        <v>-197</v>
      </c>
      <c r="AR635">
        <v>-64</v>
      </c>
      <c r="AZ635">
        <v>4516</v>
      </c>
      <c r="BA635">
        <v>1</v>
      </c>
      <c r="BB635" t="str">
        <f t="shared" si="62"/>
        <v xml:space="preserve">N79NX   </v>
      </c>
      <c r="BC635">
        <v>1</v>
      </c>
      <c r="BE635">
        <v>0</v>
      </c>
      <c r="BF635">
        <v>0</v>
      </c>
      <c r="BG635">
        <v>0</v>
      </c>
      <c r="BH635">
        <v>3300</v>
      </c>
      <c r="BI635">
        <v>0</v>
      </c>
      <c r="BJ635">
        <v>0</v>
      </c>
      <c r="BK635">
        <v>0</v>
      </c>
      <c r="BL635">
        <v>0</v>
      </c>
      <c r="BO635">
        <v>0</v>
      </c>
      <c r="BP635">
        <v>0</v>
      </c>
      <c r="BW635" t="str">
        <f>"18:38:59.251"</f>
        <v>18:38:59.251</v>
      </c>
      <c r="BZ635">
        <v>0</v>
      </c>
      <c r="CA635">
        <v>3488</v>
      </c>
      <c r="CB635">
        <v>216</v>
      </c>
      <c r="CC635">
        <v>583.59379999999999</v>
      </c>
      <c r="CD635">
        <v>1</v>
      </c>
      <c r="CE635">
        <v>1</v>
      </c>
      <c r="CF635">
        <v>0</v>
      </c>
      <c r="CG635">
        <v>1</v>
      </c>
      <c r="CH635">
        <v>0</v>
      </c>
      <c r="CI635">
        <v>0</v>
      </c>
      <c r="CJ635">
        <v>0</v>
      </c>
      <c r="CK635">
        <v>2</v>
      </c>
      <c r="CL635">
        <v>0</v>
      </c>
      <c r="CM635">
        <v>2</v>
      </c>
      <c r="CN635">
        <v>0</v>
      </c>
      <c r="CO635">
        <v>6</v>
      </c>
      <c r="CP635" t="s">
        <v>119</v>
      </c>
      <c r="CQ635">
        <v>145</v>
      </c>
      <c r="CR635">
        <v>1</v>
      </c>
      <c r="CW635">
        <v>8949977</v>
      </c>
      <c r="CY635">
        <v>0</v>
      </c>
      <c r="CZ635">
        <v>0</v>
      </c>
      <c r="DA635">
        <v>0</v>
      </c>
      <c r="DB635">
        <v>0</v>
      </c>
      <c r="DC635">
        <v>0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</row>
    <row r="636" spans="1:113" x14ac:dyDescent="0.3">
      <c r="A636" t="str">
        <f>"02/13/2022 18:38:59.491"</f>
        <v>02/13/2022 18:38:59.491</v>
      </c>
      <c r="C636" t="str">
        <f t="shared" si="61"/>
        <v>FFDFD7C0</v>
      </c>
      <c r="D636" t="s">
        <v>113</v>
      </c>
      <c r="E636">
        <v>3</v>
      </c>
      <c r="F636">
        <v>1003</v>
      </c>
      <c r="G636" t="s">
        <v>114</v>
      </c>
      <c r="J636" t="s">
        <v>115</v>
      </c>
      <c r="K636">
        <v>0</v>
      </c>
      <c r="L636">
        <v>3</v>
      </c>
      <c r="M636">
        <v>0</v>
      </c>
      <c r="N636">
        <v>2</v>
      </c>
      <c r="O636">
        <v>1</v>
      </c>
      <c r="P636">
        <v>0</v>
      </c>
      <c r="Q636">
        <v>0</v>
      </c>
      <c r="S636" t="str">
        <f>"18:38:59.250"</f>
        <v>18:38:59.250</v>
      </c>
      <c r="T636" t="str">
        <f>"18:38:58.950"</f>
        <v>18:38:58.950</v>
      </c>
      <c r="U636" t="str">
        <f t="shared" si="60"/>
        <v>AAB6EE</v>
      </c>
      <c r="V636">
        <v>0</v>
      </c>
      <c r="W636">
        <v>0</v>
      </c>
      <c r="X636">
        <v>4</v>
      </c>
      <c r="Z636">
        <v>0</v>
      </c>
      <c r="AA636">
        <v>8</v>
      </c>
      <c r="AB636">
        <v>3</v>
      </c>
      <c r="AC636">
        <v>0</v>
      </c>
      <c r="AD636">
        <v>10</v>
      </c>
      <c r="AE636">
        <v>0</v>
      </c>
      <c r="AF636">
        <v>0</v>
      </c>
      <c r="AG636">
        <v>2</v>
      </c>
      <c r="AH636">
        <v>1</v>
      </c>
      <c r="AI636" t="s">
        <v>545</v>
      </c>
      <c r="AJ636">
        <v>35.406982999999997</v>
      </c>
      <c r="AK636" t="s">
        <v>546</v>
      </c>
      <c r="AL636">
        <v>-76.103239000000002</v>
      </c>
      <c r="AM636">
        <v>25</v>
      </c>
      <c r="AN636">
        <v>3425</v>
      </c>
      <c r="AO636" t="s">
        <v>118</v>
      </c>
      <c r="AP636">
        <v>-101</v>
      </c>
      <c r="AQ636">
        <v>-197</v>
      </c>
      <c r="AR636">
        <v>-64</v>
      </c>
      <c r="AZ636">
        <v>4516</v>
      </c>
      <c r="BA636">
        <v>1</v>
      </c>
      <c r="BB636" t="str">
        <f t="shared" si="62"/>
        <v xml:space="preserve">N79NX   </v>
      </c>
      <c r="BC636">
        <v>1</v>
      </c>
      <c r="BE636">
        <v>0</v>
      </c>
      <c r="BF636">
        <v>0</v>
      </c>
      <c r="BG636">
        <v>0</v>
      </c>
      <c r="BH636">
        <v>3300</v>
      </c>
      <c r="BI636">
        <v>0</v>
      </c>
      <c r="BJ636">
        <v>0</v>
      </c>
      <c r="BK636">
        <v>0</v>
      </c>
      <c r="BL636">
        <v>0</v>
      </c>
      <c r="BO636">
        <v>0</v>
      </c>
      <c r="BP636">
        <v>0</v>
      </c>
      <c r="BW636" t="str">
        <f>"18:38:59.251"</f>
        <v>18:38:59.251</v>
      </c>
      <c r="BZ636">
        <v>0</v>
      </c>
      <c r="CA636">
        <v>3488</v>
      </c>
      <c r="CB636">
        <v>216</v>
      </c>
      <c r="CC636">
        <v>583.59379999999999</v>
      </c>
      <c r="CD636">
        <v>1</v>
      </c>
      <c r="CE636">
        <v>1</v>
      </c>
      <c r="CF636">
        <v>0</v>
      </c>
      <c r="CG636">
        <v>1</v>
      </c>
      <c r="CH636">
        <v>0</v>
      </c>
      <c r="CI636">
        <v>0</v>
      </c>
      <c r="CJ636">
        <v>0</v>
      </c>
      <c r="CK636">
        <v>2</v>
      </c>
      <c r="CL636">
        <v>0</v>
      </c>
      <c r="CM636">
        <v>2</v>
      </c>
      <c r="CN636">
        <v>0</v>
      </c>
      <c r="CO636">
        <v>6</v>
      </c>
      <c r="CP636" t="s">
        <v>119</v>
      </c>
      <c r="CQ636">
        <v>145</v>
      </c>
      <c r="CR636">
        <v>1</v>
      </c>
      <c r="CW636">
        <v>8949977</v>
      </c>
      <c r="CY636">
        <v>0</v>
      </c>
      <c r="CZ636">
        <v>0</v>
      </c>
      <c r="DA636">
        <v>1</v>
      </c>
      <c r="DB636">
        <v>0</v>
      </c>
      <c r="DC636">
        <v>0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0</v>
      </c>
    </row>
    <row r="637" spans="1:113" x14ac:dyDescent="0.3">
      <c r="A637" t="str">
        <f>"02/13/2022 18:38:59.491"</f>
        <v>02/13/2022 18:38:59.491</v>
      </c>
      <c r="C637" t="str">
        <f t="shared" si="61"/>
        <v>FFDFD7C0</v>
      </c>
      <c r="D637" t="s">
        <v>113</v>
      </c>
      <c r="E637">
        <v>4</v>
      </c>
      <c r="F637">
        <v>1004</v>
      </c>
      <c r="G637" t="s">
        <v>120</v>
      </c>
      <c r="J637" t="s">
        <v>115</v>
      </c>
      <c r="K637">
        <v>0</v>
      </c>
      <c r="L637">
        <v>3</v>
      </c>
      <c r="M637">
        <v>0</v>
      </c>
      <c r="N637">
        <v>2</v>
      </c>
      <c r="O637">
        <v>1</v>
      </c>
      <c r="P637">
        <v>0</v>
      </c>
      <c r="Q637">
        <v>0</v>
      </c>
      <c r="S637" t="str">
        <f>"18:38:59.250"</f>
        <v>18:38:59.250</v>
      </c>
      <c r="T637" t="str">
        <f>"18:38:58.950"</f>
        <v>18:38:58.950</v>
      </c>
      <c r="U637" t="str">
        <f t="shared" si="60"/>
        <v>AAB6EE</v>
      </c>
      <c r="V637">
        <v>0</v>
      </c>
      <c r="W637">
        <v>0</v>
      </c>
      <c r="X637">
        <v>4</v>
      </c>
      <c r="Z637">
        <v>0</v>
      </c>
      <c r="AA637">
        <v>8</v>
      </c>
      <c r="AB637">
        <v>3</v>
      </c>
      <c r="AC637">
        <v>0</v>
      </c>
      <c r="AD637">
        <v>10</v>
      </c>
      <c r="AE637">
        <v>0</v>
      </c>
      <c r="AF637">
        <v>0</v>
      </c>
      <c r="AG637">
        <v>2</v>
      </c>
      <c r="AH637">
        <v>1</v>
      </c>
      <c r="AI637" t="s">
        <v>545</v>
      </c>
      <c r="AJ637">
        <v>35.406982999999997</v>
      </c>
      <c r="AK637" t="s">
        <v>546</v>
      </c>
      <c r="AL637">
        <v>-76.103239000000002</v>
      </c>
      <c r="AM637">
        <v>25</v>
      </c>
      <c r="AN637">
        <v>3425</v>
      </c>
      <c r="AO637" t="s">
        <v>118</v>
      </c>
      <c r="AP637">
        <v>-101</v>
      </c>
      <c r="AQ637">
        <v>-197</v>
      </c>
      <c r="AR637">
        <v>-64</v>
      </c>
      <c r="AZ637">
        <v>4516</v>
      </c>
      <c r="BA637">
        <v>1</v>
      </c>
      <c r="BB637" t="str">
        <f t="shared" si="62"/>
        <v xml:space="preserve">N79NX   </v>
      </c>
      <c r="BC637">
        <v>1</v>
      </c>
      <c r="BE637">
        <v>0</v>
      </c>
      <c r="BF637">
        <v>0</v>
      </c>
      <c r="BG637">
        <v>0</v>
      </c>
      <c r="BH637">
        <v>3300</v>
      </c>
      <c r="BI637">
        <v>0</v>
      </c>
      <c r="BJ637">
        <v>0</v>
      </c>
      <c r="BK637">
        <v>0</v>
      </c>
      <c r="BL637">
        <v>0</v>
      </c>
      <c r="BO637">
        <v>0</v>
      </c>
      <c r="BP637">
        <v>0</v>
      </c>
      <c r="BW637" t="str">
        <f>"18:38:59.251"</f>
        <v>18:38:59.251</v>
      </c>
      <c r="BZ637">
        <v>0</v>
      </c>
      <c r="CA637">
        <v>3488</v>
      </c>
      <c r="CB637">
        <v>216</v>
      </c>
      <c r="CC637">
        <v>583.59379999999999</v>
      </c>
      <c r="CD637">
        <v>1</v>
      </c>
      <c r="CE637">
        <v>1</v>
      </c>
      <c r="CF637">
        <v>0</v>
      </c>
      <c r="CG637">
        <v>1</v>
      </c>
      <c r="CH637">
        <v>0</v>
      </c>
      <c r="CI637">
        <v>0</v>
      </c>
      <c r="CJ637">
        <v>0</v>
      </c>
      <c r="CK637">
        <v>2</v>
      </c>
      <c r="CL637">
        <v>0</v>
      </c>
      <c r="CM637">
        <v>2</v>
      </c>
      <c r="CN637">
        <v>0</v>
      </c>
      <c r="CO637">
        <v>6</v>
      </c>
      <c r="CP637" t="s">
        <v>119</v>
      </c>
      <c r="CQ637">
        <v>145</v>
      </c>
      <c r="CR637">
        <v>1</v>
      </c>
      <c r="CW637">
        <v>8949977</v>
      </c>
      <c r="CY637">
        <v>0</v>
      </c>
      <c r="CZ637">
        <v>0</v>
      </c>
      <c r="DA637">
        <v>1</v>
      </c>
      <c r="DB637">
        <v>0</v>
      </c>
      <c r="DC637">
        <v>0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0</v>
      </c>
    </row>
    <row r="638" spans="1:113" x14ac:dyDescent="0.3">
      <c r="A638" t="str">
        <f>"02/13/2022 18:39:00.722"</f>
        <v>02/13/2022 18:39:00.722</v>
      </c>
      <c r="C638" t="str">
        <f t="shared" si="61"/>
        <v>FFDFD7C0</v>
      </c>
      <c r="D638" t="s">
        <v>121</v>
      </c>
      <c r="E638">
        <v>2</v>
      </c>
      <c r="H638">
        <v>158</v>
      </c>
      <c r="I638" t="s">
        <v>120</v>
      </c>
      <c r="J638" t="s">
        <v>122</v>
      </c>
      <c r="K638">
        <v>0</v>
      </c>
      <c r="L638">
        <v>3</v>
      </c>
      <c r="M638">
        <v>0</v>
      </c>
      <c r="N638">
        <v>2</v>
      </c>
      <c r="O638">
        <v>1</v>
      </c>
      <c r="P638">
        <v>0</v>
      </c>
      <c r="Q638">
        <v>0</v>
      </c>
      <c r="S638" t="str">
        <f>"18:39:00.305"</f>
        <v>18:39:00.305</v>
      </c>
      <c r="T638" t="str">
        <f>"18:38:59.905"</f>
        <v>18:38:59.905</v>
      </c>
      <c r="U638" t="str">
        <f t="shared" si="60"/>
        <v>AAB6EE</v>
      </c>
      <c r="V638">
        <v>0</v>
      </c>
      <c r="W638">
        <v>0</v>
      </c>
      <c r="X638">
        <v>4</v>
      </c>
      <c r="Z638">
        <v>0</v>
      </c>
      <c r="AA638">
        <v>8</v>
      </c>
      <c r="AB638">
        <v>3</v>
      </c>
      <c r="AC638">
        <v>0</v>
      </c>
      <c r="AD638">
        <v>10</v>
      </c>
      <c r="AE638">
        <v>0</v>
      </c>
      <c r="AF638">
        <v>0</v>
      </c>
      <c r="AG638">
        <v>2</v>
      </c>
      <c r="AH638">
        <v>1</v>
      </c>
      <c r="AI638" t="s">
        <v>547</v>
      </c>
      <c r="AJ638">
        <v>35.405996000000002</v>
      </c>
      <c r="AK638" t="s">
        <v>548</v>
      </c>
      <c r="AL638">
        <v>-76.103840000000005</v>
      </c>
      <c r="AM638">
        <v>25</v>
      </c>
      <c r="AN638">
        <v>3425</v>
      </c>
      <c r="AO638" t="s">
        <v>118</v>
      </c>
      <c r="AP638">
        <v>-101</v>
      </c>
      <c r="AQ638">
        <v>-197</v>
      </c>
      <c r="AR638">
        <v>0</v>
      </c>
      <c r="AZ638">
        <v>4516</v>
      </c>
      <c r="BA638">
        <v>1</v>
      </c>
      <c r="BB638" t="str">
        <f t="shared" si="62"/>
        <v xml:space="preserve">N79NX   </v>
      </c>
      <c r="BC638">
        <v>1</v>
      </c>
      <c r="BE638">
        <v>0</v>
      </c>
      <c r="BF638">
        <v>0</v>
      </c>
      <c r="BG638">
        <v>0</v>
      </c>
      <c r="BH638">
        <v>3300</v>
      </c>
      <c r="BI638">
        <v>0</v>
      </c>
      <c r="BJ638">
        <v>0</v>
      </c>
      <c r="BK638">
        <v>0</v>
      </c>
      <c r="BL638">
        <v>0</v>
      </c>
      <c r="BO638">
        <v>0</v>
      </c>
      <c r="BP638">
        <v>0</v>
      </c>
      <c r="BW638" t="str">
        <f>"18:39:00.311"</f>
        <v>18:39:00.311</v>
      </c>
      <c r="BZ638">
        <v>0</v>
      </c>
      <c r="CA638">
        <v>3488</v>
      </c>
      <c r="CB638">
        <v>216</v>
      </c>
      <c r="CC638">
        <v>583.59379999999999</v>
      </c>
      <c r="CD638">
        <v>1</v>
      </c>
      <c r="CE638">
        <v>1</v>
      </c>
      <c r="CF638">
        <v>0</v>
      </c>
      <c r="CG638">
        <v>1</v>
      </c>
      <c r="CH638">
        <v>0</v>
      </c>
      <c r="CI638">
        <v>0</v>
      </c>
      <c r="CJ638">
        <v>0</v>
      </c>
      <c r="CK638">
        <v>2</v>
      </c>
      <c r="CL638">
        <v>0</v>
      </c>
      <c r="CM638">
        <v>2</v>
      </c>
      <c r="CN638">
        <v>0</v>
      </c>
      <c r="CO638">
        <v>6</v>
      </c>
      <c r="CP638" t="s">
        <v>119</v>
      </c>
      <c r="CQ638">
        <v>145</v>
      </c>
      <c r="CR638">
        <v>1</v>
      </c>
      <c r="CW638">
        <v>8950430</v>
      </c>
      <c r="CY638">
        <v>0</v>
      </c>
      <c r="CZ638">
        <v>0</v>
      </c>
      <c r="DA638">
        <v>0</v>
      </c>
      <c r="DB638">
        <v>0</v>
      </c>
      <c r="DC638">
        <v>0</v>
      </c>
      <c r="DD638">
        <v>0</v>
      </c>
      <c r="DE638">
        <v>0</v>
      </c>
      <c r="DF638">
        <v>0</v>
      </c>
      <c r="DG638">
        <v>0</v>
      </c>
      <c r="DH638">
        <v>0</v>
      </c>
      <c r="DI638">
        <v>0</v>
      </c>
    </row>
    <row r="639" spans="1:113" x14ac:dyDescent="0.3">
      <c r="A639" t="str">
        <f>"02/13/2022 18:39:00.722"</f>
        <v>02/13/2022 18:39:00.722</v>
      </c>
      <c r="C639" t="str">
        <f t="shared" si="61"/>
        <v>FFDFD7C0</v>
      </c>
      <c r="D639" t="s">
        <v>113</v>
      </c>
      <c r="E639">
        <v>3</v>
      </c>
      <c r="F639">
        <v>1003</v>
      </c>
      <c r="G639" t="s">
        <v>114</v>
      </c>
      <c r="J639" t="s">
        <v>115</v>
      </c>
      <c r="K639">
        <v>0</v>
      </c>
      <c r="L639">
        <v>3</v>
      </c>
      <c r="M639">
        <v>0</v>
      </c>
      <c r="N639">
        <v>2</v>
      </c>
      <c r="O639">
        <v>1</v>
      </c>
      <c r="P639">
        <v>0</v>
      </c>
      <c r="Q639">
        <v>0</v>
      </c>
      <c r="S639" t="str">
        <f>"18:39:00.305"</f>
        <v>18:39:00.305</v>
      </c>
      <c r="T639" t="str">
        <f>"18:38:59.905"</f>
        <v>18:38:59.905</v>
      </c>
      <c r="U639" t="str">
        <f t="shared" si="60"/>
        <v>AAB6EE</v>
      </c>
      <c r="V639">
        <v>0</v>
      </c>
      <c r="W639">
        <v>0</v>
      </c>
      <c r="X639">
        <v>4</v>
      </c>
      <c r="Z639">
        <v>0</v>
      </c>
      <c r="AA639">
        <v>8</v>
      </c>
      <c r="AB639">
        <v>3</v>
      </c>
      <c r="AC639">
        <v>0</v>
      </c>
      <c r="AD639">
        <v>10</v>
      </c>
      <c r="AE639">
        <v>0</v>
      </c>
      <c r="AF639">
        <v>0</v>
      </c>
      <c r="AG639">
        <v>2</v>
      </c>
      <c r="AH639">
        <v>1</v>
      </c>
      <c r="AI639" t="s">
        <v>547</v>
      </c>
      <c r="AJ639">
        <v>35.405996000000002</v>
      </c>
      <c r="AK639" t="s">
        <v>548</v>
      </c>
      <c r="AL639">
        <v>-76.103840000000005</v>
      </c>
      <c r="AM639">
        <v>25</v>
      </c>
      <c r="AN639">
        <v>3425</v>
      </c>
      <c r="AO639" t="s">
        <v>118</v>
      </c>
      <c r="AP639">
        <v>-101</v>
      </c>
      <c r="AQ639">
        <v>-197</v>
      </c>
      <c r="AR639">
        <v>0</v>
      </c>
      <c r="AZ639">
        <v>4516</v>
      </c>
      <c r="BA639">
        <v>1</v>
      </c>
      <c r="BB639" t="str">
        <f t="shared" si="62"/>
        <v xml:space="preserve">N79NX   </v>
      </c>
      <c r="BC639">
        <v>1</v>
      </c>
      <c r="BE639">
        <v>0</v>
      </c>
      <c r="BF639">
        <v>0</v>
      </c>
      <c r="BG639">
        <v>0</v>
      </c>
      <c r="BH639">
        <v>3300</v>
      </c>
      <c r="BI639">
        <v>0</v>
      </c>
      <c r="BJ639">
        <v>0</v>
      </c>
      <c r="BK639">
        <v>0</v>
      </c>
      <c r="BL639">
        <v>0</v>
      </c>
      <c r="BO639">
        <v>0</v>
      </c>
      <c r="BP639">
        <v>0</v>
      </c>
      <c r="BW639" t="str">
        <f>"18:39:00.311"</f>
        <v>18:39:00.311</v>
      </c>
      <c r="BZ639">
        <v>0</v>
      </c>
      <c r="CA639">
        <v>3488</v>
      </c>
      <c r="CB639">
        <v>216</v>
      </c>
      <c r="CC639">
        <v>583.59379999999999</v>
      </c>
      <c r="CD639">
        <v>1</v>
      </c>
      <c r="CE639">
        <v>1</v>
      </c>
      <c r="CF639">
        <v>0</v>
      </c>
      <c r="CG639">
        <v>1</v>
      </c>
      <c r="CH639">
        <v>0</v>
      </c>
      <c r="CI639">
        <v>0</v>
      </c>
      <c r="CJ639">
        <v>0</v>
      </c>
      <c r="CK639">
        <v>2</v>
      </c>
      <c r="CL639">
        <v>0</v>
      </c>
      <c r="CM639">
        <v>2</v>
      </c>
      <c r="CN639">
        <v>0</v>
      </c>
      <c r="CO639">
        <v>6</v>
      </c>
      <c r="CP639" t="s">
        <v>119</v>
      </c>
      <c r="CQ639">
        <v>145</v>
      </c>
      <c r="CR639">
        <v>1</v>
      </c>
      <c r="CW639">
        <v>8950430</v>
      </c>
      <c r="CY639">
        <v>0</v>
      </c>
      <c r="CZ639">
        <v>0</v>
      </c>
      <c r="DA639">
        <v>1</v>
      </c>
      <c r="DB639">
        <v>0</v>
      </c>
      <c r="DC639">
        <v>0</v>
      </c>
      <c r="DD639">
        <v>0</v>
      </c>
      <c r="DE639">
        <v>0</v>
      </c>
      <c r="DF639">
        <v>0</v>
      </c>
      <c r="DG639">
        <v>0</v>
      </c>
      <c r="DH639">
        <v>0</v>
      </c>
      <c r="DI639">
        <v>0</v>
      </c>
    </row>
    <row r="640" spans="1:113" x14ac:dyDescent="0.3">
      <c r="A640" t="str">
        <f>"02/13/2022 18:39:00.722"</f>
        <v>02/13/2022 18:39:00.722</v>
      </c>
      <c r="C640" t="str">
        <f t="shared" si="61"/>
        <v>FFDFD7C0</v>
      </c>
      <c r="D640" t="s">
        <v>113</v>
      </c>
      <c r="E640">
        <v>4</v>
      </c>
      <c r="F640">
        <v>1004</v>
      </c>
      <c r="G640" t="s">
        <v>120</v>
      </c>
      <c r="J640" t="s">
        <v>115</v>
      </c>
      <c r="K640">
        <v>0</v>
      </c>
      <c r="L640">
        <v>3</v>
      </c>
      <c r="M640">
        <v>0</v>
      </c>
      <c r="N640">
        <v>2</v>
      </c>
      <c r="O640">
        <v>1</v>
      </c>
      <c r="P640">
        <v>0</v>
      </c>
      <c r="Q640">
        <v>0</v>
      </c>
      <c r="S640" t="str">
        <f>"18:39:00.305"</f>
        <v>18:39:00.305</v>
      </c>
      <c r="T640" t="str">
        <f>"18:38:59.905"</f>
        <v>18:38:59.905</v>
      </c>
      <c r="U640" t="str">
        <f t="shared" si="60"/>
        <v>AAB6EE</v>
      </c>
      <c r="V640">
        <v>0</v>
      </c>
      <c r="W640">
        <v>0</v>
      </c>
      <c r="X640">
        <v>4</v>
      </c>
      <c r="Z640">
        <v>0</v>
      </c>
      <c r="AA640">
        <v>8</v>
      </c>
      <c r="AB640">
        <v>3</v>
      </c>
      <c r="AC640">
        <v>0</v>
      </c>
      <c r="AD640">
        <v>10</v>
      </c>
      <c r="AE640">
        <v>0</v>
      </c>
      <c r="AF640">
        <v>0</v>
      </c>
      <c r="AG640">
        <v>2</v>
      </c>
      <c r="AH640">
        <v>1</v>
      </c>
      <c r="AI640" t="s">
        <v>547</v>
      </c>
      <c r="AJ640">
        <v>35.405996000000002</v>
      </c>
      <c r="AK640" t="s">
        <v>548</v>
      </c>
      <c r="AL640">
        <v>-76.103840000000005</v>
      </c>
      <c r="AM640">
        <v>25</v>
      </c>
      <c r="AN640">
        <v>3425</v>
      </c>
      <c r="AO640" t="s">
        <v>118</v>
      </c>
      <c r="AP640">
        <v>-101</v>
      </c>
      <c r="AQ640">
        <v>-197</v>
      </c>
      <c r="AR640">
        <v>0</v>
      </c>
      <c r="AZ640">
        <v>4516</v>
      </c>
      <c r="BA640">
        <v>1</v>
      </c>
      <c r="BB640" t="str">
        <f t="shared" si="62"/>
        <v xml:space="preserve">N79NX   </v>
      </c>
      <c r="BC640">
        <v>1</v>
      </c>
      <c r="BE640">
        <v>0</v>
      </c>
      <c r="BF640">
        <v>0</v>
      </c>
      <c r="BG640">
        <v>0</v>
      </c>
      <c r="BH640">
        <v>3300</v>
      </c>
      <c r="BI640">
        <v>0</v>
      </c>
      <c r="BJ640">
        <v>0</v>
      </c>
      <c r="BK640">
        <v>0</v>
      </c>
      <c r="BL640">
        <v>0</v>
      </c>
      <c r="BO640">
        <v>0</v>
      </c>
      <c r="BP640">
        <v>0</v>
      </c>
      <c r="BW640" t="str">
        <f>"18:39:00.311"</f>
        <v>18:39:00.311</v>
      </c>
      <c r="BZ640">
        <v>0</v>
      </c>
      <c r="CA640">
        <v>3488</v>
      </c>
      <c r="CB640">
        <v>216</v>
      </c>
      <c r="CC640">
        <v>583.59379999999999</v>
      </c>
      <c r="CD640">
        <v>1</v>
      </c>
      <c r="CE640">
        <v>1</v>
      </c>
      <c r="CF640">
        <v>0</v>
      </c>
      <c r="CG640">
        <v>1</v>
      </c>
      <c r="CH640">
        <v>0</v>
      </c>
      <c r="CI640">
        <v>0</v>
      </c>
      <c r="CJ640">
        <v>0</v>
      </c>
      <c r="CK640">
        <v>2</v>
      </c>
      <c r="CL640">
        <v>0</v>
      </c>
      <c r="CM640">
        <v>2</v>
      </c>
      <c r="CN640">
        <v>0</v>
      </c>
      <c r="CO640">
        <v>6</v>
      </c>
      <c r="CP640" t="s">
        <v>119</v>
      </c>
      <c r="CQ640">
        <v>145</v>
      </c>
      <c r="CR640">
        <v>1</v>
      </c>
      <c r="CW640">
        <v>8950430</v>
      </c>
      <c r="CY640">
        <v>0</v>
      </c>
      <c r="CZ640">
        <v>0</v>
      </c>
      <c r="DA640">
        <v>1</v>
      </c>
      <c r="DB640">
        <v>0</v>
      </c>
      <c r="DC640">
        <v>0</v>
      </c>
      <c r="DD640">
        <v>0</v>
      </c>
      <c r="DE640">
        <v>0</v>
      </c>
      <c r="DF640">
        <v>0</v>
      </c>
      <c r="DG640">
        <v>0</v>
      </c>
      <c r="DH640">
        <v>0</v>
      </c>
      <c r="DI640">
        <v>0</v>
      </c>
    </row>
    <row r="641" spans="1:113" x14ac:dyDescent="0.3">
      <c r="A641" t="str">
        <f>"02/13/2022 18:39:01.409"</f>
        <v>02/13/2022 18:39:01.409</v>
      </c>
      <c r="C641" t="str">
        <f t="shared" si="61"/>
        <v>FFDFD7C0</v>
      </c>
      <c r="D641" t="s">
        <v>121</v>
      </c>
      <c r="E641">
        <v>2</v>
      </c>
      <c r="H641">
        <v>158</v>
      </c>
      <c r="I641" t="s">
        <v>120</v>
      </c>
      <c r="J641" t="s">
        <v>122</v>
      </c>
      <c r="K641">
        <v>0</v>
      </c>
      <c r="L641">
        <v>3</v>
      </c>
      <c r="M641">
        <v>0</v>
      </c>
      <c r="N641">
        <v>2</v>
      </c>
      <c r="O641">
        <v>1</v>
      </c>
      <c r="P641">
        <v>0</v>
      </c>
      <c r="Q641">
        <v>0</v>
      </c>
      <c r="S641" t="str">
        <f>"18:39:01.234"</f>
        <v>18:39:01.234</v>
      </c>
      <c r="T641" t="str">
        <f>"18:39:00.934"</f>
        <v>18:39:00.934</v>
      </c>
      <c r="U641" t="str">
        <f t="shared" si="60"/>
        <v>AAB6EE</v>
      </c>
      <c r="V641">
        <v>0</v>
      </c>
      <c r="W641">
        <v>0</v>
      </c>
      <c r="X641">
        <v>4</v>
      </c>
      <c r="Z641">
        <v>0</v>
      </c>
      <c r="AA641">
        <v>8</v>
      </c>
      <c r="AB641">
        <v>3</v>
      </c>
      <c r="AC641">
        <v>0</v>
      </c>
      <c r="AD641">
        <v>10</v>
      </c>
      <c r="AE641">
        <v>0</v>
      </c>
      <c r="AF641">
        <v>0</v>
      </c>
      <c r="AG641">
        <v>2</v>
      </c>
      <c r="AH641">
        <v>1</v>
      </c>
      <c r="AI641" t="s">
        <v>549</v>
      </c>
      <c r="AJ641">
        <v>35.405158999999998</v>
      </c>
      <c r="AK641" t="s">
        <v>550</v>
      </c>
      <c r="AL641">
        <v>-76.104398000000003</v>
      </c>
      <c r="AM641">
        <v>25</v>
      </c>
      <c r="AN641">
        <v>3425</v>
      </c>
      <c r="AO641" t="s">
        <v>118</v>
      </c>
      <c r="AP641">
        <v>-101</v>
      </c>
      <c r="AQ641">
        <v>-197</v>
      </c>
      <c r="AR641">
        <v>0</v>
      </c>
      <c r="AZ641">
        <v>4516</v>
      </c>
      <c r="BA641">
        <v>1</v>
      </c>
      <c r="BB641" t="str">
        <f t="shared" si="62"/>
        <v xml:space="preserve">N79NX   </v>
      </c>
      <c r="BC641">
        <v>1</v>
      </c>
      <c r="BE641">
        <v>0</v>
      </c>
      <c r="BF641">
        <v>0</v>
      </c>
      <c r="BG641">
        <v>0</v>
      </c>
      <c r="BH641">
        <v>3300</v>
      </c>
      <c r="BI641">
        <v>0</v>
      </c>
      <c r="BJ641">
        <v>0</v>
      </c>
      <c r="BK641">
        <v>0</v>
      </c>
      <c r="BL641">
        <v>0</v>
      </c>
      <c r="BO641">
        <v>0</v>
      </c>
      <c r="BP641">
        <v>0</v>
      </c>
      <c r="BW641" t="str">
        <f>"18:39:01.241"</f>
        <v>18:39:01.241</v>
      </c>
      <c r="BZ641">
        <v>0</v>
      </c>
      <c r="CA641">
        <v>3488</v>
      </c>
      <c r="CB641">
        <v>216</v>
      </c>
      <c r="CC641">
        <v>583.59379999999999</v>
      </c>
      <c r="CD641">
        <v>1</v>
      </c>
      <c r="CE641">
        <v>1</v>
      </c>
      <c r="CF641">
        <v>0</v>
      </c>
      <c r="CG641">
        <v>1</v>
      </c>
      <c r="CH641">
        <v>0</v>
      </c>
      <c r="CI641">
        <v>0</v>
      </c>
      <c r="CJ641">
        <v>0</v>
      </c>
      <c r="CK641">
        <v>2</v>
      </c>
      <c r="CL641">
        <v>0</v>
      </c>
      <c r="CM641">
        <v>2</v>
      </c>
      <c r="CN641">
        <v>0</v>
      </c>
      <c r="CO641">
        <v>6</v>
      </c>
      <c r="CP641" t="s">
        <v>119</v>
      </c>
      <c r="CQ641">
        <v>145</v>
      </c>
      <c r="CR641">
        <v>1</v>
      </c>
      <c r="CW641">
        <v>8950904</v>
      </c>
      <c r="CY641">
        <v>0</v>
      </c>
      <c r="CZ641">
        <v>0</v>
      </c>
      <c r="DA641">
        <v>0</v>
      </c>
      <c r="DB641">
        <v>0</v>
      </c>
      <c r="DC641">
        <v>0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0</v>
      </c>
    </row>
    <row r="642" spans="1:113" x14ac:dyDescent="0.3">
      <c r="A642" t="str">
        <f>"02/13/2022 18:39:01.487"</f>
        <v>02/13/2022 18:39:01.487</v>
      </c>
      <c r="C642" t="str">
        <f t="shared" si="61"/>
        <v>FFDFD7C0</v>
      </c>
      <c r="D642" t="s">
        <v>113</v>
      </c>
      <c r="E642">
        <v>3</v>
      </c>
      <c r="F642">
        <v>1003</v>
      </c>
      <c r="G642" t="s">
        <v>114</v>
      </c>
      <c r="J642" t="s">
        <v>115</v>
      </c>
      <c r="K642">
        <v>0</v>
      </c>
      <c r="L642">
        <v>3</v>
      </c>
      <c r="M642">
        <v>0</v>
      </c>
      <c r="N642">
        <v>2</v>
      </c>
      <c r="O642">
        <v>1</v>
      </c>
      <c r="P642">
        <v>0</v>
      </c>
      <c r="Q642">
        <v>0</v>
      </c>
      <c r="S642" t="str">
        <f>"18:39:01.234"</f>
        <v>18:39:01.234</v>
      </c>
      <c r="T642" t="str">
        <f>"18:39:00.934"</f>
        <v>18:39:00.934</v>
      </c>
      <c r="U642" t="str">
        <f t="shared" ref="U642:U705" si="68">"AAB6EE"</f>
        <v>AAB6EE</v>
      </c>
      <c r="V642">
        <v>0</v>
      </c>
      <c r="W642">
        <v>0</v>
      </c>
      <c r="X642">
        <v>4</v>
      </c>
      <c r="Z642">
        <v>0</v>
      </c>
      <c r="AA642">
        <v>8</v>
      </c>
      <c r="AB642">
        <v>3</v>
      </c>
      <c r="AC642">
        <v>0</v>
      </c>
      <c r="AD642">
        <v>10</v>
      </c>
      <c r="AE642">
        <v>0</v>
      </c>
      <c r="AF642">
        <v>0</v>
      </c>
      <c r="AG642">
        <v>2</v>
      </c>
      <c r="AH642">
        <v>1</v>
      </c>
      <c r="AI642" t="s">
        <v>549</v>
      </c>
      <c r="AJ642">
        <v>35.405158999999998</v>
      </c>
      <c r="AK642" t="s">
        <v>550</v>
      </c>
      <c r="AL642">
        <v>-76.104398000000003</v>
      </c>
      <c r="AM642">
        <v>25</v>
      </c>
      <c r="AN642">
        <v>3425</v>
      </c>
      <c r="AO642" t="s">
        <v>118</v>
      </c>
      <c r="AP642">
        <v>-101</v>
      </c>
      <c r="AQ642">
        <v>-197</v>
      </c>
      <c r="AR642">
        <v>0</v>
      </c>
      <c r="AZ642">
        <v>4516</v>
      </c>
      <c r="BA642">
        <v>1</v>
      </c>
      <c r="BB642" t="str">
        <f t="shared" si="62"/>
        <v xml:space="preserve">N79NX   </v>
      </c>
      <c r="BC642">
        <v>1</v>
      </c>
      <c r="BE642">
        <v>0</v>
      </c>
      <c r="BF642">
        <v>0</v>
      </c>
      <c r="BG642">
        <v>0</v>
      </c>
      <c r="BH642">
        <v>3300</v>
      </c>
      <c r="BI642">
        <v>0</v>
      </c>
      <c r="BJ642">
        <v>0</v>
      </c>
      <c r="BK642">
        <v>0</v>
      </c>
      <c r="BL642">
        <v>0</v>
      </c>
      <c r="BO642">
        <v>0</v>
      </c>
      <c r="BP642">
        <v>0</v>
      </c>
      <c r="BW642" t="str">
        <f>"18:39:01.241"</f>
        <v>18:39:01.241</v>
      </c>
      <c r="BZ642">
        <v>0</v>
      </c>
      <c r="CA642">
        <v>3488</v>
      </c>
      <c r="CB642">
        <v>216</v>
      </c>
      <c r="CC642">
        <v>583.59379999999999</v>
      </c>
      <c r="CD642">
        <v>1</v>
      </c>
      <c r="CE642">
        <v>1</v>
      </c>
      <c r="CF642">
        <v>0</v>
      </c>
      <c r="CG642">
        <v>1</v>
      </c>
      <c r="CH642">
        <v>0</v>
      </c>
      <c r="CI642">
        <v>0</v>
      </c>
      <c r="CJ642">
        <v>0</v>
      </c>
      <c r="CK642">
        <v>2</v>
      </c>
      <c r="CL642">
        <v>0</v>
      </c>
      <c r="CM642">
        <v>2</v>
      </c>
      <c r="CN642">
        <v>0</v>
      </c>
      <c r="CO642">
        <v>6</v>
      </c>
      <c r="CP642" t="s">
        <v>119</v>
      </c>
      <c r="CQ642">
        <v>145</v>
      </c>
      <c r="CR642">
        <v>1</v>
      </c>
      <c r="CW642">
        <v>8950904</v>
      </c>
      <c r="CY642">
        <v>0</v>
      </c>
      <c r="CZ642">
        <v>0</v>
      </c>
      <c r="DA642">
        <v>1</v>
      </c>
      <c r="DB642">
        <v>0</v>
      </c>
      <c r="DC642">
        <v>0</v>
      </c>
      <c r="DD642">
        <v>0</v>
      </c>
      <c r="DE642">
        <v>0</v>
      </c>
      <c r="DF642">
        <v>0</v>
      </c>
      <c r="DG642">
        <v>0</v>
      </c>
      <c r="DH642">
        <v>0</v>
      </c>
      <c r="DI642">
        <v>0</v>
      </c>
    </row>
    <row r="643" spans="1:113" x14ac:dyDescent="0.3">
      <c r="A643" t="str">
        <f>"02/13/2022 18:39:01.487"</f>
        <v>02/13/2022 18:39:01.487</v>
      </c>
      <c r="C643" t="str">
        <f t="shared" si="61"/>
        <v>FFDFD7C0</v>
      </c>
      <c r="D643" t="s">
        <v>113</v>
      </c>
      <c r="E643">
        <v>4</v>
      </c>
      <c r="F643">
        <v>1004</v>
      </c>
      <c r="G643" t="s">
        <v>120</v>
      </c>
      <c r="J643" t="s">
        <v>115</v>
      </c>
      <c r="K643">
        <v>0</v>
      </c>
      <c r="L643">
        <v>3</v>
      </c>
      <c r="M643">
        <v>0</v>
      </c>
      <c r="N643">
        <v>2</v>
      </c>
      <c r="O643">
        <v>1</v>
      </c>
      <c r="P643">
        <v>0</v>
      </c>
      <c r="Q643">
        <v>0</v>
      </c>
      <c r="S643" t="str">
        <f>"18:39:01.234"</f>
        <v>18:39:01.234</v>
      </c>
      <c r="T643" t="str">
        <f>"18:39:00.934"</f>
        <v>18:39:00.934</v>
      </c>
      <c r="U643" t="str">
        <f t="shared" si="68"/>
        <v>AAB6EE</v>
      </c>
      <c r="V643">
        <v>0</v>
      </c>
      <c r="W643">
        <v>0</v>
      </c>
      <c r="X643">
        <v>4</v>
      </c>
      <c r="Z643">
        <v>0</v>
      </c>
      <c r="AA643">
        <v>8</v>
      </c>
      <c r="AB643">
        <v>3</v>
      </c>
      <c r="AC643">
        <v>0</v>
      </c>
      <c r="AD643">
        <v>10</v>
      </c>
      <c r="AE643">
        <v>0</v>
      </c>
      <c r="AF643">
        <v>0</v>
      </c>
      <c r="AG643">
        <v>2</v>
      </c>
      <c r="AH643">
        <v>1</v>
      </c>
      <c r="AI643" t="s">
        <v>549</v>
      </c>
      <c r="AJ643">
        <v>35.405158999999998</v>
      </c>
      <c r="AK643" t="s">
        <v>550</v>
      </c>
      <c r="AL643">
        <v>-76.104398000000003</v>
      </c>
      <c r="AM643">
        <v>25</v>
      </c>
      <c r="AN643">
        <v>3425</v>
      </c>
      <c r="AO643" t="s">
        <v>118</v>
      </c>
      <c r="AP643">
        <v>-101</v>
      </c>
      <c r="AQ643">
        <v>-197</v>
      </c>
      <c r="AR643">
        <v>0</v>
      </c>
      <c r="AZ643">
        <v>4516</v>
      </c>
      <c r="BA643">
        <v>1</v>
      </c>
      <c r="BB643" t="str">
        <f t="shared" si="62"/>
        <v xml:space="preserve">N79NX   </v>
      </c>
      <c r="BC643">
        <v>1</v>
      </c>
      <c r="BE643">
        <v>0</v>
      </c>
      <c r="BF643">
        <v>0</v>
      </c>
      <c r="BG643">
        <v>0</v>
      </c>
      <c r="BH643">
        <v>3300</v>
      </c>
      <c r="BI643">
        <v>0</v>
      </c>
      <c r="BJ643">
        <v>0</v>
      </c>
      <c r="BK643">
        <v>0</v>
      </c>
      <c r="BL643">
        <v>0</v>
      </c>
      <c r="BO643">
        <v>0</v>
      </c>
      <c r="BP643">
        <v>0</v>
      </c>
      <c r="BW643" t="str">
        <f>"18:39:01.241"</f>
        <v>18:39:01.241</v>
      </c>
      <c r="BZ643">
        <v>0</v>
      </c>
      <c r="CA643">
        <v>3488</v>
      </c>
      <c r="CB643">
        <v>216</v>
      </c>
      <c r="CC643">
        <v>583.59379999999999</v>
      </c>
      <c r="CD643">
        <v>1</v>
      </c>
      <c r="CE643">
        <v>1</v>
      </c>
      <c r="CF643">
        <v>0</v>
      </c>
      <c r="CG643">
        <v>1</v>
      </c>
      <c r="CH643">
        <v>0</v>
      </c>
      <c r="CI643">
        <v>0</v>
      </c>
      <c r="CJ643">
        <v>0</v>
      </c>
      <c r="CK643">
        <v>2</v>
      </c>
      <c r="CL643">
        <v>0</v>
      </c>
      <c r="CM643">
        <v>2</v>
      </c>
      <c r="CN643">
        <v>0</v>
      </c>
      <c r="CO643">
        <v>6</v>
      </c>
      <c r="CP643" t="s">
        <v>119</v>
      </c>
      <c r="CQ643">
        <v>145</v>
      </c>
      <c r="CR643">
        <v>1</v>
      </c>
      <c r="CW643">
        <v>8950904</v>
      </c>
      <c r="CY643">
        <v>0</v>
      </c>
      <c r="CZ643">
        <v>0</v>
      </c>
      <c r="DA643">
        <v>1</v>
      </c>
      <c r="DB643">
        <v>0</v>
      </c>
      <c r="DC643">
        <v>0</v>
      </c>
      <c r="DD643">
        <v>0</v>
      </c>
      <c r="DE643">
        <v>0</v>
      </c>
      <c r="DF643">
        <v>0</v>
      </c>
      <c r="DG643">
        <v>0</v>
      </c>
      <c r="DH643">
        <v>0</v>
      </c>
      <c r="DI643">
        <v>0</v>
      </c>
    </row>
    <row r="644" spans="1:113" x14ac:dyDescent="0.3">
      <c r="A644" t="str">
        <f>"02/13/2022 18:39:02.378"</f>
        <v>02/13/2022 18:39:02.378</v>
      </c>
      <c r="C644" t="str">
        <f t="shared" si="61"/>
        <v>FFDFD7C0</v>
      </c>
      <c r="D644" t="s">
        <v>121</v>
      </c>
      <c r="E644">
        <v>2</v>
      </c>
      <c r="H644">
        <v>158</v>
      </c>
      <c r="I644" t="s">
        <v>120</v>
      </c>
      <c r="J644" t="s">
        <v>122</v>
      </c>
      <c r="K644">
        <v>0</v>
      </c>
      <c r="L644">
        <v>3</v>
      </c>
      <c r="M644">
        <v>0</v>
      </c>
      <c r="N644">
        <v>2</v>
      </c>
      <c r="O644">
        <v>1</v>
      </c>
      <c r="P644">
        <v>0</v>
      </c>
      <c r="Q644">
        <v>0</v>
      </c>
      <c r="S644" t="str">
        <f>"18:39:02.180"</f>
        <v>18:39:02.180</v>
      </c>
      <c r="T644" t="str">
        <f>"18:39:02.080"</f>
        <v>18:39:02.080</v>
      </c>
      <c r="U644" t="str">
        <f t="shared" si="68"/>
        <v>AAB6EE</v>
      </c>
      <c r="V644">
        <v>0</v>
      </c>
      <c r="W644">
        <v>0</v>
      </c>
      <c r="X644">
        <v>4</v>
      </c>
      <c r="Z644">
        <v>0</v>
      </c>
      <c r="AA644">
        <v>8</v>
      </c>
      <c r="AB644">
        <v>3</v>
      </c>
      <c r="AC644">
        <v>0</v>
      </c>
      <c r="AD644">
        <v>10</v>
      </c>
      <c r="AE644">
        <v>0</v>
      </c>
      <c r="AF644">
        <v>0</v>
      </c>
      <c r="AG644">
        <v>2</v>
      </c>
      <c r="AH644">
        <v>1</v>
      </c>
      <c r="AI644" t="s">
        <v>551</v>
      </c>
      <c r="AJ644">
        <v>35.404364999999999</v>
      </c>
      <c r="AK644" t="s">
        <v>552</v>
      </c>
      <c r="AL644">
        <v>-76.104870000000005</v>
      </c>
      <c r="AM644">
        <v>25</v>
      </c>
      <c r="AN644">
        <v>3425</v>
      </c>
      <c r="AO644" t="s">
        <v>118</v>
      </c>
      <c r="AP644">
        <v>-101</v>
      </c>
      <c r="AQ644">
        <v>-197</v>
      </c>
      <c r="AR644">
        <v>0</v>
      </c>
      <c r="AZ644">
        <v>4516</v>
      </c>
      <c r="BA644">
        <v>1</v>
      </c>
      <c r="BB644" t="str">
        <f t="shared" si="62"/>
        <v xml:space="preserve">N79NX   </v>
      </c>
      <c r="BC644">
        <v>1</v>
      </c>
      <c r="BE644">
        <v>0</v>
      </c>
      <c r="BF644">
        <v>0</v>
      </c>
      <c r="BG644">
        <v>0</v>
      </c>
      <c r="BH644">
        <v>3300</v>
      </c>
      <c r="BI644">
        <v>0</v>
      </c>
      <c r="BJ644">
        <v>0</v>
      </c>
      <c r="BK644">
        <v>0</v>
      </c>
      <c r="BL644">
        <v>0</v>
      </c>
      <c r="BO644">
        <v>0</v>
      </c>
      <c r="BP644">
        <v>0</v>
      </c>
      <c r="BW644" t="str">
        <f>"18:39:02.181"</f>
        <v>18:39:02.181</v>
      </c>
      <c r="BZ644">
        <v>0</v>
      </c>
      <c r="CA644">
        <v>3488</v>
      </c>
      <c r="CB644">
        <v>216</v>
      </c>
      <c r="CC644">
        <v>583.59379999999999</v>
      </c>
      <c r="CD644">
        <v>1</v>
      </c>
      <c r="CE644">
        <v>1</v>
      </c>
      <c r="CF644">
        <v>0</v>
      </c>
      <c r="CG644">
        <v>1</v>
      </c>
      <c r="CH644">
        <v>0</v>
      </c>
      <c r="CI644">
        <v>0</v>
      </c>
      <c r="CJ644">
        <v>0</v>
      </c>
      <c r="CK644">
        <v>2</v>
      </c>
      <c r="CL644">
        <v>0</v>
      </c>
      <c r="CM644">
        <v>2</v>
      </c>
      <c r="CN644">
        <v>0</v>
      </c>
      <c r="CO644">
        <v>6</v>
      </c>
      <c r="CP644" t="s">
        <v>119</v>
      </c>
      <c r="CQ644">
        <v>145</v>
      </c>
      <c r="CR644">
        <v>1</v>
      </c>
      <c r="CW644">
        <v>8951419</v>
      </c>
      <c r="CY644">
        <v>0</v>
      </c>
      <c r="CZ644">
        <v>0</v>
      </c>
      <c r="DA644">
        <v>0</v>
      </c>
      <c r="DB644">
        <v>0</v>
      </c>
      <c r="DC644">
        <v>0</v>
      </c>
      <c r="DD644">
        <v>0</v>
      </c>
      <c r="DE644">
        <v>0</v>
      </c>
      <c r="DF644">
        <v>0</v>
      </c>
      <c r="DG644">
        <v>0</v>
      </c>
      <c r="DH644">
        <v>0</v>
      </c>
      <c r="DI644">
        <v>0</v>
      </c>
    </row>
    <row r="645" spans="1:113" x14ac:dyDescent="0.3">
      <c r="A645" t="str">
        <f>"02/13/2022 18:39:02.378"</f>
        <v>02/13/2022 18:39:02.378</v>
      </c>
      <c r="C645" t="str">
        <f t="shared" ref="C645:C708" si="69">"FFDFD7C0"</f>
        <v>FFDFD7C0</v>
      </c>
      <c r="D645" t="s">
        <v>113</v>
      </c>
      <c r="E645">
        <v>3</v>
      </c>
      <c r="F645">
        <v>1003</v>
      </c>
      <c r="G645" t="s">
        <v>114</v>
      </c>
      <c r="J645" t="s">
        <v>115</v>
      </c>
      <c r="K645">
        <v>0</v>
      </c>
      <c r="L645">
        <v>3</v>
      </c>
      <c r="M645">
        <v>0</v>
      </c>
      <c r="N645">
        <v>2</v>
      </c>
      <c r="O645">
        <v>1</v>
      </c>
      <c r="P645">
        <v>0</v>
      </c>
      <c r="Q645">
        <v>0</v>
      </c>
      <c r="S645" t="str">
        <f>"18:39:02.180"</f>
        <v>18:39:02.180</v>
      </c>
      <c r="T645" t="str">
        <f>"18:39:02.080"</f>
        <v>18:39:02.080</v>
      </c>
      <c r="U645" t="str">
        <f t="shared" si="68"/>
        <v>AAB6EE</v>
      </c>
      <c r="V645">
        <v>0</v>
      </c>
      <c r="W645">
        <v>0</v>
      </c>
      <c r="X645">
        <v>4</v>
      </c>
      <c r="Z645">
        <v>0</v>
      </c>
      <c r="AA645">
        <v>8</v>
      </c>
      <c r="AB645">
        <v>3</v>
      </c>
      <c r="AC645">
        <v>0</v>
      </c>
      <c r="AD645">
        <v>10</v>
      </c>
      <c r="AE645">
        <v>0</v>
      </c>
      <c r="AF645">
        <v>0</v>
      </c>
      <c r="AG645">
        <v>2</v>
      </c>
      <c r="AH645">
        <v>1</v>
      </c>
      <c r="AI645" t="s">
        <v>551</v>
      </c>
      <c r="AJ645">
        <v>35.404364999999999</v>
      </c>
      <c r="AK645" t="s">
        <v>552</v>
      </c>
      <c r="AL645">
        <v>-76.104870000000005</v>
      </c>
      <c r="AM645">
        <v>25</v>
      </c>
      <c r="AN645">
        <v>3425</v>
      </c>
      <c r="AO645" t="s">
        <v>118</v>
      </c>
      <c r="AP645">
        <v>-101</v>
      </c>
      <c r="AQ645">
        <v>-197</v>
      </c>
      <c r="AR645">
        <v>0</v>
      </c>
      <c r="AZ645">
        <v>4516</v>
      </c>
      <c r="BA645">
        <v>1</v>
      </c>
      <c r="BB645" t="str">
        <f t="shared" ref="BB645:BB708" si="70">"N79NX   "</f>
        <v xml:space="preserve">N79NX   </v>
      </c>
      <c r="BC645">
        <v>1</v>
      </c>
      <c r="BE645">
        <v>0</v>
      </c>
      <c r="BF645">
        <v>0</v>
      </c>
      <c r="BG645">
        <v>0</v>
      </c>
      <c r="BH645">
        <v>3300</v>
      </c>
      <c r="BI645">
        <v>0</v>
      </c>
      <c r="BJ645">
        <v>0</v>
      </c>
      <c r="BK645">
        <v>0</v>
      </c>
      <c r="BL645">
        <v>0</v>
      </c>
      <c r="BO645">
        <v>0</v>
      </c>
      <c r="BP645">
        <v>0</v>
      </c>
      <c r="BW645" t="str">
        <f>"18:39:02.181"</f>
        <v>18:39:02.181</v>
      </c>
      <c r="BZ645">
        <v>0</v>
      </c>
      <c r="CA645">
        <v>3488</v>
      </c>
      <c r="CB645">
        <v>216</v>
      </c>
      <c r="CC645">
        <v>583.59379999999999</v>
      </c>
      <c r="CD645">
        <v>1</v>
      </c>
      <c r="CE645">
        <v>1</v>
      </c>
      <c r="CF645">
        <v>0</v>
      </c>
      <c r="CG645">
        <v>1</v>
      </c>
      <c r="CH645">
        <v>0</v>
      </c>
      <c r="CI645">
        <v>0</v>
      </c>
      <c r="CJ645">
        <v>0</v>
      </c>
      <c r="CK645">
        <v>2</v>
      </c>
      <c r="CL645">
        <v>0</v>
      </c>
      <c r="CM645">
        <v>2</v>
      </c>
      <c r="CN645">
        <v>0</v>
      </c>
      <c r="CO645">
        <v>6</v>
      </c>
      <c r="CP645" t="s">
        <v>119</v>
      </c>
      <c r="CQ645">
        <v>145</v>
      </c>
      <c r="CR645">
        <v>1</v>
      </c>
      <c r="CW645">
        <v>8951419</v>
      </c>
      <c r="CY645">
        <v>0</v>
      </c>
      <c r="CZ645">
        <v>0</v>
      </c>
      <c r="DA645">
        <v>1</v>
      </c>
      <c r="DB645">
        <v>0</v>
      </c>
      <c r="DC645">
        <v>0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</row>
    <row r="646" spans="1:113" x14ac:dyDescent="0.3">
      <c r="A646" t="str">
        <f>"02/13/2022 18:39:02.378"</f>
        <v>02/13/2022 18:39:02.378</v>
      </c>
      <c r="C646" t="str">
        <f t="shared" si="69"/>
        <v>FFDFD7C0</v>
      </c>
      <c r="D646" t="s">
        <v>113</v>
      </c>
      <c r="E646">
        <v>4</v>
      </c>
      <c r="F646">
        <v>1004</v>
      </c>
      <c r="G646" t="s">
        <v>120</v>
      </c>
      <c r="J646" t="s">
        <v>115</v>
      </c>
      <c r="K646">
        <v>0</v>
      </c>
      <c r="L646">
        <v>3</v>
      </c>
      <c r="M646">
        <v>0</v>
      </c>
      <c r="N646">
        <v>2</v>
      </c>
      <c r="O646">
        <v>1</v>
      </c>
      <c r="P646">
        <v>0</v>
      </c>
      <c r="Q646">
        <v>0</v>
      </c>
      <c r="S646" t="str">
        <f>"18:39:02.180"</f>
        <v>18:39:02.180</v>
      </c>
      <c r="T646" t="str">
        <f>"18:39:02.080"</f>
        <v>18:39:02.080</v>
      </c>
      <c r="U646" t="str">
        <f t="shared" si="68"/>
        <v>AAB6EE</v>
      </c>
      <c r="V646">
        <v>0</v>
      </c>
      <c r="W646">
        <v>0</v>
      </c>
      <c r="X646">
        <v>4</v>
      </c>
      <c r="Z646">
        <v>0</v>
      </c>
      <c r="AA646">
        <v>8</v>
      </c>
      <c r="AB646">
        <v>3</v>
      </c>
      <c r="AC646">
        <v>0</v>
      </c>
      <c r="AD646">
        <v>10</v>
      </c>
      <c r="AE646">
        <v>0</v>
      </c>
      <c r="AF646">
        <v>0</v>
      </c>
      <c r="AG646">
        <v>2</v>
      </c>
      <c r="AH646">
        <v>1</v>
      </c>
      <c r="AI646" t="s">
        <v>551</v>
      </c>
      <c r="AJ646">
        <v>35.404364999999999</v>
      </c>
      <c r="AK646" t="s">
        <v>552</v>
      </c>
      <c r="AL646">
        <v>-76.104870000000005</v>
      </c>
      <c r="AM646">
        <v>25</v>
      </c>
      <c r="AN646">
        <v>3425</v>
      </c>
      <c r="AO646" t="s">
        <v>118</v>
      </c>
      <c r="AP646">
        <v>-101</v>
      </c>
      <c r="AQ646">
        <v>-197</v>
      </c>
      <c r="AR646">
        <v>0</v>
      </c>
      <c r="AZ646">
        <v>4516</v>
      </c>
      <c r="BA646">
        <v>1</v>
      </c>
      <c r="BB646" t="str">
        <f t="shared" si="70"/>
        <v xml:space="preserve">N79NX   </v>
      </c>
      <c r="BC646">
        <v>1</v>
      </c>
      <c r="BE646">
        <v>0</v>
      </c>
      <c r="BF646">
        <v>0</v>
      </c>
      <c r="BG646">
        <v>0</v>
      </c>
      <c r="BH646">
        <v>3300</v>
      </c>
      <c r="BI646">
        <v>0</v>
      </c>
      <c r="BJ646">
        <v>0</v>
      </c>
      <c r="BK646">
        <v>0</v>
      </c>
      <c r="BL646">
        <v>0</v>
      </c>
      <c r="BO646">
        <v>0</v>
      </c>
      <c r="BP646">
        <v>0</v>
      </c>
      <c r="BW646" t="str">
        <f>"18:39:02.181"</f>
        <v>18:39:02.181</v>
      </c>
      <c r="BZ646">
        <v>0</v>
      </c>
      <c r="CA646">
        <v>3488</v>
      </c>
      <c r="CB646">
        <v>216</v>
      </c>
      <c r="CC646">
        <v>583.59379999999999</v>
      </c>
      <c r="CD646">
        <v>1</v>
      </c>
      <c r="CE646">
        <v>1</v>
      </c>
      <c r="CF646">
        <v>0</v>
      </c>
      <c r="CG646">
        <v>1</v>
      </c>
      <c r="CH646">
        <v>0</v>
      </c>
      <c r="CI646">
        <v>0</v>
      </c>
      <c r="CJ646">
        <v>0</v>
      </c>
      <c r="CK646">
        <v>2</v>
      </c>
      <c r="CL646">
        <v>0</v>
      </c>
      <c r="CM646">
        <v>2</v>
      </c>
      <c r="CN646">
        <v>0</v>
      </c>
      <c r="CO646">
        <v>6</v>
      </c>
      <c r="CP646" t="s">
        <v>119</v>
      </c>
      <c r="CQ646">
        <v>145</v>
      </c>
      <c r="CR646">
        <v>1</v>
      </c>
      <c r="CW646">
        <v>8951419</v>
      </c>
      <c r="CY646">
        <v>0</v>
      </c>
      <c r="CZ646">
        <v>0</v>
      </c>
      <c r="DA646">
        <v>1</v>
      </c>
      <c r="DB646">
        <v>0</v>
      </c>
      <c r="DC646">
        <v>0</v>
      </c>
      <c r="DD646">
        <v>0</v>
      </c>
      <c r="DE646">
        <v>0</v>
      </c>
      <c r="DF646">
        <v>0</v>
      </c>
      <c r="DG646">
        <v>0</v>
      </c>
      <c r="DH646">
        <v>0</v>
      </c>
      <c r="DI646">
        <v>0</v>
      </c>
    </row>
    <row r="647" spans="1:113" x14ac:dyDescent="0.3">
      <c r="A647" t="str">
        <f>"02/13/2022 18:39:03.332"</f>
        <v>02/13/2022 18:39:03.332</v>
      </c>
      <c r="C647" t="str">
        <f t="shared" si="69"/>
        <v>FFDFD7C0</v>
      </c>
      <c r="D647" t="s">
        <v>121</v>
      </c>
      <c r="E647">
        <v>2</v>
      </c>
      <c r="H647">
        <v>158</v>
      </c>
      <c r="I647" t="s">
        <v>120</v>
      </c>
      <c r="J647" t="s">
        <v>122</v>
      </c>
      <c r="K647">
        <v>0</v>
      </c>
      <c r="L647">
        <v>3</v>
      </c>
      <c r="M647">
        <v>0</v>
      </c>
      <c r="N647">
        <v>2</v>
      </c>
      <c r="O647">
        <v>1</v>
      </c>
      <c r="P647">
        <v>0</v>
      </c>
      <c r="Q647">
        <v>0</v>
      </c>
      <c r="S647" t="str">
        <f t="shared" ref="S647:T649" si="71">"18:39:03.008"</f>
        <v>18:39:03.008</v>
      </c>
      <c r="T647" t="str">
        <f t="shared" si="71"/>
        <v>18:39:03.008</v>
      </c>
      <c r="U647" t="str">
        <f t="shared" si="68"/>
        <v>AAB6EE</v>
      </c>
      <c r="V647">
        <v>0</v>
      </c>
      <c r="W647">
        <v>0</v>
      </c>
      <c r="X647">
        <v>4</v>
      </c>
      <c r="Z647">
        <v>0</v>
      </c>
      <c r="AA647">
        <v>8</v>
      </c>
      <c r="AB647">
        <v>3</v>
      </c>
      <c r="AC647">
        <v>0</v>
      </c>
      <c r="AD647">
        <v>10</v>
      </c>
      <c r="AE647">
        <v>0</v>
      </c>
      <c r="AF647">
        <v>0</v>
      </c>
      <c r="AG647">
        <v>2</v>
      </c>
      <c r="AH647">
        <v>1</v>
      </c>
      <c r="AI647" t="s">
        <v>553</v>
      </c>
      <c r="AJ647">
        <v>35.403528000000001</v>
      </c>
      <c r="AK647" t="s">
        <v>554</v>
      </c>
      <c r="AL647">
        <v>-76.105384999999998</v>
      </c>
      <c r="AM647">
        <v>25</v>
      </c>
      <c r="AN647">
        <v>3450</v>
      </c>
      <c r="AO647" t="s">
        <v>118</v>
      </c>
      <c r="AP647">
        <v>-101</v>
      </c>
      <c r="AQ647">
        <v>-197</v>
      </c>
      <c r="AR647">
        <v>0</v>
      </c>
      <c r="AZ647">
        <v>4516</v>
      </c>
      <c r="BA647">
        <v>1</v>
      </c>
      <c r="BB647" t="str">
        <f t="shared" si="70"/>
        <v xml:space="preserve">N79NX   </v>
      </c>
      <c r="BC647">
        <v>1</v>
      </c>
      <c r="BE647">
        <v>0</v>
      </c>
      <c r="BF647">
        <v>0</v>
      </c>
      <c r="BG647">
        <v>0</v>
      </c>
      <c r="BH647">
        <v>3300</v>
      </c>
      <c r="BI647">
        <v>0</v>
      </c>
      <c r="BJ647">
        <v>0</v>
      </c>
      <c r="BK647">
        <v>0</v>
      </c>
      <c r="BL647">
        <v>0</v>
      </c>
      <c r="BO647">
        <v>0</v>
      </c>
      <c r="BP647">
        <v>0</v>
      </c>
      <c r="BW647" t="str">
        <f>"18:39:03.011"</f>
        <v>18:39:03.011</v>
      </c>
      <c r="BZ647">
        <v>0</v>
      </c>
      <c r="CA647">
        <v>3488</v>
      </c>
      <c r="CB647">
        <v>216</v>
      </c>
      <c r="CC647">
        <v>583.59379999999999</v>
      </c>
      <c r="CD647">
        <v>1</v>
      </c>
      <c r="CE647">
        <v>1</v>
      </c>
      <c r="CF647">
        <v>0</v>
      </c>
      <c r="CG647">
        <v>1</v>
      </c>
      <c r="CH647">
        <v>0</v>
      </c>
      <c r="CI647">
        <v>0</v>
      </c>
      <c r="CJ647">
        <v>0</v>
      </c>
      <c r="CK647">
        <v>2</v>
      </c>
      <c r="CL647">
        <v>0</v>
      </c>
      <c r="CM647">
        <v>2</v>
      </c>
      <c r="CN647">
        <v>0</v>
      </c>
      <c r="CO647">
        <v>6</v>
      </c>
      <c r="CP647" t="s">
        <v>119</v>
      </c>
      <c r="CQ647">
        <v>145</v>
      </c>
      <c r="CR647">
        <v>1</v>
      </c>
      <c r="CW647">
        <v>8951819</v>
      </c>
      <c r="CY647">
        <v>0</v>
      </c>
      <c r="CZ647">
        <v>0</v>
      </c>
      <c r="DA647">
        <v>0</v>
      </c>
      <c r="DB647">
        <v>0</v>
      </c>
      <c r="DC647">
        <v>0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</row>
    <row r="648" spans="1:113" x14ac:dyDescent="0.3">
      <c r="A648" t="str">
        <f>"02/13/2022 18:39:03.332"</f>
        <v>02/13/2022 18:39:03.332</v>
      </c>
      <c r="C648" t="str">
        <f t="shared" si="69"/>
        <v>FFDFD7C0</v>
      </c>
      <c r="D648" t="s">
        <v>113</v>
      </c>
      <c r="E648">
        <v>3</v>
      </c>
      <c r="F648">
        <v>1003</v>
      </c>
      <c r="G648" t="s">
        <v>114</v>
      </c>
      <c r="J648" t="s">
        <v>115</v>
      </c>
      <c r="K648">
        <v>0</v>
      </c>
      <c r="L648">
        <v>3</v>
      </c>
      <c r="M648">
        <v>0</v>
      </c>
      <c r="N648">
        <v>2</v>
      </c>
      <c r="O648">
        <v>1</v>
      </c>
      <c r="P648">
        <v>0</v>
      </c>
      <c r="Q648">
        <v>0</v>
      </c>
      <c r="S648" t="str">
        <f t="shared" si="71"/>
        <v>18:39:03.008</v>
      </c>
      <c r="T648" t="str">
        <f t="shared" si="71"/>
        <v>18:39:03.008</v>
      </c>
      <c r="U648" t="str">
        <f t="shared" si="68"/>
        <v>AAB6EE</v>
      </c>
      <c r="V648">
        <v>0</v>
      </c>
      <c r="W648">
        <v>0</v>
      </c>
      <c r="X648">
        <v>4</v>
      </c>
      <c r="Z648">
        <v>0</v>
      </c>
      <c r="AA648">
        <v>8</v>
      </c>
      <c r="AB648">
        <v>3</v>
      </c>
      <c r="AC648">
        <v>0</v>
      </c>
      <c r="AD648">
        <v>10</v>
      </c>
      <c r="AE648">
        <v>0</v>
      </c>
      <c r="AF648">
        <v>0</v>
      </c>
      <c r="AG648">
        <v>2</v>
      </c>
      <c r="AH648">
        <v>1</v>
      </c>
      <c r="AI648" t="s">
        <v>553</v>
      </c>
      <c r="AJ648">
        <v>35.403528000000001</v>
      </c>
      <c r="AK648" t="s">
        <v>554</v>
      </c>
      <c r="AL648">
        <v>-76.105384999999998</v>
      </c>
      <c r="AM648">
        <v>25</v>
      </c>
      <c r="AN648">
        <v>3450</v>
      </c>
      <c r="AO648" t="s">
        <v>118</v>
      </c>
      <c r="AP648">
        <v>-101</v>
      </c>
      <c r="AQ648">
        <v>-197</v>
      </c>
      <c r="AR648">
        <v>0</v>
      </c>
      <c r="AZ648">
        <v>4516</v>
      </c>
      <c r="BA648">
        <v>1</v>
      </c>
      <c r="BB648" t="str">
        <f t="shared" si="70"/>
        <v xml:space="preserve">N79NX   </v>
      </c>
      <c r="BC648">
        <v>1</v>
      </c>
      <c r="BE648">
        <v>0</v>
      </c>
      <c r="BF648">
        <v>0</v>
      </c>
      <c r="BG648">
        <v>0</v>
      </c>
      <c r="BH648">
        <v>3300</v>
      </c>
      <c r="BI648">
        <v>0</v>
      </c>
      <c r="BJ648">
        <v>0</v>
      </c>
      <c r="BK648">
        <v>0</v>
      </c>
      <c r="BL648">
        <v>0</v>
      </c>
      <c r="BO648">
        <v>0</v>
      </c>
      <c r="BP648">
        <v>0</v>
      </c>
      <c r="BW648" t="str">
        <f>"18:39:03.011"</f>
        <v>18:39:03.011</v>
      </c>
      <c r="BZ648">
        <v>0</v>
      </c>
      <c r="CA648">
        <v>3488</v>
      </c>
      <c r="CB648">
        <v>216</v>
      </c>
      <c r="CC648">
        <v>583.59379999999999</v>
      </c>
      <c r="CD648">
        <v>1</v>
      </c>
      <c r="CE648">
        <v>1</v>
      </c>
      <c r="CF648">
        <v>0</v>
      </c>
      <c r="CG648">
        <v>1</v>
      </c>
      <c r="CH648">
        <v>0</v>
      </c>
      <c r="CI648">
        <v>0</v>
      </c>
      <c r="CJ648">
        <v>0</v>
      </c>
      <c r="CK648">
        <v>2</v>
      </c>
      <c r="CL648">
        <v>0</v>
      </c>
      <c r="CM648">
        <v>2</v>
      </c>
      <c r="CN648">
        <v>0</v>
      </c>
      <c r="CO648">
        <v>6</v>
      </c>
      <c r="CP648" t="s">
        <v>119</v>
      </c>
      <c r="CQ648">
        <v>145</v>
      </c>
      <c r="CR648">
        <v>1</v>
      </c>
      <c r="CW648">
        <v>8951819</v>
      </c>
      <c r="CY648">
        <v>0</v>
      </c>
      <c r="CZ648">
        <v>0</v>
      </c>
      <c r="DA648">
        <v>1</v>
      </c>
      <c r="DB648">
        <v>0</v>
      </c>
      <c r="DC648">
        <v>0</v>
      </c>
      <c r="DD648">
        <v>0</v>
      </c>
      <c r="DE648">
        <v>0</v>
      </c>
      <c r="DF648">
        <v>0</v>
      </c>
      <c r="DG648">
        <v>0</v>
      </c>
      <c r="DH648">
        <v>0</v>
      </c>
      <c r="DI648">
        <v>0</v>
      </c>
    </row>
    <row r="649" spans="1:113" x14ac:dyDescent="0.3">
      <c r="A649" t="str">
        <f>"02/13/2022 18:39:03.332"</f>
        <v>02/13/2022 18:39:03.332</v>
      </c>
      <c r="C649" t="str">
        <f t="shared" si="69"/>
        <v>FFDFD7C0</v>
      </c>
      <c r="D649" t="s">
        <v>113</v>
      </c>
      <c r="E649">
        <v>4</v>
      </c>
      <c r="F649">
        <v>1004</v>
      </c>
      <c r="G649" t="s">
        <v>120</v>
      </c>
      <c r="J649" t="s">
        <v>115</v>
      </c>
      <c r="K649">
        <v>0</v>
      </c>
      <c r="L649">
        <v>3</v>
      </c>
      <c r="M649">
        <v>0</v>
      </c>
      <c r="N649">
        <v>2</v>
      </c>
      <c r="O649">
        <v>1</v>
      </c>
      <c r="P649">
        <v>0</v>
      </c>
      <c r="Q649">
        <v>0</v>
      </c>
      <c r="S649" t="str">
        <f t="shared" si="71"/>
        <v>18:39:03.008</v>
      </c>
      <c r="T649" t="str">
        <f t="shared" si="71"/>
        <v>18:39:03.008</v>
      </c>
      <c r="U649" t="str">
        <f t="shared" si="68"/>
        <v>AAB6EE</v>
      </c>
      <c r="V649">
        <v>0</v>
      </c>
      <c r="W649">
        <v>0</v>
      </c>
      <c r="X649">
        <v>4</v>
      </c>
      <c r="Z649">
        <v>0</v>
      </c>
      <c r="AA649">
        <v>8</v>
      </c>
      <c r="AB649">
        <v>3</v>
      </c>
      <c r="AC649">
        <v>0</v>
      </c>
      <c r="AD649">
        <v>10</v>
      </c>
      <c r="AE649">
        <v>0</v>
      </c>
      <c r="AF649">
        <v>0</v>
      </c>
      <c r="AG649">
        <v>2</v>
      </c>
      <c r="AH649">
        <v>1</v>
      </c>
      <c r="AI649" t="s">
        <v>553</v>
      </c>
      <c r="AJ649">
        <v>35.403528000000001</v>
      </c>
      <c r="AK649" t="s">
        <v>554</v>
      </c>
      <c r="AL649">
        <v>-76.105384999999998</v>
      </c>
      <c r="AM649">
        <v>25</v>
      </c>
      <c r="AN649">
        <v>3450</v>
      </c>
      <c r="AO649" t="s">
        <v>118</v>
      </c>
      <c r="AP649">
        <v>-101</v>
      </c>
      <c r="AQ649">
        <v>-197</v>
      </c>
      <c r="AR649">
        <v>0</v>
      </c>
      <c r="AZ649">
        <v>4516</v>
      </c>
      <c r="BA649">
        <v>1</v>
      </c>
      <c r="BB649" t="str">
        <f t="shared" si="70"/>
        <v xml:space="preserve">N79NX   </v>
      </c>
      <c r="BC649">
        <v>1</v>
      </c>
      <c r="BE649">
        <v>0</v>
      </c>
      <c r="BF649">
        <v>0</v>
      </c>
      <c r="BG649">
        <v>0</v>
      </c>
      <c r="BH649">
        <v>3300</v>
      </c>
      <c r="BI649">
        <v>0</v>
      </c>
      <c r="BJ649">
        <v>0</v>
      </c>
      <c r="BK649">
        <v>0</v>
      </c>
      <c r="BL649">
        <v>0</v>
      </c>
      <c r="BO649">
        <v>0</v>
      </c>
      <c r="BP649">
        <v>0</v>
      </c>
      <c r="BW649" t="str">
        <f>"18:39:03.011"</f>
        <v>18:39:03.011</v>
      </c>
      <c r="BZ649">
        <v>0</v>
      </c>
      <c r="CA649">
        <v>3488</v>
      </c>
      <c r="CB649">
        <v>216</v>
      </c>
      <c r="CC649">
        <v>583.59379999999999</v>
      </c>
      <c r="CD649">
        <v>1</v>
      </c>
      <c r="CE649">
        <v>1</v>
      </c>
      <c r="CF649">
        <v>0</v>
      </c>
      <c r="CG649">
        <v>1</v>
      </c>
      <c r="CH649">
        <v>0</v>
      </c>
      <c r="CI649">
        <v>0</v>
      </c>
      <c r="CJ649">
        <v>0</v>
      </c>
      <c r="CK649">
        <v>2</v>
      </c>
      <c r="CL649">
        <v>0</v>
      </c>
      <c r="CM649">
        <v>2</v>
      </c>
      <c r="CN649">
        <v>0</v>
      </c>
      <c r="CO649">
        <v>6</v>
      </c>
      <c r="CP649" t="s">
        <v>119</v>
      </c>
      <c r="CQ649">
        <v>145</v>
      </c>
      <c r="CR649">
        <v>1</v>
      </c>
      <c r="CW649">
        <v>8951819</v>
      </c>
      <c r="CY649">
        <v>0</v>
      </c>
      <c r="CZ649">
        <v>0</v>
      </c>
      <c r="DA649">
        <v>1</v>
      </c>
      <c r="DB649">
        <v>0</v>
      </c>
      <c r="DC649">
        <v>0</v>
      </c>
      <c r="DD649">
        <v>0</v>
      </c>
      <c r="DE649">
        <v>0</v>
      </c>
      <c r="DF649">
        <v>0</v>
      </c>
      <c r="DG649">
        <v>0</v>
      </c>
      <c r="DH649">
        <v>0</v>
      </c>
      <c r="DI649">
        <v>0</v>
      </c>
    </row>
    <row r="650" spans="1:113" x14ac:dyDescent="0.3">
      <c r="A650" t="str">
        <f>"02/13/2022 18:39:04.317"</f>
        <v>02/13/2022 18:39:04.317</v>
      </c>
      <c r="C650" t="str">
        <f t="shared" si="69"/>
        <v>FFDFD7C0</v>
      </c>
      <c r="D650" t="s">
        <v>113</v>
      </c>
      <c r="E650">
        <v>3</v>
      </c>
      <c r="F650">
        <v>1003</v>
      </c>
      <c r="G650" t="s">
        <v>114</v>
      </c>
      <c r="J650" t="s">
        <v>115</v>
      </c>
      <c r="K650">
        <v>0</v>
      </c>
      <c r="L650">
        <v>3</v>
      </c>
      <c r="M650">
        <v>0</v>
      </c>
      <c r="N650">
        <v>2</v>
      </c>
      <c r="O650">
        <v>1</v>
      </c>
      <c r="P650">
        <v>0</v>
      </c>
      <c r="Q650">
        <v>0</v>
      </c>
      <c r="S650" t="str">
        <f t="shared" ref="S650:T652" si="72">"18:39:04.055"</f>
        <v>18:39:04.055</v>
      </c>
      <c r="T650" t="str">
        <f t="shared" si="72"/>
        <v>18:39:04.055</v>
      </c>
      <c r="U650" t="str">
        <f t="shared" si="68"/>
        <v>AAB6EE</v>
      </c>
      <c r="V650">
        <v>0</v>
      </c>
      <c r="W650">
        <v>0</v>
      </c>
      <c r="X650">
        <v>4</v>
      </c>
      <c r="Z650">
        <v>0</v>
      </c>
      <c r="AA650">
        <v>8</v>
      </c>
      <c r="AB650">
        <v>3</v>
      </c>
      <c r="AC650">
        <v>0</v>
      </c>
      <c r="AD650">
        <v>10</v>
      </c>
      <c r="AE650">
        <v>0</v>
      </c>
      <c r="AF650">
        <v>0</v>
      </c>
      <c r="AG650">
        <v>2</v>
      </c>
      <c r="AH650">
        <v>1</v>
      </c>
      <c r="AI650" t="s">
        <v>555</v>
      </c>
      <c r="AJ650">
        <v>35.402605999999999</v>
      </c>
      <c r="AK650" t="s">
        <v>556</v>
      </c>
      <c r="AL650">
        <v>-76.105986000000001</v>
      </c>
      <c r="AM650">
        <v>25</v>
      </c>
      <c r="AN650">
        <v>3450</v>
      </c>
      <c r="AO650" t="s">
        <v>118</v>
      </c>
      <c r="AP650">
        <v>-102</v>
      </c>
      <c r="AQ650">
        <v>-197</v>
      </c>
      <c r="AR650">
        <v>0</v>
      </c>
      <c r="AZ650">
        <v>4516</v>
      </c>
      <c r="BA650">
        <v>1</v>
      </c>
      <c r="BB650" t="str">
        <f t="shared" si="70"/>
        <v xml:space="preserve">N79NX   </v>
      </c>
      <c r="BC650">
        <v>1</v>
      </c>
      <c r="BE650">
        <v>0</v>
      </c>
      <c r="BF650">
        <v>0</v>
      </c>
      <c r="BG650">
        <v>0</v>
      </c>
      <c r="BH650">
        <v>3275</v>
      </c>
      <c r="BI650">
        <v>0</v>
      </c>
      <c r="BJ650">
        <v>0</v>
      </c>
      <c r="BK650">
        <v>0</v>
      </c>
      <c r="BL650">
        <v>0</v>
      </c>
      <c r="BO650">
        <v>0</v>
      </c>
      <c r="BP650">
        <v>0</v>
      </c>
      <c r="BW650" t="str">
        <f>"18:39:04.061"</f>
        <v>18:39:04.061</v>
      </c>
      <c r="BZ650">
        <v>0</v>
      </c>
      <c r="CA650">
        <v>3488</v>
      </c>
      <c r="CB650">
        <v>216</v>
      </c>
      <c r="CC650">
        <v>583.59379999999999</v>
      </c>
      <c r="CD650">
        <v>1</v>
      </c>
      <c r="CE650">
        <v>1</v>
      </c>
      <c r="CF650">
        <v>0</v>
      </c>
      <c r="CG650">
        <v>1</v>
      </c>
      <c r="CH650">
        <v>0</v>
      </c>
      <c r="CI650">
        <v>0</v>
      </c>
      <c r="CJ650">
        <v>0</v>
      </c>
      <c r="CK650">
        <v>2</v>
      </c>
      <c r="CL650">
        <v>0</v>
      </c>
      <c r="CM650">
        <v>2</v>
      </c>
      <c r="CN650">
        <v>0</v>
      </c>
      <c r="CO650">
        <v>6</v>
      </c>
      <c r="CP650" t="s">
        <v>119</v>
      </c>
      <c r="CQ650">
        <v>145</v>
      </c>
      <c r="CR650">
        <v>1</v>
      </c>
      <c r="CW650">
        <v>8952262</v>
      </c>
      <c r="CY650">
        <v>0</v>
      </c>
      <c r="CZ650">
        <v>0</v>
      </c>
      <c r="DA650">
        <v>0</v>
      </c>
      <c r="DB650">
        <v>0</v>
      </c>
      <c r="DC650">
        <v>0</v>
      </c>
      <c r="DD650">
        <v>0</v>
      </c>
      <c r="DE650">
        <v>0</v>
      </c>
      <c r="DF650">
        <v>0</v>
      </c>
      <c r="DG650">
        <v>0</v>
      </c>
      <c r="DH650">
        <v>0</v>
      </c>
      <c r="DI650">
        <v>0</v>
      </c>
    </row>
    <row r="651" spans="1:113" x14ac:dyDescent="0.3">
      <c r="A651" t="str">
        <f>"02/13/2022 18:39:04.317"</f>
        <v>02/13/2022 18:39:04.317</v>
      </c>
      <c r="C651" t="str">
        <f t="shared" si="69"/>
        <v>FFDFD7C0</v>
      </c>
      <c r="D651" t="s">
        <v>121</v>
      </c>
      <c r="E651">
        <v>2</v>
      </c>
      <c r="H651">
        <v>158</v>
      </c>
      <c r="I651" t="s">
        <v>120</v>
      </c>
      <c r="J651" t="s">
        <v>122</v>
      </c>
      <c r="K651">
        <v>0</v>
      </c>
      <c r="L651">
        <v>3</v>
      </c>
      <c r="M651">
        <v>0</v>
      </c>
      <c r="N651">
        <v>2</v>
      </c>
      <c r="O651">
        <v>1</v>
      </c>
      <c r="P651">
        <v>0</v>
      </c>
      <c r="Q651">
        <v>0</v>
      </c>
      <c r="S651" t="str">
        <f t="shared" si="72"/>
        <v>18:39:04.055</v>
      </c>
      <c r="T651" t="str">
        <f t="shared" si="72"/>
        <v>18:39:04.055</v>
      </c>
      <c r="U651" t="str">
        <f t="shared" si="68"/>
        <v>AAB6EE</v>
      </c>
      <c r="V651">
        <v>0</v>
      </c>
      <c r="W651">
        <v>0</v>
      </c>
      <c r="X651">
        <v>4</v>
      </c>
      <c r="Z651">
        <v>0</v>
      </c>
      <c r="AA651">
        <v>8</v>
      </c>
      <c r="AB651">
        <v>3</v>
      </c>
      <c r="AC651">
        <v>0</v>
      </c>
      <c r="AD651">
        <v>10</v>
      </c>
      <c r="AE651">
        <v>0</v>
      </c>
      <c r="AF651">
        <v>0</v>
      </c>
      <c r="AG651">
        <v>2</v>
      </c>
      <c r="AH651">
        <v>1</v>
      </c>
      <c r="AI651" t="s">
        <v>555</v>
      </c>
      <c r="AJ651">
        <v>35.402605999999999</v>
      </c>
      <c r="AK651" t="s">
        <v>556</v>
      </c>
      <c r="AL651">
        <v>-76.105986000000001</v>
      </c>
      <c r="AM651">
        <v>25</v>
      </c>
      <c r="AN651">
        <v>3450</v>
      </c>
      <c r="AO651" t="s">
        <v>118</v>
      </c>
      <c r="AP651">
        <v>-102</v>
      </c>
      <c r="AQ651">
        <v>-197</v>
      </c>
      <c r="AR651">
        <v>0</v>
      </c>
      <c r="AZ651">
        <v>4516</v>
      </c>
      <c r="BA651">
        <v>1</v>
      </c>
      <c r="BB651" t="str">
        <f t="shared" si="70"/>
        <v xml:space="preserve">N79NX   </v>
      </c>
      <c r="BC651">
        <v>1</v>
      </c>
      <c r="BE651">
        <v>0</v>
      </c>
      <c r="BF651">
        <v>0</v>
      </c>
      <c r="BG651">
        <v>0</v>
      </c>
      <c r="BH651">
        <v>3275</v>
      </c>
      <c r="BI651">
        <v>0</v>
      </c>
      <c r="BJ651">
        <v>0</v>
      </c>
      <c r="BK651">
        <v>0</v>
      </c>
      <c r="BL651">
        <v>0</v>
      </c>
      <c r="BO651">
        <v>0</v>
      </c>
      <c r="BP651">
        <v>0</v>
      </c>
      <c r="BW651" t="str">
        <f>"18:39:04.061"</f>
        <v>18:39:04.061</v>
      </c>
      <c r="BZ651">
        <v>0</v>
      </c>
      <c r="CA651">
        <v>3488</v>
      </c>
      <c r="CB651">
        <v>216</v>
      </c>
      <c r="CC651">
        <v>583.59379999999999</v>
      </c>
      <c r="CD651">
        <v>1</v>
      </c>
      <c r="CE651">
        <v>1</v>
      </c>
      <c r="CF651">
        <v>0</v>
      </c>
      <c r="CG651">
        <v>1</v>
      </c>
      <c r="CH651">
        <v>0</v>
      </c>
      <c r="CI651">
        <v>0</v>
      </c>
      <c r="CJ651">
        <v>0</v>
      </c>
      <c r="CK651">
        <v>2</v>
      </c>
      <c r="CL651">
        <v>0</v>
      </c>
      <c r="CM651">
        <v>2</v>
      </c>
      <c r="CN651">
        <v>0</v>
      </c>
      <c r="CO651">
        <v>6</v>
      </c>
      <c r="CP651" t="s">
        <v>119</v>
      </c>
      <c r="CQ651">
        <v>145</v>
      </c>
      <c r="CR651">
        <v>1</v>
      </c>
      <c r="CW651">
        <v>8952262</v>
      </c>
      <c r="CY651">
        <v>0</v>
      </c>
      <c r="CZ651">
        <v>0</v>
      </c>
      <c r="DA651">
        <v>1</v>
      </c>
      <c r="DB651">
        <v>0</v>
      </c>
      <c r="DC651">
        <v>0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0</v>
      </c>
    </row>
    <row r="652" spans="1:113" x14ac:dyDescent="0.3">
      <c r="A652" t="str">
        <f>"02/13/2022 18:39:04.317"</f>
        <v>02/13/2022 18:39:04.317</v>
      </c>
      <c r="C652" t="str">
        <f t="shared" si="69"/>
        <v>FFDFD7C0</v>
      </c>
      <c r="D652" t="s">
        <v>113</v>
      </c>
      <c r="E652">
        <v>4</v>
      </c>
      <c r="F652">
        <v>1004</v>
      </c>
      <c r="G652" t="s">
        <v>120</v>
      </c>
      <c r="J652" t="s">
        <v>115</v>
      </c>
      <c r="K652">
        <v>0</v>
      </c>
      <c r="L652">
        <v>3</v>
      </c>
      <c r="M652">
        <v>0</v>
      </c>
      <c r="N652">
        <v>2</v>
      </c>
      <c r="O652">
        <v>1</v>
      </c>
      <c r="P652">
        <v>0</v>
      </c>
      <c r="Q652">
        <v>0</v>
      </c>
      <c r="S652" t="str">
        <f t="shared" si="72"/>
        <v>18:39:04.055</v>
      </c>
      <c r="T652" t="str">
        <f t="shared" si="72"/>
        <v>18:39:04.055</v>
      </c>
      <c r="U652" t="str">
        <f t="shared" si="68"/>
        <v>AAB6EE</v>
      </c>
      <c r="V652">
        <v>0</v>
      </c>
      <c r="W652">
        <v>0</v>
      </c>
      <c r="X652">
        <v>4</v>
      </c>
      <c r="Z652">
        <v>0</v>
      </c>
      <c r="AA652">
        <v>8</v>
      </c>
      <c r="AB652">
        <v>3</v>
      </c>
      <c r="AC652">
        <v>0</v>
      </c>
      <c r="AD652">
        <v>10</v>
      </c>
      <c r="AE652">
        <v>0</v>
      </c>
      <c r="AF652">
        <v>0</v>
      </c>
      <c r="AG652">
        <v>2</v>
      </c>
      <c r="AH652">
        <v>1</v>
      </c>
      <c r="AI652" t="s">
        <v>555</v>
      </c>
      <c r="AJ652">
        <v>35.402605999999999</v>
      </c>
      <c r="AK652" t="s">
        <v>556</v>
      </c>
      <c r="AL652">
        <v>-76.105986000000001</v>
      </c>
      <c r="AM652">
        <v>25</v>
      </c>
      <c r="AN652">
        <v>3450</v>
      </c>
      <c r="AO652" t="s">
        <v>118</v>
      </c>
      <c r="AP652">
        <v>-102</v>
      </c>
      <c r="AQ652">
        <v>-197</v>
      </c>
      <c r="AR652">
        <v>0</v>
      </c>
      <c r="AZ652">
        <v>4516</v>
      </c>
      <c r="BA652">
        <v>1</v>
      </c>
      <c r="BB652" t="str">
        <f t="shared" si="70"/>
        <v xml:space="preserve">N79NX   </v>
      </c>
      <c r="BC652">
        <v>1</v>
      </c>
      <c r="BE652">
        <v>0</v>
      </c>
      <c r="BF652">
        <v>0</v>
      </c>
      <c r="BG652">
        <v>0</v>
      </c>
      <c r="BH652">
        <v>3275</v>
      </c>
      <c r="BI652">
        <v>0</v>
      </c>
      <c r="BJ652">
        <v>0</v>
      </c>
      <c r="BK652">
        <v>0</v>
      </c>
      <c r="BL652">
        <v>0</v>
      </c>
      <c r="BO652">
        <v>0</v>
      </c>
      <c r="BP652">
        <v>0</v>
      </c>
      <c r="BW652" t="str">
        <f>"18:39:04.061"</f>
        <v>18:39:04.061</v>
      </c>
      <c r="BZ652">
        <v>0</v>
      </c>
      <c r="CA652">
        <v>3488</v>
      </c>
      <c r="CB652">
        <v>216</v>
      </c>
      <c r="CC652">
        <v>583.59379999999999</v>
      </c>
      <c r="CD652">
        <v>1</v>
      </c>
      <c r="CE652">
        <v>1</v>
      </c>
      <c r="CF652">
        <v>0</v>
      </c>
      <c r="CG652">
        <v>1</v>
      </c>
      <c r="CH652">
        <v>0</v>
      </c>
      <c r="CI652">
        <v>0</v>
      </c>
      <c r="CJ652">
        <v>0</v>
      </c>
      <c r="CK652">
        <v>2</v>
      </c>
      <c r="CL652">
        <v>0</v>
      </c>
      <c r="CM652">
        <v>2</v>
      </c>
      <c r="CN652">
        <v>0</v>
      </c>
      <c r="CO652">
        <v>6</v>
      </c>
      <c r="CP652" t="s">
        <v>119</v>
      </c>
      <c r="CQ652">
        <v>145</v>
      </c>
      <c r="CR652">
        <v>1</v>
      </c>
      <c r="CW652">
        <v>8952262</v>
      </c>
      <c r="CY652">
        <v>0</v>
      </c>
      <c r="CZ652">
        <v>0</v>
      </c>
      <c r="DA652">
        <v>1</v>
      </c>
      <c r="DB652">
        <v>0</v>
      </c>
      <c r="DC652">
        <v>0</v>
      </c>
      <c r="DD652">
        <v>0</v>
      </c>
      <c r="DE652">
        <v>0</v>
      </c>
      <c r="DF652">
        <v>0</v>
      </c>
      <c r="DG652">
        <v>0</v>
      </c>
      <c r="DH652">
        <v>0</v>
      </c>
      <c r="DI652">
        <v>0</v>
      </c>
    </row>
    <row r="653" spans="1:113" x14ac:dyDescent="0.3">
      <c r="A653" t="str">
        <f>"02/13/2022 18:39:05.350"</f>
        <v>02/13/2022 18:39:05.350</v>
      </c>
      <c r="C653" t="str">
        <f t="shared" si="69"/>
        <v>FFDFD7C0</v>
      </c>
      <c r="D653" t="s">
        <v>113</v>
      </c>
      <c r="E653">
        <v>3</v>
      </c>
      <c r="F653">
        <v>1003</v>
      </c>
      <c r="G653" t="s">
        <v>114</v>
      </c>
      <c r="J653" t="s">
        <v>115</v>
      </c>
      <c r="K653">
        <v>0</v>
      </c>
      <c r="L653">
        <v>3</v>
      </c>
      <c r="M653">
        <v>0</v>
      </c>
      <c r="N653">
        <v>2</v>
      </c>
      <c r="O653">
        <v>1</v>
      </c>
      <c r="P653">
        <v>0</v>
      </c>
      <c r="Q653">
        <v>0</v>
      </c>
      <c r="S653" t="str">
        <f>"18:39:05.141"</f>
        <v>18:39:05.141</v>
      </c>
      <c r="T653" t="str">
        <f>"18:39:04.941"</f>
        <v>18:39:04.941</v>
      </c>
      <c r="U653" t="str">
        <f t="shared" si="68"/>
        <v>AAB6EE</v>
      </c>
      <c r="V653">
        <v>0</v>
      </c>
      <c r="W653">
        <v>0</v>
      </c>
      <c r="X653">
        <v>4</v>
      </c>
      <c r="Z653">
        <v>0</v>
      </c>
      <c r="AA653">
        <v>8</v>
      </c>
      <c r="AB653">
        <v>3</v>
      </c>
      <c r="AC653">
        <v>0</v>
      </c>
      <c r="AD653">
        <v>10</v>
      </c>
      <c r="AE653">
        <v>0</v>
      </c>
      <c r="AF653">
        <v>0</v>
      </c>
      <c r="AG653">
        <v>2</v>
      </c>
      <c r="AH653">
        <v>1</v>
      </c>
      <c r="AI653" t="s">
        <v>557</v>
      </c>
      <c r="AJ653">
        <v>35.401617999999999</v>
      </c>
      <c r="AK653" t="s">
        <v>558</v>
      </c>
      <c r="AL653">
        <v>-76.106585999999993</v>
      </c>
      <c r="AM653">
        <v>25</v>
      </c>
      <c r="AN653">
        <v>3425</v>
      </c>
      <c r="AO653" t="s">
        <v>118</v>
      </c>
      <c r="AP653">
        <v>-102</v>
      </c>
      <c r="AQ653">
        <v>-197</v>
      </c>
      <c r="AR653">
        <v>0</v>
      </c>
      <c r="AZ653">
        <v>4516</v>
      </c>
      <c r="BA653">
        <v>1</v>
      </c>
      <c r="BB653" t="str">
        <f t="shared" si="70"/>
        <v xml:space="preserve">N79NX   </v>
      </c>
      <c r="BC653">
        <v>1</v>
      </c>
      <c r="BE653">
        <v>0</v>
      </c>
      <c r="BF653">
        <v>0</v>
      </c>
      <c r="BG653">
        <v>0</v>
      </c>
      <c r="BH653">
        <v>3300</v>
      </c>
      <c r="BI653">
        <v>0</v>
      </c>
      <c r="BJ653">
        <v>0</v>
      </c>
      <c r="BK653">
        <v>0</v>
      </c>
      <c r="BL653">
        <v>0</v>
      </c>
      <c r="BO653">
        <v>0</v>
      </c>
      <c r="BP653">
        <v>0</v>
      </c>
      <c r="BW653" t="str">
        <f>"18:39:05.141"</f>
        <v>18:39:05.141</v>
      </c>
      <c r="BZ653">
        <v>0</v>
      </c>
      <c r="CA653">
        <v>3488</v>
      </c>
      <c r="CB653">
        <v>216</v>
      </c>
      <c r="CC653">
        <v>583.59379999999999</v>
      </c>
      <c r="CD653">
        <v>1</v>
      </c>
      <c r="CE653">
        <v>1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2</v>
      </c>
      <c r="CL653">
        <v>0</v>
      </c>
      <c r="CM653">
        <v>2</v>
      </c>
      <c r="CN653">
        <v>0</v>
      </c>
      <c r="CO653">
        <v>6</v>
      </c>
      <c r="CP653" t="s">
        <v>119</v>
      </c>
      <c r="CQ653">
        <v>145</v>
      </c>
      <c r="CR653">
        <v>1</v>
      </c>
      <c r="CW653">
        <v>8952714</v>
      </c>
      <c r="CY653">
        <v>0</v>
      </c>
      <c r="CZ653">
        <v>0</v>
      </c>
      <c r="DA653">
        <v>0</v>
      </c>
      <c r="DB653">
        <v>0</v>
      </c>
      <c r="DC653">
        <v>0</v>
      </c>
      <c r="DD653">
        <v>0</v>
      </c>
      <c r="DE653">
        <v>0</v>
      </c>
      <c r="DF653">
        <v>0</v>
      </c>
      <c r="DG653">
        <v>0</v>
      </c>
      <c r="DH653">
        <v>0</v>
      </c>
      <c r="DI653">
        <v>0</v>
      </c>
    </row>
    <row r="654" spans="1:113" x14ac:dyDescent="0.3">
      <c r="A654" t="str">
        <f>"02/13/2022 18:39:05.350"</f>
        <v>02/13/2022 18:39:05.350</v>
      </c>
      <c r="C654" t="str">
        <f t="shared" si="69"/>
        <v>FFDFD7C0</v>
      </c>
      <c r="D654" t="s">
        <v>113</v>
      </c>
      <c r="E654">
        <v>4</v>
      </c>
      <c r="F654">
        <v>1004</v>
      </c>
      <c r="G654" t="s">
        <v>120</v>
      </c>
      <c r="J654" t="s">
        <v>115</v>
      </c>
      <c r="K654">
        <v>0</v>
      </c>
      <c r="L654">
        <v>3</v>
      </c>
      <c r="M654">
        <v>0</v>
      </c>
      <c r="N654">
        <v>2</v>
      </c>
      <c r="O654">
        <v>1</v>
      </c>
      <c r="P654">
        <v>0</v>
      </c>
      <c r="Q654">
        <v>0</v>
      </c>
      <c r="S654" t="str">
        <f>"18:39:05.141"</f>
        <v>18:39:05.141</v>
      </c>
      <c r="T654" t="str">
        <f>"18:39:04.941"</f>
        <v>18:39:04.941</v>
      </c>
      <c r="U654" t="str">
        <f t="shared" si="68"/>
        <v>AAB6EE</v>
      </c>
      <c r="V654">
        <v>0</v>
      </c>
      <c r="W654">
        <v>0</v>
      </c>
      <c r="X654">
        <v>4</v>
      </c>
      <c r="Z654">
        <v>0</v>
      </c>
      <c r="AA654">
        <v>8</v>
      </c>
      <c r="AB654">
        <v>3</v>
      </c>
      <c r="AC654">
        <v>0</v>
      </c>
      <c r="AD654">
        <v>10</v>
      </c>
      <c r="AE654">
        <v>0</v>
      </c>
      <c r="AF654">
        <v>0</v>
      </c>
      <c r="AG654">
        <v>2</v>
      </c>
      <c r="AH654">
        <v>1</v>
      </c>
      <c r="AI654" t="s">
        <v>557</v>
      </c>
      <c r="AJ654">
        <v>35.401617999999999</v>
      </c>
      <c r="AK654" t="s">
        <v>558</v>
      </c>
      <c r="AL654">
        <v>-76.106585999999993</v>
      </c>
      <c r="AM654">
        <v>25</v>
      </c>
      <c r="AN654">
        <v>3425</v>
      </c>
      <c r="AO654" t="s">
        <v>118</v>
      </c>
      <c r="AP654">
        <v>-102</v>
      </c>
      <c r="AQ654">
        <v>-197</v>
      </c>
      <c r="AR654">
        <v>0</v>
      </c>
      <c r="AZ654">
        <v>4516</v>
      </c>
      <c r="BA654">
        <v>1</v>
      </c>
      <c r="BB654" t="str">
        <f t="shared" si="70"/>
        <v xml:space="preserve">N79NX   </v>
      </c>
      <c r="BC654">
        <v>1</v>
      </c>
      <c r="BE654">
        <v>0</v>
      </c>
      <c r="BF654">
        <v>0</v>
      </c>
      <c r="BG654">
        <v>0</v>
      </c>
      <c r="BH654">
        <v>3300</v>
      </c>
      <c r="BI654">
        <v>0</v>
      </c>
      <c r="BJ654">
        <v>0</v>
      </c>
      <c r="BK654">
        <v>0</v>
      </c>
      <c r="BL654">
        <v>0</v>
      </c>
      <c r="BO654">
        <v>0</v>
      </c>
      <c r="BP654">
        <v>0</v>
      </c>
      <c r="BW654" t="str">
        <f>"18:39:05.141"</f>
        <v>18:39:05.141</v>
      </c>
      <c r="BZ654">
        <v>0</v>
      </c>
      <c r="CA654">
        <v>3488</v>
      </c>
      <c r="CB654">
        <v>216</v>
      </c>
      <c r="CC654">
        <v>583.59379999999999</v>
      </c>
      <c r="CD654">
        <v>1</v>
      </c>
      <c r="CE654">
        <v>1</v>
      </c>
      <c r="CF654">
        <v>0</v>
      </c>
      <c r="CG654">
        <v>1</v>
      </c>
      <c r="CH654">
        <v>0</v>
      </c>
      <c r="CI654">
        <v>0</v>
      </c>
      <c r="CJ654">
        <v>0</v>
      </c>
      <c r="CK654">
        <v>2</v>
      </c>
      <c r="CL654">
        <v>0</v>
      </c>
      <c r="CM654">
        <v>2</v>
      </c>
      <c r="CN654">
        <v>0</v>
      </c>
      <c r="CO654">
        <v>6</v>
      </c>
      <c r="CP654" t="s">
        <v>119</v>
      </c>
      <c r="CQ654">
        <v>145</v>
      </c>
      <c r="CR654">
        <v>1</v>
      </c>
      <c r="CW654">
        <v>8952714</v>
      </c>
      <c r="CY654">
        <v>0</v>
      </c>
      <c r="CZ654">
        <v>0</v>
      </c>
      <c r="DA654">
        <v>1</v>
      </c>
      <c r="DB654">
        <v>0</v>
      </c>
      <c r="DC654">
        <v>0</v>
      </c>
      <c r="DD654">
        <v>0</v>
      </c>
      <c r="DE654">
        <v>0</v>
      </c>
      <c r="DF654">
        <v>0</v>
      </c>
      <c r="DG654">
        <v>0</v>
      </c>
      <c r="DH654">
        <v>0</v>
      </c>
      <c r="DI654">
        <v>0</v>
      </c>
    </row>
    <row r="655" spans="1:113" x14ac:dyDescent="0.3">
      <c r="A655" t="str">
        <f>"02/13/2022 18:39:05.397"</f>
        <v>02/13/2022 18:39:05.397</v>
      </c>
      <c r="C655" t="str">
        <f t="shared" si="69"/>
        <v>FFDFD7C0</v>
      </c>
      <c r="D655" t="s">
        <v>121</v>
      </c>
      <c r="E655">
        <v>2</v>
      </c>
      <c r="H655">
        <v>158</v>
      </c>
      <c r="I655" t="s">
        <v>120</v>
      </c>
      <c r="J655" t="s">
        <v>122</v>
      </c>
      <c r="K655">
        <v>0</v>
      </c>
      <c r="L655">
        <v>3</v>
      </c>
      <c r="M655">
        <v>0</v>
      </c>
      <c r="N655">
        <v>2</v>
      </c>
      <c r="O655">
        <v>1</v>
      </c>
      <c r="P655">
        <v>0</v>
      </c>
      <c r="Q655">
        <v>0</v>
      </c>
      <c r="S655" t="str">
        <f>"18:39:05.141"</f>
        <v>18:39:05.141</v>
      </c>
      <c r="T655" t="str">
        <f>"18:39:04.941"</f>
        <v>18:39:04.941</v>
      </c>
      <c r="U655" t="str">
        <f t="shared" si="68"/>
        <v>AAB6EE</v>
      </c>
      <c r="V655">
        <v>0</v>
      </c>
      <c r="W655">
        <v>0</v>
      </c>
      <c r="X655">
        <v>4</v>
      </c>
      <c r="Z655">
        <v>0</v>
      </c>
      <c r="AA655">
        <v>8</v>
      </c>
      <c r="AB655">
        <v>3</v>
      </c>
      <c r="AC655">
        <v>0</v>
      </c>
      <c r="AD655">
        <v>10</v>
      </c>
      <c r="AE655">
        <v>0</v>
      </c>
      <c r="AF655">
        <v>0</v>
      </c>
      <c r="AG655">
        <v>2</v>
      </c>
      <c r="AH655">
        <v>1</v>
      </c>
      <c r="AI655" t="s">
        <v>557</v>
      </c>
      <c r="AJ655">
        <v>35.401617999999999</v>
      </c>
      <c r="AK655" t="s">
        <v>558</v>
      </c>
      <c r="AL655">
        <v>-76.106585999999993</v>
      </c>
      <c r="AM655">
        <v>25</v>
      </c>
      <c r="AN655">
        <v>3425</v>
      </c>
      <c r="AO655" t="s">
        <v>118</v>
      </c>
      <c r="AP655">
        <v>-102</v>
      </c>
      <c r="AQ655">
        <v>-197</v>
      </c>
      <c r="AR655">
        <v>0</v>
      </c>
      <c r="AZ655">
        <v>4516</v>
      </c>
      <c r="BA655">
        <v>1</v>
      </c>
      <c r="BB655" t="str">
        <f t="shared" si="70"/>
        <v xml:space="preserve">N79NX   </v>
      </c>
      <c r="BC655">
        <v>1</v>
      </c>
      <c r="BE655">
        <v>0</v>
      </c>
      <c r="BF655">
        <v>0</v>
      </c>
      <c r="BG655">
        <v>0</v>
      </c>
      <c r="BH655">
        <v>3300</v>
      </c>
      <c r="BI655">
        <v>0</v>
      </c>
      <c r="BJ655">
        <v>0</v>
      </c>
      <c r="BK655">
        <v>0</v>
      </c>
      <c r="BL655">
        <v>0</v>
      </c>
      <c r="BO655">
        <v>0</v>
      </c>
      <c r="BP655">
        <v>0</v>
      </c>
      <c r="BW655" t="str">
        <f>"18:39:05.141"</f>
        <v>18:39:05.141</v>
      </c>
      <c r="BZ655">
        <v>0</v>
      </c>
      <c r="CA655">
        <v>3488</v>
      </c>
      <c r="CB655">
        <v>216</v>
      </c>
      <c r="CC655">
        <v>583.59379999999999</v>
      </c>
      <c r="CD655">
        <v>1</v>
      </c>
      <c r="CE655">
        <v>1</v>
      </c>
      <c r="CF655">
        <v>0</v>
      </c>
      <c r="CG655">
        <v>1</v>
      </c>
      <c r="CH655">
        <v>0</v>
      </c>
      <c r="CI655">
        <v>0</v>
      </c>
      <c r="CJ655">
        <v>0</v>
      </c>
      <c r="CK655">
        <v>2</v>
      </c>
      <c r="CL655">
        <v>0</v>
      </c>
      <c r="CM655">
        <v>2</v>
      </c>
      <c r="CN655">
        <v>0</v>
      </c>
      <c r="CO655">
        <v>6</v>
      </c>
      <c r="CP655" t="s">
        <v>119</v>
      </c>
      <c r="CQ655">
        <v>145</v>
      </c>
      <c r="CR655">
        <v>1</v>
      </c>
      <c r="CW655">
        <v>8952714</v>
      </c>
      <c r="CY655">
        <v>0</v>
      </c>
      <c r="CZ655">
        <v>0</v>
      </c>
      <c r="DA655">
        <v>1</v>
      </c>
      <c r="DB655">
        <v>0</v>
      </c>
      <c r="DC655">
        <v>0</v>
      </c>
      <c r="DD655">
        <v>0</v>
      </c>
      <c r="DE655">
        <v>0</v>
      </c>
      <c r="DF655">
        <v>0</v>
      </c>
      <c r="DG655">
        <v>0</v>
      </c>
      <c r="DH655">
        <v>0</v>
      </c>
      <c r="DI655">
        <v>0</v>
      </c>
    </row>
    <row r="656" spans="1:113" x14ac:dyDescent="0.3">
      <c r="A656" t="str">
        <f>"02/13/2022 18:39:06.476"</f>
        <v>02/13/2022 18:39:06.476</v>
      </c>
      <c r="C656" t="str">
        <f t="shared" si="69"/>
        <v>FFDFD7C0</v>
      </c>
      <c r="D656" t="s">
        <v>113</v>
      </c>
      <c r="E656">
        <v>3</v>
      </c>
      <c r="F656">
        <v>1003</v>
      </c>
      <c r="G656" t="s">
        <v>114</v>
      </c>
      <c r="J656" t="s">
        <v>115</v>
      </c>
      <c r="K656">
        <v>0</v>
      </c>
      <c r="L656">
        <v>3</v>
      </c>
      <c r="M656">
        <v>0</v>
      </c>
      <c r="N656">
        <v>2</v>
      </c>
      <c r="O656">
        <v>1</v>
      </c>
      <c r="P656">
        <v>0</v>
      </c>
      <c r="Q656">
        <v>0</v>
      </c>
      <c r="S656" t="str">
        <f>"18:39:06.258"</f>
        <v>18:39:06.258</v>
      </c>
      <c r="T656" t="str">
        <f>"18:39:06.058"</f>
        <v>18:39:06.058</v>
      </c>
      <c r="U656" t="str">
        <f t="shared" si="68"/>
        <v>AAB6EE</v>
      </c>
      <c r="V656">
        <v>0</v>
      </c>
      <c r="W656">
        <v>0</v>
      </c>
      <c r="X656">
        <v>4</v>
      </c>
      <c r="Z656">
        <v>0</v>
      </c>
      <c r="AA656">
        <v>8</v>
      </c>
      <c r="AB656">
        <v>3</v>
      </c>
      <c r="AC656">
        <v>0</v>
      </c>
      <c r="AD656">
        <v>10</v>
      </c>
      <c r="AE656">
        <v>0</v>
      </c>
      <c r="AF656">
        <v>0</v>
      </c>
      <c r="AG656">
        <v>2</v>
      </c>
      <c r="AH656">
        <v>1</v>
      </c>
      <c r="AI656" t="s">
        <v>559</v>
      </c>
      <c r="AJ656">
        <v>35.40061</v>
      </c>
      <c r="AK656" t="s">
        <v>560</v>
      </c>
      <c r="AL656">
        <v>-76.107252000000003</v>
      </c>
      <c r="AM656">
        <v>25</v>
      </c>
      <c r="AN656">
        <v>3425</v>
      </c>
      <c r="AO656" t="s">
        <v>118</v>
      </c>
      <c r="AP656">
        <v>-102</v>
      </c>
      <c r="AQ656">
        <v>-197</v>
      </c>
      <c r="AR656">
        <v>0</v>
      </c>
      <c r="AZ656">
        <v>4516</v>
      </c>
      <c r="BA656">
        <v>1</v>
      </c>
      <c r="BB656" t="str">
        <f t="shared" si="70"/>
        <v xml:space="preserve">N79NX   </v>
      </c>
      <c r="BC656">
        <v>1</v>
      </c>
      <c r="BE656">
        <v>0</v>
      </c>
      <c r="BF656">
        <v>0</v>
      </c>
      <c r="BG656">
        <v>0</v>
      </c>
      <c r="BH656">
        <v>3275</v>
      </c>
      <c r="BI656">
        <v>0</v>
      </c>
      <c r="BJ656">
        <v>0</v>
      </c>
      <c r="BK656">
        <v>0</v>
      </c>
      <c r="BL656">
        <v>0</v>
      </c>
      <c r="BO656">
        <v>0</v>
      </c>
      <c r="BP656">
        <v>0</v>
      </c>
      <c r="BW656" t="str">
        <f>"18:39:06.261"</f>
        <v>18:39:06.261</v>
      </c>
      <c r="BZ656">
        <v>0</v>
      </c>
      <c r="CA656">
        <v>3488</v>
      </c>
      <c r="CB656">
        <v>216</v>
      </c>
      <c r="CC656">
        <v>583.59379999999999</v>
      </c>
      <c r="CD656">
        <v>1</v>
      </c>
      <c r="CE656">
        <v>1</v>
      </c>
      <c r="CF656">
        <v>0</v>
      </c>
      <c r="CG656">
        <v>1</v>
      </c>
      <c r="CH656">
        <v>0</v>
      </c>
      <c r="CI656">
        <v>0</v>
      </c>
      <c r="CJ656">
        <v>0</v>
      </c>
      <c r="CK656">
        <v>2</v>
      </c>
      <c r="CL656">
        <v>0</v>
      </c>
      <c r="CM656">
        <v>2</v>
      </c>
      <c r="CN656">
        <v>0</v>
      </c>
      <c r="CO656">
        <v>5</v>
      </c>
      <c r="CP656" t="s">
        <v>119</v>
      </c>
      <c r="CQ656">
        <v>145</v>
      </c>
      <c r="CR656">
        <v>1</v>
      </c>
      <c r="CW656">
        <v>8953287</v>
      </c>
      <c r="CY656">
        <v>0</v>
      </c>
      <c r="CZ656">
        <v>0</v>
      </c>
      <c r="DA656">
        <v>0</v>
      </c>
      <c r="DB656">
        <v>0</v>
      </c>
      <c r="DC656">
        <v>0</v>
      </c>
      <c r="DD656">
        <v>0</v>
      </c>
      <c r="DE656">
        <v>0</v>
      </c>
      <c r="DF656">
        <v>0</v>
      </c>
      <c r="DG656">
        <v>0</v>
      </c>
      <c r="DH656">
        <v>0</v>
      </c>
      <c r="DI656">
        <v>0</v>
      </c>
    </row>
    <row r="657" spans="1:113" x14ac:dyDescent="0.3">
      <c r="A657" t="str">
        <f>"02/13/2022 18:39:06.476"</f>
        <v>02/13/2022 18:39:06.476</v>
      </c>
      <c r="C657" t="str">
        <f t="shared" si="69"/>
        <v>FFDFD7C0</v>
      </c>
      <c r="D657" t="s">
        <v>113</v>
      </c>
      <c r="E657">
        <v>4</v>
      </c>
      <c r="F657">
        <v>1004</v>
      </c>
      <c r="G657" t="s">
        <v>120</v>
      </c>
      <c r="J657" t="s">
        <v>115</v>
      </c>
      <c r="K657">
        <v>0</v>
      </c>
      <c r="L657">
        <v>3</v>
      </c>
      <c r="M657">
        <v>0</v>
      </c>
      <c r="N657">
        <v>2</v>
      </c>
      <c r="O657">
        <v>1</v>
      </c>
      <c r="P657">
        <v>0</v>
      </c>
      <c r="Q657">
        <v>0</v>
      </c>
      <c r="S657" t="str">
        <f>"18:39:06.258"</f>
        <v>18:39:06.258</v>
      </c>
      <c r="T657" t="str">
        <f>"18:39:06.058"</f>
        <v>18:39:06.058</v>
      </c>
      <c r="U657" t="str">
        <f t="shared" si="68"/>
        <v>AAB6EE</v>
      </c>
      <c r="V657">
        <v>0</v>
      </c>
      <c r="W657">
        <v>0</v>
      </c>
      <c r="X657">
        <v>4</v>
      </c>
      <c r="Z657">
        <v>0</v>
      </c>
      <c r="AA657">
        <v>8</v>
      </c>
      <c r="AB657">
        <v>3</v>
      </c>
      <c r="AC657">
        <v>0</v>
      </c>
      <c r="AD657">
        <v>10</v>
      </c>
      <c r="AE657">
        <v>0</v>
      </c>
      <c r="AF657">
        <v>0</v>
      </c>
      <c r="AG657">
        <v>2</v>
      </c>
      <c r="AH657">
        <v>1</v>
      </c>
      <c r="AI657" t="s">
        <v>559</v>
      </c>
      <c r="AJ657">
        <v>35.40061</v>
      </c>
      <c r="AK657" t="s">
        <v>560</v>
      </c>
      <c r="AL657">
        <v>-76.107252000000003</v>
      </c>
      <c r="AM657">
        <v>25</v>
      </c>
      <c r="AN657">
        <v>3425</v>
      </c>
      <c r="AO657" t="s">
        <v>118</v>
      </c>
      <c r="AP657">
        <v>-102</v>
      </c>
      <c r="AQ657">
        <v>-197</v>
      </c>
      <c r="AR657">
        <v>0</v>
      </c>
      <c r="AZ657">
        <v>4516</v>
      </c>
      <c r="BA657">
        <v>1</v>
      </c>
      <c r="BB657" t="str">
        <f t="shared" si="70"/>
        <v xml:space="preserve">N79NX   </v>
      </c>
      <c r="BC657">
        <v>1</v>
      </c>
      <c r="BE657">
        <v>0</v>
      </c>
      <c r="BF657">
        <v>0</v>
      </c>
      <c r="BG657">
        <v>0</v>
      </c>
      <c r="BH657">
        <v>3275</v>
      </c>
      <c r="BI657">
        <v>0</v>
      </c>
      <c r="BJ657">
        <v>0</v>
      </c>
      <c r="BK657">
        <v>0</v>
      </c>
      <c r="BL657">
        <v>0</v>
      </c>
      <c r="BO657">
        <v>0</v>
      </c>
      <c r="BP657">
        <v>0</v>
      </c>
      <c r="BW657" t="str">
        <f>"18:39:06.261"</f>
        <v>18:39:06.261</v>
      </c>
      <c r="BZ657">
        <v>0</v>
      </c>
      <c r="CA657">
        <v>3488</v>
      </c>
      <c r="CB657">
        <v>216</v>
      </c>
      <c r="CC657">
        <v>583.59379999999999</v>
      </c>
      <c r="CD657">
        <v>1</v>
      </c>
      <c r="CE657">
        <v>1</v>
      </c>
      <c r="CF657">
        <v>0</v>
      </c>
      <c r="CG657">
        <v>1</v>
      </c>
      <c r="CH657">
        <v>0</v>
      </c>
      <c r="CI657">
        <v>0</v>
      </c>
      <c r="CJ657">
        <v>0</v>
      </c>
      <c r="CK657">
        <v>2</v>
      </c>
      <c r="CL657">
        <v>0</v>
      </c>
      <c r="CM657">
        <v>2</v>
      </c>
      <c r="CN657">
        <v>0</v>
      </c>
      <c r="CO657">
        <v>5</v>
      </c>
      <c r="CP657" t="s">
        <v>119</v>
      </c>
      <c r="CQ657">
        <v>145</v>
      </c>
      <c r="CR657">
        <v>1</v>
      </c>
      <c r="CW657">
        <v>8953287</v>
      </c>
      <c r="CY657">
        <v>0</v>
      </c>
      <c r="CZ657">
        <v>0</v>
      </c>
      <c r="DA657">
        <v>1</v>
      </c>
      <c r="DB657">
        <v>0</v>
      </c>
      <c r="DC657">
        <v>0</v>
      </c>
      <c r="DD657">
        <v>0</v>
      </c>
      <c r="DE657">
        <v>0</v>
      </c>
      <c r="DF657">
        <v>0</v>
      </c>
      <c r="DG657">
        <v>0</v>
      </c>
      <c r="DH657">
        <v>0</v>
      </c>
      <c r="DI657">
        <v>0</v>
      </c>
    </row>
    <row r="658" spans="1:113" x14ac:dyDescent="0.3">
      <c r="A658" t="str">
        <f>"02/13/2022 18:39:06.476"</f>
        <v>02/13/2022 18:39:06.476</v>
      </c>
      <c r="C658" t="str">
        <f t="shared" si="69"/>
        <v>FFDFD7C0</v>
      </c>
      <c r="D658" t="s">
        <v>121</v>
      </c>
      <c r="E658">
        <v>2</v>
      </c>
      <c r="H658">
        <v>158</v>
      </c>
      <c r="I658" t="s">
        <v>120</v>
      </c>
      <c r="J658" t="s">
        <v>122</v>
      </c>
      <c r="K658">
        <v>0</v>
      </c>
      <c r="L658">
        <v>3</v>
      </c>
      <c r="M658">
        <v>0</v>
      </c>
      <c r="N658">
        <v>2</v>
      </c>
      <c r="O658">
        <v>1</v>
      </c>
      <c r="P658">
        <v>0</v>
      </c>
      <c r="Q658">
        <v>0</v>
      </c>
      <c r="S658" t="str">
        <f>"18:39:06.258"</f>
        <v>18:39:06.258</v>
      </c>
      <c r="T658" t="str">
        <f>"18:39:06.058"</f>
        <v>18:39:06.058</v>
      </c>
      <c r="U658" t="str">
        <f t="shared" si="68"/>
        <v>AAB6EE</v>
      </c>
      <c r="V658">
        <v>0</v>
      </c>
      <c r="W658">
        <v>0</v>
      </c>
      <c r="X658">
        <v>4</v>
      </c>
      <c r="Z658">
        <v>0</v>
      </c>
      <c r="AA658">
        <v>8</v>
      </c>
      <c r="AB658">
        <v>3</v>
      </c>
      <c r="AC658">
        <v>0</v>
      </c>
      <c r="AD658">
        <v>10</v>
      </c>
      <c r="AE658">
        <v>0</v>
      </c>
      <c r="AF658">
        <v>0</v>
      </c>
      <c r="AG658">
        <v>2</v>
      </c>
      <c r="AH658">
        <v>1</v>
      </c>
      <c r="AI658" t="s">
        <v>559</v>
      </c>
      <c r="AJ658">
        <v>35.40061</v>
      </c>
      <c r="AK658" t="s">
        <v>560</v>
      </c>
      <c r="AL658">
        <v>-76.107252000000003</v>
      </c>
      <c r="AM658">
        <v>25</v>
      </c>
      <c r="AN658">
        <v>3425</v>
      </c>
      <c r="AO658" t="s">
        <v>118</v>
      </c>
      <c r="AP658">
        <v>-102</v>
      </c>
      <c r="AQ658">
        <v>-197</v>
      </c>
      <c r="AR658">
        <v>0</v>
      </c>
      <c r="AZ658">
        <v>4516</v>
      </c>
      <c r="BA658">
        <v>1</v>
      </c>
      <c r="BB658" t="str">
        <f t="shared" si="70"/>
        <v xml:space="preserve">N79NX   </v>
      </c>
      <c r="BC658">
        <v>1</v>
      </c>
      <c r="BE658">
        <v>0</v>
      </c>
      <c r="BF658">
        <v>0</v>
      </c>
      <c r="BG658">
        <v>0</v>
      </c>
      <c r="BH658">
        <v>3275</v>
      </c>
      <c r="BI658">
        <v>0</v>
      </c>
      <c r="BJ658">
        <v>0</v>
      </c>
      <c r="BK658">
        <v>0</v>
      </c>
      <c r="BL658">
        <v>0</v>
      </c>
      <c r="BO658">
        <v>0</v>
      </c>
      <c r="BP658">
        <v>0</v>
      </c>
      <c r="BW658" t="str">
        <f>"18:39:06.261"</f>
        <v>18:39:06.261</v>
      </c>
      <c r="BZ658">
        <v>0</v>
      </c>
      <c r="CA658">
        <v>3488</v>
      </c>
      <c r="CB658">
        <v>216</v>
      </c>
      <c r="CC658">
        <v>583.59379999999999</v>
      </c>
      <c r="CD658">
        <v>1</v>
      </c>
      <c r="CE658">
        <v>1</v>
      </c>
      <c r="CF658">
        <v>0</v>
      </c>
      <c r="CG658">
        <v>1</v>
      </c>
      <c r="CH658">
        <v>0</v>
      </c>
      <c r="CI658">
        <v>0</v>
      </c>
      <c r="CJ658">
        <v>0</v>
      </c>
      <c r="CK658">
        <v>2</v>
      </c>
      <c r="CL658">
        <v>0</v>
      </c>
      <c r="CM658">
        <v>2</v>
      </c>
      <c r="CN658">
        <v>0</v>
      </c>
      <c r="CO658">
        <v>5</v>
      </c>
      <c r="CP658" t="s">
        <v>119</v>
      </c>
      <c r="CQ658">
        <v>145</v>
      </c>
      <c r="CR658">
        <v>1</v>
      </c>
      <c r="CW658">
        <v>8953287</v>
      </c>
      <c r="CY658">
        <v>0</v>
      </c>
      <c r="CZ658">
        <v>0</v>
      </c>
      <c r="DA658">
        <v>1</v>
      </c>
      <c r="DB658">
        <v>0</v>
      </c>
      <c r="DC658">
        <v>0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0</v>
      </c>
    </row>
    <row r="659" spans="1:113" x14ac:dyDescent="0.3">
      <c r="A659" t="str">
        <f>"02/13/2022 18:39:07.758"</f>
        <v>02/13/2022 18:39:07.758</v>
      </c>
      <c r="C659" t="str">
        <f t="shared" si="69"/>
        <v>FFDFD7C0</v>
      </c>
      <c r="D659" t="s">
        <v>113</v>
      </c>
      <c r="E659">
        <v>3</v>
      </c>
      <c r="F659">
        <v>1003</v>
      </c>
      <c r="G659" t="s">
        <v>114</v>
      </c>
      <c r="J659" t="s">
        <v>115</v>
      </c>
      <c r="K659">
        <v>0</v>
      </c>
      <c r="L659">
        <v>3</v>
      </c>
      <c r="M659">
        <v>0</v>
      </c>
      <c r="N659">
        <v>2</v>
      </c>
      <c r="O659">
        <v>1</v>
      </c>
      <c r="P659">
        <v>0</v>
      </c>
      <c r="Q659">
        <v>0</v>
      </c>
      <c r="S659" t="str">
        <f t="shared" ref="S659:T661" si="73">"18:39:07.391"</f>
        <v>18:39:07.391</v>
      </c>
      <c r="T659" t="str">
        <f t="shared" si="73"/>
        <v>18:39:07.391</v>
      </c>
      <c r="U659" t="str">
        <f t="shared" si="68"/>
        <v>AAB6EE</v>
      </c>
      <c r="V659">
        <v>0</v>
      </c>
      <c r="W659">
        <v>0</v>
      </c>
      <c r="X659">
        <v>4</v>
      </c>
      <c r="Z659">
        <v>0</v>
      </c>
      <c r="AA659">
        <v>8</v>
      </c>
      <c r="AB659">
        <v>3</v>
      </c>
      <c r="AC659">
        <v>0</v>
      </c>
      <c r="AD659">
        <v>10</v>
      </c>
      <c r="AE659">
        <v>0</v>
      </c>
      <c r="AF659">
        <v>0</v>
      </c>
      <c r="AG659">
        <v>2</v>
      </c>
      <c r="AH659">
        <v>1</v>
      </c>
      <c r="AI659" t="s">
        <v>561</v>
      </c>
      <c r="AJ659">
        <v>35.399600999999997</v>
      </c>
      <c r="AK659" t="s">
        <v>562</v>
      </c>
      <c r="AL659">
        <v>-76.107894999999999</v>
      </c>
      <c r="AM659">
        <v>25</v>
      </c>
      <c r="AN659">
        <v>3450</v>
      </c>
      <c r="AO659" t="s">
        <v>118</v>
      </c>
      <c r="AP659">
        <v>-102</v>
      </c>
      <c r="AQ659">
        <v>-197</v>
      </c>
      <c r="AR659">
        <v>0</v>
      </c>
      <c r="AZ659">
        <v>4516</v>
      </c>
      <c r="BA659">
        <v>1</v>
      </c>
      <c r="BB659" t="str">
        <f t="shared" si="70"/>
        <v xml:space="preserve">N79NX   </v>
      </c>
      <c r="BC659">
        <v>1</v>
      </c>
      <c r="BE659">
        <v>0</v>
      </c>
      <c r="BF659">
        <v>0</v>
      </c>
      <c r="BG659">
        <v>0</v>
      </c>
      <c r="BH659">
        <v>3275</v>
      </c>
      <c r="BI659">
        <v>0</v>
      </c>
      <c r="BJ659">
        <v>0</v>
      </c>
      <c r="BK659">
        <v>0</v>
      </c>
      <c r="BL659">
        <v>0</v>
      </c>
      <c r="BO659">
        <v>0</v>
      </c>
      <c r="BP659">
        <v>0</v>
      </c>
      <c r="BW659" t="str">
        <f>"18:39:07.391"</f>
        <v>18:39:07.391</v>
      </c>
      <c r="BZ659">
        <v>0</v>
      </c>
      <c r="CA659">
        <v>3488</v>
      </c>
      <c r="CB659">
        <v>216</v>
      </c>
      <c r="CC659">
        <v>583.59379999999999</v>
      </c>
      <c r="CD659">
        <v>1</v>
      </c>
      <c r="CE659">
        <v>1</v>
      </c>
      <c r="CF659">
        <v>0</v>
      </c>
      <c r="CG659">
        <v>1</v>
      </c>
      <c r="CH659">
        <v>0</v>
      </c>
      <c r="CI659">
        <v>0</v>
      </c>
      <c r="CJ659">
        <v>0</v>
      </c>
      <c r="CK659">
        <v>2</v>
      </c>
      <c r="CL659">
        <v>0</v>
      </c>
      <c r="CM659">
        <v>2</v>
      </c>
      <c r="CN659">
        <v>0</v>
      </c>
      <c r="CO659">
        <v>6</v>
      </c>
      <c r="CP659" t="s">
        <v>119</v>
      </c>
      <c r="CQ659">
        <v>145</v>
      </c>
      <c r="CR659">
        <v>1</v>
      </c>
      <c r="CW659">
        <v>8953856</v>
      </c>
      <c r="CY659">
        <v>0</v>
      </c>
      <c r="CZ659">
        <v>0</v>
      </c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</row>
    <row r="660" spans="1:113" x14ac:dyDescent="0.3">
      <c r="A660" t="str">
        <f>"02/13/2022 18:39:07.758"</f>
        <v>02/13/2022 18:39:07.758</v>
      </c>
      <c r="C660" t="str">
        <f t="shared" si="69"/>
        <v>FFDFD7C0</v>
      </c>
      <c r="D660" t="s">
        <v>113</v>
      </c>
      <c r="E660">
        <v>4</v>
      </c>
      <c r="F660">
        <v>1004</v>
      </c>
      <c r="G660" t="s">
        <v>120</v>
      </c>
      <c r="J660" t="s">
        <v>115</v>
      </c>
      <c r="K660">
        <v>0</v>
      </c>
      <c r="L660">
        <v>3</v>
      </c>
      <c r="M660">
        <v>0</v>
      </c>
      <c r="N660">
        <v>2</v>
      </c>
      <c r="O660">
        <v>1</v>
      </c>
      <c r="P660">
        <v>0</v>
      </c>
      <c r="Q660">
        <v>0</v>
      </c>
      <c r="S660" t="str">
        <f t="shared" si="73"/>
        <v>18:39:07.391</v>
      </c>
      <c r="T660" t="str">
        <f t="shared" si="73"/>
        <v>18:39:07.391</v>
      </c>
      <c r="U660" t="str">
        <f t="shared" si="68"/>
        <v>AAB6EE</v>
      </c>
      <c r="V660">
        <v>0</v>
      </c>
      <c r="W660">
        <v>0</v>
      </c>
      <c r="X660">
        <v>4</v>
      </c>
      <c r="Z660">
        <v>0</v>
      </c>
      <c r="AA660">
        <v>8</v>
      </c>
      <c r="AB660">
        <v>3</v>
      </c>
      <c r="AC660">
        <v>0</v>
      </c>
      <c r="AD660">
        <v>10</v>
      </c>
      <c r="AE660">
        <v>0</v>
      </c>
      <c r="AF660">
        <v>0</v>
      </c>
      <c r="AG660">
        <v>2</v>
      </c>
      <c r="AH660">
        <v>1</v>
      </c>
      <c r="AI660" t="s">
        <v>561</v>
      </c>
      <c r="AJ660">
        <v>35.399600999999997</v>
      </c>
      <c r="AK660" t="s">
        <v>562</v>
      </c>
      <c r="AL660">
        <v>-76.107894999999999</v>
      </c>
      <c r="AM660">
        <v>25</v>
      </c>
      <c r="AN660">
        <v>3450</v>
      </c>
      <c r="AO660" t="s">
        <v>118</v>
      </c>
      <c r="AP660">
        <v>-102</v>
      </c>
      <c r="AQ660">
        <v>-197</v>
      </c>
      <c r="AR660">
        <v>0</v>
      </c>
      <c r="AZ660">
        <v>4516</v>
      </c>
      <c r="BA660">
        <v>1</v>
      </c>
      <c r="BB660" t="str">
        <f t="shared" si="70"/>
        <v xml:space="preserve">N79NX   </v>
      </c>
      <c r="BC660">
        <v>1</v>
      </c>
      <c r="BE660">
        <v>0</v>
      </c>
      <c r="BF660">
        <v>0</v>
      </c>
      <c r="BG660">
        <v>0</v>
      </c>
      <c r="BH660">
        <v>3275</v>
      </c>
      <c r="BI660">
        <v>0</v>
      </c>
      <c r="BJ660">
        <v>0</v>
      </c>
      <c r="BK660">
        <v>0</v>
      </c>
      <c r="BL660">
        <v>0</v>
      </c>
      <c r="BO660">
        <v>0</v>
      </c>
      <c r="BP660">
        <v>0</v>
      </c>
      <c r="BW660" t="str">
        <f>"18:39:07.391"</f>
        <v>18:39:07.391</v>
      </c>
      <c r="BZ660">
        <v>0</v>
      </c>
      <c r="CA660">
        <v>3488</v>
      </c>
      <c r="CB660">
        <v>216</v>
      </c>
      <c r="CC660">
        <v>583.59379999999999</v>
      </c>
      <c r="CD660">
        <v>1</v>
      </c>
      <c r="CE660">
        <v>1</v>
      </c>
      <c r="CF660">
        <v>0</v>
      </c>
      <c r="CG660">
        <v>1</v>
      </c>
      <c r="CH660">
        <v>0</v>
      </c>
      <c r="CI660">
        <v>0</v>
      </c>
      <c r="CJ660">
        <v>0</v>
      </c>
      <c r="CK660">
        <v>2</v>
      </c>
      <c r="CL660">
        <v>0</v>
      </c>
      <c r="CM660">
        <v>2</v>
      </c>
      <c r="CN660">
        <v>0</v>
      </c>
      <c r="CO660">
        <v>6</v>
      </c>
      <c r="CP660" t="s">
        <v>119</v>
      </c>
      <c r="CQ660">
        <v>145</v>
      </c>
      <c r="CR660">
        <v>1</v>
      </c>
      <c r="CW660">
        <v>8953856</v>
      </c>
      <c r="CY660">
        <v>0</v>
      </c>
      <c r="CZ660">
        <v>0</v>
      </c>
      <c r="DA660">
        <v>1</v>
      </c>
      <c r="DB660">
        <v>0</v>
      </c>
      <c r="DC660">
        <v>0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0</v>
      </c>
    </row>
    <row r="661" spans="1:113" x14ac:dyDescent="0.3">
      <c r="A661" t="str">
        <f>"02/13/2022 18:39:07.758"</f>
        <v>02/13/2022 18:39:07.758</v>
      </c>
      <c r="C661" t="str">
        <f t="shared" si="69"/>
        <v>FFDFD7C0</v>
      </c>
      <c r="D661" t="s">
        <v>121</v>
      </c>
      <c r="E661">
        <v>2</v>
      </c>
      <c r="H661">
        <v>158</v>
      </c>
      <c r="I661" t="s">
        <v>120</v>
      </c>
      <c r="J661" t="s">
        <v>122</v>
      </c>
      <c r="K661">
        <v>0</v>
      </c>
      <c r="L661">
        <v>3</v>
      </c>
      <c r="M661">
        <v>0</v>
      </c>
      <c r="N661">
        <v>2</v>
      </c>
      <c r="O661">
        <v>1</v>
      </c>
      <c r="P661">
        <v>0</v>
      </c>
      <c r="Q661">
        <v>0</v>
      </c>
      <c r="S661" t="str">
        <f t="shared" si="73"/>
        <v>18:39:07.391</v>
      </c>
      <c r="T661" t="str">
        <f t="shared" si="73"/>
        <v>18:39:07.391</v>
      </c>
      <c r="U661" t="str">
        <f t="shared" si="68"/>
        <v>AAB6EE</v>
      </c>
      <c r="V661">
        <v>0</v>
      </c>
      <c r="W661">
        <v>0</v>
      </c>
      <c r="X661">
        <v>4</v>
      </c>
      <c r="Z661">
        <v>0</v>
      </c>
      <c r="AA661">
        <v>8</v>
      </c>
      <c r="AB661">
        <v>3</v>
      </c>
      <c r="AC661">
        <v>0</v>
      </c>
      <c r="AD661">
        <v>10</v>
      </c>
      <c r="AE661">
        <v>0</v>
      </c>
      <c r="AF661">
        <v>0</v>
      </c>
      <c r="AG661">
        <v>2</v>
      </c>
      <c r="AH661">
        <v>1</v>
      </c>
      <c r="AI661" t="s">
        <v>561</v>
      </c>
      <c r="AJ661">
        <v>35.399600999999997</v>
      </c>
      <c r="AK661" t="s">
        <v>562</v>
      </c>
      <c r="AL661">
        <v>-76.107894999999999</v>
      </c>
      <c r="AM661">
        <v>25</v>
      </c>
      <c r="AN661">
        <v>3450</v>
      </c>
      <c r="AO661" t="s">
        <v>118</v>
      </c>
      <c r="AP661">
        <v>-102</v>
      </c>
      <c r="AQ661">
        <v>-197</v>
      </c>
      <c r="AR661">
        <v>0</v>
      </c>
      <c r="AZ661">
        <v>4516</v>
      </c>
      <c r="BA661">
        <v>1</v>
      </c>
      <c r="BB661" t="str">
        <f t="shared" si="70"/>
        <v xml:space="preserve">N79NX   </v>
      </c>
      <c r="BC661">
        <v>1</v>
      </c>
      <c r="BE661">
        <v>0</v>
      </c>
      <c r="BF661">
        <v>0</v>
      </c>
      <c r="BG661">
        <v>0</v>
      </c>
      <c r="BH661">
        <v>3275</v>
      </c>
      <c r="BI661">
        <v>0</v>
      </c>
      <c r="BJ661">
        <v>0</v>
      </c>
      <c r="BK661">
        <v>0</v>
      </c>
      <c r="BL661">
        <v>0</v>
      </c>
      <c r="BO661">
        <v>0</v>
      </c>
      <c r="BP661">
        <v>0</v>
      </c>
      <c r="BW661" t="str">
        <f>"18:39:07.391"</f>
        <v>18:39:07.391</v>
      </c>
      <c r="BZ661">
        <v>0</v>
      </c>
      <c r="CA661">
        <v>3488</v>
      </c>
      <c r="CB661">
        <v>216</v>
      </c>
      <c r="CC661">
        <v>583.59379999999999</v>
      </c>
      <c r="CD661">
        <v>1</v>
      </c>
      <c r="CE661">
        <v>1</v>
      </c>
      <c r="CF661">
        <v>0</v>
      </c>
      <c r="CG661">
        <v>1</v>
      </c>
      <c r="CH661">
        <v>0</v>
      </c>
      <c r="CI661">
        <v>0</v>
      </c>
      <c r="CJ661">
        <v>0</v>
      </c>
      <c r="CK661">
        <v>2</v>
      </c>
      <c r="CL661">
        <v>0</v>
      </c>
      <c r="CM661">
        <v>2</v>
      </c>
      <c r="CN661">
        <v>0</v>
      </c>
      <c r="CO661">
        <v>6</v>
      </c>
      <c r="CP661" t="s">
        <v>119</v>
      </c>
      <c r="CQ661">
        <v>145</v>
      </c>
      <c r="CR661">
        <v>1</v>
      </c>
      <c r="CW661">
        <v>8953856</v>
      </c>
      <c r="CY661">
        <v>0</v>
      </c>
      <c r="CZ661">
        <v>0</v>
      </c>
      <c r="DA661">
        <v>1</v>
      </c>
      <c r="DB661">
        <v>0</v>
      </c>
      <c r="DC661">
        <v>0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</row>
    <row r="662" spans="1:113" x14ac:dyDescent="0.3">
      <c r="A662" t="str">
        <f>"02/13/2022 18:39:08.555"</f>
        <v>02/13/2022 18:39:08.555</v>
      </c>
      <c r="C662" t="str">
        <f t="shared" si="69"/>
        <v>FFDFD7C0</v>
      </c>
      <c r="D662" t="s">
        <v>113</v>
      </c>
      <c r="E662">
        <v>3</v>
      </c>
      <c r="F662">
        <v>1003</v>
      </c>
      <c r="G662" t="s">
        <v>114</v>
      </c>
      <c r="J662" t="s">
        <v>115</v>
      </c>
      <c r="K662">
        <v>0</v>
      </c>
      <c r="L662">
        <v>3</v>
      </c>
      <c r="M662">
        <v>0</v>
      </c>
      <c r="N662">
        <v>2</v>
      </c>
      <c r="O662">
        <v>1</v>
      </c>
      <c r="P662">
        <v>0</v>
      </c>
      <c r="Q662">
        <v>0</v>
      </c>
      <c r="S662" t="str">
        <f>"18:39:08.305"</f>
        <v>18:39:08.305</v>
      </c>
      <c r="T662" t="str">
        <f>"18:39:08.205"</f>
        <v>18:39:08.205</v>
      </c>
      <c r="U662" t="str">
        <f t="shared" si="68"/>
        <v>AAB6EE</v>
      </c>
      <c r="V662">
        <v>0</v>
      </c>
      <c r="W662">
        <v>0</v>
      </c>
      <c r="X662">
        <v>4</v>
      </c>
      <c r="Z662">
        <v>0</v>
      </c>
      <c r="AA662">
        <v>8</v>
      </c>
      <c r="AB662">
        <v>3</v>
      </c>
      <c r="AC662">
        <v>0</v>
      </c>
      <c r="AD662">
        <v>10</v>
      </c>
      <c r="AE662">
        <v>0</v>
      </c>
      <c r="AF662">
        <v>0</v>
      </c>
      <c r="AG662">
        <v>2</v>
      </c>
      <c r="AH662">
        <v>1</v>
      </c>
      <c r="AI662" t="s">
        <v>563</v>
      </c>
      <c r="AJ662">
        <v>35.398721999999999</v>
      </c>
      <c r="AK662" t="s">
        <v>564</v>
      </c>
      <c r="AL662">
        <v>-76.108474999999999</v>
      </c>
      <c r="AM662">
        <v>25</v>
      </c>
      <c r="AN662">
        <v>3425</v>
      </c>
      <c r="AO662" t="s">
        <v>118</v>
      </c>
      <c r="AP662">
        <v>-102</v>
      </c>
      <c r="AQ662">
        <v>-197</v>
      </c>
      <c r="AR662">
        <v>0</v>
      </c>
      <c r="AZ662">
        <v>4516</v>
      </c>
      <c r="BA662">
        <v>1</v>
      </c>
      <c r="BB662" t="str">
        <f t="shared" si="70"/>
        <v xml:space="preserve">N79NX   </v>
      </c>
      <c r="BC662">
        <v>1</v>
      </c>
      <c r="BE662">
        <v>0</v>
      </c>
      <c r="BF662">
        <v>0</v>
      </c>
      <c r="BG662">
        <v>0</v>
      </c>
      <c r="BH662">
        <v>3300</v>
      </c>
      <c r="BI662">
        <v>0</v>
      </c>
      <c r="BJ662">
        <v>0</v>
      </c>
      <c r="BK662">
        <v>0</v>
      </c>
      <c r="BL662">
        <v>0</v>
      </c>
      <c r="BO662">
        <v>0</v>
      </c>
      <c r="BP662">
        <v>0</v>
      </c>
      <c r="BW662" t="str">
        <f>"18:39:08.311"</f>
        <v>18:39:08.311</v>
      </c>
      <c r="BZ662">
        <v>0</v>
      </c>
      <c r="CA662">
        <v>3488</v>
      </c>
      <c r="CB662">
        <v>216</v>
      </c>
      <c r="CC662">
        <v>583.59379999999999</v>
      </c>
      <c r="CD662">
        <v>1</v>
      </c>
      <c r="CE662">
        <v>1</v>
      </c>
      <c r="CF662">
        <v>0</v>
      </c>
      <c r="CG662">
        <v>1</v>
      </c>
      <c r="CH662">
        <v>0</v>
      </c>
      <c r="CI662">
        <v>0</v>
      </c>
      <c r="CJ662">
        <v>0</v>
      </c>
      <c r="CK662">
        <v>2</v>
      </c>
      <c r="CL662">
        <v>0</v>
      </c>
      <c r="CM662">
        <v>2</v>
      </c>
      <c r="CN662">
        <v>0</v>
      </c>
      <c r="CO662">
        <v>5</v>
      </c>
      <c r="CP662" t="s">
        <v>119</v>
      </c>
      <c r="CQ662">
        <v>145</v>
      </c>
      <c r="CR662">
        <v>1</v>
      </c>
      <c r="CW662">
        <v>8954239</v>
      </c>
      <c r="CY662">
        <v>0</v>
      </c>
      <c r="CZ662">
        <v>0</v>
      </c>
      <c r="DA662">
        <v>0</v>
      </c>
      <c r="DB662">
        <v>0</v>
      </c>
      <c r="DC662">
        <v>0</v>
      </c>
      <c r="DD662">
        <v>0</v>
      </c>
      <c r="DE662">
        <v>0</v>
      </c>
      <c r="DF662">
        <v>0</v>
      </c>
      <c r="DG662">
        <v>0</v>
      </c>
      <c r="DH662">
        <v>0</v>
      </c>
      <c r="DI662">
        <v>0</v>
      </c>
    </row>
    <row r="663" spans="1:113" x14ac:dyDescent="0.3">
      <c r="A663" t="str">
        <f>"02/13/2022 18:39:08.555"</f>
        <v>02/13/2022 18:39:08.555</v>
      </c>
      <c r="C663" t="str">
        <f t="shared" si="69"/>
        <v>FFDFD7C0</v>
      </c>
      <c r="D663" t="s">
        <v>121</v>
      </c>
      <c r="E663">
        <v>2</v>
      </c>
      <c r="H663">
        <v>158</v>
      </c>
      <c r="I663" t="s">
        <v>120</v>
      </c>
      <c r="J663" t="s">
        <v>122</v>
      </c>
      <c r="K663">
        <v>0</v>
      </c>
      <c r="L663">
        <v>3</v>
      </c>
      <c r="M663">
        <v>0</v>
      </c>
      <c r="N663">
        <v>2</v>
      </c>
      <c r="O663">
        <v>1</v>
      </c>
      <c r="P663">
        <v>0</v>
      </c>
      <c r="Q663">
        <v>0</v>
      </c>
      <c r="S663" t="str">
        <f>"18:39:08.305"</f>
        <v>18:39:08.305</v>
      </c>
      <c r="T663" t="str">
        <f>"18:39:08.205"</f>
        <v>18:39:08.205</v>
      </c>
      <c r="U663" t="str">
        <f t="shared" si="68"/>
        <v>AAB6EE</v>
      </c>
      <c r="V663">
        <v>0</v>
      </c>
      <c r="W663">
        <v>0</v>
      </c>
      <c r="X663">
        <v>4</v>
      </c>
      <c r="Z663">
        <v>0</v>
      </c>
      <c r="AA663">
        <v>8</v>
      </c>
      <c r="AB663">
        <v>3</v>
      </c>
      <c r="AC663">
        <v>0</v>
      </c>
      <c r="AD663">
        <v>10</v>
      </c>
      <c r="AE663">
        <v>0</v>
      </c>
      <c r="AF663">
        <v>0</v>
      </c>
      <c r="AG663">
        <v>2</v>
      </c>
      <c r="AH663">
        <v>1</v>
      </c>
      <c r="AI663" t="s">
        <v>563</v>
      </c>
      <c r="AJ663">
        <v>35.398721999999999</v>
      </c>
      <c r="AK663" t="s">
        <v>564</v>
      </c>
      <c r="AL663">
        <v>-76.108474999999999</v>
      </c>
      <c r="AM663">
        <v>25</v>
      </c>
      <c r="AN663">
        <v>3425</v>
      </c>
      <c r="AO663" t="s">
        <v>118</v>
      </c>
      <c r="AP663">
        <v>-102</v>
      </c>
      <c r="AQ663">
        <v>-197</v>
      </c>
      <c r="AR663">
        <v>0</v>
      </c>
      <c r="AZ663">
        <v>4516</v>
      </c>
      <c r="BA663">
        <v>1</v>
      </c>
      <c r="BB663" t="str">
        <f t="shared" si="70"/>
        <v xml:space="preserve">N79NX   </v>
      </c>
      <c r="BC663">
        <v>1</v>
      </c>
      <c r="BE663">
        <v>0</v>
      </c>
      <c r="BF663">
        <v>0</v>
      </c>
      <c r="BG663">
        <v>0</v>
      </c>
      <c r="BH663">
        <v>3300</v>
      </c>
      <c r="BI663">
        <v>0</v>
      </c>
      <c r="BJ663">
        <v>0</v>
      </c>
      <c r="BK663">
        <v>0</v>
      </c>
      <c r="BL663">
        <v>0</v>
      </c>
      <c r="BO663">
        <v>0</v>
      </c>
      <c r="BP663">
        <v>0</v>
      </c>
      <c r="BW663" t="str">
        <f>"18:39:08.311"</f>
        <v>18:39:08.311</v>
      </c>
      <c r="BZ663">
        <v>0</v>
      </c>
      <c r="CA663">
        <v>3488</v>
      </c>
      <c r="CB663">
        <v>216</v>
      </c>
      <c r="CC663">
        <v>583.59379999999999</v>
      </c>
      <c r="CD663">
        <v>1</v>
      </c>
      <c r="CE663">
        <v>1</v>
      </c>
      <c r="CF663">
        <v>0</v>
      </c>
      <c r="CG663">
        <v>1</v>
      </c>
      <c r="CH663">
        <v>0</v>
      </c>
      <c r="CI663">
        <v>0</v>
      </c>
      <c r="CJ663">
        <v>0</v>
      </c>
      <c r="CK663">
        <v>2</v>
      </c>
      <c r="CL663">
        <v>0</v>
      </c>
      <c r="CM663">
        <v>2</v>
      </c>
      <c r="CN663">
        <v>0</v>
      </c>
      <c r="CO663">
        <v>5</v>
      </c>
      <c r="CP663" t="s">
        <v>119</v>
      </c>
      <c r="CQ663">
        <v>145</v>
      </c>
      <c r="CR663">
        <v>1</v>
      </c>
      <c r="CW663">
        <v>8954239</v>
      </c>
      <c r="CY663">
        <v>0</v>
      </c>
      <c r="CZ663">
        <v>0</v>
      </c>
      <c r="DA663">
        <v>1</v>
      </c>
      <c r="DB663">
        <v>0</v>
      </c>
      <c r="DC663">
        <v>0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</row>
    <row r="664" spans="1:113" x14ac:dyDescent="0.3">
      <c r="A664" t="str">
        <f>"02/13/2022 18:39:08.555"</f>
        <v>02/13/2022 18:39:08.555</v>
      </c>
      <c r="C664" t="str">
        <f t="shared" si="69"/>
        <v>FFDFD7C0</v>
      </c>
      <c r="D664" t="s">
        <v>113</v>
      </c>
      <c r="E664">
        <v>4</v>
      </c>
      <c r="F664">
        <v>1004</v>
      </c>
      <c r="G664" t="s">
        <v>120</v>
      </c>
      <c r="J664" t="s">
        <v>115</v>
      </c>
      <c r="K664">
        <v>0</v>
      </c>
      <c r="L664">
        <v>3</v>
      </c>
      <c r="M664">
        <v>0</v>
      </c>
      <c r="N664">
        <v>2</v>
      </c>
      <c r="O664">
        <v>1</v>
      </c>
      <c r="P664">
        <v>0</v>
      </c>
      <c r="Q664">
        <v>0</v>
      </c>
      <c r="S664" t="str">
        <f>"18:39:08.305"</f>
        <v>18:39:08.305</v>
      </c>
      <c r="T664" t="str">
        <f>"18:39:08.205"</f>
        <v>18:39:08.205</v>
      </c>
      <c r="U664" t="str">
        <f t="shared" si="68"/>
        <v>AAB6EE</v>
      </c>
      <c r="V664">
        <v>0</v>
      </c>
      <c r="W664">
        <v>0</v>
      </c>
      <c r="X664">
        <v>4</v>
      </c>
      <c r="Z664">
        <v>0</v>
      </c>
      <c r="AA664">
        <v>8</v>
      </c>
      <c r="AB664">
        <v>3</v>
      </c>
      <c r="AC664">
        <v>0</v>
      </c>
      <c r="AD664">
        <v>10</v>
      </c>
      <c r="AE664">
        <v>0</v>
      </c>
      <c r="AF664">
        <v>0</v>
      </c>
      <c r="AG664">
        <v>2</v>
      </c>
      <c r="AH664">
        <v>1</v>
      </c>
      <c r="AI664" t="s">
        <v>563</v>
      </c>
      <c r="AJ664">
        <v>35.398721999999999</v>
      </c>
      <c r="AK664" t="s">
        <v>564</v>
      </c>
      <c r="AL664">
        <v>-76.108474999999999</v>
      </c>
      <c r="AM664">
        <v>25</v>
      </c>
      <c r="AN664">
        <v>3425</v>
      </c>
      <c r="AO664" t="s">
        <v>118</v>
      </c>
      <c r="AP664">
        <v>-102</v>
      </c>
      <c r="AQ664">
        <v>-197</v>
      </c>
      <c r="AR664">
        <v>0</v>
      </c>
      <c r="AZ664">
        <v>4516</v>
      </c>
      <c r="BA664">
        <v>1</v>
      </c>
      <c r="BB664" t="str">
        <f t="shared" si="70"/>
        <v xml:space="preserve">N79NX   </v>
      </c>
      <c r="BC664">
        <v>1</v>
      </c>
      <c r="BE664">
        <v>0</v>
      </c>
      <c r="BF664">
        <v>0</v>
      </c>
      <c r="BG664">
        <v>0</v>
      </c>
      <c r="BH664">
        <v>3300</v>
      </c>
      <c r="BI664">
        <v>0</v>
      </c>
      <c r="BJ664">
        <v>0</v>
      </c>
      <c r="BK664">
        <v>0</v>
      </c>
      <c r="BL664">
        <v>0</v>
      </c>
      <c r="BO664">
        <v>0</v>
      </c>
      <c r="BP664">
        <v>0</v>
      </c>
      <c r="BW664" t="str">
        <f>"18:39:08.311"</f>
        <v>18:39:08.311</v>
      </c>
      <c r="BZ664">
        <v>0</v>
      </c>
      <c r="CA664">
        <v>3488</v>
      </c>
      <c r="CB664">
        <v>216</v>
      </c>
      <c r="CC664">
        <v>583.59379999999999</v>
      </c>
      <c r="CD664">
        <v>1</v>
      </c>
      <c r="CE664">
        <v>1</v>
      </c>
      <c r="CF664">
        <v>0</v>
      </c>
      <c r="CG664">
        <v>1</v>
      </c>
      <c r="CH664">
        <v>0</v>
      </c>
      <c r="CI664">
        <v>0</v>
      </c>
      <c r="CJ664">
        <v>0</v>
      </c>
      <c r="CK664">
        <v>2</v>
      </c>
      <c r="CL664">
        <v>0</v>
      </c>
      <c r="CM664">
        <v>2</v>
      </c>
      <c r="CN664">
        <v>0</v>
      </c>
      <c r="CO664">
        <v>5</v>
      </c>
      <c r="CP664" t="s">
        <v>119</v>
      </c>
      <c r="CQ664">
        <v>145</v>
      </c>
      <c r="CR664">
        <v>1</v>
      </c>
      <c r="CW664">
        <v>8954239</v>
      </c>
      <c r="CY664">
        <v>0</v>
      </c>
      <c r="CZ664">
        <v>0</v>
      </c>
      <c r="DA664">
        <v>1</v>
      </c>
      <c r="DB664">
        <v>0</v>
      </c>
      <c r="DC664">
        <v>0</v>
      </c>
      <c r="DD664">
        <v>0</v>
      </c>
      <c r="DE664">
        <v>0</v>
      </c>
      <c r="DF664">
        <v>0</v>
      </c>
      <c r="DG664">
        <v>0</v>
      </c>
      <c r="DH664">
        <v>0</v>
      </c>
      <c r="DI664">
        <v>0</v>
      </c>
    </row>
    <row r="665" spans="1:113" x14ac:dyDescent="0.3">
      <c r="A665" t="str">
        <f>"02/13/2022 18:39:09.509"</f>
        <v>02/13/2022 18:39:09.509</v>
      </c>
      <c r="C665" t="str">
        <f t="shared" si="69"/>
        <v>FFDFD7C0</v>
      </c>
      <c r="D665" t="s">
        <v>121</v>
      </c>
      <c r="E665">
        <v>2</v>
      </c>
      <c r="H665">
        <v>158</v>
      </c>
      <c r="I665" t="s">
        <v>120</v>
      </c>
      <c r="J665" t="s">
        <v>122</v>
      </c>
      <c r="K665">
        <v>0</v>
      </c>
      <c r="L665">
        <v>3</v>
      </c>
      <c r="M665">
        <v>0</v>
      </c>
      <c r="N665">
        <v>2</v>
      </c>
      <c r="O665">
        <v>1</v>
      </c>
      <c r="P665">
        <v>0</v>
      </c>
      <c r="Q665">
        <v>0</v>
      </c>
      <c r="S665" t="str">
        <f t="shared" ref="S665:T667" si="74">"18:39:09.297"</f>
        <v>18:39:09.297</v>
      </c>
      <c r="T665" t="str">
        <f t="shared" si="74"/>
        <v>18:39:09.297</v>
      </c>
      <c r="U665" t="str">
        <f t="shared" si="68"/>
        <v>AAB6EE</v>
      </c>
      <c r="V665">
        <v>0</v>
      </c>
      <c r="W665">
        <v>0</v>
      </c>
      <c r="X665">
        <v>4</v>
      </c>
      <c r="Z665">
        <v>0</v>
      </c>
      <c r="AA665">
        <v>8</v>
      </c>
      <c r="AB665">
        <v>3</v>
      </c>
      <c r="AC665">
        <v>0</v>
      </c>
      <c r="AD665">
        <v>10</v>
      </c>
      <c r="AE665">
        <v>0</v>
      </c>
      <c r="AF665">
        <v>0</v>
      </c>
      <c r="AG665">
        <v>2</v>
      </c>
      <c r="AH665">
        <v>1</v>
      </c>
      <c r="AI665" t="s">
        <v>565</v>
      </c>
      <c r="AJ665">
        <v>35.397905999999999</v>
      </c>
      <c r="AK665" t="s">
        <v>566</v>
      </c>
      <c r="AL665">
        <v>-76.108947000000001</v>
      </c>
      <c r="AM665">
        <v>25</v>
      </c>
      <c r="AN665">
        <v>3425</v>
      </c>
      <c r="AO665" t="s">
        <v>118</v>
      </c>
      <c r="AP665">
        <v>-102</v>
      </c>
      <c r="AQ665">
        <v>-197</v>
      </c>
      <c r="AR665">
        <v>0</v>
      </c>
      <c r="AZ665">
        <v>4516</v>
      </c>
      <c r="BA665">
        <v>1</v>
      </c>
      <c r="BB665" t="str">
        <f t="shared" si="70"/>
        <v xml:space="preserve">N79NX   </v>
      </c>
      <c r="BC665">
        <v>1</v>
      </c>
      <c r="BE665">
        <v>0</v>
      </c>
      <c r="BF665">
        <v>0</v>
      </c>
      <c r="BG665">
        <v>0</v>
      </c>
      <c r="BH665">
        <v>3300</v>
      </c>
      <c r="BI665">
        <v>0</v>
      </c>
      <c r="BJ665">
        <v>0</v>
      </c>
      <c r="BK665">
        <v>0</v>
      </c>
      <c r="BL665">
        <v>0</v>
      </c>
      <c r="BO665">
        <v>0</v>
      </c>
      <c r="BP665">
        <v>0</v>
      </c>
      <c r="BW665" t="str">
        <f>"18:39:09.301"</f>
        <v>18:39:09.301</v>
      </c>
      <c r="BZ665">
        <v>0</v>
      </c>
      <c r="CA665">
        <v>3488</v>
      </c>
      <c r="CB665">
        <v>216</v>
      </c>
      <c r="CC665">
        <v>583.59379999999999</v>
      </c>
      <c r="CD665">
        <v>1</v>
      </c>
      <c r="CE665">
        <v>1</v>
      </c>
      <c r="CF665">
        <v>0</v>
      </c>
      <c r="CG665">
        <v>1</v>
      </c>
      <c r="CH665">
        <v>0</v>
      </c>
      <c r="CI665">
        <v>0</v>
      </c>
      <c r="CJ665">
        <v>0</v>
      </c>
      <c r="CK665">
        <v>2</v>
      </c>
      <c r="CL665">
        <v>0</v>
      </c>
      <c r="CM665">
        <v>2</v>
      </c>
      <c r="CN665">
        <v>0</v>
      </c>
      <c r="CO665">
        <v>6</v>
      </c>
      <c r="CP665" t="s">
        <v>119</v>
      </c>
      <c r="CQ665">
        <v>145</v>
      </c>
      <c r="CR665">
        <v>1</v>
      </c>
      <c r="CW665">
        <v>8954685</v>
      </c>
      <c r="CY665">
        <v>0</v>
      </c>
      <c r="CZ665">
        <v>0</v>
      </c>
      <c r="DA665">
        <v>0</v>
      </c>
      <c r="DB665">
        <v>0</v>
      </c>
      <c r="DC665">
        <v>0</v>
      </c>
      <c r="DD665">
        <v>0</v>
      </c>
      <c r="DE665">
        <v>0</v>
      </c>
      <c r="DF665">
        <v>0</v>
      </c>
      <c r="DG665">
        <v>0</v>
      </c>
      <c r="DH665">
        <v>0</v>
      </c>
      <c r="DI665">
        <v>0</v>
      </c>
    </row>
    <row r="666" spans="1:113" x14ac:dyDescent="0.3">
      <c r="A666" t="str">
        <f>"02/13/2022 18:39:09.541"</f>
        <v>02/13/2022 18:39:09.541</v>
      </c>
      <c r="C666" t="str">
        <f t="shared" si="69"/>
        <v>FFDFD7C0</v>
      </c>
      <c r="D666" t="s">
        <v>113</v>
      </c>
      <c r="E666">
        <v>3</v>
      </c>
      <c r="F666">
        <v>1003</v>
      </c>
      <c r="G666" t="s">
        <v>114</v>
      </c>
      <c r="J666" t="s">
        <v>115</v>
      </c>
      <c r="K666">
        <v>0</v>
      </c>
      <c r="L666">
        <v>3</v>
      </c>
      <c r="M666">
        <v>0</v>
      </c>
      <c r="N666">
        <v>2</v>
      </c>
      <c r="O666">
        <v>1</v>
      </c>
      <c r="P666">
        <v>0</v>
      </c>
      <c r="Q666">
        <v>0</v>
      </c>
      <c r="S666" t="str">
        <f t="shared" si="74"/>
        <v>18:39:09.297</v>
      </c>
      <c r="T666" t="str">
        <f t="shared" si="74"/>
        <v>18:39:09.297</v>
      </c>
      <c r="U666" t="str">
        <f t="shared" si="68"/>
        <v>AAB6EE</v>
      </c>
      <c r="V666">
        <v>0</v>
      </c>
      <c r="W666">
        <v>0</v>
      </c>
      <c r="X666">
        <v>4</v>
      </c>
      <c r="Z666">
        <v>0</v>
      </c>
      <c r="AA666">
        <v>8</v>
      </c>
      <c r="AB666">
        <v>3</v>
      </c>
      <c r="AC666">
        <v>0</v>
      </c>
      <c r="AD666">
        <v>10</v>
      </c>
      <c r="AE666">
        <v>0</v>
      </c>
      <c r="AF666">
        <v>0</v>
      </c>
      <c r="AG666">
        <v>2</v>
      </c>
      <c r="AH666">
        <v>1</v>
      </c>
      <c r="AI666" t="s">
        <v>565</v>
      </c>
      <c r="AJ666">
        <v>35.397905999999999</v>
      </c>
      <c r="AK666" t="s">
        <v>566</v>
      </c>
      <c r="AL666">
        <v>-76.108947000000001</v>
      </c>
      <c r="AM666">
        <v>25</v>
      </c>
      <c r="AN666">
        <v>3425</v>
      </c>
      <c r="AO666" t="s">
        <v>118</v>
      </c>
      <c r="AP666">
        <v>-102</v>
      </c>
      <c r="AQ666">
        <v>-197</v>
      </c>
      <c r="AR666">
        <v>0</v>
      </c>
      <c r="AZ666">
        <v>4516</v>
      </c>
      <c r="BA666">
        <v>1</v>
      </c>
      <c r="BB666" t="str">
        <f t="shared" si="70"/>
        <v xml:space="preserve">N79NX   </v>
      </c>
      <c r="BC666">
        <v>1</v>
      </c>
      <c r="BE666">
        <v>0</v>
      </c>
      <c r="BF666">
        <v>0</v>
      </c>
      <c r="BG666">
        <v>0</v>
      </c>
      <c r="BH666">
        <v>3300</v>
      </c>
      <c r="BI666">
        <v>0</v>
      </c>
      <c r="BJ666">
        <v>0</v>
      </c>
      <c r="BK666">
        <v>0</v>
      </c>
      <c r="BL666">
        <v>0</v>
      </c>
      <c r="BO666">
        <v>0</v>
      </c>
      <c r="BP666">
        <v>0</v>
      </c>
      <c r="BW666" t="str">
        <f>"18:39:09.301"</f>
        <v>18:39:09.301</v>
      </c>
      <c r="BZ666">
        <v>0</v>
      </c>
      <c r="CA666">
        <v>3488</v>
      </c>
      <c r="CB666">
        <v>216</v>
      </c>
      <c r="CC666">
        <v>583.59379999999999</v>
      </c>
      <c r="CD666">
        <v>1</v>
      </c>
      <c r="CE666">
        <v>1</v>
      </c>
      <c r="CF666">
        <v>0</v>
      </c>
      <c r="CG666">
        <v>1</v>
      </c>
      <c r="CH666">
        <v>0</v>
      </c>
      <c r="CI666">
        <v>0</v>
      </c>
      <c r="CJ666">
        <v>0</v>
      </c>
      <c r="CK666">
        <v>2</v>
      </c>
      <c r="CL666">
        <v>0</v>
      </c>
      <c r="CM666">
        <v>2</v>
      </c>
      <c r="CN666">
        <v>0</v>
      </c>
      <c r="CO666">
        <v>6</v>
      </c>
      <c r="CP666" t="s">
        <v>119</v>
      </c>
      <c r="CQ666">
        <v>145</v>
      </c>
      <c r="CR666">
        <v>1</v>
      </c>
      <c r="CW666">
        <v>8954685</v>
      </c>
      <c r="CY666">
        <v>0</v>
      </c>
      <c r="CZ666">
        <v>0</v>
      </c>
      <c r="DA666">
        <v>1</v>
      </c>
      <c r="DB666">
        <v>0</v>
      </c>
      <c r="DC666">
        <v>0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0</v>
      </c>
    </row>
    <row r="667" spans="1:113" x14ac:dyDescent="0.3">
      <c r="A667" t="str">
        <f>"02/13/2022 18:39:09.541"</f>
        <v>02/13/2022 18:39:09.541</v>
      </c>
      <c r="C667" t="str">
        <f t="shared" si="69"/>
        <v>FFDFD7C0</v>
      </c>
      <c r="D667" t="s">
        <v>113</v>
      </c>
      <c r="E667">
        <v>4</v>
      </c>
      <c r="F667">
        <v>1004</v>
      </c>
      <c r="G667" t="s">
        <v>120</v>
      </c>
      <c r="J667" t="s">
        <v>115</v>
      </c>
      <c r="K667">
        <v>0</v>
      </c>
      <c r="L667">
        <v>3</v>
      </c>
      <c r="M667">
        <v>0</v>
      </c>
      <c r="N667">
        <v>2</v>
      </c>
      <c r="O667">
        <v>1</v>
      </c>
      <c r="P667">
        <v>0</v>
      </c>
      <c r="Q667">
        <v>0</v>
      </c>
      <c r="S667" t="str">
        <f t="shared" si="74"/>
        <v>18:39:09.297</v>
      </c>
      <c r="T667" t="str">
        <f t="shared" si="74"/>
        <v>18:39:09.297</v>
      </c>
      <c r="U667" t="str">
        <f t="shared" si="68"/>
        <v>AAB6EE</v>
      </c>
      <c r="V667">
        <v>0</v>
      </c>
      <c r="W667">
        <v>0</v>
      </c>
      <c r="X667">
        <v>4</v>
      </c>
      <c r="Z667">
        <v>0</v>
      </c>
      <c r="AA667">
        <v>8</v>
      </c>
      <c r="AB667">
        <v>3</v>
      </c>
      <c r="AC667">
        <v>0</v>
      </c>
      <c r="AD667">
        <v>10</v>
      </c>
      <c r="AE667">
        <v>0</v>
      </c>
      <c r="AF667">
        <v>0</v>
      </c>
      <c r="AG667">
        <v>2</v>
      </c>
      <c r="AH667">
        <v>1</v>
      </c>
      <c r="AI667" t="s">
        <v>565</v>
      </c>
      <c r="AJ667">
        <v>35.397905999999999</v>
      </c>
      <c r="AK667" t="s">
        <v>566</v>
      </c>
      <c r="AL667">
        <v>-76.108947000000001</v>
      </c>
      <c r="AM667">
        <v>25</v>
      </c>
      <c r="AN667">
        <v>3425</v>
      </c>
      <c r="AO667" t="s">
        <v>118</v>
      </c>
      <c r="AP667">
        <v>-102</v>
      </c>
      <c r="AQ667">
        <v>-197</v>
      </c>
      <c r="AR667">
        <v>0</v>
      </c>
      <c r="AZ667">
        <v>4516</v>
      </c>
      <c r="BA667">
        <v>1</v>
      </c>
      <c r="BB667" t="str">
        <f t="shared" si="70"/>
        <v xml:space="preserve">N79NX   </v>
      </c>
      <c r="BC667">
        <v>1</v>
      </c>
      <c r="BE667">
        <v>0</v>
      </c>
      <c r="BF667">
        <v>0</v>
      </c>
      <c r="BG667">
        <v>0</v>
      </c>
      <c r="BH667">
        <v>3300</v>
      </c>
      <c r="BI667">
        <v>0</v>
      </c>
      <c r="BJ667">
        <v>0</v>
      </c>
      <c r="BK667">
        <v>0</v>
      </c>
      <c r="BL667">
        <v>0</v>
      </c>
      <c r="BO667">
        <v>0</v>
      </c>
      <c r="BP667">
        <v>0</v>
      </c>
      <c r="BW667" t="str">
        <f>"18:39:09.301"</f>
        <v>18:39:09.301</v>
      </c>
      <c r="BZ667">
        <v>0</v>
      </c>
      <c r="CA667">
        <v>3488</v>
      </c>
      <c r="CB667">
        <v>216</v>
      </c>
      <c r="CC667">
        <v>583.59379999999999</v>
      </c>
      <c r="CD667">
        <v>1</v>
      </c>
      <c r="CE667">
        <v>1</v>
      </c>
      <c r="CF667">
        <v>0</v>
      </c>
      <c r="CG667">
        <v>1</v>
      </c>
      <c r="CH667">
        <v>0</v>
      </c>
      <c r="CI667">
        <v>0</v>
      </c>
      <c r="CJ667">
        <v>0</v>
      </c>
      <c r="CK667">
        <v>2</v>
      </c>
      <c r="CL667">
        <v>0</v>
      </c>
      <c r="CM667">
        <v>2</v>
      </c>
      <c r="CN667">
        <v>0</v>
      </c>
      <c r="CO667">
        <v>6</v>
      </c>
      <c r="CP667" t="s">
        <v>119</v>
      </c>
      <c r="CQ667">
        <v>145</v>
      </c>
      <c r="CR667">
        <v>1</v>
      </c>
      <c r="CW667">
        <v>8954685</v>
      </c>
      <c r="CY667">
        <v>0</v>
      </c>
      <c r="CZ667">
        <v>0</v>
      </c>
      <c r="DA667">
        <v>1</v>
      </c>
      <c r="DB667">
        <v>0</v>
      </c>
      <c r="DC667">
        <v>0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0</v>
      </c>
    </row>
    <row r="668" spans="1:113" x14ac:dyDescent="0.3">
      <c r="A668" t="str">
        <f>"02/13/2022 18:39:10.432"</f>
        <v>02/13/2022 18:39:10.432</v>
      </c>
      <c r="C668" t="str">
        <f t="shared" si="69"/>
        <v>FFDFD7C0</v>
      </c>
      <c r="D668" t="s">
        <v>121</v>
      </c>
      <c r="E668">
        <v>2</v>
      </c>
      <c r="H668">
        <v>158</v>
      </c>
      <c r="I668" t="s">
        <v>120</v>
      </c>
      <c r="J668" t="s">
        <v>122</v>
      </c>
      <c r="K668">
        <v>0</v>
      </c>
      <c r="L668">
        <v>3</v>
      </c>
      <c r="M668">
        <v>0</v>
      </c>
      <c r="N668">
        <v>2</v>
      </c>
      <c r="O668">
        <v>1</v>
      </c>
      <c r="P668">
        <v>0</v>
      </c>
      <c r="Q668">
        <v>0</v>
      </c>
      <c r="S668" t="str">
        <f>"18:39:10.227"</f>
        <v>18:39:10.227</v>
      </c>
      <c r="T668" t="str">
        <f>"18:39:09.927"</f>
        <v>18:39:09.927</v>
      </c>
      <c r="U668" t="str">
        <f t="shared" si="68"/>
        <v>AAB6EE</v>
      </c>
      <c r="V668">
        <v>0</v>
      </c>
      <c r="W668">
        <v>0</v>
      </c>
      <c r="X668">
        <v>4</v>
      </c>
      <c r="Z668">
        <v>0</v>
      </c>
      <c r="AA668">
        <v>8</v>
      </c>
      <c r="AB668">
        <v>3</v>
      </c>
      <c r="AC668">
        <v>0</v>
      </c>
      <c r="AD668">
        <v>10</v>
      </c>
      <c r="AE668">
        <v>0</v>
      </c>
      <c r="AF668">
        <v>0</v>
      </c>
      <c r="AG668">
        <v>2</v>
      </c>
      <c r="AH668">
        <v>1</v>
      </c>
      <c r="AI668" t="s">
        <v>567</v>
      </c>
      <c r="AJ668">
        <v>35.396962000000002</v>
      </c>
      <c r="AK668" t="s">
        <v>568</v>
      </c>
      <c r="AL668">
        <v>-76.109548000000004</v>
      </c>
      <c r="AM668">
        <v>25</v>
      </c>
      <c r="AN668">
        <v>3425</v>
      </c>
      <c r="AO668" t="s">
        <v>118</v>
      </c>
      <c r="AP668">
        <v>-102</v>
      </c>
      <c r="AQ668">
        <v>-197</v>
      </c>
      <c r="AR668">
        <v>0</v>
      </c>
      <c r="AZ668">
        <v>4516</v>
      </c>
      <c r="BA668">
        <v>1</v>
      </c>
      <c r="BB668" t="str">
        <f t="shared" si="70"/>
        <v xml:space="preserve">N79NX   </v>
      </c>
      <c r="BC668">
        <v>1</v>
      </c>
      <c r="BE668">
        <v>0</v>
      </c>
      <c r="BF668">
        <v>0</v>
      </c>
      <c r="BG668">
        <v>0</v>
      </c>
      <c r="BH668">
        <v>3300</v>
      </c>
      <c r="BI668">
        <v>0</v>
      </c>
      <c r="BJ668">
        <v>0</v>
      </c>
      <c r="BK668">
        <v>0</v>
      </c>
      <c r="BL668">
        <v>0</v>
      </c>
      <c r="BO668">
        <v>0</v>
      </c>
      <c r="BP668">
        <v>0</v>
      </c>
      <c r="BW668" t="str">
        <f>"18:39:10.231"</f>
        <v>18:39:10.231</v>
      </c>
      <c r="BZ668">
        <v>0</v>
      </c>
      <c r="CA668">
        <v>3488</v>
      </c>
      <c r="CB668">
        <v>216</v>
      </c>
      <c r="CC668">
        <v>583.59379999999999</v>
      </c>
      <c r="CD668">
        <v>1</v>
      </c>
      <c r="CE668">
        <v>1</v>
      </c>
      <c r="CF668">
        <v>0</v>
      </c>
      <c r="CG668">
        <v>1</v>
      </c>
      <c r="CH668">
        <v>0</v>
      </c>
      <c r="CI668">
        <v>0</v>
      </c>
      <c r="CJ668">
        <v>0</v>
      </c>
      <c r="CK668">
        <v>2</v>
      </c>
      <c r="CL668">
        <v>0</v>
      </c>
      <c r="CM668">
        <v>2</v>
      </c>
      <c r="CN668">
        <v>0</v>
      </c>
      <c r="CO668">
        <v>5</v>
      </c>
      <c r="CP668" t="s">
        <v>119</v>
      </c>
      <c r="CQ668">
        <v>145</v>
      </c>
      <c r="CR668">
        <v>1</v>
      </c>
      <c r="CW668">
        <v>8955103</v>
      </c>
      <c r="CY668">
        <v>0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0</v>
      </c>
      <c r="DF668">
        <v>0</v>
      </c>
      <c r="DG668">
        <v>0</v>
      </c>
      <c r="DH668">
        <v>0</v>
      </c>
      <c r="DI668">
        <v>0</v>
      </c>
    </row>
    <row r="669" spans="1:113" x14ac:dyDescent="0.3">
      <c r="A669" t="str">
        <f>"02/13/2022 18:39:10.463"</f>
        <v>02/13/2022 18:39:10.463</v>
      </c>
      <c r="C669" t="str">
        <f t="shared" si="69"/>
        <v>FFDFD7C0</v>
      </c>
      <c r="D669" t="s">
        <v>113</v>
      </c>
      <c r="E669">
        <v>3</v>
      </c>
      <c r="F669">
        <v>1003</v>
      </c>
      <c r="G669" t="s">
        <v>114</v>
      </c>
      <c r="J669" t="s">
        <v>115</v>
      </c>
      <c r="K669">
        <v>0</v>
      </c>
      <c r="L669">
        <v>3</v>
      </c>
      <c r="M669">
        <v>0</v>
      </c>
      <c r="N669">
        <v>2</v>
      </c>
      <c r="O669">
        <v>1</v>
      </c>
      <c r="P669">
        <v>0</v>
      </c>
      <c r="Q669">
        <v>0</v>
      </c>
      <c r="S669" t="str">
        <f>"18:39:10.227"</f>
        <v>18:39:10.227</v>
      </c>
      <c r="T669" t="str">
        <f>"18:39:09.927"</f>
        <v>18:39:09.927</v>
      </c>
      <c r="U669" t="str">
        <f t="shared" si="68"/>
        <v>AAB6EE</v>
      </c>
      <c r="V669">
        <v>0</v>
      </c>
      <c r="W669">
        <v>0</v>
      </c>
      <c r="X669">
        <v>4</v>
      </c>
      <c r="Z669">
        <v>0</v>
      </c>
      <c r="AA669">
        <v>8</v>
      </c>
      <c r="AB669">
        <v>3</v>
      </c>
      <c r="AC669">
        <v>0</v>
      </c>
      <c r="AD669">
        <v>10</v>
      </c>
      <c r="AE669">
        <v>0</v>
      </c>
      <c r="AF669">
        <v>0</v>
      </c>
      <c r="AG669">
        <v>2</v>
      </c>
      <c r="AH669">
        <v>1</v>
      </c>
      <c r="AI669" t="s">
        <v>567</v>
      </c>
      <c r="AJ669">
        <v>35.396962000000002</v>
      </c>
      <c r="AK669" t="s">
        <v>568</v>
      </c>
      <c r="AL669">
        <v>-76.109548000000004</v>
      </c>
      <c r="AM669">
        <v>25</v>
      </c>
      <c r="AN669">
        <v>3425</v>
      </c>
      <c r="AO669" t="s">
        <v>118</v>
      </c>
      <c r="AP669">
        <v>-102</v>
      </c>
      <c r="AQ669">
        <v>-197</v>
      </c>
      <c r="AR669">
        <v>0</v>
      </c>
      <c r="AZ669">
        <v>4516</v>
      </c>
      <c r="BA669">
        <v>1</v>
      </c>
      <c r="BB669" t="str">
        <f t="shared" si="70"/>
        <v xml:space="preserve">N79NX   </v>
      </c>
      <c r="BC669">
        <v>1</v>
      </c>
      <c r="BE669">
        <v>0</v>
      </c>
      <c r="BF669">
        <v>0</v>
      </c>
      <c r="BG669">
        <v>0</v>
      </c>
      <c r="BH669">
        <v>3300</v>
      </c>
      <c r="BI669">
        <v>0</v>
      </c>
      <c r="BJ669">
        <v>0</v>
      </c>
      <c r="BK669">
        <v>0</v>
      </c>
      <c r="BL669">
        <v>0</v>
      </c>
      <c r="BO669">
        <v>0</v>
      </c>
      <c r="BP669">
        <v>0</v>
      </c>
      <c r="BW669" t="str">
        <f>"18:39:10.231"</f>
        <v>18:39:10.231</v>
      </c>
      <c r="BZ669">
        <v>0</v>
      </c>
      <c r="CA669">
        <v>3488</v>
      </c>
      <c r="CB669">
        <v>216</v>
      </c>
      <c r="CC669">
        <v>583.59379999999999</v>
      </c>
      <c r="CD669">
        <v>1</v>
      </c>
      <c r="CE669">
        <v>1</v>
      </c>
      <c r="CF669">
        <v>0</v>
      </c>
      <c r="CG669">
        <v>1</v>
      </c>
      <c r="CH669">
        <v>0</v>
      </c>
      <c r="CI669">
        <v>0</v>
      </c>
      <c r="CJ669">
        <v>0</v>
      </c>
      <c r="CK669">
        <v>2</v>
      </c>
      <c r="CL669">
        <v>0</v>
      </c>
      <c r="CM669">
        <v>2</v>
      </c>
      <c r="CN669">
        <v>0</v>
      </c>
      <c r="CO669">
        <v>5</v>
      </c>
      <c r="CP669" t="s">
        <v>119</v>
      </c>
      <c r="CQ669">
        <v>145</v>
      </c>
      <c r="CR669">
        <v>1</v>
      </c>
      <c r="CW669">
        <v>8955103</v>
      </c>
      <c r="CY669">
        <v>0</v>
      </c>
      <c r="CZ669">
        <v>0</v>
      </c>
      <c r="DA669">
        <v>1</v>
      </c>
      <c r="DB669">
        <v>0</v>
      </c>
      <c r="DC669">
        <v>0</v>
      </c>
      <c r="DD669">
        <v>0</v>
      </c>
      <c r="DE669">
        <v>0</v>
      </c>
      <c r="DF669">
        <v>0</v>
      </c>
      <c r="DG669">
        <v>0</v>
      </c>
      <c r="DH669">
        <v>0</v>
      </c>
      <c r="DI669">
        <v>0</v>
      </c>
    </row>
    <row r="670" spans="1:113" x14ac:dyDescent="0.3">
      <c r="A670" t="str">
        <f>"02/13/2022 18:39:10.463"</f>
        <v>02/13/2022 18:39:10.463</v>
      </c>
      <c r="C670" t="str">
        <f t="shared" si="69"/>
        <v>FFDFD7C0</v>
      </c>
      <c r="D670" t="s">
        <v>113</v>
      </c>
      <c r="E670">
        <v>4</v>
      </c>
      <c r="F670">
        <v>1004</v>
      </c>
      <c r="G670" t="s">
        <v>120</v>
      </c>
      <c r="J670" t="s">
        <v>115</v>
      </c>
      <c r="K670">
        <v>0</v>
      </c>
      <c r="L670">
        <v>3</v>
      </c>
      <c r="M670">
        <v>0</v>
      </c>
      <c r="N670">
        <v>2</v>
      </c>
      <c r="O670">
        <v>1</v>
      </c>
      <c r="P670">
        <v>0</v>
      </c>
      <c r="Q670">
        <v>0</v>
      </c>
      <c r="S670" t="str">
        <f>"18:39:10.227"</f>
        <v>18:39:10.227</v>
      </c>
      <c r="T670" t="str">
        <f>"18:39:09.927"</f>
        <v>18:39:09.927</v>
      </c>
      <c r="U670" t="str">
        <f t="shared" si="68"/>
        <v>AAB6EE</v>
      </c>
      <c r="V670">
        <v>0</v>
      </c>
      <c r="W670">
        <v>0</v>
      </c>
      <c r="X670">
        <v>4</v>
      </c>
      <c r="Z670">
        <v>0</v>
      </c>
      <c r="AA670">
        <v>8</v>
      </c>
      <c r="AB670">
        <v>3</v>
      </c>
      <c r="AC670">
        <v>0</v>
      </c>
      <c r="AD670">
        <v>10</v>
      </c>
      <c r="AE670">
        <v>0</v>
      </c>
      <c r="AF670">
        <v>0</v>
      </c>
      <c r="AG670">
        <v>2</v>
      </c>
      <c r="AH670">
        <v>1</v>
      </c>
      <c r="AI670" t="s">
        <v>567</v>
      </c>
      <c r="AJ670">
        <v>35.396962000000002</v>
      </c>
      <c r="AK670" t="s">
        <v>568</v>
      </c>
      <c r="AL670">
        <v>-76.109548000000004</v>
      </c>
      <c r="AM670">
        <v>25</v>
      </c>
      <c r="AN670">
        <v>3425</v>
      </c>
      <c r="AO670" t="s">
        <v>118</v>
      </c>
      <c r="AP670">
        <v>-102</v>
      </c>
      <c r="AQ670">
        <v>-197</v>
      </c>
      <c r="AR670">
        <v>0</v>
      </c>
      <c r="AZ670">
        <v>4516</v>
      </c>
      <c r="BA670">
        <v>1</v>
      </c>
      <c r="BB670" t="str">
        <f t="shared" si="70"/>
        <v xml:space="preserve">N79NX   </v>
      </c>
      <c r="BC670">
        <v>1</v>
      </c>
      <c r="BE670">
        <v>0</v>
      </c>
      <c r="BF670">
        <v>0</v>
      </c>
      <c r="BG670">
        <v>0</v>
      </c>
      <c r="BH670">
        <v>3300</v>
      </c>
      <c r="BI670">
        <v>0</v>
      </c>
      <c r="BJ670">
        <v>0</v>
      </c>
      <c r="BK670">
        <v>0</v>
      </c>
      <c r="BL670">
        <v>0</v>
      </c>
      <c r="BO670">
        <v>0</v>
      </c>
      <c r="BP670">
        <v>0</v>
      </c>
      <c r="BW670" t="str">
        <f>"18:39:10.231"</f>
        <v>18:39:10.231</v>
      </c>
      <c r="BZ670">
        <v>0</v>
      </c>
      <c r="CA670">
        <v>3488</v>
      </c>
      <c r="CB670">
        <v>216</v>
      </c>
      <c r="CC670">
        <v>583.59379999999999</v>
      </c>
      <c r="CD670">
        <v>1</v>
      </c>
      <c r="CE670">
        <v>1</v>
      </c>
      <c r="CF670">
        <v>0</v>
      </c>
      <c r="CG670">
        <v>1</v>
      </c>
      <c r="CH670">
        <v>0</v>
      </c>
      <c r="CI670">
        <v>0</v>
      </c>
      <c r="CJ670">
        <v>0</v>
      </c>
      <c r="CK670">
        <v>2</v>
      </c>
      <c r="CL670">
        <v>0</v>
      </c>
      <c r="CM670">
        <v>2</v>
      </c>
      <c r="CN670">
        <v>0</v>
      </c>
      <c r="CO670">
        <v>5</v>
      </c>
      <c r="CP670" t="s">
        <v>119</v>
      </c>
      <c r="CQ670">
        <v>145</v>
      </c>
      <c r="CR670">
        <v>1</v>
      </c>
      <c r="CW670">
        <v>8955103</v>
      </c>
      <c r="CY670">
        <v>0</v>
      </c>
      <c r="CZ670">
        <v>0</v>
      </c>
      <c r="DA670">
        <v>1</v>
      </c>
      <c r="DB670">
        <v>0</v>
      </c>
      <c r="DC670">
        <v>0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</row>
    <row r="671" spans="1:113" x14ac:dyDescent="0.3">
      <c r="A671" t="str">
        <f>"02/13/2022 18:39:11.589"</f>
        <v>02/13/2022 18:39:11.589</v>
      </c>
      <c r="C671" t="str">
        <f t="shared" si="69"/>
        <v>FFDFD7C0</v>
      </c>
      <c r="D671" t="s">
        <v>121</v>
      </c>
      <c r="E671">
        <v>2</v>
      </c>
      <c r="H671">
        <v>158</v>
      </c>
      <c r="I671" t="s">
        <v>120</v>
      </c>
      <c r="J671" t="s">
        <v>122</v>
      </c>
      <c r="K671">
        <v>0</v>
      </c>
      <c r="L671">
        <v>3</v>
      </c>
      <c r="M671">
        <v>0</v>
      </c>
      <c r="N671">
        <v>2</v>
      </c>
      <c r="O671">
        <v>1</v>
      </c>
      <c r="P671">
        <v>0</v>
      </c>
      <c r="Q671">
        <v>0</v>
      </c>
      <c r="S671" t="str">
        <f>"18:39:11.344"</f>
        <v>18:39:11.344</v>
      </c>
      <c r="T671" t="str">
        <f>"18:39:11.244"</f>
        <v>18:39:11.244</v>
      </c>
      <c r="U671" t="str">
        <f t="shared" si="68"/>
        <v>AAB6EE</v>
      </c>
      <c r="V671">
        <v>0</v>
      </c>
      <c r="W671">
        <v>0</v>
      </c>
      <c r="X671">
        <v>4</v>
      </c>
      <c r="Z671">
        <v>0</v>
      </c>
      <c r="AA671">
        <v>8</v>
      </c>
      <c r="AB671">
        <v>3</v>
      </c>
      <c r="AC671">
        <v>0</v>
      </c>
      <c r="AD671">
        <v>10</v>
      </c>
      <c r="AE671">
        <v>0</v>
      </c>
      <c r="AF671">
        <v>0</v>
      </c>
      <c r="AG671">
        <v>2</v>
      </c>
      <c r="AH671">
        <v>1</v>
      </c>
      <c r="AI671" t="s">
        <v>569</v>
      </c>
      <c r="AJ671">
        <v>35.395975</v>
      </c>
      <c r="AK671" t="s">
        <v>570</v>
      </c>
      <c r="AL671">
        <v>-76.110191</v>
      </c>
      <c r="AM671">
        <v>25</v>
      </c>
      <c r="AN671">
        <v>3425</v>
      </c>
      <c r="AO671" t="s">
        <v>118</v>
      </c>
      <c r="AP671">
        <v>-102</v>
      </c>
      <c r="AQ671">
        <v>-197</v>
      </c>
      <c r="AR671">
        <v>0</v>
      </c>
      <c r="AZ671">
        <v>4516</v>
      </c>
      <c r="BA671">
        <v>1</v>
      </c>
      <c r="BB671" t="str">
        <f t="shared" si="70"/>
        <v xml:space="preserve">N79NX   </v>
      </c>
      <c r="BC671">
        <v>1</v>
      </c>
      <c r="BE671">
        <v>0</v>
      </c>
      <c r="BF671">
        <v>0</v>
      </c>
      <c r="BG671">
        <v>0</v>
      </c>
      <c r="BH671">
        <v>3300</v>
      </c>
      <c r="BI671">
        <v>0</v>
      </c>
      <c r="BJ671">
        <v>0</v>
      </c>
      <c r="BK671">
        <v>0</v>
      </c>
      <c r="BL671">
        <v>0</v>
      </c>
      <c r="BO671">
        <v>0</v>
      </c>
      <c r="BP671">
        <v>0</v>
      </c>
      <c r="BW671" t="str">
        <f>"18:39:11.351"</f>
        <v>18:39:11.351</v>
      </c>
      <c r="BZ671">
        <v>0</v>
      </c>
      <c r="CA671">
        <v>3488</v>
      </c>
      <c r="CB671">
        <v>216</v>
      </c>
      <c r="CC671">
        <v>583.59379999999999</v>
      </c>
      <c r="CD671">
        <v>1</v>
      </c>
      <c r="CE671">
        <v>1</v>
      </c>
      <c r="CF671">
        <v>0</v>
      </c>
      <c r="CG671">
        <v>1</v>
      </c>
      <c r="CH671">
        <v>0</v>
      </c>
      <c r="CI671">
        <v>0</v>
      </c>
      <c r="CJ671">
        <v>0</v>
      </c>
      <c r="CK671">
        <v>2</v>
      </c>
      <c r="CL671">
        <v>0</v>
      </c>
      <c r="CM671">
        <v>2</v>
      </c>
      <c r="CN671">
        <v>0</v>
      </c>
      <c r="CO671">
        <v>5</v>
      </c>
      <c r="CP671" t="s">
        <v>119</v>
      </c>
      <c r="CQ671">
        <v>145</v>
      </c>
      <c r="CR671">
        <v>1</v>
      </c>
      <c r="CW671">
        <v>8955658</v>
      </c>
      <c r="CY671">
        <v>0</v>
      </c>
      <c r="CZ671">
        <v>0</v>
      </c>
      <c r="DA671">
        <v>0</v>
      </c>
      <c r="DB671">
        <v>0</v>
      </c>
      <c r="DC671">
        <v>0</v>
      </c>
      <c r="DD671">
        <v>0</v>
      </c>
      <c r="DE671">
        <v>0</v>
      </c>
      <c r="DF671">
        <v>0</v>
      </c>
      <c r="DG671">
        <v>0</v>
      </c>
      <c r="DH671">
        <v>0</v>
      </c>
      <c r="DI671">
        <v>0</v>
      </c>
    </row>
    <row r="672" spans="1:113" x14ac:dyDescent="0.3">
      <c r="A672" t="str">
        <f>"02/13/2022 18:39:11.589"</f>
        <v>02/13/2022 18:39:11.589</v>
      </c>
      <c r="C672" t="str">
        <f t="shared" si="69"/>
        <v>FFDFD7C0</v>
      </c>
      <c r="D672" t="s">
        <v>113</v>
      </c>
      <c r="E672">
        <v>3</v>
      </c>
      <c r="F672">
        <v>1003</v>
      </c>
      <c r="G672" t="s">
        <v>114</v>
      </c>
      <c r="J672" t="s">
        <v>115</v>
      </c>
      <c r="K672">
        <v>0</v>
      </c>
      <c r="L672">
        <v>3</v>
      </c>
      <c r="M672">
        <v>0</v>
      </c>
      <c r="N672">
        <v>2</v>
      </c>
      <c r="O672">
        <v>1</v>
      </c>
      <c r="P672">
        <v>0</v>
      </c>
      <c r="Q672">
        <v>0</v>
      </c>
      <c r="S672" t="str">
        <f>"18:39:11.344"</f>
        <v>18:39:11.344</v>
      </c>
      <c r="T672" t="str">
        <f>"18:39:11.244"</f>
        <v>18:39:11.244</v>
      </c>
      <c r="U672" t="str">
        <f t="shared" si="68"/>
        <v>AAB6EE</v>
      </c>
      <c r="V672">
        <v>0</v>
      </c>
      <c r="W672">
        <v>0</v>
      </c>
      <c r="X672">
        <v>4</v>
      </c>
      <c r="Z672">
        <v>0</v>
      </c>
      <c r="AA672">
        <v>8</v>
      </c>
      <c r="AB672">
        <v>3</v>
      </c>
      <c r="AC672">
        <v>0</v>
      </c>
      <c r="AD672">
        <v>10</v>
      </c>
      <c r="AE672">
        <v>0</v>
      </c>
      <c r="AF672">
        <v>0</v>
      </c>
      <c r="AG672">
        <v>2</v>
      </c>
      <c r="AH672">
        <v>1</v>
      </c>
      <c r="AI672" t="s">
        <v>569</v>
      </c>
      <c r="AJ672">
        <v>35.395975</v>
      </c>
      <c r="AK672" t="s">
        <v>570</v>
      </c>
      <c r="AL672">
        <v>-76.110191</v>
      </c>
      <c r="AM672">
        <v>25</v>
      </c>
      <c r="AN672">
        <v>3425</v>
      </c>
      <c r="AO672" t="s">
        <v>118</v>
      </c>
      <c r="AP672">
        <v>-102</v>
      </c>
      <c r="AQ672">
        <v>-197</v>
      </c>
      <c r="AR672">
        <v>0</v>
      </c>
      <c r="AZ672">
        <v>4516</v>
      </c>
      <c r="BA672">
        <v>1</v>
      </c>
      <c r="BB672" t="str">
        <f t="shared" si="70"/>
        <v xml:space="preserve">N79NX   </v>
      </c>
      <c r="BC672">
        <v>1</v>
      </c>
      <c r="BE672">
        <v>0</v>
      </c>
      <c r="BF672">
        <v>0</v>
      </c>
      <c r="BG672">
        <v>0</v>
      </c>
      <c r="BH672">
        <v>3300</v>
      </c>
      <c r="BI672">
        <v>0</v>
      </c>
      <c r="BJ672">
        <v>0</v>
      </c>
      <c r="BK672">
        <v>0</v>
      </c>
      <c r="BL672">
        <v>0</v>
      </c>
      <c r="BO672">
        <v>0</v>
      </c>
      <c r="BP672">
        <v>0</v>
      </c>
      <c r="BW672" t="str">
        <f>"18:39:11.351"</f>
        <v>18:39:11.351</v>
      </c>
      <c r="BZ672">
        <v>0</v>
      </c>
      <c r="CA672">
        <v>3488</v>
      </c>
      <c r="CB672">
        <v>216</v>
      </c>
      <c r="CC672">
        <v>583.59379999999999</v>
      </c>
      <c r="CD672">
        <v>1</v>
      </c>
      <c r="CE672">
        <v>1</v>
      </c>
      <c r="CF672">
        <v>0</v>
      </c>
      <c r="CG672">
        <v>1</v>
      </c>
      <c r="CH672">
        <v>0</v>
      </c>
      <c r="CI672">
        <v>0</v>
      </c>
      <c r="CJ672">
        <v>0</v>
      </c>
      <c r="CK672">
        <v>2</v>
      </c>
      <c r="CL672">
        <v>0</v>
      </c>
      <c r="CM672">
        <v>2</v>
      </c>
      <c r="CN672">
        <v>0</v>
      </c>
      <c r="CO672">
        <v>5</v>
      </c>
      <c r="CP672" t="s">
        <v>119</v>
      </c>
      <c r="CQ672">
        <v>145</v>
      </c>
      <c r="CR672">
        <v>1</v>
      </c>
      <c r="CW672">
        <v>8955658</v>
      </c>
      <c r="CY672">
        <v>0</v>
      </c>
      <c r="CZ672">
        <v>0</v>
      </c>
      <c r="DA672">
        <v>1</v>
      </c>
      <c r="DB672">
        <v>0</v>
      </c>
      <c r="DC672">
        <v>0</v>
      </c>
      <c r="DD672">
        <v>0</v>
      </c>
      <c r="DE672">
        <v>0</v>
      </c>
      <c r="DF672">
        <v>0</v>
      </c>
      <c r="DG672">
        <v>0</v>
      </c>
      <c r="DH672">
        <v>0</v>
      </c>
      <c r="DI672">
        <v>0</v>
      </c>
    </row>
    <row r="673" spans="1:113" x14ac:dyDescent="0.3">
      <c r="A673" t="str">
        <f>"02/13/2022 18:39:11.589"</f>
        <v>02/13/2022 18:39:11.589</v>
      </c>
      <c r="C673" t="str">
        <f t="shared" si="69"/>
        <v>FFDFD7C0</v>
      </c>
      <c r="D673" t="s">
        <v>113</v>
      </c>
      <c r="E673">
        <v>4</v>
      </c>
      <c r="F673">
        <v>1004</v>
      </c>
      <c r="G673" t="s">
        <v>120</v>
      </c>
      <c r="J673" t="s">
        <v>115</v>
      </c>
      <c r="K673">
        <v>0</v>
      </c>
      <c r="L673">
        <v>3</v>
      </c>
      <c r="M673">
        <v>0</v>
      </c>
      <c r="N673">
        <v>2</v>
      </c>
      <c r="O673">
        <v>1</v>
      </c>
      <c r="P673">
        <v>0</v>
      </c>
      <c r="Q673">
        <v>0</v>
      </c>
      <c r="S673" t="str">
        <f>"18:39:11.344"</f>
        <v>18:39:11.344</v>
      </c>
      <c r="T673" t="str">
        <f>"18:39:11.244"</f>
        <v>18:39:11.244</v>
      </c>
      <c r="U673" t="str">
        <f t="shared" si="68"/>
        <v>AAB6EE</v>
      </c>
      <c r="V673">
        <v>0</v>
      </c>
      <c r="W673">
        <v>0</v>
      </c>
      <c r="X673">
        <v>4</v>
      </c>
      <c r="Z673">
        <v>0</v>
      </c>
      <c r="AA673">
        <v>8</v>
      </c>
      <c r="AB673">
        <v>3</v>
      </c>
      <c r="AC673">
        <v>0</v>
      </c>
      <c r="AD673">
        <v>10</v>
      </c>
      <c r="AE673">
        <v>0</v>
      </c>
      <c r="AF673">
        <v>0</v>
      </c>
      <c r="AG673">
        <v>2</v>
      </c>
      <c r="AH673">
        <v>1</v>
      </c>
      <c r="AI673" t="s">
        <v>569</v>
      </c>
      <c r="AJ673">
        <v>35.395975</v>
      </c>
      <c r="AK673" t="s">
        <v>570</v>
      </c>
      <c r="AL673">
        <v>-76.110191</v>
      </c>
      <c r="AM673">
        <v>25</v>
      </c>
      <c r="AN673">
        <v>3425</v>
      </c>
      <c r="AO673" t="s">
        <v>118</v>
      </c>
      <c r="AP673">
        <v>-102</v>
      </c>
      <c r="AQ673">
        <v>-197</v>
      </c>
      <c r="AR673">
        <v>0</v>
      </c>
      <c r="AZ673">
        <v>4516</v>
      </c>
      <c r="BA673">
        <v>1</v>
      </c>
      <c r="BB673" t="str">
        <f t="shared" si="70"/>
        <v xml:space="preserve">N79NX   </v>
      </c>
      <c r="BC673">
        <v>1</v>
      </c>
      <c r="BE673">
        <v>0</v>
      </c>
      <c r="BF673">
        <v>0</v>
      </c>
      <c r="BG673">
        <v>0</v>
      </c>
      <c r="BH673">
        <v>3300</v>
      </c>
      <c r="BI673">
        <v>0</v>
      </c>
      <c r="BJ673">
        <v>0</v>
      </c>
      <c r="BK673">
        <v>0</v>
      </c>
      <c r="BL673">
        <v>0</v>
      </c>
      <c r="BO673">
        <v>0</v>
      </c>
      <c r="BP673">
        <v>0</v>
      </c>
      <c r="BW673" t="str">
        <f>"18:39:11.351"</f>
        <v>18:39:11.351</v>
      </c>
      <c r="BZ673">
        <v>0</v>
      </c>
      <c r="CA673">
        <v>3488</v>
      </c>
      <c r="CB673">
        <v>216</v>
      </c>
      <c r="CC673">
        <v>583.59379999999999</v>
      </c>
      <c r="CD673">
        <v>1</v>
      </c>
      <c r="CE673">
        <v>1</v>
      </c>
      <c r="CF673">
        <v>0</v>
      </c>
      <c r="CG673">
        <v>1</v>
      </c>
      <c r="CH673">
        <v>0</v>
      </c>
      <c r="CI673">
        <v>0</v>
      </c>
      <c r="CJ673">
        <v>0</v>
      </c>
      <c r="CK673">
        <v>2</v>
      </c>
      <c r="CL673">
        <v>0</v>
      </c>
      <c r="CM673">
        <v>2</v>
      </c>
      <c r="CN673">
        <v>0</v>
      </c>
      <c r="CO673">
        <v>5</v>
      </c>
      <c r="CP673" t="s">
        <v>119</v>
      </c>
      <c r="CQ673">
        <v>145</v>
      </c>
      <c r="CR673">
        <v>1</v>
      </c>
      <c r="CW673">
        <v>8955658</v>
      </c>
      <c r="CY673">
        <v>0</v>
      </c>
      <c r="CZ673">
        <v>0</v>
      </c>
      <c r="DA673">
        <v>1</v>
      </c>
      <c r="DB673">
        <v>0</v>
      </c>
      <c r="DC673">
        <v>0</v>
      </c>
      <c r="DD673">
        <v>0</v>
      </c>
      <c r="DE673">
        <v>0</v>
      </c>
      <c r="DF673">
        <v>0</v>
      </c>
      <c r="DG673">
        <v>0</v>
      </c>
      <c r="DH673">
        <v>0</v>
      </c>
      <c r="DI673">
        <v>0</v>
      </c>
    </row>
    <row r="674" spans="1:113" x14ac:dyDescent="0.3">
      <c r="A674" t="str">
        <f>"02/13/2022 18:39:12.699"</f>
        <v>02/13/2022 18:39:12.699</v>
      </c>
      <c r="C674" t="str">
        <f t="shared" si="69"/>
        <v>FFDFD7C0</v>
      </c>
      <c r="D674" t="s">
        <v>121</v>
      </c>
      <c r="E674">
        <v>2</v>
      </c>
      <c r="H674">
        <v>158</v>
      </c>
      <c r="I674" t="s">
        <v>120</v>
      </c>
      <c r="J674" t="s">
        <v>122</v>
      </c>
      <c r="K674">
        <v>0</v>
      </c>
      <c r="L674">
        <v>3</v>
      </c>
      <c r="M674">
        <v>0</v>
      </c>
      <c r="N674">
        <v>2</v>
      </c>
      <c r="O674">
        <v>1</v>
      </c>
      <c r="P674">
        <v>0</v>
      </c>
      <c r="Q674">
        <v>0</v>
      </c>
      <c r="S674" t="str">
        <f>"18:39:12.477"</f>
        <v>18:39:12.477</v>
      </c>
      <c r="T674" t="str">
        <f>"18:39:12.377"</f>
        <v>18:39:12.377</v>
      </c>
      <c r="U674" t="str">
        <f t="shared" si="68"/>
        <v>AAB6EE</v>
      </c>
      <c r="V674">
        <v>0</v>
      </c>
      <c r="W674">
        <v>0</v>
      </c>
      <c r="X674">
        <v>4</v>
      </c>
      <c r="Z674">
        <v>0</v>
      </c>
      <c r="AA674">
        <v>8</v>
      </c>
      <c r="AB674">
        <v>3</v>
      </c>
      <c r="AC674">
        <v>0</v>
      </c>
      <c r="AD674">
        <v>10</v>
      </c>
      <c r="AE674">
        <v>0</v>
      </c>
      <c r="AF674">
        <v>0</v>
      </c>
      <c r="AG674">
        <v>2</v>
      </c>
      <c r="AH674">
        <v>1</v>
      </c>
      <c r="AI674" t="s">
        <v>571</v>
      </c>
      <c r="AJ674">
        <v>35.394967000000001</v>
      </c>
      <c r="AK674" t="s">
        <v>572</v>
      </c>
      <c r="AL674">
        <v>-76.110834999999994</v>
      </c>
      <c r="AM674">
        <v>25</v>
      </c>
      <c r="AN674">
        <v>3425</v>
      </c>
      <c r="AO674" t="s">
        <v>118</v>
      </c>
      <c r="AP674">
        <v>-102</v>
      </c>
      <c r="AQ674">
        <v>-197</v>
      </c>
      <c r="AR674">
        <v>0</v>
      </c>
      <c r="AZ674">
        <v>4516</v>
      </c>
      <c r="BA674">
        <v>1</v>
      </c>
      <c r="BB674" t="str">
        <f t="shared" si="70"/>
        <v xml:space="preserve">N79NX   </v>
      </c>
      <c r="BC674">
        <v>1</v>
      </c>
      <c r="BE674">
        <v>0</v>
      </c>
      <c r="BF674">
        <v>0</v>
      </c>
      <c r="BG674">
        <v>0</v>
      </c>
      <c r="BH674">
        <v>3300</v>
      </c>
      <c r="BI674">
        <v>0</v>
      </c>
      <c r="BJ674">
        <v>0</v>
      </c>
      <c r="BK674">
        <v>0</v>
      </c>
      <c r="BL674">
        <v>0</v>
      </c>
      <c r="BO674">
        <v>0</v>
      </c>
      <c r="BP674">
        <v>0</v>
      </c>
      <c r="BW674" t="str">
        <f>"18:39:12.481"</f>
        <v>18:39:12.481</v>
      </c>
      <c r="BZ674">
        <v>0</v>
      </c>
      <c r="CA674">
        <v>3488</v>
      </c>
      <c r="CB674">
        <v>216</v>
      </c>
      <c r="CC674">
        <v>583.59379999999999</v>
      </c>
      <c r="CD674">
        <v>1</v>
      </c>
      <c r="CE674">
        <v>1</v>
      </c>
      <c r="CF674">
        <v>0</v>
      </c>
      <c r="CG674">
        <v>1</v>
      </c>
      <c r="CH674">
        <v>0</v>
      </c>
      <c r="CI674">
        <v>0</v>
      </c>
      <c r="CJ674">
        <v>0</v>
      </c>
      <c r="CK674">
        <v>2</v>
      </c>
      <c r="CL674">
        <v>0</v>
      </c>
      <c r="CM674">
        <v>2</v>
      </c>
      <c r="CN674">
        <v>0</v>
      </c>
      <c r="CO674">
        <v>5</v>
      </c>
      <c r="CP674" t="s">
        <v>119</v>
      </c>
      <c r="CQ674">
        <v>145</v>
      </c>
      <c r="CR674">
        <v>1</v>
      </c>
      <c r="CW674">
        <v>8956225</v>
      </c>
      <c r="CY674">
        <v>0</v>
      </c>
      <c r="CZ674">
        <v>0</v>
      </c>
      <c r="DA674">
        <v>0</v>
      </c>
      <c r="DB674">
        <v>0</v>
      </c>
      <c r="DC674">
        <v>0</v>
      </c>
      <c r="DD674">
        <v>0</v>
      </c>
      <c r="DE674">
        <v>0</v>
      </c>
      <c r="DF674">
        <v>0</v>
      </c>
      <c r="DG674">
        <v>0</v>
      </c>
      <c r="DH674">
        <v>0</v>
      </c>
      <c r="DI674">
        <v>0</v>
      </c>
    </row>
    <row r="675" spans="1:113" x14ac:dyDescent="0.3">
      <c r="A675" t="str">
        <f>"02/13/2022 18:39:12.730"</f>
        <v>02/13/2022 18:39:12.730</v>
      </c>
      <c r="C675" t="str">
        <f t="shared" si="69"/>
        <v>FFDFD7C0</v>
      </c>
      <c r="D675" t="s">
        <v>113</v>
      </c>
      <c r="E675">
        <v>3</v>
      </c>
      <c r="F675">
        <v>1003</v>
      </c>
      <c r="G675" t="s">
        <v>114</v>
      </c>
      <c r="J675" t="s">
        <v>115</v>
      </c>
      <c r="K675">
        <v>0</v>
      </c>
      <c r="L675">
        <v>3</v>
      </c>
      <c r="M675">
        <v>0</v>
      </c>
      <c r="N675">
        <v>2</v>
      </c>
      <c r="O675">
        <v>1</v>
      </c>
      <c r="P675">
        <v>0</v>
      </c>
      <c r="Q675">
        <v>0</v>
      </c>
      <c r="S675" t="str">
        <f>"18:39:12.477"</f>
        <v>18:39:12.477</v>
      </c>
      <c r="T675" t="str">
        <f>"18:39:12.377"</f>
        <v>18:39:12.377</v>
      </c>
      <c r="U675" t="str">
        <f t="shared" si="68"/>
        <v>AAB6EE</v>
      </c>
      <c r="V675">
        <v>0</v>
      </c>
      <c r="W675">
        <v>0</v>
      </c>
      <c r="X675">
        <v>4</v>
      </c>
      <c r="Z675">
        <v>0</v>
      </c>
      <c r="AA675">
        <v>8</v>
      </c>
      <c r="AB675">
        <v>3</v>
      </c>
      <c r="AC675">
        <v>0</v>
      </c>
      <c r="AD675">
        <v>10</v>
      </c>
      <c r="AE675">
        <v>0</v>
      </c>
      <c r="AF675">
        <v>0</v>
      </c>
      <c r="AG675">
        <v>2</v>
      </c>
      <c r="AH675">
        <v>1</v>
      </c>
      <c r="AI675" t="s">
        <v>571</v>
      </c>
      <c r="AJ675">
        <v>35.394967000000001</v>
      </c>
      <c r="AK675" t="s">
        <v>572</v>
      </c>
      <c r="AL675">
        <v>-76.110834999999994</v>
      </c>
      <c r="AM675">
        <v>25</v>
      </c>
      <c r="AN675">
        <v>3425</v>
      </c>
      <c r="AO675" t="s">
        <v>118</v>
      </c>
      <c r="AP675">
        <v>-102</v>
      </c>
      <c r="AQ675">
        <v>-197</v>
      </c>
      <c r="AR675">
        <v>0</v>
      </c>
      <c r="AZ675">
        <v>4516</v>
      </c>
      <c r="BA675">
        <v>1</v>
      </c>
      <c r="BB675" t="str">
        <f t="shared" si="70"/>
        <v xml:space="preserve">N79NX   </v>
      </c>
      <c r="BC675">
        <v>1</v>
      </c>
      <c r="BE675">
        <v>0</v>
      </c>
      <c r="BF675">
        <v>0</v>
      </c>
      <c r="BG675">
        <v>0</v>
      </c>
      <c r="BH675">
        <v>3300</v>
      </c>
      <c r="BI675">
        <v>0</v>
      </c>
      <c r="BJ675">
        <v>0</v>
      </c>
      <c r="BK675">
        <v>0</v>
      </c>
      <c r="BL675">
        <v>0</v>
      </c>
      <c r="BO675">
        <v>0</v>
      </c>
      <c r="BP675">
        <v>0</v>
      </c>
      <c r="BW675" t="str">
        <f>"18:39:12.481"</f>
        <v>18:39:12.481</v>
      </c>
      <c r="BZ675">
        <v>0</v>
      </c>
      <c r="CA675">
        <v>3488</v>
      </c>
      <c r="CB675">
        <v>216</v>
      </c>
      <c r="CC675">
        <v>583.59379999999999</v>
      </c>
      <c r="CD675">
        <v>1</v>
      </c>
      <c r="CE675">
        <v>1</v>
      </c>
      <c r="CF675">
        <v>0</v>
      </c>
      <c r="CG675">
        <v>1</v>
      </c>
      <c r="CH675">
        <v>0</v>
      </c>
      <c r="CI675">
        <v>0</v>
      </c>
      <c r="CJ675">
        <v>0</v>
      </c>
      <c r="CK675">
        <v>2</v>
      </c>
      <c r="CL675">
        <v>0</v>
      </c>
      <c r="CM675">
        <v>2</v>
      </c>
      <c r="CN675">
        <v>0</v>
      </c>
      <c r="CO675">
        <v>5</v>
      </c>
      <c r="CP675" t="s">
        <v>119</v>
      </c>
      <c r="CQ675">
        <v>145</v>
      </c>
      <c r="CR675">
        <v>1</v>
      </c>
      <c r="CW675">
        <v>8956225</v>
      </c>
      <c r="CY675">
        <v>0</v>
      </c>
      <c r="CZ675">
        <v>0</v>
      </c>
      <c r="DA675">
        <v>1</v>
      </c>
      <c r="DB675">
        <v>0</v>
      </c>
      <c r="DC675">
        <v>0</v>
      </c>
      <c r="DD675">
        <v>0</v>
      </c>
      <c r="DE675">
        <v>0</v>
      </c>
      <c r="DF675">
        <v>0</v>
      </c>
      <c r="DG675">
        <v>0</v>
      </c>
      <c r="DH675">
        <v>0</v>
      </c>
      <c r="DI675">
        <v>0</v>
      </c>
    </row>
    <row r="676" spans="1:113" x14ac:dyDescent="0.3">
      <c r="A676" t="str">
        <f>"02/13/2022 18:39:12.730"</f>
        <v>02/13/2022 18:39:12.730</v>
      </c>
      <c r="C676" t="str">
        <f t="shared" si="69"/>
        <v>FFDFD7C0</v>
      </c>
      <c r="D676" t="s">
        <v>113</v>
      </c>
      <c r="E676">
        <v>4</v>
      </c>
      <c r="F676">
        <v>1004</v>
      </c>
      <c r="G676" t="s">
        <v>120</v>
      </c>
      <c r="J676" t="s">
        <v>115</v>
      </c>
      <c r="K676">
        <v>0</v>
      </c>
      <c r="L676">
        <v>3</v>
      </c>
      <c r="M676">
        <v>0</v>
      </c>
      <c r="N676">
        <v>2</v>
      </c>
      <c r="O676">
        <v>1</v>
      </c>
      <c r="P676">
        <v>0</v>
      </c>
      <c r="Q676">
        <v>0</v>
      </c>
      <c r="S676" t="str">
        <f>"18:39:12.477"</f>
        <v>18:39:12.477</v>
      </c>
      <c r="T676" t="str">
        <f>"18:39:12.377"</f>
        <v>18:39:12.377</v>
      </c>
      <c r="U676" t="str">
        <f t="shared" si="68"/>
        <v>AAB6EE</v>
      </c>
      <c r="V676">
        <v>0</v>
      </c>
      <c r="W676">
        <v>0</v>
      </c>
      <c r="X676">
        <v>4</v>
      </c>
      <c r="Z676">
        <v>0</v>
      </c>
      <c r="AA676">
        <v>8</v>
      </c>
      <c r="AB676">
        <v>3</v>
      </c>
      <c r="AC676">
        <v>0</v>
      </c>
      <c r="AD676">
        <v>10</v>
      </c>
      <c r="AE676">
        <v>0</v>
      </c>
      <c r="AF676">
        <v>0</v>
      </c>
      <c r="AG676">
        <v>2</v>
      </c>
      <c r="AH676">
        <v>1</v>
      </c>
      <c r="AI676" t="s">
        <v>571</v>
      </c>
      <c r="AJ676">
        <v>35.394967000000001</v>
      </c>
      <c r="AK676" t="s">
        <v>572</v>
      </c>
      <c r="AL676">
        <v>-76.110834999999994</v>
      </c>
      <c r="AM676">
        <v>25</v>
      </c>
      <c r="AN676">
        <v>3425</v>
      </c>
      <c r="AO676" t="s">
        <v>118</v>
      </c>
      <c r="AP676">
        <v>-102</v>
      </c>
      <c r="AQ676">
        <v>-197</v>
      </c>
      <c r="AR676">
        <v>0</v>
      </c>
      <c r="AZ676">
        <v>4516</v>
      </c>
      <c r="BA676">
        <v>1</v>
      </c>
      <c r="BB676" t="str">
        <f t="shared" si="70"/>
        <v xml:space="preserve">N79NX   </v>
      </c>
      <c r="BC676">
        <v>1</v>
      </c>
      <c r="BE676">
        <v>0</v>
      </c>
      <c r="BF676">
        <v>0</v>
      </c>
      <c r="BG676">
        <v>0</v>
      </c>
      <c r="BH676">
        <v>3300</v>
      </c>
      <c r="BI676">
        <v>0</v>
      </c>
      <c r="BJ676">
        <v>0</v>
      </c>
      <c r="BK676">
        <v>0</v>
      </c>
      <c r="BL676">
        <v>0</v>
      </c>
      <c r="BO676">
        <v>0</v>
      </c>
      <c r="BP676">
        <v>0</v>
      </c>
      <c r="BW676" t="str">
        <f>"18:39:12.481"</f>
        <v>18:39:12.481</v>
      </c>
      <c r="BZ676">
        <v>0</v>
      </c>
      <c r="CA676">
        <v>3488</v>
      </c>
      <c r="CB676">
        <v>216</v>
      </c>
      <c r="CC676">
        <v>583.59379999999999</v>
      </c>
      <c r="CD676">
        <v>1</v>
      </c>
      <c r="CE676">
        <v>1</v>
      </c>
      <c r="CF676">
        <v>0</v>
      </c>
      <c r="CG676">
        <v>1</v>
      </c>
      <c r="CH676">
        <v>0</v>
      </c>
      <c r="CI676">
        <v>0</v>
      </c>
      <c r="CJ676">
        <v>0</v>
      </c>
      <c r="CK676">
        <v>2</v>
      </c>
      <c r="CL676">
        <v>0</v>
      </c>
      <c r="CM676">
        <v>2</v>
      </c>
      <c r="CN676">
        <v>0</v>
      </c>
      <c r="CO676">
        <v>5</v>
      </c>
      <c r="CP676" t="s">
        <v>119</v>
      </c>
      <c r="CQ676">
        <v>145</v>
      </c>
      <c r="CR676">
        <v>1</v>
      </c>
      <c r="CW676">
        <v>8956225</v>
      </c>
      <c r="CY676">
        <v>0</v>
      </c>
      <c r="CZ676">
        <v>0</v>
      </c>
      <c r="DA676">
        <v>1</v>
      </c>
      <c r="DB676">
        <v>0</v>
      </c>
      <c r="DC676">
        <v>0</v>
      </c>
      <c r="DD676">
        <v>0</v>
      </c>
      <c r="DE676">
        <v>0</v>
      </c>
      <c r="DF676">
        <v>0</v>
      </c>
      <c r="DG676">
        <v>0</v>
      </c>
      <c r="DH676">
        <v>0</v>
      </c>
      <c r="DI676">
        <v>0</v>
      </c>
    </row>
    <row r="677" spans="1:113" x14ac:dyDescent="0.3">
      <c r="A677" t="str">
        <f>"02/13/2022 18:39:13.605"</f>
        <v>02/13/2022 18:39:13.605</v>
      </c>
      <c r="C677" t="str">
        <f t="shared" si="69"/>
        <v>FFDFD7C0</v>
      </c>
      <c r="D677" t="s">
        <v>121</v>
      </c>
      <c r="E677">
        <v>2</v>
      </c>
      <c r="H677">
        <v>158</v>
      </c>
      <c r="I677" t="s">
        <v>120</v>
      </c>
      <c r="J677" t="s">
        <v>122</v>
      </c>
      <c r="K677">
        <v>0</v>
      </c>
      <c r="L677">
        <v>3</v>
      </c>
      <c r="M677">
        <v>0</v>
      </c>
      <c r="N677">
        <v>2</v>
      </c>
      <c r="O677">
        <v>1</v>
      </c>
      <c r="P677">
        <v>0</v>
      </c>
      <c r="Q677">
        <v>0</v>
      </c>
      <c r="S677" t="str">
        <f t="shared" ref="S677:T679" si="75">"18:39:13.398"</f>
        <v>18:39:13.398</v>
      </c>
      <c r="T677" t="str">
        <f t="shared" si="75"/>
        <v>18:39:13.398</v>
      </c>
      <c r="U677" t="str">
        <f t="shared" si="68"/>
        <v>AAB6EE</v>
      </c>
      <c r="V677">
        <v>0</v>
      </c>
      <c r="W677">
        <v>0</v>
      </c>
      <c r="X677">
        <v>4</v>
      </c>
      <c r="Z677">
        <v>0</v>
      </c>
      <c r="AA677">
        <v>8</v>
      </c>
      <c r="AB677">
        <v>3</v>
      </c>
      <c r="AC677">
        <v>0</v>
      </c>
      <c r="AD677">
        <v>10</v>
      </c>
      <c r="AE677">
        <v>0</v>
      </c>
      <c r="AF677">
        <v>0</v>
      </c>
      <c r="AG677">
        <v>2</v>
      </c>
      <c r="AH677">
        <v>1</v>
      </c>
      <c r="AI677" t="s">
        <v>573</v>
      </c>
      <c r="AJ677">
        <v>35.394151000000001</v>
      </c>
      <c r="AK677" t="s">
        <v>574</v>
      </c>
      <c r="AL677">
        <v>-76.111328999999998</v>
      </c>
      <c r="AM677">
        <v>25</v>
      </c>
      <c r="AN677">
        <v>3425</v>
      </c>
      <c r="AO677" t="s">
        <v>118</v>
      </c>
      <c r="AP677">
        <v>-102</v>
      </c>
      <c r="AQ677">
        <v>-197</v>
      </c>
      <c r="AR677">
        <v>0</v>
      </c>
      <c r="AZ677">
        <v>4516</v>
      </c>
      <c r="BA677">
        <v>1</v>
      </c>
      <c r="BB677" t="str">
        <f t="shared" si="70"/>
        <v xml:space="preserve">N79NX   </v>
      </c>
      <c r="BC677">
        <v>1</v>
      </c>
      <c r="BE677">
        <v>0</v>
      </c>
      <c r="BF677">
        <v>0</v>
      </c>
      <c r="BG677">
        <v>0</v>
      </c>
      <c r="BH677">
        <v>3275</v>
      </c>
      <c r="BI677">
        <v>0</v>
      </c>
      <c r="BJ677">
        <v>0</v>
      </c>
      <c r="BK677">
        <v>0</v>
      </c>
      <c r="BL677">
        <v>0</v>
      </c>
      <c r="BO677">
        <v>0</v>
      </c>
      <c r="BP677">
        <v>0</v>
      </c>
      <c r="BW677" t="str">
        <f>"18:39:13.401"</f>
        <v>18:39:13.401</v>
      </c>
      <c r="BZ677">
        <v>0</v>
      </c>
      <c r="CA677">
        <v>3488</v>
      </c>
      <c r="CB677">
        <v>216</v>
      </c>
      <c r="CC677">
        <v>583.59379999999999</v>
      </c>
      <c r="CD677">
        <v>1</v>
      </c>
      <c r="CE677">
        <v>1</v>
      </c>
      <c r="CF677">
        <v>0</v>
      </c>
      <c r="CG677">
        <v>1</v>
      </c>
      <c r="CH677">
        <v>0</v>
      </c>
      <c r="CI677">
        <v>0</v>
      </c>
      <c r="CJ677">
        <v>0</v>
      </c>
      <c r="CK677">
        <v>2</v>
      </c>
      <c r="CL677">
        <v>0</v>
      </c>
      <c r="CM677">
        <v>2</v>
      </c>
      <c r="CN677">
        <v>0</v>
      </c>
      <c r="CO677">
        <v>5</v>
      </c>
      <c r="CP677" t="s">
        <v>119</v>
      </c>
      <c r="CQ677">
        <v>145</v>
      </c>
      <c r="CR677">
        <v>1</v>
      </c>
      <c r="CW677">
        <v>8956596</v>
      </c>
      <c r="CY677">
        <v>0</v>
      </c>
      <c r="CZ677">
        <v>0</v>
      </c>
      <c r="DA677">
        <v>0</v>
      </c>
      <c r="DB677">
        <v>0</v>
      </c>
      <c r="DC677">
        <v>0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0</v>
      </c>
    </row>
    <row r="678" spans="1:113" x14ac:dyDescent="0.3">
      <c r="A678" t="str">
        <f>"02/13/2022 18:39:13.668"</f>
        <v>02/13/2022 18:39:13.668</v>
      </c>
      <c r="C678" t="str">
        <f t="shared" si="69"/>
        <v>FFDFD7C0</v>
      </c>
      <c r="D678" t="s">
        <v>113</v>
      </c>
      <c r="E678">
        <v>3</v>
      </c>
      <c r="F678">
        <v>1003</v>
      </c>
      <c r="G678" t="s">
        <v>114</v>
      </c>
      <c r="J678" t="s">
        <v>115</v>
      </c>
      <c r="K678">
        <v>0</v>
      </c>
      <c r="L678">
        <v>3</v>
      </c>
      <c r="M678">
        <v>0</v>
      </c>
      <c r="N678">
        <v>2</v>
      </c>
      <c r="O678">
        <v>1</v>
      </c>
      <c r="P678">
        <v>0</v>
      </c>
      <c r="Q678">
        <v>0</v>
      </c>
      <c r="S678" t="str">
        <f t="shared" si="75"/>
        <v>18:39:13.398</v>
      </c>
      <c r="T678" t="str">
        <f t="shared" si="75"/>
        <v>18:39:13.398</v>
      </c>
      <c r="U678" t="str">
        <f t="shared" si="68"/>
        <v>AAB6EE</v>
      </c>
      <c r="V678">
        <v>0</v>
      </c>
      <c r="W678">
        <v>0</v>
      </c>
      <c r="X678">
        <v>4</v>
      </c>
      <c r="Z678">
        <v>0</v>
      </c>
      <c r="AA678">
        <v>8</v>
      </c>
      <c r="AB678">
        <v>3</v>
      </c>
      <c r="AC678">
        <v>0</v>
      </c>
      <c r="AD678">
        <v>10</v>
      </c>
      <c r="AE678">
        <v>0</v>
      </c>
      <c r="AF678">
        <v>0</v>
      </c>
      <c r="AG678">
        <v>2</v>
      </c>
      <c r="AH678">
        <v>1</v>
      </c>
      <c r="AI678" t="s">
        <v>573</v>
      </c>
      <c r="AJ678">
        <v>35.394151000000001</v>
      </c>
      <c r="AK678" t="s">
        <v>574</v>
      </c>
      <c r="AL678">
        <v>-76.111328999999998</v>
      </c>
      <c r="AM678">
        <v>25</v>
      </c>
      <c r="AN678">
        <v>3425</v>
      </c>
      <c r="AO678" t="s">
        <v>118</v>
      </c>
      <c r="AP678">
        <v>-102</v>
      </c>
      <c r="AQ678">
        <v>-197</v>
      </c>
      <c r="AR678">
        <v>0</v>
      </c>
      <c r="AZ678">
        <v>4516</v>
      </c>
      <c r="BA678">
        <v>1</v>
      </c>
      <c r="BB678" t="str">
        <f t="shared" si="70"/>
        <v xml:space="preserve">N79NX   </v>
      </c>
      <c r="BC678">
        <v>1</v>
      </c>
      <c r="BE678">
        <v>0</v>
      </c>
      <c r="BF678">
        <v>0</v>
      </c>
      <c r="BG678">
        <v>0</v>
      </c>
      <c r="BH678">
        <v>3275</v>
      </c>
      <c r="BI678">
        <v>0</v>
      </c>
      <c r="BJ678">
        <v>0</v>
      </c>
      <c r="BK678">
        <v>0</v>
      </c>
      <c r="BL678">
        <v>0</v>
      </c>
      <c r="BO678">
        <v>0</v>
      </c>
      <c r="BP678">
        <v>0</v>
      </c>
      <c r="BW678" t="str">
        <f>"18:39:13.401"</f>
        <v>18:39:13.401</v>
      </c>
      <c r="BZ678">
        <v>0</v>
      </c>
      <c r="CA678">
        <v>3488</v>
      </c>
      <c r="CB678">
        <v>216</v>
      </c>
      <c r="CC678">
        <v>583.59379999999999</v>
      </c>
      <c r="CD678">
        <v>1</v>
      </c>
      <c r="CE678">
        <v>1</v>
      </c>
      <c r="CF678">
        <v>0</v>
      </c>
      <c r="CG678">
        <v>1</v>
      </c>
      <c r="CH678">
        <v>0</v>
      </c>
      <c r="CI678">
        <v>0</v>
      </c>
      <c r="CJ678">
        <v>0</v>
      </c>
      <c r="CK678">
        <v>2</v>
      </c>
      <c r="CL678">
        <v>0</v>
      </c>
      <c r="CM678">
        <v>2</v>
      </c>
      <c r="CN678">
        <v>0</v>
      </c>
      <c r="CO678">
        <v>5</v>
      </c>
      <c r="CP678" t="s">
        <v>119</v>
      </c>
      <c r="CQ678">
        <v>145</v>
      </c>
      <c r="CR678">
        <v>1</v>
      </c>
      <c r="CW678">
        <v>8956596</v>
      </c>
      <c r="CY678">
        <v>0</v>
      </c>
      <c r="CZ678">
        <v>0</v>
      </c>
      <c r="DA678">
        <v>1</v>
      </c>
      <c r="DB678">
        <v>0</v>
      </c>
      <c r="DC678">
        <v>0</v>
      </c>
      <c r="DD678">
        <v>0</v>
      </c>
      <c r="DE678">
        <v>0</v>
      </c>
      <c r="DF678">
        <v>0</v>
      </c>
      <c r="DG678">
        <v>0</v>
      </c>
      <c r="DH678">
        <v>0</v>
      </c>
      <c r="DI678">
        <v>0</v>
      </c>
    </row>
    <row r="679" spans="1:113" x14ac:dyDescent="0.3">
      <c r="A679" t="str">
        <f>"02/13/2022 18:39:13.668"</f>
        <v>02/13/2022 18:39:13.668</v>
      </c>
      <c r="C679" t="str">
        <f t="shared" si="69"/>
        <v>FFDFD7C0</v>
      </c>
      <c r="D679" t="s">
        <v>113</v>
      </c>
      <c r="E679">
        <v>4</v>
      </c>
      <c r="F679">
        <v>1004</v>
      </c>
      <c r="G679" t="s">
        <v>120</v>
      </c>
      <c r="J679" t="s">
        <v>115</v>
      </c>
      <c r="K679">
        <v>0</v>
      </c>
      <c r="L679">
        <v>3</v>
      </c>
      <c r="M679">
        <v>0</v>
      </c>
      <c r="N679">
        <v>2</v>
      </c>
      <c r="O679">
        <v>1</v>
      </c>
      <c r="P679">
        <v>0</v>
      </c>
      <c r="Q679">
        <v>0</v>
      </c>
      <c r="S679" t="str">
        <f t="shared" si="75"/>
        <v>18:39:13.398</v>
      </c>
      <c r="T679" t="str">
        <f t="shared" si="75"/>
        <v>18:39:13.398</v>
      </c>
      <c r="U679" t="str">
        <f t="shared" si="68"/>
        <v>AAB6EE</v>
      </c>
      <c r="V679">
        <v>0</v>
      </c>
      <c r="W679">
        <v>0</v>
      </c>
      <c r="X679">
        <v>4</v>
      </c>
      <c r="Z679">
        <v>0</v>
      </c>
      <c r="AA679">
        <v>8</v>
      </c>
      <c r="AB679">
        <v>3</v>
      </c>
      <c r="AC679">
        <v>0</v>
      </c>
      <c r="AD679">
        <v>10</v>
      </c>
      <c r="AE679">
        <v>0</v>
      </c>
      <c r="AF679">
        <v>0</v>
      </c>
      <c r="AG679">
        <v>2</v>
      </c>
      <c r="AH679">
        <v>1</v>
      </c>
      <c r="AI679" t="s">
        <v>573</v>
      </c>
      <c r="AJ679">
        <v>35.394151000000001</v>
      </c>
      <c r="AK679" t="s">
        <v>574</v>
      </c>
      <c r="AL679">
        <v>-76.111328999999998</v>
      </c>
      <c r="AM679">
        <v>25</v>
      </c>
      <c r="AN679">
        <v>3425</v>
      </c>
      <c r="AO679" t="s">
        <v>118</v>
      </c>
      <c r="AP679">
        <v>-102</v>
      </c>
      <c r="AQ679">
        <v>-197</v>
      </c>
      <c r="AR679">
        <v>0</v>
      </c>
      <c r="AZ679">
        <v>4516</v>
      </c>
      <c r="BA679">
        <v>1</v>
      </c>
      <c r="BB679" t="str">
        <f t="shared" si="70"/>
        <v xml:space="preserve">N79NX   </v>
      </c>
      <c r="BC679">
        <v>1</v>
      </c>
      <c r="BE679">
        <v>0</v>
      </c>
      <c r="BF679">
        <v>0</v>
      </c>
      <c r="BG679">
        <v>0</v>
      </c>
      <c r="BH679">
        <v>3275</v>
      </c>
      <c r="BI679">
        <v>0</v>
      </c>
      <c r="BJ679">
        <v>0</v>
      </c>
      <c r="BK679">
        <v>0</v>
      </c>
      <c r="BL679">
        <v>0</v>
      </c>
      <c r="BO679">
        <v>0</v>
      </c>
      <c r="BP679">
        <v>0</v>
      </c>
      <c r="BW679" t="str">
        <f>"18:39:13.401"</f>
        <v>18:39:13.401</v>
      </c>
      <c r="BZ679">
        <v>0</v>
      </c>
      <c r="CA679">
        <v>3488</v>
      </c>
      <c r="CB679">
        <v>216</v>
      </c>
      <c r="CC679">
        <v>583.59379999999999</v>
      </c>
      <c r="CD679">
        <v>1</v>
      </c>
      <c r="CE679">
        <v>1</v>
      </c>
      <c r="CF679">
        <v>0</v>
      </c>
      <c r="CG679">
        <v>1</v>
      </c>
      <c r="CH679">
        <v>0</v>
      </c>
      <c r="CI679">
        <v>0</v>
      </c>
      <c r="CJ679">
        <v>0</v>
      </c>
      <c r="CK679">
        <v>2</v>
      </c>
      <c r="CL679">
        <v>0</v>
      </c>
      <c r="CM679">
        <v>2</v>
      </c>
      <c r="CN679">
        <v>0</v>
      </c>
      <c r="CO679">
        <v>5</v>
      </c>
      <c r="CP679" t="s">
        <v>119</v>
      </c>
      <c r="CQ679">
        <v>145</v>
      </c>
      <c r="CR679">
        <v>1</v>
      </c>
      <c r="CW679">
        <v>8956596</v>
      </c>
      <c r="CY679">
        <v>0</v>
      </c>
      <c r="CZ679">
        <v>0</v>
      </c>
      <c r="DA679">
        <v>1</v>
      </c>
      <c r="DB679">
        <v>0</v>
      </c>
      <c r="DC679">
        <v>0</v>
      </c>
      <c r="DD679">
        <v>0</v>
      </c>
      <c r="DE679">
        <v>0</v>
      </c>
      <c r="DF679">
        <v>0</v>
      </c>
      <c r="DG679">
        <v>0</v>
      </c>
      <c r="DH679">
        <v>0</v>
      </c>
      <c r="DI679">
        <v>0</v>
      </c>
    </row>
    <row r="680" spans="1:113" x14ac:dyDescent="0.3">
      <c r="A680" t="str">
        <f>"02/13/2022 18:39:14.576"</f>
        <v>02/13/2022 18:39:14.576</v>
      </c>
      <c r="C680" t="str">
        <f t="shared" si="69"/>
        <v>FFDFD7C0</v>
      </c>
      <c r="D680" t="s">
        <v>121</v>
      </c>
      <c r="E680">
        <v>2</v>
      </c>
      <c r="H680">
        <v>158</v>
      </c>
      <c r="I680" t="s">
        <v>120</v>
      </c>
      <c r="J680" t="s">
        <v>122</v>
      </c>
      <c r="K680">
        <v>0</v>
      </c>
      <c r="L680">
        <v>3</v>
      </c>
      <c r="M680">
        <v>0</v>
      </c>
      <c r="N680">
        <v>2</v>
      </c>
      <c r="O680">
        <v>1</v>
      </c>
      <c r="P680">
        <v>0</v>
      </c>
      <c r="Q680">
        <v>0</v>
      </c>
      <c r="S680" t="str">
        <f>"18:39:14.391"</f>
        <v>18:39:14.391</v>
      </c>
      <c r="T680" t="str">
        <f>"18:39:13.991"</f>
        <v>18:39:13.991</v>
      </c>
      <c r="U680" t="str">
        <f t="shared" si="68"/>
        <v>AAB6EE</v>
      </c>
      <c r="V680">
        <v>0</v>
      </c>
      <c r="W680">
        <v>0</v>
      </c>
      <c r="X680">
        <v>4</v>
      </c>
      <c r="Z680">
        <v>0</v>
      </c>
      <c r="AA680">
        <v>8</v>
      </c>
      <c r="AB680">
        <v>3</v>
      </c>
      <c r="AC680">
        <v>0</v>
      </c>
      <c r="AD680">
        <v>10</v>
      </c>
      <c r="AE680">
        <v>0</v>
      </c>
      <c r="AF680">
        <v>0</v>
      </c>
      <c r="AG680">
        <v>2</v>
      </c>
      <c r="AH680">
        <v>1</v>
      </c>
      <c r="AI680" t="s">
        <v>575</v>
      </c>
      <c r="AJ680">
        <v>35.393228999999998</v>
      </c>
      <c r="AK680" t="s">
        <v>576</v>
      </c>
      <c r="AL680">
        <v>-76.111908</v>
      </c>
      <c r="AM680">
        <v>25</v>
      </c>
      <c r="AN680">
        <v>3425</v>
      </c>
      <c r="AO680" t="s">
        <v>118</v>
      </c>
      <c r="AP680">
        <v>-102</v>
      </c>
      <c r="AQ680">
        <v>-197</v>
      </c>
      <c r="AR680">
        <v>0</v>
      </c>
      <c r="AZ680">
        <v>4516</v>
      </c>
      <c r="BA680">
        <v>1</v>
      </c>
      <c r="BB680" t="str">
        <f t="shared" si="70"/>
        <v xml:space="preserve">N79NX   </v>
      </c>
      <c r="BC680">
        <v>1</v>
      </c>
      <c r="BE680">
        <v>0</v>
      </c>
      <c r="BF680">
        <v>0</v>
      </c>
      <c r="BG680">
        <v>0</v>
      </c>
      <c r="BH680">
        <v>3275</v>
      </c>
      <c r="BI680">
        <v>0</v>
      </c>
      <c r="BJ680">
        <v>0</v>
      </c>
      <c r="BK680">
        <v>0</v>
      </c>
      <c r="BL680">
        <v>0</v>
      </c>
      <c r="BO680">
        <v>0</v>
      </c>
      <c r="BP680">
        <v>0</v>
      </c>
      <c r="BW680" t="str">
        <f>"18:39:14.391"</f>
        <v>18:39:14.391</v>
      </c>
      <c r="BZ680">
        <v>0</v>
      </c>
      <c r="CA680">
        <v>3488</v>
      </c>
      <c r="CB680">
        <v>216</v>
      </c>
      <c r="CC680">
        <v>583.59379999999999</v>
      </c>
      <c r="CD680">
        <v>1</v>
      </c>
      <c r="CE680">
        <v>1</v>
      </c>
      <c r="CF680">
        <v>0</v>
      </c>
      <c r="CG680">
        <v>1</v>
      </c>
      <c r="CH680">
        <v>0</v>
      </c>
      <c r="CI680">
        <v>0</v>
      </c>
      <c r="CJ680">
        <v>0</v>
      </c>
      <c r="CK680">
        <v>2</v>
      </c>
      <c r="CL680">
        <v>0</v>
      </c>
      <c r="CM680">
        <v>2</v>
      </c>
      <c r="CN680">
        <v>0</v>
      </c>
      <c r="CO680">
        <v>6</v>
      </c>
      <c r="CP680" t="s">
        <v>119</v>
      </c>
      <c r="CQ680">
        <v>145</v>
      </c>
      <c r="CR680">
        <v>1</v>
      </c>
      <c r="CW680">
        <v>8957030</v>
      </c>
      <c r="CY680">
        <v>0</v>
      </c>
      <c r="CZ680">
        <v>0</v>
      </c>
      <c r="DA680">
        <v>0</v>
      </c>
      <c r="DB680">
        <v>0</v>
      </c>
      <c r="DC680">
        <v>0</v>
      </c>
      <c r="DD680">
        <v>0</v>
      </c>
      <c r="DE680">
        <v>0</v>
      </c>
      <c r="DF680">
        <v>0</v>
      </c>
      <c r="DG680">
        <v>0</v>
      </c>
      <c r="DH680">
        <v>0</v>
      </c>
      <c r="DI680">
        <v>0</v>
      </c>
    </row>
    <row r="681" spans="1:113" x14ac:dyDescent="0.3">
      <c r="A681" t="str">
        <f>"02/13/2022 18:39:14.576"</f>
        <v>02/13/2022 18:39:14.576</v>
      </c>
      <c r="C681" t="str">
        <f t="shared" si="69"/>
        <v>FFDFD7C0</v>
      </c>
      <c r="D681" t="s">
        <v>113</v>
      </c>
      <c r="E681">
        <v>3</v>
      </c>
      <c r="F681">
        <v>1003</v>
      </c>
      <c r="G681" t="s">
        <v>114</v>
      </c>
      <c r="J681" t="s">
        <v>115</v>
      </c>
      <c r="K681">
        <v>0</v>
      </c>
      <c r="L681">
        <v>3</v>
      </c>
      <c r="M681">
        <v>0</v>
      </c>
      <c r="N681">
        <v>2</v>
      </c>
      <c r="O681">
        <v>1</v>
      </c>
      <c r="P681">
        <v>0</v>
      </c>
      <c r="Q681">
        <v>0</v>
      </c>
      <c r="S681" t="str">
        <f>"18:39:14.391"</f>
        <v>18:39:14.391</v>
      </c>
      <c r="T681" t="str">
        <f>"18:39:13.991"</f>
        <v>18:39:13.991</v>
      </c>
      <c r="U681" t="str">
        <f t="shared" si="68"/>
        <v>AAB6EE</v>
      </c>
      <c r="V681">
        <v>0</v>
      </c>
      <c r="W681">
        <v>0</v>
      </c>
      <c r="X681">
        <v>4</v>
      </c>
      <c r="Z681">
        <v>0</v>
      </c>
      <c r="AA681">
        <v>8</v>
      </c>
      <c r="AB681">
        <v>3</v>
      </c>
      <c r="AC681">
        <v>0</v>
      </c>
      <c r="AD681">
        <v>10</v>
      </c>
      <c r="AE681">
        <v>0</v>
      </c>
      <c r="AF681">
        <v>0</v>
      </c>
      <c r="AG681">
        <v>2</v>
      </c>
      <c r="AH681">
        <v>1</v>
      </c>
      <c r="AI681" t="s">
        <v>575</v>
      </c>
      <c r="AJ681">
        <v>35.393228999999998</v>
      </c>
      <c r="AK681" t="s">
        <v>576</v>
      </c>
      <c r="AL681">
        <v>-76.111908</v>
      </c>
      <c r="AM681">
        <v>25</v>
      </c>
      <c r="AN681">
        <v>3425</v>
      </c>
      <c r="AO681" t="s">
        <v>118</v>
      </c>
      <c r="AP681">
        <v>-102</v>
      </c>
      <c r="AQ681">
        <v>-197</v>
      </c>
      <c r="AR681">
        <v>0</v>
      </c>
      <c r="AZ681">
        <v>4516</v>
      </c>
      <c r="BA681">
        <v>1</v>
      </c>
      <c r="BB681" t="str">
        <f t="shared" si="70"/>
        <v xml:space="preserve">N79NX   </v>
      </c>
      <c r="BC681">
        <v>1</v>
      </c>
      <c r="BE681">
        <v>0</v>
      </c>
      <c r="BF681">
        <v>0</v>
      </c>
      <c r="BG681">
        <v>0</v>
      </c>
      <c r="BH681">
        <v>3275</v>
      </c>
      <c r="BI681">
        <v>0</v>
      </c>
      <c r="BJ681">
        <v>0</v>
      </c>
      <c r="BK681">
        <v>0</v>
      </c>
      <c r="BL681">
        <v>0</v>
      </c>
      <c r="BO681">
        <v>0</v>
      </c>
      <c r="BP681">
        <v>0</v>
      </c>
      <c r="BW681" t="str">
        <f>"18:39:14.391"</f>
        <v>18:39:14.391</v>
      </c>
      <c r="BZ681">
        <v>0</v>
      </c>
      <c r="CA681">
        <v>3488</v>
      </c>
      <c r="CB681">
        <v>216</v>
      </c>
      <c r="CC681">
        <v>583.59379999999999</v>
      </c>
      <c r="CD681">
        <v>1</v>
      </c>
      <c r="CE681">
        <v>1</v>
      </c>
      <c r="CF681">
        <v>0</v>
      </c>
      <c r="CG681">
        <v>1</v>
      </c>
      <c r="CH681">
        <v>0</v>
      </c>
      <c r="CI681">
        <v>0</v>
      </c>
      <c r="CJ681">
        <v>0</v>
      </c>
      <c r="CK681">
        <v>2</v>
      </c>
      <c r="CL681">
        <v>0</v>
      </c>
      <c r="CM681">
        <v>2</v>
      </c>
      <c r="CN681">
        <v>0</v>
      </c>
      <c r="CO681">
        <v>6</v>
      </c>
      <c r="CP681" t="s">
        <v>119</v>
      </c>
      <c r="CQ681">
        <v>145</v>
      </c>
      <c r="CR681">
        <v>1</v>
      </c>
      <c r="CW681">
        <v>8957030</v>
      </c>
      <c r="CY681">
        <v>0</v>
      </c>
      <c r="CZ681">
        <v>0</v>
      </c>
      <c r="DA681">
        <v>1</v>
      </c>
      <c r="DB681">
        <v>0</v>
      </c>
      <c r="DC681">
        <v>0</v>
      </c>
      <c r="DD681">
        <v>0</v>
      </c>
      <c r="DE681">
        <v>0</v>
      </c>
      <c r="DF681">
        <v>0</v>
      </c>
      <c r="DG681">
        <v>0</v>
      </c>
      <c r="DH681">
        <v>0</v>
      </c>
      <c r="DI681">
        <v>0</v>
      </c>
    </row>
    <row r="682" spans="1:113" x14ac:dyDescent="0.3">
      <c r="A682" t="str">
        <f>"02/13/2022 18:39:14.576"</f>
        <v>02/13/2022 18:39:14.576</v>
      </c>
      <c r="C682" t="str">
        <f t="shared" si="69"/>
        <v>FFDFD7C0</v>
      </c>
      <c r="D682" t="s">
        <v>113</v>
      </c>
      <c r="E682">
        <v>4</v>
      </c>
      <c r="F682">
        <v>1004</v>
      </c>
      <c r="G682" t="s">
        <v>120</v>
      </c>
      <c r="J682" t="s">
        <v>115</v>
      </c>
      <c r="K682">
        <v>0</v>
      </c>
      <c r="L682">
        <v>3</v>
      </c>
      <c r="M682">
        <v>0</v>
      </c>
      <c r="N682">
        <v>2</v>
      </c>
      <c r="O682">
        <v>1</v>
      </c>
      <c r="P682">
        <v>0</v>
      </c>
      <c r="Q682">
        <v>0</v>
      </c>
      <c r="S682" t="str">
        <f>"18:39:14.391"</f>
        <v>18:39:14.391</v>
      </c>
      <c r="T682" t="str">
        <f>"18:39:13.991"</f>
        <v>18:39:13.991</v>
      </c>
      <c r="U682" t="str">
        <f t="shared" si="68"/>
        <v>AAB6EE</v>
      </c>
      <c r="V682">
        <v>0</v>
      </c>
      <c r="W682">
        <v>0</v>
      </c>
      <c r="X682">
        <v>4</v>
      </c>
      <c r="Z682">
        <v>0</v>
      </c>
      <c r="AA682">
        <v>8</v>
      </c>
      <c r="AB682">
        <v>3</v>
      </c>
      <c r="AC682">
        <v>0</v>
      </c>
      <c r="AD682">
        <v>10</v>
      </c>
      <c r="AE682">
        <v>0</v>
      </c>
      <c r="AF682">
        <v>0</v>
      </c>
      <c r="AG682">
        <v>2</v>
      </c>
      <c r="AH682">
        <v>1</v>
      </c>
      <c r="AI682" t="s">
        <v>575</v>
      </c>
      <c r="AJ682">
        <v>35.393228999999998</v>
      </c>
      <c r="AK682" t="s">
        <v>576</v>
      </c>
      <c r="AL682">
        <v>-76.111908</v>
      </c>
      <c r="AM682">
        <v>25</v>
      </c>
      <c r="AN682">
        <v>3425</v>
      </c>
      <c r="AO682" t="s">
        <v>118</v>
      </c>
      <c r="AP682">
        <v>-102</v>
      </c>
      <c r="AQ682">
        <v>-197</v>
      </c>
      <c r="AR682">
        <v>0</v>
      </c>
      <c r="AZ682">
        <v>4516</v>
      </c>
      <c r="BA682">
        <v>1</v>
      </c>
      <c r="BB682" t="str">
        <f t="shared" si="70"/>
        <v xml:space="preserve">N79NX   </v>
      </c>
      <c r="BC682">
        <v>1</v>
      </c>
      <c r="BE682">
        <v>0</v>
      </c>
      <c r="BF682">
        <v>0</v>
      </c>
      <c r="BG682">
        <v>0</v>
      </c>
      <c r="BH682">
        <v>3275</v>
      </c>
      <c r="BI682">
        <v>0</v>
      </c>
      <c r="BJ682">
        <v>0</v>
      </c>
      <c r="BK682">
        <v>0</v>
      </c>
      <c r="BL682">
        <v>0</v>
      </c>
      <c r="BO682">
        <v>0</v>
      </c>
      <c r="BP682">
        <v>0</v>
      </c>
      <c r="BW682" t="str">
        <f>"18:39:14.391"</f>
        <v>18:39:14.391</v>
      </c>
      <c r="BZ682">
        <v>0</v>
      </c>
      <c r="CA682">
        <v>3488</v>
      </c>
      <c r="CB682">
        <v>216</v>
      </c>
      <c r="CC682">
        <v>583.59379999999999</v>
      </c>
      <c r="CD682">
        <v>1</v>
      </c>
      <c r="CE682">
        <v>1</v>
      </c>
      <c r="CF682">
        <v>0</v>
      </c>
      <c r="CG682">
        <v>1</v>
      </c>
      <c r="CH682">
        <v>0</v>
      </c>
      <c r="CI682">
        <v>0</v>
      </c>
      <c r="CJ682">
        <v>0</v>
      </c>
      <c r="CK682">
        <v>2</v>
      </c>
      <c r="CL682">
        <v>0</v>
      </c>
      <c r="CM682">
        <v>2</v>
      </c>
      <c r="CN682">
        <v>0</v>
      </c>
      <c r="CO682">
        <v>6</v>
      </c>
      <c r="CP682" t="s">
        <v>119</v>
      </c>
      <c r="CQ682">
        <v>145</v>
      </c>
      <c r="CR682">
        <v>1</v>
      </c>
      <c r="CW682">
        <v>8957030</v>
      </c>
      <c r="CY682">
        <v>0</v>
      </c>
      <c r="CZ682">
        <v>0</v>
      </c>
      <c r="DA682">
        <v>1</v>
      </c>
      <c r="DB682">
        <v>0</v>
      </c>
      <c r="DC682">
        <v>0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</row>
    <row r="683" spans="1:113" x14ac:dyDescent="0.3">
      <c r="A683" t="str">
        <f>"02/13/2022 18:39:15.655"</f>
        <v>02/13/2022 18:39:15.655</v>
      </c>
      <c r="C683" t="str">
        <f t="shared" si="69"/>
        <v>FFDFD7C0</v>
      </c>
      <c r="D683" t="s">
        <v>121</v>
      </c>
      <c r="E683">
        <v>2</v>
      </c>
      <c r="H683">
        <v>158</v>
      </c>
      <c r="I683" t="s">
        <v>120</v>
      </c>
      <c r="J683" t="s">
        <v>122</v>
      </c>
      <c r="K683">
        <v>0</v>
      </c>
      <c r="L683">
        <v>3</v>
      </c>
      <c r="M683">
        <v>0</v>
      </c>
      <c r="N683">
        <v>2</v>
      </c>
      <c r="O683">
        <v>1</v>
      </c>
      <c r="P683">
        <v>0</v>
      </c>
      <c r="Q683">
        <v>0</v>
      </c>
      <c r="S683" t="str">
        <f>"18:39:15.320"</f>
        <v>18:39:15.320</v>
      </c>
      <c r="T683" t="str">
        <f>"18:39:15.120"</f>
        <v>18:39:15.120</v>
      </c>
      <c r="U683" t="str">
        <f t="shared" si="68"/>
        <v>AAB6EE</v>
      </c>
      <c r="V683">
        <v>0</v>
      </c>
      <c r="W683">
        <v>0</v>
      </c>
      <c r="X683">
        <v>4</v>
      </c>
      <c r="Z683">
        <v>0</v>
      </c>
      <c r="AA683">
        <v>8</v>
      </c>
      <c r="AB683">
        <v>3</v>
      </c>
      <c r="AC683">
        <v>0</v>
      </c>
      <c r="AD683">
        <v>10</v>
      </c>
      <c r="AE683">
        <v>0</v>
      </c>
      <c r="AF683">
        <v>0</v>
      </c>
      <c r="AG683">
        <v>2</v>
      </c>
      <c r="AH683">
        <v>1</v>
      </c>
      <c r="AI683" t="s">
        <v>577</v>
      </c>
      <c r="AJ683">
        <v>35.392327000000002</v>
      </c>
      <c r="AK683" t="s">
        <v>578</v>
      </c>
      <c r="AL683">
        <v>-76.112487000000002</v>
      </c>
      <c r="AM683">
        <v>25</v>
      </c>
      <c r="AN683">
        <v>3425</v>
      </c>
      <c r="AO683" t="s">
        <v>118</v>
      </c>
      <c r="AP683">
        <v>-102</v>
      </c>
      <c r="AQ683">
        <v>-197</v>
      </c>
      <c r="AR683">
        <v>0</v>
      </c>
      <c r="AZ683">
        <v>4516</v>
      </c>
      <c r="BA683">
        <v>1</v>
      </c>
      <c r="BB683" t="str">
        <f t="shared" si="70"/>
        <v xml:space="preserve">N79NX   </v>
      </c>
      <c r="BC683">
        <v>1</v>
      </c>
      <c r="BE683">
        <v>0</v>
      </c>
      <c r="BF683">
        <v>0</v>
      </c>
      <c r="BG683">
        <v>0</v>
      </c>
      <c r="BH683">
        <v>3275</v>
      </c>
      <c r="BI683">
        <v>0</v>
      </c>
      <c r="BJ683">
        <v>0</v>
      </c>
      <c r="BK683">
        <v>0</v>
      </c>
      <c r="BL683">
        <v>0</v>
      </c>
      <c r="BO683">
        <v>0</v>
      </c>
      <c r="BP683">
        <v>0</v>
      </c>
      <c r="BW683" t="str">
        <f>"18:39:15.321"</f>
        <v>18:39:15.321</v>
      </c>
      <c r="BZ683">
        <v>0</v>
      </c>
      <c r="CA683">
        <v>3488</v>
      </c>
      <c r="CB683">
        <v>216</v>
      </c>
      <c r="CC683">
        <v>583.59379999999999</v>
      </c>
      <c r="CD683">
        <v>1</v>
      </c>
      <c r="CE683">
        <v>1</v>
      </c>
      <c r="CF683">
        <v>0</v>
      </c>
      <c r="CG683">
        <v>1</v>
      </c>
      <c r="CH683">
        <v>0</v>
      </c>
      <c r="CI683">
        <v>0</v>
      </c>
      <c r="CJ683">
        <v>0</v>
      </c>
      <c r="CK683">
        <v>2</v>
      </c>
      <c r="CL683">
        <v>0</v>
      </c>
      <c r="CM683">
        <v>2</v>
      </c>
      <c r="CN683">
        <v>0</v>
      </c>
      <c r="CO683">
        <v>5</v>
      </c>
      <c r="CP683" t="s">
        <v>119</v>
      </c>
      <c r="CQ683">
        <v>145</v>
      </c>
      <c r="CR683">
        <v>1</v>
      </c>
      <c r="CW683">
        <v>8957464</v>
      </c>
      <c r="CY683">
        <v>0</v>
      </c>
      <c r="CZ683">
        <v>0</v>
      </c>
      <c r="DA683">
        <v>0</v>
      </c>
      <c r="DB683">
        <v>0</v>
      </c>
      <c r="DC683">
        <v>0</v>
      </c>
      <c r="DD683">
        <v>0</v>
      </c>
      <c r="DE683">
        <v>0</v>
      </c>
      <c r="DF683">
        <v>0</v>
      </c>
      <c r="DG683">
        <v>0</v>
      </c>
      <c r="DH683">
        <v>0</v>
      </c>
      <c r="DI683">
        <v>0</v>
      </c>
    </row>
    <row r="684" spans="1:113" x14ac:dyDescent="0.3">
      <c r="A684" t="str">
        <f>"02/13/2022 18:39:15.687"</f>
        <v>02/13/2022 18:39:15.687</v>
      </c>
      <c r="C684" t="str">
        <f t="shared" si="69"/>
        <v>FFDFD7C0</v>
      </c>
      <c r="D684" t="s">
        <v>113</v>
      </c>
      <c r="E684">
        <v>3</v>
      </c>
      <c r="F684">
        <v>1003</v>
      </c>
      <c r="G684" t="s">
        <v>114</v>
      </c>
      <c r="J684" t="s">
        <v>115</v>
      </c>
      <c r="K684">
        <v>0</v>
      </c>
      <c r="L684">
        <v>3</v>
      </c>
      <c r="M684">
        <v>0</v>
      </c>
      <c r="N684">
        <v>2</v>
      </c>
      <c r="O684">
        <v>1</v>
      </c>
      <c r="P684">
        <v>0</v>
      </c>
      <c r="Q684">
        <v>0</v>
      </c>
      <c r="S684" t="str">
        <f>"18:39:15.320"</f>
        <v>18:39:15.320</v>
      </c>
      <c r="T684" t="str">
        <f>"18:39:15.120"</f>
        <v>18:39:15.120</v>
      </c>
      <c r="U684" t="str">
        <f t="shared" si="68"/>
        <v>AAB6EE</v>
      </c>
      <c r="V684">
        <v>0</v>
      </c>
      <c r="W684">
        <v>0</v>
      </c>
      <c r="X684">
        <v>4</v>
      </c>
      <c r="Z684">
        <v>0</v>
      </c>
      <c r="AA684">
        <v>8</v>
      </c>
      <c r="AB684">
        <v>3</v>
      </c>
      <c r="AC684">
        <v>0</v>
      </c>
      <c r="AD684">
        <v>10</v>
      </c>
      <c r="AE684">
        <v>0</v>
      </c>
      <c r="AF684">
        <v>0</v>
      </c>
      <c r="AG684">
        <v>2</v>
      </c>
      <c r="AH684">
        <v>1</v>
      </c>
      <c r="AI684" t="s">
        <v>577</v>
      </c>
      <c r="AJ684">
        <v>35.392327000000002</v>
      </c>
      <c r="AK684" t="s">
        <v>578</v>
      </c>
      <c r="AL684">
        <v>-76.112487000000002</v>
      </c>
      <c r="AM684">
        <v>25</v>
      </c>
      <c r="AN684">
        <v>3425</v>
      </c>
      <c r="AO684" t="s">
        <v>118</v>
      </c>
      <c r="AP684">
        <v>-102</v>
      </c>
      <c r="AQ684">
        <v>-197</v>
      </c>
      <c r="AR684">
        <v>0</v>
      </c>
      <c r="AZ684">
        <v>4516</v>
      </c>
      <c r="BA684">
        <v>1</v>
      </c>
      <c r="BB684" t="str">
        <f t="shared" si="70"/>
        <v xml:space="preserve">N79NX   </v>
      </c>
      <c r="BC684">
        <v>1</v>
      </c>
      <c r="BE684">
        <v>0</v>
      </c>
      <c r="BF684">
        <v>0</v>
      </c>
      <c r="BG684">
        <v>0</v>
      </c>
      <c r="BH684">
        <v>3275</v>
      </c>
      <c r="BI684">
        <v>0</v>
      </c>
      <c r="BJ684">
        <v>0</v>
      </c>
      <c r="BK684">
        <v>0</v>
      </c>
      <c r="BL684">
        <v>0</v>
      </c>
      <c r="BO684">
        <v>0</v>
      </c>
      <c r="BP684">
        <v>0</v>
      </c>
      <c r="BW684" t="str">
        <f>"18:39:15.321"</f>
        <v>18:39:15.321</v>
      </c>
      <c r="BZ684">
        <v>0</v>
      </c>
      <c r="CA684">
        <v>3488</v>
      </c>
      <c r="CB684">
        <v>216</v>
      </c>
      <c r="CC684">
        <v>583.59379999999999</v>
      </c>
      <c r="CD684">
        <v>1</v>
      </c>
      <c r="CE684">
        <v>1</v>
      </c>
      <c r="CF684">
        <v>0</v>
      </c>
      <c r="CG684">
        <v>1</v>
      </c>
      <c r="CH684">
        <v>0</v>
      </c>
      <c r="CI684">
        <v>0</v>
      </c>
      <c r="CJ684">
        <v>0</v>
      </c>
      <c r="CK684">
        <v>2</v>
      </c>
      <c r="CL684">
        <v>0</v>
      </c>
      <c r="CM684">
        <v>2</v>
      </c>
      <c r="CN684">
        <v>0</v>
      </c>
      <c r="CO684">
        <v>5</v>
      </c>
      <c r="CP684" t="s">
        <v>119</v>
      </c>
      <c r="CQ684">
        <v>145</v>
      </c>
      <c r="CR684">
        <v>1</v>
      </c>
      <c r="CW684">
        <v>8957464</v>
      </c>
      <c r="CY684">
        <v>0</v>
      </c>
      <c r="CZ684">
        <v>0</v>
      </c>
      <c r="DA684">
        <v>1</v>
      </c>
      <c r="DB684">
        <v>0</v>
      </c>
      <c r="DC684">
        <v>0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</row>
    <row r="685" spans="1:113" x14ac:dyDescent="0.3">
      <c r="A685" t="str">
        <f>"02/13/2022 18:39:15.687"</f>
        <v>02/13/2022 18:39:15.687</v>
      </c>
      <c r="C685" t="str">
        <f t="shared" si="69"/>
        <v>FFDFD7C0</v>
      </c>
      <c r="D685" t="s">
        <v>113</v>
      </c>
      <c r="E685">
        <v>4</v>
      </c>
      <c r="F685">
        <v>1004</v>
      </c>
      <c r="G685" t="s">
        <v>120</v>
      </c>
      <c r="J685" t="s">
        <v>115</v>
      </c>
      <c r="K685">
        <v>0</v>
      </c>
      <c r="L685">
        <v>3</v>
      </c>
      <c r="M685">
        <v>0</v>
      </c>
      <c r="N685">
        <v>2</v>
      </c>
      <c r="O685">
        <v>1</v>
      </c>
      <c r="P685">
        <v>0</v>
      </c>
      <c r="Q685">
        <v>0</v>
      </c>
      <c r="S685" t="str">
        <f>"18:39:15.320"</f>
        <v>18:39:15.320</v>
      </c>
      <c r="T685" t="str">
        <f>"18:39:15.120"</f>
        <v>18:39:15.120</v>
      </c>
      <c r="U685" t="str">
        <f t="shared" si="68"/>
        <v>AAB6EE</v>
      </c>
      <c r="V685">
        <v>0</v>
      </c>
      <c r="W685">
        <v>0</v>
      </c>
      <c r="X685">
        <v>4</v>
      </c>
      <c r="Z685">
        <v>0</v>
      </c>
      <c r="AA685">
        <v>8</v>
      </c>
      <c r="AB685">
        <v>3</v>
      </c>
      <c r="AC685">
        <v>0</v>
      </c>
      <c r="AD685">
        <v>10</v>
      </c>
      <c r="AE685">
        <v>0</v>
      </c>
      <c r="AF685">
        <v>0</v>
      </c>
      <c r="AG685">
        <v>2</v>
      </c>
      <c r="AH685">
        <v>1</v>
      </c>
      <c r="AI685" t="s">
        <v>577</v>
      </c>
      <c r="AJ685">
        <v>35.392327000000002</v>
      </c>
      <c r="AK685" t="s">
        <v>578</v>
      </c>
      <c r="AL685">
        <v>-76.112487000000002</v>
      </c>
      <c r="AM685">
        <v>25</v>
      </c>
      <c r="AN685">
        <v>3425</v>
      </c>
      <c r="AO685" t="s">
        <v>118</v>
      </c>
      <c r="AP685">
        <v>-102</v>
      </c>
      <c r="AQ685">
        <v>-197</v>
      </c>
      <c r="AR685">
        <v>0</v>
      </c>
      <c r="AZ685">
        <v>4516</v>
      </c>
      <c r="BA685">
        <v>1</v>
      </c>
      <c r="BB685" t="str">
        <f t="shared" si="70"/>
        <v xml:space="preserve">N79NX   </v>
      </c>
      <c r="BC685">
        <v>1</v>
      </c>
      <c r="BE685">
        <v>0</v>
      </c>
      <c r="BF685">
        <v>0</v>
      </c>
      <c r="BG685">
        <v>0</v>
      </c>
      <c r="BH685">
        <v>3275</v>
      </c>
      <c r="BI685">
        <v>0</v>
      </c>
      <c r="BJ685">
        <v>0</v>
      </c>
      <c r="BK685">
        <v>0</v>
      </c>
      <c r="BL685">
        <v>0</v>
      </c>
      <c r="BO685">
        <v>0</v>
      </c>
      <c r="BP685">
        <v>0</v>
      </c>
      <c r="BW685" t="str">
        <f>"18:39:15.321"</f>
        <v>18:39:15.321</v>
      </c>
      <c r="BZ685">
        <v>0</v>
      </c>
      <c r="CA685">
        <v>3488</v>
      </c>
      <c r="CB685">
        <v>216</v>
      </c>
      <c r="CC685">
        <v>583.59379999999999</v>
      </c>
      <c r="CD685">
        <v>1</v>
      </c>
      <c r="CE685">
        <v>1</v>
      </c>
      <c r="CF685">
        <v>0</v>
      </c>
      <c r="CG685">
        <v>1</v>
      </c>
      <c r="CH685">
        <v>0</v>
      </c>
      <c r="CI685">
        <v>0</v>
      </c>
      <c r="CJ685">
        <v>0</v>
      </c>
      <c r="CK685">
        <v>2</v>
      </c>
      <c r="CL685">
        <v>0</v>
      </c>
      <c r="CM685">
        <v>2</v>
      </c>
      <c r="CN685">
        <v>0</v>
      </c>
      <c r="CO685">
        <v>5</v>
      </c>
      <c r="CP685" t="s">
        <v>119</v>
      </c>
      <c r="CQ685">
        <v>145</v>
      </c>
      <c r="CR685">
        <v>1</v>
      </c>
      <c r="CW685">
        <v>8957464</v>
      </c>
      <c r="CY685">
        <v>0</v>
      </c>
      <c r="CZ685">
        <v>0</v>
      </c>
      <c r="DA685">
        <v>1</v>
      </c>
      <c r="DB685">
        <v>0</v>
      </c>
      <c r="DC685">
        <v>0</v>
      </c>
      <c r="DD685">
        <v>0</v>
      </c>
      <c r="DE685">
        <v>0</v>
      </c>
      <c r="DF685">
        <v>0</v>
      </c>
      <c r="DG685">
        <v>0</v>
      </c>
      <c r="DH685">
        <v>0</v>
      </c>
      <c r="DI685">
        <v>0</v>
      </c>
    </row>
    <row r="686" spans="1:113" x14ac:dyDescent="0.3">
      <c r="A686" t="str">
        <f>"02/13/2022 18:39:16.624"</f>
        <v>02/13/2022 18:39:16.624</v>
      </c>
      <c r="C686" t="str">
        <f t="shared" si="69"/>
        <v>FFDFD7C0</v>
      </c>
      <c r="D686" t="s">
        <v>121</v>
      </c>
      <c r="E686">
        <v>2</v>
      </c>
      <c r="H686">
        <v>158</v>
      </c>
      <c r="I686" t="s">
        <v>120</v>
      </c>
      <c r="J686" t="s">
        <v>122</v>
      </c>
      <c r="K686">
        <v>0</v>
      </c>
      <c r="L686">
        <v>3</v>
      </c>
      <c r="M686">
        <v>0</v>
      </c>
      <c r="N686">
        <v>2</v>
      </c>
      <c r="O686">
        <v>1</v>
      </c>
      <c r="P686">
        <v>0</v>
      </c>
      <c r="Q686">
        <v>0</v>
      </c>
      <c r="S686" t="str">
        <f>"18:39:16.391"</f>
        <v>18:39:16.391</v>
      </c>
      <c r="T686" t="str">
        <f>"18:39:15.991"</f>
        <v>18:39:15.991</v>
      </c>
      <c r="U686" t="str">
        <f t="shared" si="68"/>
        <v>AAB6EE</v>
      </c>
      <c r="V686">
        <v>0</v>
      </c>
      <c r="W686">
        <v>0</v>
      </c>
      <c r="X686">
        <v>4</v>
      </c>
      <c r="Z686">
        <v>0</v>
      </c>
      <c r="AA686">
        <v>8</v>
      </c>
      <c r="AB686">
        <v>3</v>
      </c>
      <c r="AC686">
        <v>0</v>
      </c>
      <c r="AD686">
        <v>10</v>
      </c>
      <c r="AE686">
        <v>0</v>
      </c>
      <c r="AF686">
        <v>0</v>
      </c>
      <c r="AG686">
        <v>2</v>
      </c>
      <c r="AH686">
        <v>1</v>
      </c>
      <c r="AI686" t="s">
        <v>579</v>
      </c>
      <c r="AJ686">
        <v>35.391404999999999</v>
      </c>
      <c r="AK686" t="s">
        <v>580</v>
      </c>
      <c r="AL686">
        <v>-76.113045</v>
      </c>
      <c r="AM686">
        <v>25</v>
      </c>
      <c r="AN686">
        <v>3450</v>
      </c>
      <c r="AO686" t="s">
        <v>118</v>
      </c>
      <c r="AP686">
        <v>-102</v>
      </c>
      <c r="AQ686">
        <v>-197</v>
      </c>
      <c r="AR686">
        <v>0</v>
      </c>
      <c r="AZ686">
        <v>4516</v>
      </c>
      <c r="BA686">
        <v>1</v>
      </c>
      <c r="BB686" t="str">
        <f t="shared" si="70"/>
        <v xml:space="preserve">N79NX   </v>
      </c>
      <c r="BC686">
        <v>1</v>
      </c>
      <c r="BE686">
        <v>0</v>
      </c>
      <c r="BF686">
        <v>0</v>
      </c>
      <c r="BG686">
        <v>0</v>
      </c>
      <c r="BH686">
        <v>3300</v>
      </c>
      <c r="BI686">
        <v>0</v>
      </c>
      <c r="BJ686">
        <v>0</v>
      </c>
      <c r="BK686">
        <v>0</v>
      </c>
      <c r="BL686">
        <v>0</v>
      </c>
      <c r="BO686">
        <v>0</v>
      </c>
      <c r="BP686">
        <v>0</v>
      </c>
      <c r="BW686" t="str">
        <f>"18:39:16.391"</f>
        <v>18:39:16.391</v>
      </c>
      <c r="BZ686">
        <v>0</v>
      </c>
      <c r="CA686">
        <v>3488</v>
      </c>
      <c r="CB686">
        <v>216</v>
      </c>
      <c r="CC686">
        <v>583.59379999999999</v>
      </c>
      <c r="CD686">
        <v>1</v>
      </c>
      <c r="CE686">
        <v>1</v>
      </c>
      <c r="CF686">
        <v>0</v>
      </c>
      <c r="CG686">
        <v>1</v>
      </c>
      <c r="CH686">
        <v>0</v>
      </c>
      <c r="CI686">
        <v>0</v>
      </c>
      <c r="CJ686">
        <v>0</v>
      </c>
      <c r="CK686">
        <v>2</v>
      </c>
      <c r="CL686">
        <v>0</v>
      </c>
      <c r="CM686">
        <v>2</v>
      </c>
      <c r="CN686">
        <v>0</v>
      </c>
      <c r="CO686">
        <v>6</v>
      </c>
      <c r="CP686" t="s">
        <v>119</v>
      </c>
      <c r="CQ686">
        <v>145</v>
      </c>
      <c r="CR686">
        <v>1</v>
      </c>
      <c r="CW686">
        <v>8958035</v>
      </c>
      <c r="CY686">
        <v>0</v>
      </c>
      <c r="CZ686">
        <v>0</v>
      </c>
      <c r="DA686">
        <v>0</v>
      </c>
      <c r="DB686">
        <v>0</v>
      </c>
      <c r="DC686">
        <v>0</v>
      </c>
      <c r="DD686">
        <v>0</v>
      </c>
      <c r="DE686">
        <v>0</v>
      </c>
      <c r="DF686">
        <v>0</v>
      </c>
      <c r="DG686">
        <v>0</v>
      </c>
      <c r="DH686">
        <v>0</v>
      </c>
      <c r="DI686">
        <v>0</v>
      </c>
    </row>
    <row r="687" spans="1:113" x14ac:dyDescent="0.3">
      <c r="A687" t="str">
        <f>"02/13/2022 18:39:16.624"</f>
        <v>02/13/2022 18:39:16.624</v>
      </c>
      <c r="C687" t="str">
        <f t="shared" si="69"/>
        <v>FFDFD7C0</v>
      </c>
      <c r="D687" t="s">
        <v>113</v>
      </c>
      <c r="E687">
        <v>3</v>
      </c>
      <c r="F687">
        <v>1003</v>
      </c>
      <c r="G687" t="s">
        <v>114</v>
      </c>
      <c r="J687" t="s">
        <v>115</v>
      </c>
      <c r="K687">
        <v>0</v>
      </c>
      <c r="L687">
        <v>3</v>
      </c>
      <c r="M687">
        <v>0</v>
      </c>
      <c r="N687">
        <v>2</v>
      </c>
      <c r="O687">
        <v>1</v>
      </c>
      <c r="P687">
        <v>0</v>
      </c>
      <c r="Q687">
        <v>0</v>
      </c>
      <c r="S687" t="str">
        <f>"18:39:16.391"</f>
        <v>18:39:16.391</v>
      </c>
      <c r="T687" t="str">
        <f>"18:39:15.991"</f>
        <v>18:39:15.991</v>
      </c>
      <c r="U687" t="str">
        <f t="shared" si="68"/>
        <v>AAB6EE</v>
      </c>
      <c r="V687">
        <v>0</v>
      </c>
      <c r="W687">
        <v>0</v>
      </c>
      <c r="X687">
        <v>4</v>
      </c>
      <c r="Z687">
        <v>0</v>
      </c>
      <c r="AA687">
        <v>8</v>
      </c>
      <c r="AB687">
        <v>3</v>
      </c>
      <c r="AC687">
        <v>0</v>
      </c>
      <c r="AD687">
        <v>10</v>
      </c>
      <c r="AE687">
        <v>0</v>
      </c>
      <c r="AF687">
        <v>0</v>
      </c>
      <c r="AG687">
        <v>2</v>
      </c>
      <c r="AH687">
        <v>1</v>
      </c>
      <c r="AI687" t="s">
        <v>579</v>
      </c>
      <c r="AJ687">
        <v>35.391404999999999</v>
      </c>
      <c r="AK687" t="s">
        <v>580</v>
      </c>
      <c r="AL687">
        <v>-76.113045</v>
      </c>
      <c r="AM687">
        <v>25</v>
      </c>
      <c r="AN687">
        <v>3450</v>
      </c>
      <c r="AO687" t="s">
        <v>118</v>
      </c>
      <c r="AP687">
        <v>-102</v>
      </c>
      <c r="AQ687">
        <v>-197</v>
      </c>
      <c r="AR687">
        <v>0</v>
      </c>
      <c r="AZ687">
        <v>4516</v>
      </c>
      <c r="BA687">
        <v>1</v>
      </c>
      <c r="BB687" t="str">
        <f t="shared" si="70"/>
        <v xml:space="preserve">N79NX   </v>
      </c>
      <c r="BC687">
        <v>1</v>
      </c>
      <c r="BE687">
        <v>0</v>
      </c>
      <c r="BF687">
        <v>0</v>
      </c>
      <c r="BG687">
        <v>0</v>
      </c>
      <c r="BH687">
        <v>3300</v>
      </c>
      <c r="BI687">
        <v>0</v>
      </c>
      <c r="BJ687">
        <v>0</v>
      </c>
      <c r="BK687">
        <v>0</v>
      </c>
      <c r="BL687">
        <v>0</v>
      </c>
      <c r="BO687">
        <v>0</v>
      </c>
      <c r="BP687">
        <v>0</v>
      </c>
      <c r="BW687" t="str">
        <f>"18:39:16.391"</f>
        <v>18:39:16.391</v>
      </c>
      <c r="BZ687">
        <v>0</v>
      </c>
      <c r="CA687">
        <v>3488</v>
      </c>
      <c r="CB687">
        <v>216</v>
      </c>
      <c r="CC687">
        <v>583.59379999999999</v>
      </c>
      <c r="CD687">
        <v>1</v>
      </c>
      <c r="CE687">
        <v>1</v>
      </c>
      <c r="CF687">
        <v>0</v>
      </c>
      <c r="CG687">
        <v>1</v>
      </c>
      <c r="CH687">
        <v>0</v>
      </c>
      <c r="CI687">
        <v>0</v>
      </c>
      <c r="CJ687">
        <v>0</v>
      </c>
      <c r="CK687">
        <v>2</v>
      </c>
      <c r="CL687">
        <v>0</v>
      </c>
      <c r="CM687">
        <v>2</v>
      </c>
      <c r="CN687">
        <v>0</v>
      </c>
      <c r="CO687">
        <v>6</v>
      </c>
      <c r="CP687" t="s">
        <v>119</v>
      </c>
      <c r="CQ687">
        <v>145</v>
      </c>
      <c r="CR687">
        <v>1</v>
      </c>
      <c r="CW687">
        <v>8958035</v>
      </c>
      <c r="CY687">
        <v>0</v>
      </c>
      <c r="CZ687">
        <v>0</v>
      </c>
      <c r="DA687">
        <v>1</v>
      </c>
      <c r="DB687">
        <v>0</v>
      </c>
      <c r="DC687">
        <v>0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</row>
    <row r="688" spans="1:113" x14ac:dyDescent="0.3">
      <c r="A688" t="str">
        <f>"02/13/2022 18:39:16.624"</f>
        <v>02/13/2022 18:39:16.624</v>
      </c>
      <c r="C688" t="str">
        <f t="shared" si="69"/>
        <v>FFDFD7C0</v>
      </c>
      <c r="D688" t="s">
        <v>113</v>
      </c>
      <c r="E688">
        <v>4</v>
      </c>
      <c r="F688">
        <v>1004</v>
      </c>
      <c r="G688" t="s">
        <v>120</v>
      </c>
      <c r="J688" t="s">
        <v>115</v>
      </c>
      <c r="K688">
        <v>0</v>
      </c>
      <c r="L688">
        <v>3</v>
      </c>
      <c r="M688">
        <v>0</v>
      </c>
      <c r="N688">
        <v>2</v>
      </c>
      <c r="O688">
        <v>1</v>
      </c>
      <c r="P688">
        <v>0</v>
      </c>
      <c r="Q688">
        <v>0</v>
      </c>
      <c r="S688" t="str">
        <f>"18:39:16.391"</f>
        <v>18:39:16.391</v>
      </c>
      <c r="T688" t="str">
        <f>"18:39:15.991"</f>
        <v>18:39:15.991</v>
      </c>
      <c r="U688" t="str">
        <f t="shared" si="68"/>
        <v>AAB6EE</v>
      </c>
      <c r="V688">
        <v>0</v>
      </c>
      <c r="W688">
        <v>0</v>
      </c>
      <c r="X688">
        <v>4</v>
      </c>
      <c r="Z688">
        <v>0</v>
      </c>
      <c r="AA688">
        <v>8</v>
      </c>
      <c r="AB688">
        <v>3</v>
      </c>
      <c r="AC688">
        <v>0</v>
      </c>
      <c r="AD688">
        <v>10</v>
      </c>
      <c r="AE688">
        <v>0</v>
      </c>
      <c r="AF688">
        <v>0</v>
      </c>
      <c r="AG688">
        <v>2</v>
      </c>
      <c r="AH688">
        <v>1</v>
      </c>
      <c r="AI688" t="s">
        <v>579</v>
      </c>
      <c r="AJ688">
        <v>35.391404999999999</v>
      </c>
      <c r="AK688" t="s">
        <v>580</v>
      </c>
      <c r="AL688">
        <v>-76.113045</v>
      </c>
      <c r="AM688">
        <v>25</v>
      </c>
      <c r="AN688">
        <v>3450</v>
      </c>
      <c r="AO688" t="s">
        <v>118</v>
      </c>
      <c r="AP688">
        <v>-102</v>
      </c>
      <c r="AQ688">
        <v>-197</v>
      </c>
      <c r="AR688">
        <v>0</v>
      </c>
      <c r="AZ688">
        <v>4516</v>
      </c>
      <c r="BA688">
        <v>1</v>
      </c>
      <c r="BB688" t="str">
        <f t="shared" si="70"/>
        <v xml:space="preserve">N79NX   </v>
      </c>
      <c r="BC688">
        <v>1</v>
      </c>
      <c r="BE688">
        <v>0</v>
      </c>
      <c r="BF688">
        <v>0</v>
      </c>
      <c r="BG688">
        <v>0</v>
      </c>
      <c r="BH688">
        <v>3300</v>
      </c>
      <c r="BI688">
        <v>0</v>
      </c>
      <c r="BJ688">
        <v>0</v>
      </c>
      <c r="BK688">
        <v>0</v>
      </c>
      <c r="BL688">
        <v>0</v>
      </c>
      <c r="BO688">
        <v>0</v>
      </c>
      <c r="BP688">
        <v>0</v>
      </c>
      <c r="BW688" t="str">
        <f>"18:39:16.391"</f>
        <v>18:39:16.391</v>
      </c>
      <c r="BZ688">
        <v>0</v>
      </c>
      <c r="CA688">
        <v>3488</v>
      </c>
      <c r="CB688">
        <v>216</v>
      </c>
      <c r="CC688">
        <v>583.59379999999999</v>
      </c>
      <c r="CD688">
        <v>1</v>
      </c>
      <c r="CE688">
        <v>1</v>
      </c>
      <c r="CF688">
        <v>0</v>
      </c>
      <c r="CG688">
        <v>1</v>
      </c>
      <c r="CH688">
        <v>0</v>
      </c>
      <c r="CI688">
        <v>0</v>
      </c>
      <c r="CJ688">
        <v>0</v>
      </c>
      <c r="CK688">
        <v>2</v>
      </c>
      <c r="CL688">
        <v>0</v>
      </c>
      <c r="CM688">
        <v>2</v>
      </c>
      <c r="CN688">
        <v>0</v>
      </c>
      <c r="CO688">
        <v>6</v>
      </c>
      <c r="CP688" t="s">
        <v>119</v>
      </c>
      <c r="CQ688">
        <v>145</v>
      </c>
      <c r="CR688">
        <v>1</v>
      </c>
      <c r="CW688">
        <v>8958035</v>
      </c>
      <c r="CY688">
        <v>0</v>
      </c>
      <c r="CZ688">
        <v>0</v>
      </c>
      <c r="DA688">
        <v>1</v>
      </c>
      <c r="DB688">
        <v>0</v>
      </c>
      <c r="DC688">
        <v>0</v>
      </c>
      <c r="DD688">
        <v>0</v>
      </c>
      <c r="DE688">
        <v>0</v>
      </c>
      <c r="DF688">
        <v>0</v>
      </c>
      <c r="DG688">
        <v>0</v>
      </c>
      <c r="DH688">
        <v>0</v>
      </c>
      <c r="DI688">
        <v>0</v>
      </c>
    </row>
    <row r="689" spans="1:113" x14ac:dyDescent="0.3">
      <c r="A689" t="str">
        <f>"02/13/2022 18:39:17.468"</f>
        <v>02/13/2022 18:39:17.468</v>
      </c>
      <c r="C689" t="str">
        <f t="shared" si="69"/>
        <v>FFDFD7C0</v>
      </c>
      <c r="D689" t="s">
        <v>121</v>
      </c>
      <c r="E689">
        <v>2</v>
      </c>
      <c r="H689">
        <v>158</v>
      </c>
      <c r="I689" t="s">
        <v>120</v>
      </c>
      <c r="J689" t="s">
        <v>122</v>
      </c>
      <c r="K689">
        <v>0</v>
      </c>
      <c r="L689">
        <v>3</v>
      </c>
      <c r="M689">
        <v>0</v>
      </c>
      <c r="N689">
        <v>2</v>
      </c>
      <c r="O689">
        <v>1</v>
      </c>
      <c r="P689">
        <v>0</v>
      </c>
      <c r="Q689">
        <v>0</v>
      </c>
      <c r="S689" t="str">
        <f>"18:39:17.258"</f>
        <v>18:39:17.258</v>
      </c>
      <c r="T689" t="str">
        <f>"18:39:17.058"</f>
        <v>18:39:17.058</v>
      </c>
      <c r="U689" t="str">
        <f t="shared" si="68"/>
        <v>AAB6EE</v>
      </c>
      <c r="V689">
        <v>0</v>
      </c>
      <c r="W689">
        <v>0</v>
      </c>
      <c r="X689">
        <v>4</v>
      </c>
      <c r="Z689">
        <v>0</v>
      </c>
      <c r="AA689">
        <v>8</v>
      </c>
      <c r="AB689">
        <v>3</v>
      </c>
      <c r="AC689">
        <v>0</v>
      </c>
      <c r="AD689">
        <v>10</v>
      </c>
      <c r="AE689">
        <v>0</v>
      </c>
      <c r="AF689">
        <v>0</v>
      </c>
      <c r="AG689">
        <v>2</v>
      </c>
      <c r="AH689">
        <v>1</v>
      </c>
      <c r="AI689" t="s">
        <v>581</v>
      </c>
      <c r="AJ689">
        <v>35.390588999999999</v>
      </c>
      <c r="AK689" t="s">
        <v>582</v>
      </c>
      <c r="AL689">
        <v>-76.113581999999994</v>
      </c>
      <c r="AM689">
        <v>25</v>
      </c>
      <c r="AN689">
        <v>3425</v>
      </c>
      <c r="AO689" t="s">
        <v>118</v>
      </c>
      <c r="AP689">
        <v>-103</v>
      </c>
      <c r="AQ689">
        <v>-197</v>
      </c>
      <c r="AR689">
        <v>0</v>
      </c>
      <c r="AZ689">
        <v>4516</v>
      </c>
      <c r="BA689">
        <v>1</v>
      </c>
      <c r="BB689" t="str">
        <f t="shared" si="70"/>
        <v xml:space="preserve">N79NX   </v>
      </c>
      <c r="BC689">
        <v>1</v>
      </c>
      <c r="BE689">
        <v>0</v>
      </c>
      <c r="BF689">
        <v>0</v>
      </c>
      <c r="BG689">
        <v>0</v>
      </c>
      <c r="BH689">
        <v>3300</v>
      </c>
      <c r="BI689">
        <v>0</v>
      </c>
      <c r="BJ689">
        <v>0</v>
      </c>
      <c r="BK689">
        <v>0</v>
      </c>
      <c r="BL689">
        <v>0</v>
      </c>
      <c r="BO689">
        <v>0</v>
      </c>
      <c r="BP689">
        <v>0</v>
      </c>
      <c r="BW689" t="str">
        <f>"18:39:17.261"</f>
        <v>18:39:17.261</v>
      </c>
      <c r="BZ689">
        <v>0</v>
      </c>
      <c r="CA689">
        <v>3488</v>
      </c>
      <c r="CB689">
        <v>216</v>
      </c>
      <c r="CC689">
        <v>583.59379999999999</v>
      </c>
      <c r="CD689">
        <v>1</v>
      </c>
      <c r="CE689">
        <v>1</v>
      </c>
      <c r="CF689">
        <v>0</v>
      </c>
      <c r="CG689">
        <v>1</v>
      </c>
      <c r="CH689">
        <v>0</v>
      </c>
      <c r="CI689">
        <v>0</v>
      </c>
      <c r="CJ689">
        <v>0</v>
      </c>
      <c r="CK689">
        <v>2</v>
      </c>
      <c r="CL689">
        <v>0</v>
      </c>
      <c r="CM689">
        <v>2</v>
      </c>
      <c r="CN689">
        <v>0</v>
      </c>
      <c r="CO689">
        <v>6</v>
      </c>
      <c r="CP689" t="s">
        <v>119</v>
      </c>
      <c r="CQ689">
        <v>145</v>
      </c>
      <c r="CR689">
        <v>1</v>
      </c>
      <c r="CW689">
        <v>8958418</v>
      </c>
      <c r="CY689">
        <v>0</v>
      </c>
      <c r="CZ689">
        <v>0</v>
      </c>
      <c r="DA689">
        <v>0</v>
      </c>
      <c r="DB689">
        <v>0</v>
      </c>
      <c r="DC689">
        <v>0</v>
      </c>
      <c r="DD689">
        <v>0</v>
      </c>
      <c r="DE689">
        <v>0</v>
      </c>
      <c r="DF689">
        <v>0</v>
      </c>
      <c r="DG689">
        <v>0</v>
      </c>
      <c r="DH689">
        <v>0</v>
      </c>
      <c r="DI689">
        <v>0</v>
      </c>
    </row>
    <row r="690" spans="1:113" x14ac:dyDescent="0.3">
      <c r="A690" t="str">
        <f>"02/13/2022 18:39:17.468"</f>
        <v>02/13/2022 18:39:17.468</v>
      </c>
      <c r="C690" t="str">
        <f t="shared" si="69"/>
        <v>FFDFD7C0</v>
      </c>
      <c r="D690" t="s">
        <v>113</v>
      </c>
      <c r="E690">
        <v>3</v>
      </c>
      <c r="F690">
        <v>1003</v>
      </c>
      <c r="G690" t="s">
        <v>114</v>
      </c>
      <c r="J690" t="s">
        <v>115</v>
      </c>
      <c r="K690">
        <v>0</v>
      </c>
      <c r="L690">
        <v>3</v>
      </c>
      <c r="M690">
        <v>0</v>
      </c>
      <c r="N690">
        <v>2</v>
      </c>
      <c r="O690">
        <v>1</v>
      </c>
      <c r="P690">
        <v>0</v>
      </c>
      <c r="Q690">
        <v>0</v>
      </c>
      <c r="S690" t="str">
        <f>"18:39:17.258"</f>
        <v>18:39:17.258</v>
      </c>
      <c r="T690" t="str">
        <f>"18:39:17.058"</f>
        <v>18:39:17.058</v>
      </c>
      <c r="U690" t="str">
        <f t="shared" si="68"/>
        <v>AAB6EE</v>
      </c>
      <c r="V690">
        <v>0</v>
      </c>
      <c r="W690">
        <v>0</v>
      </c>
      <c r="X690">
        <v>4</v>
      </c>
      <c r="Z690">
        <v>0</v>
      </c>
      <c r="AA690">
        <v>8</v>
      </c>
      <c r="AB690">
        <v>3</v>
      </c>
      <c r="AC690">
        <v>0</v>
      </c>
      <c r="AD690">
        <v>10</v>
      </c>
      <c r="AE690">
        <v>0</v>
      </c>
      <c r="AF690">
        <v>0</v>
      </c>
      <c r="AG690">
        <v>2</v>
      </c>
      <c r="AH690">
        <v>1</v>
      </c>
      <c r="AI690" t="s">
        <v>581</v>
      </c>
      <c r="AJ690">
        <v>35.390588999999999</v>
      </c>
      <c r="AK690" t="s">
        <v>582</v>
      </c>
      <c r="AL690">
        <v>-76.113581999999994</v>
      </c>
      <c r="AM690">
        <v>25</v>
      </c>
      <c r="AN690">
        <v>3425</v>
      </c>
      <c r="AO690" t="s">
        <v>118</v>
      </c>
      <c r="AP690">
        <v>-103</v>
      </c>
      <c r="AQ690">
        <v>-197</v>
      </c>
      <c r="AR690">
        <v>0</v>
      </c>
      <c r="AZ690">
        <v>4516</v>
      </c>
      <c r="BA690">
        <v>1</v>
      </c>
      <c r="BB690" t="str">
        <f t="shared" si="70"/>
        <v xml:space="preserve">N79NX   </v>
      </c>
      <c r="BC690">
        <v>1</v>
      </c>
      <c r="BE690">
        <v>0</v>
      </c>
      <c r="BF690">
        <v>0</v>
      </c>
      <c r="BG690">
        <v>0</v>
      </c>
      <c r="BH690">
        <v>3300</v>
      </c>
      <c r="BI690">
        <v>0</v>
      </c>
      <c r="BJ690">
        <v>0</v>
      </c>
      <c r="BK690">
        <v>0</v>
      </c>
      <c r="BL690">
        <v>0</v>
      </c>
      <c r="BO690">
        <v>0</v>
      </c>
      <c r="BP690">
        <v>0</v>
      </c>
      <c r="BW690" t="str">
        <f>"18:39:17.261"</f>
        <v>18:39:17.261</v>
      </c>
      <c r="BZ690">
        <v>0</v>
      </c>
      <c r="CA690">
        <v>3488</v>
      </c>
      <c r="CB690">
        <v>216</v>
      </c>
      <c r="CC690">
        <v>583.59379999999999</v>
      </c>
      <c r="CD690">
        <v>1</v>
      </c>
      <c r="CE690">
        <v>1</v>
      </c>
      <c r="CF690">
        <v>0</v>
      </c>
      <c r="CG690">
        <v>1</v>
      </c>
      <c r="CH690">
        <v>0</v>
      </c>
      <c r="CI690">
        <v>0</v>
      </c>
      <c r="CJ690">
        <v>0</v>
      </c>
      <c r="CK690">
        <v>2</v>
      </c>
      <c r="CL690">
        <v>0</v>
      </c>
      <c r="CM690">
        <v>2</v>
      </c>
      <c r="CN690">
        <v>0</v>
      </c>
      <c r="CO690">
        <v>6</v>
      </c>
      <c r="CP690" t="s">
        <v>119</v>
      </c>
      <c r="CQ690">
        <v>145</v>
      </c>
      <c r="CR690">
        <v>1</v>
      </c>
      <c r="CW690">
        <v>8958418</v>
      </c>
      <c r="CY690">
        <v>0</v>
      </c>
      <c r="CZ690">
        <v>0</v>
      </c>
      <c r="DA690">
        <v>1</v>
      </c>
      <c r="DB690">
        <v>0</v>
      </c>
      <c r="DC690">
        <v>0</v>
      </c>
      <c r="DD690">
        <v>0</v>
      </c>
      <c r="DE690">
        <v>0</v>
      </c>
      <c r="DF690">
        <v>0</v>
      </c>
      <c r="DG690">
        <v>0</v>
      </c>
      <c r="DH690">
        <v>0</v>
      </c>
      <c r="DI690">
        <v>0</v>
      </c>
    </row>
    <row r="691" spans="1:113" x14ac:dyDescent="0.3">
      <c r="A691" t="str">
        <f>"02/13/2022 18:39:17.468"</f>
        <v>02/13/2022 18:39:17.468</v>
      </c>
      <c r="C691" t="str">
        <f t="shared" si="69"/>
        <v>FFDFD7C0</v>
      </c>
      <c r="D691" t="s">
        <v>113</v>
      </c>
      <c r="E691">
        <v>4</v>
      </c>
      <c r="F691">
        <v>1004</v>
      </c>
      <c r="G691" t="s">
        <v>120</v>
      </c>
      <c r="J691" t="s">
        <v>115</v>
      </c>
      <c r="K691">
        <v>0</v>
      </c>
      <c r="L691">
        <v>3</v>
      </c>
      <c r="M691">
        <v>0</v>
      </c>
      <c r="N691">
        <v>2</v>
      </c>
      <c r="O691">
        <v>1</v>
      </c>
      <c r="P691">
        <v>0</v>
      </c>
      <c r="Q691">
        <v>0</v>
      </c>
      <c r="S691" t="str">
        <f>"18:39:17.258"</f>
        <v>18:39:17.258</v>
      </c>
      <c r="T691" t="str">
        <f>"18:39:17.058"</f>
        <v>18:39:17.058</v>
      </c>
      <c r="U691" t="str">
        <f t="shared" si="68"/>
        <v>AAB6EE</v>
      </c>
      <c r="V691">
        <v>0</v>
      </c>
      <c r="W691">
        <v>0</v>
      </c>
      <c r="X691">
        <v>4</v>
      </c>
      <c r="Z691">
        <v>0</v>
      </c>
      <c r="AA691">
        <v>8</v>
      </c>
      <c r="AB691">
        <v>3</v>
      </c>
      <c r="AC691">
        <v>0</v>
      </c>
      <c r="AD691">
        <v>10</v>
      </c>
      <c r="AE691">
        <v>0</v>
      </c>
      <c r="AF691">
        <v>0</v>
      </c>
      <c r="AG691">
        <v>2</v>
      </c>
      <c r="AH691">
        <v>1</v>
      </c>
      <c r="AI691" t="s">
        <v>581</v>
      </c>
      <c r="AJ691">
        <v>35.390588999999999</v>
      </c>
      <c r="AK691" t="s">
        <v>582</v>
      </c>
      <c r="AL691">
        <v>-76.113581999999994</v>
      </c>
      <c r="AM691">
        <v>25</v>
      </c>
      <c r="AN691">
        <v>3425</v>
      </c>
      <c r="AO691" t="s">
        <v>118</v>
      </c>
      <c r="AP691">
        <v>-103</v>
      </c>
      <c r="AQ691">
        <v>-197</v>
      </c>
      <c r="AR691">
        <v>0</v>
      </c>
      <c r="AZ691">
        <v>4516</v>
      </c>
      <c r="BA691">
        <v>1</v>
      </c>
      <c r="BB691" t="str">
        <f t="shared" si="70"/>
        <v xml:space="preserve">N79NX   </v>
      </c>
      <c r="BC691">
        <v>1</v>
      </c>
      <c r="BE691">
        <v>0</v>
      </c>
      <c r="BF691">
        <v>0</v>
      </c>
      <c r="BG691">
        <v>0</v>
      </c>
      <c r="BH691">
        <v>3300</v>
      </c>
      <c r="BI691">
        <v>0</v>
      </c>
      <c r="BJ691">
        <v>0</v>
      </c>
      <c r="BK691">
        <v>0</v>
      </c>
      <c r="BL691">
        <v>0</v>
      </c>
      <c r="BO691">
        <v>0</v>
      </c>
      <c r="BP691">
        <v>0</v>
      </c>
      <c r="BW691" t="str">
        <f>"18:39:17.261"</f>
        <v>18:39:17.261</v>
      </c>
      <c r="BZ691">
        <v>0</v>
      </c>
      <c r="CA691">
        <v>3488</v>
      </c>
      <c r="CB691">
        <v>216</v>
      </c>
      <c r="CC691">
        <v>583.59379999999999</v>
      </c>
      <c r="CD691">
        <v>1</v>
      </c>
      <c r="CE691">
        <v>1</v>
      </c>
      <c r="CF691">
        <v>0</v>
      </c>
      <c r="CG691">
        <v>1</v>
      </c>
      <c r="CH691">
        <v>0</v>
      </c>
      <c r="CI691">
        <v>0</v>
      </c>
      <c r="CJ691">
        <v>0</v>
      </c>
      <c r="CK691">
        <v>2</v>
      </c>
      <c r="CL691">
        <v>0</v>
      </c>
      <c r="CM691">
        <v>2</v>
      </c>
      <c r="CN691">
        <v>0</v>
      </c>
      <c r="CO691">
        <v>6</v>
      </c>
      <c r="CP691" t="s">
        <v>119</v>
      </c>
      <c r="CQ691">
        <v>145</v>
      </c>
      <c r="CR691">
        <v>1</v>
      </c>
      <c r="CW691">
        <v>8958418</v>
      </c>
      <c r="CY691">
        <v>0</v>
      </c>
      <c r="CZ691">
        <v>0</v>
      </c>
      <c r="DA691">
        <v>1</v>
      </c>
      <c r="DB691">
        <v>0</v>
      </c>
      <c r="DC691">
        <v>0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</row>
    <row r="692" spans="1:113" x14ac:dyDescent="0.3">
      <c r="A692" t="str">
        <f>"02/13/2022 18:39:18.437"</f>
        <v>02/13/2022 18:39:18.437</v>
      </c>
      <c r="C692" t="str">
        <f t="shared" si="69"/>
        <v>FFDFD7C0</v>
      </c>
      <c r="D692" t="s">
        <v>121</v>
      </c>
      <c r="E692">
        <v>2</v>
      </c>
      <c r="H692">
        <v>158</v>
      </c>
      <c r="I692" t="s">
        <v>120</v>
      </c>
      <c r="J692" t="s">
        <v>122</v>
      </c>
      <c r="K692">
        <v>0</v>
      </c>
      <c r="L692">
        <v>3</v>
      </c>
      <c r="M692">
        <v>0</v>
      </c>
      <c r="N692">
        <v>2</v>
      </c>
      <c r="O692">
        <v>1</v>
      </c>
      <c r="P692">
        <v>0</v>
      </c>
      <c r="Q692">
        <v>0</v>
      </c>
      <c r="S692" t="str">
        <f>"18:39:18.188"</f>
        <v>18:39:18.188</v>
      </c>
      <c r="T692" t="str">
        <f>"18:39:17.988"</f>
        <v>18:39:17.988</v>
      </c>
      <c r="U692" t="str">
        <f t="shared" si="68"/>
        <v>AAB6EE</v>
      </c>
      <c r="V692">
        <v>0</v>
      </c>
      <c r="W692">
        <v>0</v>
      </c>
      <c r="X692">
        <v>4</v>
      </c>
      <c r="Z692">
        <v>0</v>
      </c>
      <c r="AA692">
        <v>8</v>
      </c>
      <c r="AB692">
        <v>3</v>
      </c>
      <c r="AC692">
        <v>0</v>
      </c>
      <c r="AD692">
        <v>10</v>
      </c>
      <c r="AE692">
        <v>0</v>
      </c>
      <c r="AF692">
        <v>0</v>
      </c>
      <c r="AG692">
        <v>2</v>
      </c>
      <c r="AH692">
        <v>1</v>
      </c>
      <c r="AI692" t="s">
        <v>583</v>
      </c>
      <c r="AJ692">
        <v>35.389752000000001</v>
      </c>
      <c r="AK692" t="s">
        <v>584</v>
      </c>
      <c r="AL692">
        <v>-76.114140000000006</v>
      </c>
      <c r="AM692">
        <v>25</v>
      </c>
      <c r="AN692">
        <v>3450</v>
      </c>
      <c r="AO692" t="s">
        <v>118</v>
      </c>
      <c r="AP692">
        <v>-103</v>
      </c>
      <c r="AQ692">
        <v>-197</v>
      </c>
      <c r="AR692">
        <v>0</v>
      </c>
      <c r="AZ692">
        <v>4516</v>
      </c>
      <c r="BA692">
        <v>1</v>
      </c>
      <c r="BB692" t="str">
        <f t="shared" si="70"/>
        <v xml:space="preserve">N79NX   </v>
      </c>
      <c r="BC692">
        <v>1</v>
      </c>
      <c r="BE692">
        <v>0</v>
      </c>
      <c r="BF692">
        <v>0</v>
      </c>
      <c r="BG692">
        <v>0</v>
      </c>
      <c r="BH692">
        <v>3300</v>
      </c>
      <c r="BI692">
        <v>0</v>
      </c>
      <c r="BJ692">
        <v>0</v>
      </c>
      <c r="BK692">
        <v>0</v>
      </c>
      <c r="BL692">
        <v>0</v>
      </c>
      <c r="BO692">
        <v>0</v>
      </c>
      <c r="BP692">
        <v>0</v>
      </c>
      <c r="BW692" t="str">
        <f>"18:39:18.191"</f>
        <v>18:39:18.191</v>
      </c>
      <c r="BZ692">
        <v>0</v>
      </c>
      <c r="CA692">
        <v>3488</v>
      </c>
      <c r="CB692">
        <v>216</v>
      </c>
      <c r="CC692">
        <v>583.59379999999999</v>
      </c>
      <c r="CD692">
        <v>1</v>
      </c>
      <c r="CE692">
        <v>1</v>
      </c>
      <c r="CF692">
        <v>0</v>
      </c>
      <c r="CG692">
        <v>1</v>
      </c>
      <c r="CH692">
        <v>0</v>
      </c>
      <c r="CI692">
        <v>0</v>
      </c>
      <c r="CJ692">
        <v>0</v>
      </c>
      <c r="CK692">
        <v>2</v>
      </c>
      <c r="CL692">
        <v>0</v>
      </c>
      <c r="CM692">
        <v>2</v>
      </c>
      <c r="CN692">
        <v>0</v>
      </c>
      <c r="CO692">
        <v>6</v>
      </c>
      <c r="CP692" t="s">
        <v>119</v>
      </c>
      <c r="CQ692">
        <v>145</v>
      </c>
      <c r="CR692">
        <v>1</v>
      </c>
      <c r="CW692">
        <v>8958782</v>
      </c>
      <c r="CY692">
        <v>0</v>
      </c>
      <c r="CZ692">
        <v>0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</row>
    <row r="693" spans="1:113" x14ac:dyDescent="0.3">
      <c r="A693" t="str">
        <f>"02/13/2022 18:39:18.437"</f>
        <v>02/13/2022 18:39:18.437</v>
      </c>
      <c r="C693" t="str">
        <f t="shared" si="69"/>
        <v>FFDFD7C0</v>
      </c>
      <c r="D693" t="s">
        <v>113</v>
      </c>
      <c r="E693">
        <v>3</v>
      </c>
      <c r="F693">
        <v>1003</v>
      </c>
      <c r="G693" t="s">
        <v>114</v>
      </c>
      <c r="J693" t="s">
        <v>115</v>
      </c>
      <c r="K693">
        <v>0</v>
      </c>
      <c r="L693">
        <v>3</v>
      </c>
      <c r="M693">
        <v>0</v>
      </c>
      <c r="N693">
        <v>2</v>
      </c>
      <c r="O693">
        <v>1</v>
      </c>
      <c r="P693">
        <v>0</v>
      </c>
      <c r="Q693">
        <v>0</v>
      </c>
      <c r="S693" t="str">
        <f>"18:39:18.188"</f>
        <v>18:39:18.188</v>
      </c>
      <c r="T693" t="str">
        <f>"18:39:17.988"</f>
        <v>18:39:17.988</v>
      </c>
      <c r="U693" t="str">
        <f t="shared" si="68"/>
        <v>AAB6EE</v>
      </c>
      <c r="V693">
        <v>0</v>
      </c>
      <c r="W693">
        <v>0</v>
      </c>
      <c r="X693">
        <v>4</v>
      </c>
      <c r="Z693">
        <v>0</v>
      </c>
      <c r="AA693">
        <v>8</v>
      </c>
      <c r="AB693">
        <v>3</v>
      </c>
      <c r="AC693">
        <v>0</v>
      </c>
      <c r="AD693">
        <v>10</v>
      </c>
      <c r="AE693">
        <v>0</v>
      </c>
      <c r="AF693">
        <v>0</v>
      </c>
      <c r="AG693">
        <v>2</v>
      </c>
      <c r="AH693">
        <v>1</v>
      </c>
      <c r="AI693" t="s">
        <v>583</v>
      </c>
      <c r="AJ693">
        <v>35.389752000000001</v>
      </c>
      <c r="AK693" t="s">
        <v>584</v>
      </c>
      <c r="AL693">
        <v>-76.114140000000006</v>
      </c>
      <c r="AM693">
        <v>25</v>
      </c>
      <c r="AN693">
        <v>3450</v>
      </c>
      <c r="AO693" t="s">
        <v>118</v>
      </c>
      <c r="AP693">
        <v>-103</v>
      </c>
      <c r="AQ693">
        <v>-197</v>
      </c>
      <c r="AR693">
        <v>0</v>
      </c>
      <c r="AZ693">
        <v>4516</v>
      </c>
      <c r="BA693">
        <v>1</v>
      </c>
      <c r="BB693" t="str">
        <f t="shared" si="70"/>
        <v xml:space="preserve">N79NX   </v>
      </c>
      <c r="BC693">
        <v>1</v>
      </c>
      <c r="BE693">
        <v>0</v>
      </c>
      <c r="BF693">
        <v>0</v>
      </c>
      <c r="BG693">
        <v>0</v>
      </c>
      <c r="BH693">
        <v>3300</v>
      </c>
      <c r="BI693">
        <v>0</v>
      </c>
      <c r="BJ693">
        <v>0</v>
      </c>
      <c r="BK693">
        <v>0</v>
      </c>
      <c r="BL693">
        <v>0</v>
      </c>
      <c r="BO693">
        <v>0</v>
      </c>
      <c r="BP693">
        <v>0</v>
      </c>
      <c r="BW693" t="str">
        <f>"18:39:18.191"</f>
        <v>18:39:18.191</v>
      </c>
      <c r="BZ693">
        <v>0</v>
      </c>
      <c r="CA693">
        <v>3488</v>
      </c>
      <c r="CB693">
        <v>216</v>
      </c>
      <c r="CC693">
        <v>583.59379999999999</v>
      </c>
      <c r="CD693">
        <v>1</v>
      </c>
      <c r="CE693">
        <v>1</v>
      </c>
      <c r="CF693">
        <v>0</v>
      </c>
      <c r="CG693">
        <v>1</v>
      </c>
      <c r="CH693">
        <v>0</v>
      </c>
      <c r="CI693">
        <v>0</v>
      </c>
      <c r="CJ693">
        <v>0</v>
      </c>
      <c r="CK693">
        <v>2</v>
      </c>
      <c r="CL693">
        <v>0</v>
      </c>
      <c r="CM693">
        <v>2</v>
      </c>
      <c r="CN693">
        <v>0</v>
      </c>
      <c r="CO693">
        <v>6</v>
      </c>
      <c r="CP693" t="s">
        <v>119</v>
      </c>
      <c r="CQ693">
        <v>145</v>
      </c>
      <c r="CR693">
        <v>1</v>
      </c>
      <c r="CW693">
        <v>8958782</v>
      </c>
      <c r="CY693">
        <v>0</v>
      </c>
      <c r="CZ693">
        <v>0</v>
      </c>
      <c r="DA693">
        <v>1</v>
      </c>
      <c r="DB693">
        <v>0</v>
      </c>
      <c r="DC693">
        <v>0</v>
      </c>
      <c r="DD693">
        <v>0</v>
      </c>
      <c r="DE693">
        <v>0</v>
      </c>
      <c r="DF693">
        <v>0</v>
      </c>
      <c r="DG693">
        <v>0</v>
      </c>
      <c r="DH693">
        <v>0</v>
      </c>
      <c r="DI693">
        <v>0</v>
      </c>
    </row>
    <row r="694" spans="1:113" x14ac:dyDescent="0.3">
      <c r="A694" t="str">
        <f>"02/13/2022 18:39:18.437"</f>
        <v>02/13/2022 18:39:18.437</v>
      </c>
      <c r="C694" t="str">
        <f t="shared" si="69"/>
        <v>FFDFD7C0</v>
      </c>
      <c r="D694" t="s">
        <v>113</v>
      </c>
      <c r="E694">
        <v>4</v>
      </c>
      <c r="F694">
        <v>1004</v>
      </c>
      <c r="G694" t="s">
        <v>120</v>
      </c>
      <c r="J694" t="s">
        <v>115</v>
      </c>
      <c r="K694">
        <v>0</v>
      </c>
      <c r="L694">
        <v>3</v>
      </c>
      <c r="M694">
        <v>0</v>
      </c>
      <c r="N694">
        <v>2</v>
      </c>
      <c r="O694">
        <v>1</v>
      </c>
      <c r="P694">
        <v>0</v>
      </c>
      <c r="Q694">
        <v>0</v>
      </c>
      <c r="S694" t="str">
        <f>"18:39:18.188"</f>
        <v>18:39:18.188</v>
      </c>
      <c r="T694" t="str">
        <f>"18:39:17.988"</f>
        <v>18:39:17.988</v>
      </c>
      <c r="U694" t="str">
        <f t="shared" si="68"/>
        <v>AAB6EE</v>
      </c>
      <c r="V694">
        <v>0</v>
      </c>
      <c r="W694">
        <v>0</v>
      </c>
      <c r="X694">
        <v>4</v>
      </c>
      <c r="Z694">
        <v>0</v>
      </c>
      <c r="AA694">
        <v>8</v>
      </c>
      <c r="AB694">
        <v>3</v>
      </c>
      <c r="AC694">
        <v>0</v>
      </c>
      <c r="AD694">
        <v>10</v>
      </c>
      <c r="AE694">
        <v>0</v>
      </c>
      <c r="AF694">
        <v>0</v>
      </c>
      <c r="AG694">
        <v>2</v>
      </c>
      <c r="AH694">
        <v>1</v>
      </c>
      <c r="AI694" t="s">
        <v>583</v>
      </c>
      <c r="AJ694">
        <v>35.389752000000001</v>
      </c>
      <c r="AK694" t="s">
        <v>584</v>
      </c>
      <c r="AL694">
        <v>-76.114140000000006</v>
      </c>
      <c r="AM694">
        <v>25</v>
      </c>
      <c r="AN694">
        <v>3450</v>
      </c>
      <c r="AO694" t="s">
        <v>118</v>
      </c>
      <c r="AP694">
        <v>-103</v>
      </c>
      <c r="AQ694">
        <v>-197</v>
      </c>
      <c r="AR694">
        <v>0</v>
      </c>
      <c r="AZ694">
        <v>4516</v>
      </c>
      <c r="BA694">
        <v>1</v>
      </c>
      <c r="BB694" t="str">
        <f t="shared" si="70"/>
        <v xml:space="preserve">N79NX   </v>
      </c>
      <c r="BC694">
        <v>1</v>
      </c>
      <c r="BE694">
        <v>0</v>
      </c>
      <c r="BF694">
        <v>0</v>
      </c>
      <c r="BG694">
        <v>0</v>
      </c>
      <c r="BH694">
        <v>3300</v>
      </c>
      <c r="BI694">
        <v>0</v>
      </c>
      <c r="BJ694">
        <v>0</v>
      </c>
      <c r="BK694">
        <v>0</v>
      </c>
      <c r="BL694">
        <v>0</v>
      </c>
      <c r="BO694">
        <v>0</v>
      </c>
      <c r="BP694">
        <v>0</v>
      </c>
      <c r="BW694" t="str">
        <f>"18:39:18.191"</f>
        <v>18:39:18.191</v>
      </c>
      <c r="BZ694">
        <v>0</v>
      </c>
      <c r="CA694">
        <v>3488</v>
      </c>
      <c r="CB694">
        <v>216</v>
      </c>
      <c r="CC694">
        <v>583.59379999999999</v>
      </c>
      <c r="CD694">
        <v>1</v>
      </c>
      <c r="CE694">
        <v>1</v>
      </c>
      <c r="CF694">
        <v>0</v>
      </c>
      <c r="CG694">
        <v>1</v>
      </c>
      <c r="CH694">
        <v>0</v>
      </c>
      <c r="CI694">
        <v>0</v>
      </c>
      <c r="CJ694">
        <v>0</v>
      </c>
      <c r="CK694">
        <v>2</v>
      </c>
      <c r="CL694">
        <v>0</v>
      </c>
      <c r="CM694">
        <v>2</v>
      </c>
      <c r="CN694">
        <v>0</v>
      </c>
      <c r="CO694">
        <v>6</v>
      </c>
      <c r="CP694" t="s">
        <v>119</v>
      </c>
      <c r="CQ694">
        <v>145</v>
      </c>
      <c r="CR694">
        <v>1</v>
      </c>
      <c r="CW694">
        <v>8958782</v>
      </c>
      <c r="CY694">
        <v>0</v>
      </c>
      <c r="CZ694">
        <v>0</v>
      </c>
      <c r="DA694">
        <v>1</v>
      </c>
      <c r="DB694">
        <v>0</v>
      </c>
      <c r="DC694">
        <v>0</v>
      </c>
      <c r="DD694">
        <v>0</v>
      </c>
      <c r="DE694">
        <v>0</v>
      </c>
      <c r="DF694">
        <v>0</v>
      </c>
      <c r="DG694">
        <v>0</v>
      </c>
      <c r="DH694">
        <v>0</v>
      </c>
      <c r="DI694">
        <v>0</v>
      </c>
    </row>
    <row r="695" spans="1:113" x14ac:dyDescent="0.3">
      <c r="A695" t="str">
        <f>"02/13/2022 18:39:19.281"</f>
        <v>02/13/2022 18:39:19.281</v>
      </c>
      <c r="C695" t="str">
        <f t="shared" si="69"/>
        <v>FFDFD7C0</v>
      </c>
      <c r="D695" t="s">
        <v>113</v>
      </c>
      <c r="E695">
        <v>3</v>
      </c>
      <c r="F695">
        <v>1003</v>
      </c>
      <c r="G695" t="s">
        <v>114</v>
      </c>
      <c r="J695" t="s">
        <v>115</v>
      </c>
      <c r="K695">
        <v>0</v>
      </c>
      <c r="L695">
        <v>3</v>
      </c>
      <c r="M695">
        <v>0</v>
      </c>
      <c r="N695">
        <v>2</v>
      </c>
      <c r="O695">
        <v>1</v>
      </c>
      <c r="P695">
        <v>0</v>
      </c>
      <c r="Q695">
        <v>0</v>
      </c>
      <c r="S695" t="str">
        <f>"18:39:19.094"</f>
        <v>18:39:19.094</v>
      </c>
      <c r="T695" t="str">
        <f>"18:39:18.994"</f>
        <v>18:39:18.994</v>
      </c>
      <c r="U695" t="str">
        <f t="shared" si="68"/>
        <v>AAB6EE</v>
      </c>
      <c r="V695">
        <v>0</v>
      </c>
      <c r="W695">
        <v>0</v>
      </c>
      <c r="X695">
        <v>4</v>
      </c>
      <c r="Z695">
        <v>0</v>
      </c>
      <c r="AA695">
        <v>8</v>
      </c>
      <c r="AB695">
        <v>3</v>
      </c>
      <c r="AC695">
        <v>0</v>
      </c>
      <c r="AD695">
        <v>10</v>
      </c>
      <c r="AE695">
        <v>0</v>
      </c>
      <c r="AF695">
        <v>0</v>
      </c>
      <c r="AG695">
        <v>2</v>
      </c>
      <c r="AH695">
        <v>1</v>
      </c>
      <c r="AI695" t="s">
        <v>585</v>
      </c>
      <c r="AJ695">
        <v>35.388958000000002</v>
      </c>
      <c r="AK695" t="s">
        <v>586</v>
      </c>
      <c r="AL695">
        <v>-76.114632999999998</v>
      </c>
      <c r="AM695">
        <v>25</v>
      </c>
      <c r="AN695">
        <v>3425</v>
      </c>
      <c r="AO695" t="s">
        <v>118</v>
      </c>
      <c r="AP695">
        <v>-103</v>
      </c>
      <c r="AQ695">
        <v>-197</v>
      </c>
      <c r="AR695">
        <v>0</v>
      </c>
      <c r="AZ695">
        <v>4516</v>
      </c>
      <c r="BA695">
        <v>1</v>
      </c>
      <c r="BB695" t="str">
        <f t="shared" si="70"/>
        <v xml:space="preserve">N79NX   </v>
      </c>
      <c r="BC695">
        <v>1</v>
      </c>
      <c r="BE695">
        <v>0</v>
      </c>
      <c r="BF695">
        <v>0</v>
      </c>
      <c r="BG695">
        <v>0</v>
      </c>
      <c r="BH695">
        <v>3275</v>
      </c>
      <c r="BI695">
        <v>0</v>
      </c>
      <c r="BJ695">
        <v>0</v>
      </c>
      <c r="BK695">
        <v>0</v>
      </c>
      <c r="BL695">
        <v>0</v>
      </c>
      <c r="BO695">
        <v>0</v>
      </c>
      <c r="BP695">
        <v>0</v>
      </c>
      <c r="BW695" t="str">
        <f>"18:39:19.101"</f>
        <v>18:39:19.101</v>
      </c>
      <c r="BZ695">
        <v>0</v>
      </c>
      <c r="CA695">
        <v>3488</v>
      </c>
      <c r="CB695">
        <v>216</v>
      </c>
      <c r="CC695">
        <v>583.59379999999999</v>
      </c>
      <c r="CD695">
        <v>1</v>
      </c>
      <c r="CE695">
        <v>1</v>
      </c>
      <c r="CF695">
        <v>0</v>
      </c>
      <c r="CG695">
        <v>1</v>
      </c>
      <c r="CH695">
        <v>0</v>
      </c>
      <c r="CI695">
        <v>0</v>
      </c>
      <c r="CJ695">
        <v>0</v>
      </c>
      <c r="CK695">
        <v>2</v>
      </c>
      <c r="CL695">
        <v>0</v>
      </c>
      <c r="CM695">
        <v>2</v>
      </c>
      <c r="CN695">
        <v>0</v>
      </c>
      <c r="CO695">
        <v>6</v>
      </c>
      <c r="CP695" t="s">
        <v>119</v>
      </c>
      <c r="CQ695">
        <v>145</v>
      </c>
      <c r="CR695">
        <v>1</v>
      </c>
      <c r="CW695">
        <v>8959186</v>
      </c>
      <c r="CY695">
        <v>0</v>
      </c>
      <c r="CZ695">
        <v>0</v>
      </c>
      <c r="DA695">
        <v>0</v>
      </c>
      <c r="DB695">
        <v>0</v>
      </c>
      <c r="DC695">
        <v>0</v>
      </c>
      <c r="DD695">
        <v>0</v>
      </c>
      <c r="DE695">
        <v>0</v>
      </c>
      <c r="DF695">
        <v>0</v>
      </c>
      <c r="DG695">
        <v>0</v>
      </c>
      <c r="DH695">
        <v>0</v>
      </c>
      <c r="DI695">
        <v>0</v>
      </c>
    </row>
    <row r="696" spans="1:113" x14ac:dyDescent="0.3">
      <c r="A696" t="str">
        <f>"02/13/2022 18:39:19.281"</f>
        <v>02/13/2022 18:39:19.281</v>
      </c>
      <c r="C696" t="str">
        <f t="shared" si="69"/>
        <v>FFDFD7C0</v>
      </c>
      <c r="D696" t="s">
        <v>113</v>
      </c>
      <c r="E696">
        <v>4</v>
      </c>
      <c r="F696">
        <v>1004</v>
      </c>
      <c r="G696" t="s">
        <v>120</v>
      </c>
      <c r="J696" t="s">
        <v>115</v>
      </c>
      <c r="K696">
        <v>0</v>
      </c>
      <c r="L696">
        <v>3</v>
      </c>
      <c r="M696">
        <v>0</v>
      </c>
      <c r="N696">
        <v>2</v>
      </c>
      <c r="O696">
        <v>1</v>
      </c>
      <c r="P696">
        <v>0</v>
      </c>
      <c r="Q696">
        <v>0</v>
      </c>
      <c r="S696" t="str">
        <f>"18:39:19.094"</f>
        <v>18:39:19.094</v>
      </c>
      <c r="T696" t="str">
        <f>"18:39:18.994"</f>
        <v>18:39:18.994</v>
      </c>
      <c r="U696" t="str">
        <f t="shared" si="68"/>
        <v>AAB6EE</v>
      </c>
      <c r="V696">
        <v>0</v>
      </c>
      <c r="W696">
        <v>0</v>
      </c>
      <c r="X696">
        <v>4</v>
      </c>
      <c r="Z696">
        <v>0</v>
      </c>
      <c r="AA696">
        <v>8</v>
      </c>
      <c r="AB696">
        <v>3</v>
      </c>
      <c r="AC696">
        <v>0</v>
      </c>
      <c r="AD696">
        <v>10</v>
      </c>
      <c r="AE696">
        <v>0</v>
      </c>
      <c r="AF696">
        <v>0</v>
      </c>
      <c r="AG696">
        <v>2</v>
      </c>
      <c r="AH696">
        <v>1</v>
      </c>
      <c r="AI696" t="s">
        <v>585</v>
      </c>
      <c r="AJ696">
        <v>35.388958000000002</v>
      </c>
      <c r="AK696" t="s">
        <v>586</v>
      </c>
      <c r="AL696">
        <v>-76.114632999999998</v>
      </c>
      <c r="AM696">
        <v>25</v>
      </c>
      <c r="AN696">
        <v>3425</v>
      </c>
      <c r="AO696" t="s">
        <v>118</v>
      </c>
      <c r="AP696">
        <v>-103</v>
      </c>
      <c r="AQ696">
        <v>-197</v>
      </c>
      <c r="AR696">
        <v>0</v>
      </c>
      <c r="AZ696">
        <v>4516</v>
      </c>
      <c r="BA696">
        <v>1</v>
      </c>
      <c r="BB696" t="str">
        <f t="shared" si="70"/>
        <v xml:space="preserve">N79NX   </v>
      </c>
      <c r="BC696">
        <v>1</v>
      </c>
      <c r="BE696">
        <v>0</v>
      </c>
      <c r="BF696">
        <v>0</v>
      </c>
      <c r="BG696">
        <v>0</v>
      </c>
      <c r="BH696">
        <v>3275</v>
      </c>
      <c r="BI696">
        <v>0</v>
      </c>
      <c r="BJ696">
        <v>0</v>
      </c>
      <c r="BK696">
        <v>0</v>
      </c>
      <c r="BL696">
        <v>0</v>
      </c>
      <c r="BO696">
        <v>0</v>
      </c>
      <c r="BP696">
        <v>0</v>
      </c>
      <c r="BW696" t="str">
        <f>"18:39:19.101"</f>
        <v>18:39:19.101</v>
      </c>
      <c r="BZ696">
        <v>0</v>
      </c>
      <c r="CA696">
        <v>3488</v>
      </c>
      <c r="CB696">
        <v>216</v>
      </c>
      <c r="CC696">
        <v>583.59379999999999</v>
      </c>
      <c r="CD696">
        <v>1</v>
      </c>
      <c r="CE696">
        <v>1</v>
      </c>
      <c r="CF696">
        <v>0</v>
      </c>
      <c r="CG696">
        <v>1</v>
      </c>
      <c r="CH696">
        <v>0</v>
      </c>
      <c r="CI696">
        <v>0</v>
      </c>
      <c r="CJ696">
        <v>0</v>
      </c>
      <c r="CK696">
        <v>2</v>
      </c>
      <c r="CL696">
        <v>0</v>
      </c>
      <c r="CM696">
        <v>2</v>
      </c>
      <c r="CN696">
        <v>0</v>
      </c>
      <c r="CO696">
        <v>6</v>
      </c>
      <c r="CP696" t="s">
        <v>119</v>
      </c>
      <c r="CQ696">
        <v>145</v>
      </c>
      <c r="CR696">
        <v>1</v>
      </c>
      <c r="CW696">
        <v>8959186</v>
      </c>
      <c r="CY696">
        <v>0</v>
      </c>
      <c r="CZ696">
        <v>0</v>
      </c>
      <c r="DA696">
        <v>1</v>
      </c>
      <c r="DB696">
        <v>0</v>
      </c>
      <c r="DC696">
        <v>0</v>
      </c>
      <c r="DD696">
        <v>0</v>
      </c>
      <c r="DE696">
        <v>0</v>
      </c>
      <c r="DF696">
        <v>0</v>
      </c>
      <c r="DG696">
        <v>0</v>
      </c>
      <c r="DH696">
        <v>0</v>
      </c>
      <c r="DI696">
        <v>0</v>
      </c>
    </row>
    <row r="697" spans="1:113" x14ac:dyDescent="0.3">
      <c r="A697" t="str">
        <f>"02/13/2022 18:39:19.281"</f>
        <v>02/13/2022 18:39:19.281</v>
      </c>
      <c r="C697" t="str">
        <f t="shared" si="69"/>
        <v>FFDFD7C0</v>
      </c>
      <c r="D697" t="s">
        <v>121</v>
      </c>
      <c r="E697">
        <v>2</v>
      </c>
      <c r="H697">
        <v>158</v>
      </c>
      <c r="I697" t="s">
        <v>120</v>
      </c>
      <c r="J697" t="s">
        <v>122</v>
      </c>
      <c r="K697">
        <v>0</v>
      </c>
      <c r="L697">
        <v>3</v>
      </c>
      <c r="M697">
        <v>0</v>
      </c>
      <c r="N697">
        <v>2</v>
      </c>
      <c r="O697">
        <v>1</v>
      </c>
      <c r="P697">
        <v>0</v>
      </c>
      <c r="Q697">
        <v>0</v>
      </c>
      <c r="S697" t="str">
        <f>"18:39:19.094"</f>
        <v>18:39:19.094</v>
      </c>
      <c r="T697" t="str">
        <f>"18:39:18.994"</f>
        <v>18:39:18.994</v>
      </c>
      <c r="U697" t="str">
        <f t="shared" si="68"/>
        <v>AAB6EE</v>
      </c>
      <c r="V697">
        <v>0</v>
      </c>
      <c r="W697">
        <v>0</v>
      </c>
      <c r="X697">
        <v>4</v>
      </c>
      <c r="Z697">
        <v>0</v>
      </c>
      <c r="AA697">
        <v>8</v>
      </c>
      <c r="AB697">
        <v>3</v>
      </c>
      <c r="AC697">
        <v>0</v>
      </c>
      <c r="AD697">
        <v>10</v>
      </c>
      <c r="AE697">
        <v>0</v>
      </c>
      <c r="AF697">
        <v>0</v>
      </c>
      <c r="AG697">
        <v>2</v>
      </c>
      <c r="AH697">
        <v>1</v>
      </c>
      <c r="AI697" t="s">
        <v>585</v>
      </c>
      <c r="AJ697">
        <v>35.388958000000002</v>
      </c>
      <c r="AK697" t="s">
        <v>586</v>
      </c>
      <c r="AL697">
        <v>-76.114632999999998</v>
      </c>
      <c r="AM697">
        <v>25</v>
      </c>
      <c r="AN697">
        <v>3425</v>
      </c>
      <c r="AO697" t="s">
        <v>118</v>
      </c>
      <c r="AP697">
        <v>-103</v>
      </c>
      <c r="AQ697">
        <v>-197</v>
      </c>
      <c r="AR697">
        <v>0</v>
      </c>
      <c r="AZ697">
        <v>4516</v>
      </c>
      <c r="BA697">
        <v>1</v>
      </c>
      <c r="BB697" t="str">
        <f t="shared" si="70"/>
        <v xml:space="preserve">N79NX   </v>
      </c>
      <c r="BC697">
        <v>1</v>
      </c>
      <c r="BE697">
        <v>0</v>
      </c>
      <c r="BF697">
        <v>0</v>
      </c>
      <c r="BG697">
        <v>0</v>
      </c>
      <c r="BH697">
        <v>3275</v>
      </c>
      <c r="BI697">
        <v>0</v>
      </c>
      <c r="BJ697">
        <v>0</v>
      </c>
      <c r="BK697">
        <v>0</v>
      </c>
      <c r="BL697">
        <v>0</v>
      </c>
      <c r="BO697">
        <v>0</v>
      </c>
      <c r="BP697">
        <v>0</v>
      </c>
      <c r="BW697" t="str">
        <f>"18:39:19.101"</f>
        <v>18:39:19.101</v>
      </c>
      <c r="BZ697">
        <v>0</v>
      </c>
      <c r="CA697">
        <v>3488</v>
      </c>
      <c r="CB697">
        <v>216</v>
      </c>
      <c r="CC697">
        <v>583.59379999999999</v>
      </c>
      <c r="CD697">
        <v>1</v>
      </c>
      <c r="CE697">
        <v>1</v>
      </c>
      <c r="CF697">
        <v>0</v>
      </c>
      <c r="CG697">
        <v>1</v>
      </c>
      <c r="CH697">
        <v>0</v>
      </c>
      <c r="CI697">
        <v>0</v>
      </c>
      <c r="CJ697">
        <v>0</v>
      </c>
      <c r="CK697">
        <v>2</v>
      </c>
      <c r="CL697">
        <v>0</v>
      </c>
      <c r="CM697">
        <v>2</v>
      </c>
      <c r="CN697">
        <v>0</v>
      </c>
      <c r="CO697">
        <v>6</v>
      </c>
      <c r="CP697" t="s">
        <v>119</v>
      </c>
      <c r="CQ697">
        <v>145</v>
      </c>
      <c r="CR697">
        <v>1</v>
      </c>
      <c r="CW697">
        <v>8959186</v>
      </c>
      <c r="CY697">
        <v>0</v>
      </c>
      <c r="CZ697">
        <v>0</v>
      </c>
      <c r="DA697">
        <v>1</v>
      </c>
      <c r="DB697">
        <v>0</v>
      </c>
      <c r="DC697">
        <v>0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</row>
    <row r="698" spans="1:113" x14ac:dyDescent="0.3">
      <c r="A698" t="str">
        <f>"02/13/2022 18:39:20.567"</f>
        <v>02/13/2022 18:39:20.567</v>
      </c>
      <c r="C698" t="str">
        <f t="shared" si="69"/>
        <v>FFDFD7C0</v>
      </c>
      <c r="D698" t="s">
        <v>113</v>
      </c>
      <c r="E698">
        <v>3</v>
      </c>
      <c r="F698">
        <v>1003</v>
      </c>
      <c r="G698" t="s">
        <v>114</v>
      </c>
      <c r="J698" t="s">
        <v>115</v>
      </c>
      <c r="K698">
        <v>0</v>
      </c>
      <c r="L698">
        <v>3</v>
      </c>
      <c r="M698">
        <v>0</v>
      </c>
      <c r="N698">
        <v>2</v>
      </c>
      <c r="O698">
        <v>1</v>
      </c>
      <c r="P698">
        <v>0</v>
      </c>
      <c r="Q698">
        <v>0</v>
      </c>
      <c r="S698" t="str">
        <f>"18:39:20.250"</f>
        <v>18:39:20.250</v>
      </c>
      <c r="T698" t="str">
        <f>"18:39:19.850"</f>
        <v>18:39:19.850</v>
      </c>
      <c r="U698" t="str">
        <f t="shared" si="68"/>
        <v>AAB6EE</v>
      </c>
      <c r="V698">
        <v>0</v>
      </c>
      <c r="W698">
        <v>0</v>
      </c>
      <c r="X698">
        <v>4</v>
      </c>
      <c r="Z698">
        <v>0</v>
      </c>
      <c r="AA698">
        <v>8</v>
      </c>
      <c r="AB698">
        <v>3</v>
      </c>
      <c r="AC698">
        <v>0</v>
      </c>
      <c r="AD698">
        <v>10</v>
      </c>
      <c r="AE698">
        <v>0</v>
      </c>
      <c r="AF698">
        <v>0</v>
      </c>
      <c r="AG698">
        <v>2</v>
      </c>
      <c r="AH698">
        <v>1</v>
      </c>
      <c r="AI698" t="s">
        <v>587</v>
      </c>
      <c r="AJ698">
        <v>35.387842999999997</v>
      </c>
      <c r="AK698" t="s">
        <v>588</v>
      </c>
      <c r="AL698">
        <v>-76.115319999999997</v>
      </c>
      <c r="AM698">
        <v>25</v>
      </c>
      <c r="AN698">
        <v>3425</v>
      </c>
      <c r="AO698" t="s">
        <v>118</v>
      </c>
      <c r="AP698">
        <v>-103</v>
      </c>
      <c r="AQ698">
        <v>-197</v>
      </c>
      <c r="AR698">
        <v>0</v>
      </c>
      <c r="AZ698">
        <v>4516</v>
      </c>
      <c r="BA698">
        <v>1</v>
      </c>
      <c r="BB698" t="str">
        <f t="shared" si="70"/>
        <v xml:space="preserve">N79NX   </v>
      </c>
      <c r="BC698">
        <v>1</v>
      </c>
      <c r="BE698">
        <v>0</v>
      </c>
      <c r="BF698">
        <v>0</v>
      </c>
      <c r="BG698">
        <v>0</v>
      </c>
      <c r="BH698">
        <v>3300</v>
      </c>
      <c r="BI698">
        <v>0</v>
      </c>
      <c r="BJ698">
        <v>0</v>
      </c>
      <c r="BK698">
        <v>0</v>
      </c>
      <c r="BL698">
        <v>0</v>
      </c>
      <c r="BO698">
        <v>0</v>
      </c>
      <c r="BP698">
        <v>0</v>
      </c>
      <c r="BW698" t="str">
        <f>"18:39:20.251"</f>
        <v>18:39:20.251</v>
      </c>
      <c r="BZ698">
        <v>0</v>
      </c>
      <c r="CA698">
        <v>3488</v>
      </c>
      <c r="CB698">
        <v>216</v>
      </c>
      <c r="CC698">
        <v>583.59379999999999</v>
      </c>
      <c r="CD698">
        <v>1</v>
      </c>
      <c r="CE698">
        <v>1</v>
      </c>
      <c r="CF698">
        <v>0</v>
      </c>
      <c r="CG698">
        <v>1</v>
      </c>
      <c r="CH698">
        <v>0</v>
      </c>
      <c r="CI698">
        <v>0</v>
      </c>
      <c r="CJ698">
        <v>0</v>
      </c>
      <c r="CK698">
        <v>2</v>
      </c>
      <c r="CL698">
        <v>0</v>
      </c>
      <c r="CM698">
        <v>2</v>
      </c>
      <c r="CN698">
        <v>0</v>
      </c>
      <c r="CO698">
        <v>5</v>
      </c>
      <c r="CP698" t="s">
        <v>119</v>
      </c>
      <c r="CQ698">
        <v>145</v>
      </c>
      <c r="CR698">
        <v>1</v>
      </c>
      <c r="CW698">
        <v>8959747</v>
      </c>
      <c r="CY698">
        <v>0</v>
      </c>
      <c r="CZ698">
        <v>0</v>
      </c>
      <c r="DA698">
        <v>0</v>
      </c>
      <c r="DB698">
        <v>0</v>
      </c>
      <c r="DC698">
        <v>0</v>
      </c>
      <c r="DD698">
        <v>0</v>
      </c>
      <c r="DE698">
        <v>0</v>
      </c>
      <c r="DF698">
        <v>0</v>
      </c>
      <c r="DG698">
        <v>0</v>
      </c>
      <c r="DH698">
        <v>0</v>
      </c>
      <c r="DI698">
        <v>0</v>
      </c>
    </row>
    <row r="699" spans="1:113" x14ac:dyDescent="0.3">
      <c r="A699" t="str">
        <f>"02/13/2022 18:39:20.567"</f>
        <v>02/13/2022 18:39:20.567</v>
      </c>
      <c r="C699" t="str">
        <f t="shared" si="69"/>
        <v>FFDFD7C0</v>
      </c>
      <c r="D699" t="s">
        <v>113</v>
      </c>
      <c r="E699">
        <v>4</v>
      </c>
      <c r="F699">
        <v>1004</v>
      </c>
      <c r="G699" t="s">
        <v>120</v>
      </c>
      <c r="J699" t="s">
        <v>115</v>
      </c>
      <c r="K699">
        <v>0</v>
      </c>
      <c r="L699">
        <v>3</v>
      </c>
      <c r="M699">
        <v>0</v>
      </c>
      <c r="N699">
        <v>2</v>
      </c>
      <c r="O699">
        <v>1</v>
      </c>
      <c r="P699">
        <v>0</v>
      </c>
      <c r="Q699">
        <v>0</v>
      </c>
      <c r="S699" t="str">
        <f>"18:39:20.250"</f>
        <v>18:39:20.250</v>
      </c>
      <c r="T699" t="str">
        <f>"18:39:19.850"</f>
        <v>18:39:19.850</v>
      </c>
      <c r="U699" t="str">
        <f t="shared" si="68"/>
        <v>AAB6EE</v>
      </c>
      <c r="V699">
        <v>0</v>
      </c>
      <c r="W699">
        <v>0</v>
      </c>
      <c r="X699">
        <v>4</v>
      </c>
      <c r="Z699">
        <v>0</v>
      </c>
      <c r="AA699">
        <v>8</v>
      </c>
      <c r="AB699">
        <v>3</v>
      </c>
      <c r="AC699">
        <v>0</v>
      </c>
      <c r="AD699">
        <v>10</v>
      </c>
      <c r="AE699">
        <v>0</v>
      </c>
      <c r="AF699">
        <v>0</v>
      </c>
      <c r="AG699">
        <v>2</v>
      </c>
      <c r="AH699">
        <v>1</v>
      </c>
      <c r="AI699" t="s">
        <v>587</v>
      </c>
      <c r="AJ699">
        <v>35.387842999999997</v>
      </c>
      <c r="AK699" t="s">
        <v>588</v>
      </c>
      <c r="AL699">
        <v>-76.115319999999997</v>
      </c>
      <c r="AM699">
        <v>25</v>
      </c>
      <c r="AN699">
        <v>3425</v>
      </c>
      <c r="AO699" t="s">
        <v>118</v>
      </c>
      <c r="AP699">
        <v>-103</v>
      </c>
      <c r="AQ699">
        <v>-197</v>
      </c>
      <c r="AR699">
        <v>0</v>
      </c>
      <c r="AZ699">
        <v>4516</v>
      </c>
      <c r="BA699">
        <v>1</v>
      </c>
      <c r="BB699" t="str">
        <f t="shared" si="70"/>
        <v xml:space="preserve">N79NX   </v>
      </c>
      <c r="BC699">
        <v>1</v>
      </c>
      <c r="BE699">
        <v>0</v>
      </c>
      <c r="BF699">
        <v>0</v>
      </c>
      <c r="BG699">
        <v>0</v>
      </c>
      <c r="BH699">
        <v>3300</v>
      </c>
      <c r="BI699">
        <v>0</v>
      </c>
      <c r="BJ699">
        <v>0</v>
      </c>
      <c r="BK699">
        <v>0</v>
      </c>
      <c r="BL699">
        <v>0</v>
      </c>
      <c r="BO699">
        <v>0</v>
      </c>
      <c r="BP699">
        <v>0</v>
      </c>
      <c r="BW699" t="str">
        <f>"18:39:20.251"</f>
        <v>18:39:20.251</v>
      </c>
      <c r="BZ699">
        <v>0</v>
      </c>
      <c r="CA699">
        <v>3488</v>
      </c>
      <c r="CB699">
        <v>216</v>
      </c>
      <c r="CC699">
        <v>583.59379999999999</v>
      </c>
      <c r="CD699">
        <v>1</v>
      </c>
      <c r="CE699">
        <v>1</v>
      </c>
      <c r="CF699">
        <v>0</v>
      </c>
      <c r="CG699">
        <v>1</v>
      </c>
      <c r="CH699">
        <v>0</v>
      </c>
      <c r="CI699">
        <v>0</v>
      </c>
      <c r="CJ699">
        <v>0</v>
      </c>
      <c r="CK699">
        <v>2</v>
      </c>
      <c r="CL699">
        <v>0</v>
      </c>
      <c r="CM699">
        <v>2</v>
      </c>
      <c r="CN699">
        <v>0</v>
      </c>
      <c r="CO699">
        <v>5</v>
      </c>
      <c r="CP699" t="s">
        <v>119</v>
      </c>
      <c r="CQ699">
        <v>145</v>
      </c>
      <c r="CR699">
        <v>1</v>
      </c>
      <c r="CW699">
        <v>8959747</v>
      </c>
      <c r="CY699">
        <v>0</v>
      </c>
      <c r="CZ699">
        <v>0</v>
      </c>
      <c r="DA699">
        <v>1</v>
      </c>
      <c r="DB699">
        <v>0</v>
      </c>
      <c r="DC699">
        <v>0</v>
      </c>
      <c r="DD699">
        <v>0</v>
      </c>
      <c r="DE699">
        <v>0</v>
      </c>
      <c r="DF699">
        <v>0</v>
      </c>
      <c r="DG699">
        <v>0</v>
      </c>
      <c r="DH699">
        <v>0</v>
      </c>
      <c r="DI699">
        <v>0</v>
      </c>
    </row>
    <row r="700" spans="1:113" x14ac:dyDescent="0.3">
      <c r="A700" t="str">
        <f>"02/13/2022 18:39:20.598"</f>
        <v>02/13/2022 18:39:20.598</v>
      </c>
      <c r="C700" t="str">
        <f t="shared" si="69"/>
        <v>FFDFD7C0</v>
      </c>
      <c r="D700" t="s">
        <v>121</v>
      </c>
      <c r="E700">
        <v>2</v>
      </c>
      <c r="H700">
        <v>158</v>
      </c>
      <c r="I700" t="s">
        <v>120</v>
      </c>
      <c r="J700" t="s">
        <v>122</v>
      </c>
      <c r="K700">
        <v>0</v>
      </c>
      <c r="L700">
        <v>3</v>
      </c>
      <c r="M700">
        <v>0</v>
      </c>
      <c r="N700">
        <v>2</v>
      </c>
      <c r="O700">
        <v>1</v>
      </c>
      <c r="P700">
        <v>0</v>
      </c>
      <c r="Q700">
        <v>0</v>
      </c>
      <c r="S700" t="str">
        <f>"18:39:20.250"</f>
        <v>18:39:20.250</v>
      </c>
      <c r="T700" t="str">
        <f>"18:39:19.850"</f>
        <v>18:39:19.850</v>
      </c>
      <c r="U700" t="str">
        <f t="shared" si="68"/>
        <v>AAB6EE</v>
      </c>
      <c r="V700">
        <v>0</v>
      </c>
      <c r="W700">
        <v>0</v>
      </c>
      <c r="X700">
        <v>4</v>
      </c>
      <c r="Z700">
        <v>0</v>
      </c>
      <c r="AA700">
        <v>8</v>
      </c>
      <c r="AB700">
        <v>3</v>
      </c>
      <c r="AC700">
        <v>0</v>
      </c>
      <c r="AD700">
        <v>10</v>
      </c>
      <c r="AE700">
        <v>0</v>
      </c>
      <c r="AF700">
        <v>0</v>
      </c>
      <c r="AG700">
        <v>2</v>
      </c>
      <c r="AH700">
        <v>1</v>
      </c>
      <c r="AI700" t="s">
        <v>587</v>
      </c>
      <c r="AJ700">
        <v>35.387842999999997</v>
      </c>
      <c r="AK700" t="s">
        <v>588</v>
      </c>
      <c r="AL700">
        <v>-76.115319999999997</v>
      </c>
      <c r="AM700">
        <v>25</v>
      </c>
      <c r="AN700">
        <v>3425</v>
      </c>
      <c r="AO700" t="s">
        <v>118</v>
      </c>
      <c r="AP700">
        <v>-103</v>
      </c>
      <c r="AQ700">
        <v>-197</v>
      </c>
      <c r="AR700">
        <v>0</v>
      </c>
      <c r="AZ700">
        <v>4516</v>
      </c>
      <c r="BA700">
        <v>1</v>
      </c>
      <c r="BB700" t="str">
        <f t="shared" si="70"/>
        <v xml:space="preserve">N79NX   </v>
      </c>
      <c r="BC700">
        <v>1</v>
      </c>
      <c r="BE700">
        <v>0</v>
      </c>
      <c r="BF700">
        <v>0</v>
      </c>
      <c r="BG700">
        <v>0</v>
      </c>
      <c r="BH700">
        <v>3300</v>
      </c>
      <c r="BI700">
        <v>0</v>
      </c>
      <c r="BJ700">
        <v>0</v>
      </c>
      <c r="BK700">
        <v>0</v>
      </c>
      <c r="BL700">
        <v>0</v>
      </c>
      <c r="BO700">
        <v>0</v>
      </c>
      <c r="BP700">
        <v>0</v>
      </c>
      <c r="BW700" t="str">
        <f>"18:39:20.251"</f>
        <v>18:39:20.251</v>
      </c>
      <c r="BZ700">
        <v>0</v>
      </c>
      <c r="CA700">
        <v>3488</v>
      </c>
      <c r="CB700">
        <v>216</v>
      </c>
      <c r="CC700">
        <v>583.59379999999999</v>
      </c>
      <c r="CD700">
        <v>1</v>
      </c>
      <c r="CE700">
        <v>1</v>
      </c>
      <c r="CF700">
        <v>0</v>
      </c>
      <c r="CG700">
        <v>1</v>
      </c>
      <c r="CH700">
        <v>0</v>
      </c>
      <c r="CI700">
        <v>0</v>
      </c>
      <c r="CJ700">
        <v>0</v>
      </c>
      <c r="CK700">
        <v>2</v>
      </c>
      <c r="CL700">
        <v>0</v>
      </c>
      <c r="CM700">
        <v>2</v>
      </c>
      <c r="CN700">
        <v>0</v>
      </c>
      <c r="CO700">
        <v>5</v>
      </c>
      <c r="CP700" t="s">
        <v>119</v>
      </c>
      <c r="CQ700">
        <v>145</v>
      </c>
      <c r="CR700">
        <v>1</v>
      </c>
      <c r="CW700">
        <v>8959747</v>
      </c>
      <c r="CY700">
        <v>0</v>
      </c>
      <c r="CZ700">
        <v>0</v>
      </c>
      <c r="DA700">
        <v>1</v>
      </c>
      <c r="DB700">
        <v>0</v>
      </c>
      <c r="DC700">
        <v>0</v>
      </c>
      <c r="DD700">
        <v>0</v>
      </c>
      <c r="DE700">
        <v>0</v>
      </c>
      <c r="DF700">
        <v>0</v>
      </c>
      <c r="DG700">
        <v>0</v>
      </c>
      <c r="DH700">
        <v>0</v>
      </c>
      <c r="DI700">
        <v>0</v>
      </c>
    </row>
    <row r="701" spans="1:113" x14ac:dyDescent="0.3">
      <c r="A701" t="str">
        <f>"02/13/2022 18:39:21.489"</f>
        <v>02/13/2022 18:39:21.489</v>
      </c>
      <c r="C701" t="str">
        <f t="shared" si="69"/>
        <v>FFDFD7C0</v>
      </c>
      <c r="D701" t="s">
        <v>113</v>
      </c>
      <c r="E701">
        <v>3</v>
      </c>
      <c r="F701">
        <v>1003</v>
      </c>
      <c r="G701" t="s">
        <v>114</v>
      </c>
      <c r="J701" t="s">
        <v>115</v>
      </c>
      <c r="K701">
        <v>0</v>
      </c>
      <c r="L701">
        <v>3</v>
      </c>
      <c r="M701">
        <v>0</v>
      </c>
      <c r="N701">
        <v>2</v>
      </c>
      <c r="O701">
        <v>1</v>
      </c>
      <c r="P701">
        <v>0</v>
      </c>
      <c r="Q701">
        <v>0</v>
      </c>
      <c r="S701" t="str">
        <f>"18:39:21.258"</f>
        <v>18:39:21.258</v>
      </c>
      <c r="T701" t="str">
        <f>"18:39:20.858"</f>
        <v>18:39:20.858</v>
      </c>
      <c r="U701" t="str">
        <f t="shared" si="68"/>
        <v>AAB6EE</v>
      </c>
      <c r="V701">
        <v>0</v>
      </c>
      <c r="W701">
        <v>0</v>
      </c>
      <c r="X701">
        <v>4</v>
      </c>
      <c r="Z701">
        <v>0</v>
      </c>
      <c r="AA701">
        <v>8</v>
      </c>
      <c r="AB701">
        <v>3</v>
      </c>
      <c r="AC701">
        <v>0</v>
      </c>
      <c r="AD701">
        <v>10</v>
      </c>
      <c r="AE701">
        <v>0</v>
      </c>
      <c r="AF701">
        <v>0</v>
      </c>
      <c r="AG701">
        <v>2</v>
      </c>
      <c r="AH701">
        <v>1</v>
      </c>
      <c r="AI701" t="s">
        <v>589</v>
      </c>
      <c r="AJ701">
        <v>35.386963000000002</v>
      </c>
      <c r="AK701" t="s">
        <v>590</v>
      </c>
      <c r="AL701">
        <v>-76.115921</v>
      </c>
      <c r="AM701">
        <v>25</v>
      </c>
      <c r="AN701">
        <v>3425</v>
      </c>
      <c r="AO701" t="s">
        <v>118</v>
      </c>
      <c r="AP701">
        <v>-103</v>
      </c>
      <c r="AQ701">
        <v>-197</v>
      </c>
      <c r="AR701">
        <v>0</v>
      </c>
      <c r="AZ701">
        <v>4516</v>
      </c>
      <c r="BA701">
        <v>1</v>
      </c>
      <c r="BB701" t="str">
        <f t="shared" si="70"/>
        <v xml:space="preserve">N79NX   </v>
      </c>
      <c r="BC701">
        <v>1</v>
      </c>
      <c r="BE701">
        <v>0</v>
      </c>
      <c r="BF701">
        <v>0</v>
      </c>
      <c r="BG701">
        <v>0</v>
      </c>
      <c r="BH701">
        <v>3275</v>
      </c>
      <c r="BI701">
        <v>0</v>
      </c>
      <c r="BJ701">
        <v>0</v>
      </c>
      <c r="BK701">
        <v>0</v>
      </c>
      <c r="BL701">
        <v>0</v>
      </c>
      <c r="BO701">
        <v>0</v>
      </c>
      <c r="BP701">
        <v>0</v>
      </c>
      <c r="BW701" t="str">
        <f>"18:39:21.261"</f>
        <v>18:39:21.261</v>
      </c>
      <c r="BZ701">
        <v>0</v>
      </c>
      <c r="CA701">
        <v>3488</v>
      </c>
      <c r="CB701">
        <v>216</v>
      </c>
      <c r="CC701">
        <v>583.59379999999999</v>
      </c>
      <c r="CD701">
        <v>1</v>
      </c>
      <c r="CE701">
        <v>1</v>
      </c>
      <c r="CF701">
        <v>0</v>
      </c>
      <c r="CG701">
        <v>1</v>
      </c>
      <c r="CH701">
        <v>0</v>
      </c>
      <c r="CI701">
        <v>0</v>
      </c>
      <c r="CJ701">
        <v>0</v>
      </c>
      <c r="CK701">
        <v>2</v>
      </c>
      <c r="CL701">
        <v>0</v>
      </c>
      <c r="CM701">
        <v>2</v>
      </c>
      <c r="CN701">
        <v>0</v>
      </c>
      <c r="CO701">
        <v>5</v>
      </c>
      <c r="CP701" t="s">
        <v>119</v>
      </c>
      <c r="CQ701">
        <v>145</v>
      </c>
      <c r="CR701">
        <v>1</v>
      </c>
      <c r="CW701">
        <v>8960280</v>
      </c>
      <c r="CY701">
        <v>0</v>
      </c>
      <c r="CZ701">
        <v>0</v>
      </c>
      <c r="DA701">
        <v>0</v>
      </c>
      <c r="DB701">
        <v>0</v>
      </c>
      <c r="DC701">
        <v>0</v>
      </c>
      <c r="DD701">
        <v>0</v>
      </c>
      <c r="DE701">
        <v>0</v>
      </c>
      <c r="DF701">
        <v>0</v>
      </c>
      <c r="DG701">
        <v>0</v>
      </c>
      <c r="DH701">
        <v>0</v>
      </c>
      <c r="DI701">
        <v>0</v>
      </c>
    </row>
    <row r="702" spans="1:113" x14ac:dyDescent="0.3">
      <c r="A702" t="str">
        <f>"02/13/2022 18:39:21.489"</f>
        <v>02/13/2022 18:39:21.489</v>
      </c>
      <c r="C702" t="str">
        <f t="shared" si="69"/>
        <v>FFDFD7C0</v>
      </c>
      <c r="D702" t="s">
        <v>113</v>
      </c>
      <c r="E702">
        <v>4</v>
      </c>
      <c r="F702">
        <v>1004</v>
      </c>
      <c r="G702" t="s">
        <v>120</v>
      </c>
      <c r="J702" t="s">
        <v>115</v>
      </c>
      <c r="K702">
        <v>0</v>
      </c>
      <c r="L702">
        <v>3</v>
      </c>
      <c r="M702">
        <v>0</v>
      </c>
      <c r="N702">
        <v>2</v>
      </c>
      <c r="O702">
        <v>1</v>
      </c>
      <c r="P702">
        <v>0</v>
      </c>
      <c r="Q702">
        <v>0</v>
      </c>
      <c r="S702" t="str">
        <f>"18:39:21.258"</f>
        <v>18:39:21.258</v>
      </c>
      <c r="T702" t="str">
        <f>"18:39:20.858"</f>
        <v>18:39:20.858</v>
      </c>
      <c r="U702" t="str">
        <f t="shared" si="68"/>
        <v>AAB6EE</v>
      </c>
      <c r="V702">
        <v>0</v>
      </c>
      <c r="W702">
        <v>0</v>
      </c>
      <c r="X702">
        <v>4</v>
      </c>
      <c r="Z702">
        <v>0</v>
      </c>
      <c r="AA702">
        <v>8</v>
      </c>
      <c r="AB702">
        <v>3</v>
      </c>
      <c r="AC702">
        <v>0</v>
      </c>
      <c r="AD702">
        <v>10</v>
      </c>
      <c r="AE702">
        <v>0</v>
      </c>
      <c r="AF702">
        <v>0</v>
      </c>
      <c r="AG702">
        <v>2</v>
      </c>
      <c r="AH702">
        <v>1</v>
      </c>
      <c r="AI702" t="s">
        <v>589</v>
      </c>
      <c r="AJ702">
        <v>35.386963000000002</v>
      </c>
      <c r="AK702" t="s">
        <v>590</v>
      </c>
      <c r="AL702">
        <v>-76.115921</v>
      </c>
      <c r="AM702">
        <v>25</v>
      </c>
      <c r="AN702">
        <v>3425</v>
      </c>
      <c r="AO702" t="s">
        <v>118</v>
      </c>
      <c r="AP702">
        <v>-103</v>
      </c>
      <c r="AQ702">
        <v>-197</v>
      </c>
      <c r="AR702">
        <v>0</v>
      </c>
      <c r="AZ702">
        <v>4516</v>
      </c>
      <c r="BA702">
        <v>1</v>
      </c>
      <c r="BB702" t="str">
        <f t="shared" si="70"/>
        <v xml:space="preserve">N79NX   </v>
      </c>
      <c r="BC702">
        <v>1</v>
      </c>
      <c r="BE702">
        <v>0</v>
      </c>
      <c r="BF702">
        <v>0</v>
      </c>
      <c r="BG702">
        <v>0</v>
      </c>
      <c r="BH702">
        <v>3275</v>
      </c>
      <c r="BI702">
        <v>0</v>
      </c>
      <c r="BJ702">
        <v>0</v>
      </c>
      <c r="BK702">
        <v>0</v>
      </c>
      <c r="BL702">
        <v>0</v>
      </c>
      <c r="BO702">
        <v>0</v>
      </c>
      <c r="BP702">
        <v>0</v>
      </c>
      <c r="BW702" t="str">
        <f>"18:39:21.261"</f>
        <v>18:39:21.261</v>
      </c>
      <c r="BZ702">
        <v>0</v>
      </c>
      <c r="CA702">
        <v>3488</v>
      </c>
      <c r="CB702">
        <v>216</v>
      </c>
      <c r="CC702">
        <v>583.59379999999999</v>
      </c>
      <c r="CD702">
        <v>1</v>
      </c>
      <c r="CE702">
        <v>1</v>
      </c>
      <c r="CF702">
        <v>0</v>
      </c>
      <c r="CG702">
        <v>1</v>
      </c>
      <c r="CH702">
        <v>0</v>
      </c>
      <c r="CI702">
        <v>0</v>
      </c>
      <c r="CJ702">
        <v>0</v>
      </c>
      <c r="CK702">
        <v>2</v>
      </c>
      <c r="CL702">
        <v>0</v>
      </c>
      <c r="CM702">
        <v>2</v>
      </c>
      <c r="CN702">
        <v>0</v>
      </c>
      <c r="CO702">
        <v>5</v>
      </c>
      <c r="CP702" t="s">
        <v>119</v>
      </c>
      <c r="CQ702">
        <v>145</v>
      </c>
      <c r="CR702">
        <v>1</v>
      </c>
      <c r="CW702">
        <v>8960280</v>
      </c>
      <c r="CY702">
        <v>0</v>
      </c>
      <c r="CZ702">
        <v>0</v>
      </c>
      <c r="DA702">
        <v>1</v>
      </c>
      <c r="DB702">
        <v>0</v>
      </c>
      <c r="DC702">
        <v>0</v>
      </c>
      <c r="DD702">
        <v>0</v>
      </c>
      <c r="DE702">
        <v>0</v>
      </c>
      <c r="DF702">
        <v>0</v>
      </c>
      <c r="DG702">
        <v>0</v>
      </c>
      <c r="DH702">
        <v>0</v>
      </c>
      <c r="DI702">
        <v>0</v>
      </c>
    </row>
    <row r="703" spans="1:113" x14ac:dyDescent="0.3">
      <c r="A703" t="str">
        <f>"02/13/2022 18:39:21.489"</f>
        <v>02/13/2022 18:39:21.489</v>
      </c>
      <c r="C703" t="str">
        <f t="shared" si="69"/>
        <v>FFDFD7C0</v>
      </c>
      <c r="D703" t="s">
        <v>121</v>
      </c>
      <c r="E703">
        <v>2</v>
      </c>
      <c r="H703">
        <v>158</v>
      </c>
      <c r="I703" t="s">
        <v>120</v>
      </c>
      <c r="J703" t="s">
        <v>122</v>
      </c>
      <c r="K703">
        <v>0</v>
      </c>
      <c r="L703">
        <v>3</v>
      </c>
      <c r="M703">
        <v>0</v>
      </c>
      <c r="N703">
        <v>2</v>
      </c>
      <c r="O703">
        <v>1</v>
      </c>
      <c r="P703">
        <v>0</v>
      </c>
      <c r="Q703">
        <v>0</v>
      </c>
      <c r="S703" t="str">
        <f>"18:39:21.258"</f>
        <v>18:39:21.258</v>
      </c>
      <c r="T703" t="str">
        <f>"18:39:20.858"</f>
        <v>18:39:20.858</v>
      </c>
      <c r="U703" t="str">
        <f t="shared" si="68"/>
        <v>AAB6EE</v>
      </c>
      <c r="V703">
        <v>0</v>
      </c>
      <c r="W703">
        <v>0</v>
      </c>
      <c r="X703">
        <v>4</v>
      </c>
      <c r="Z703">
        <v>0</v>
      </c>
      <c r="AA703">
        <v>8</v>
      </c>
      <c r="AB703">
        <v>3</v>
      </c>
      <c r="AC703">
        <v>0</v>
      </c>
      <c r="AD703">
        <v>10</v>
      </c>
      <c r="AE703">
        <v>0</v>
      </c>
      <c r="AF703">
        <v>0</v>
      </c>
      <c r="AG703">
        <v>2</v>
      </c>
      <c r="AH703">
        <v>1</v>
      </c>
      <c r="AI703" t="s">
        <v>589</v>
      </c>
      <c r="AJ703">
        <v>35.386963000000002</v>
      </c>
      <c r="AK703" t="s">
        <v>590</v>
      </c>
      <c r="AL703">
        <v>-76.115921</v>
      </c>
      <c r="AM703">
        <v>25</v>
      </c>
      <c r="AN703">
        <v>3425</v>
      </c>
      <c r="AO703" t="s">
        <v>118</v>
      </c>
      <c r="AP703">
        <v>-103</v>
      </c>
      <c r="AQ703">
        <v>-197</v>
      </c>
      <c r="AR703">
        <v>0</v>
      </c>
      <c r="AZ703">
        <v>4516</v>
      </c>
      <c r="BA703">
        <v>1</v>
      </c>
      <c r="BB703" t="str">
        <f t="shared" si="70"/>
        <v xml:space="preserve">N79NX   </v>
      </c>
      <c r="BC703">
        <v>1</v>
      </c>
      <c r="BE703">
        <v>0</v>
      </c>
      <c r="BF703">
        <v>0</v>
      </c>
      <c r="BG703">
        <v>0</v>
      </c>
      <c r="BH703">
        <v>3275</v>
      </c>
      <c r="BI703">
        <v>0</v>
      </c>
      <c r="BJ703">
        <v>0</v>
      </c>
      <c r="BK703">
        <v>0</v>
      </c>
      <c r="BL703">
        <v>0</v>
      </c>
      <c r="BO703">
        <v>0</v>
      </c>
      <c r="BP703">
        <v>0</v>
      </c>
      <c r="BW703" t="str">
        <f>"18:39:21.261"</f>
        <v>18:39:21.261</v>
      </c>
      <c r="BZ703">
        <v>0</v>
      </c>
      <c r="CA703">
        <v>3488</v>
      </c>
      <c r="CB703">
        <v>216</v>
      </c>
      <c r="CC703">
        <v>583.59379999999999</v>
      </c>
      <c r="CD703">
        <v>1</v>
      </c>
      <c r="CE703">
        <v>1</v>
      </c>
      <c r="CF703">
        <v>0</v>
      </c>
      <c r="CG703">
        <v>1</v>
      </c>
      <c r="CH703">
        <v>0</v>
      </c>
      <c r="CI703">
        <v>0</v>
      </c>
      <c r="CJ703">
        <v>0</v>
      </c>
      <c r="CK703">
        <v>2</v>
      </c>
      <c r="CL703">
        <v>0</v>
      </c>
      <c r="CM703">
        <v>2</v>
      </c>
      <c r="CN703">
        <v>0</v>
      </c>
      <c r="CO703">
        <v>5</v>
      </c>
      <c r="CP703" t="s">
        <v>119</v>
      </c>
      <c r="CQ703">
        <v>145</v>
      </c>
      <c r="CR703">
        <v>1</v>
      </c>
      <c r="CW703">
        <v>8960280</v>
      </c>
      <c r="CY703">
        <v>0</v>
      </c>
      <c r="CZ703">
        <v>0</v>
      </c>
      <c r="DA703">
        <v>1</v>
      </c>
      <c r="DB703">
        <v>0</v>
      </c>
      <c r="DC703">
        <v>0</v>
      </c>
      <c r="DD703">
        <v>0</v>
      </c>
      <c r="DE703">
        <v>0</v>
      </c>
      <c r="DF703">
        <v>0</v>
      </c>
      <c r="DG703">
        <v>0</v>
      </c>
      <c r="DH703">
        <v>0</v>
      </c>
      <c r="DI703">
        <v>0</v>
      </c>
    </row>
    <row r="704" spans="1:113" x14ac:dyDescent="0.3">
      <c r="A704" t="str">
        <f>"02/13/2022 18:39:22.645"</f>
        <v>02/13/2022 18:39:22.645</v>
      </c>
      <c r="C704" t="str">
        <f t="shared" si="69"/>
        <v>FFDFD7C0</v>
      </c>
      <c r="D704" t="s">
        <v>113</v>
      </c>
      <c r="E704">
        <v>3</v>
      </c>
      <c r="F704">
        <v>1003</v>
      </c>
      <c r="G704" t="s">
        <v>114</v>
      </c>
      <c r="J704" t="s">
        <v>115</v>
      </c>
      <c r="K704">
        <v>0</v>
      </c>
      <c r="L704">
        <v>3</v>
      </c>
      <c r="M704">
        <v>0</v>
      </c>
      <c r="N704">
        <v>2</v>
      </c>
      <c r="O704">
        <v>1</v>
      </c>
      <c r="P704">
        <v>0</v>
      </c>
      <c r="Q704">
        <v>0</v>
      </c>
      <c r="S704" t="str">
        <f>"18:39:22.414"</f>
        <v>18:39:22.414</v>
      </c>
      <c r="T704" t="str">
        <f>"18:39:22.014"</f>
        <v>18:39:22.014</v>
      </c>
      <c r="U704" t="str">
        <f t="shared" si="68"/>
        <v>AAB6EE</v>
      </c>
      <c r="V704">
        <v>0</v>
      </c>
      <c r="W704">
        <v>0</v>
      </c>
      <c r="X704">
        <v>4</v>
      </c>
      <c r="Z704">
        <v>0</v>
      </c>
      <c r="AA704">
        <v>8</v>
      </c>
      <c r="AB704">
        <v>3</v>
      </c>
      <c r="AC704">
        <v>0</v>
      </c>
      <c r="AD704">
        <v>10</v>
      </c>
      <c r="AE704">
        <v>0</v>
      </c>
      <c r="AF704">
        <v>0</v>
      </c>
      <c r="AG704">
        <v>2</v>
      </c>
      <c r="AH704">
        <v>1</v>
      </c>
      <c r="AI704" t="s">
        <v>591</v>
      </c>
      <c r="AJ704">
        <v>35.385846999999998</v>
      </c>
      <c r="AK704" t="s">
        <v>592</v>
      </c>
      <c r="AL704">
        <v>-76.116607000000002</v>
      </c>
      <c r="AM704">
        <v>25</v>
      </c>
      <c r="AN704">
        <v>3425</v>
      </c>
      <c r="AO704" t="s">
        <v>118</v>
      </c>
      <c r="AP704">
        <v>-103</v>
      </c>
      <c r="AQ704">
        <v>-197</v>
      </c>
      <c r="AR704">
        <v>0</v>
      </c>
      <c r="AZ704">
        <v>4516</v>
      </c>
      <c r="BA704">
        <v>1</v>
      </c>
      <c r="BB704" t="str">
        <f t="shared" si="70"/>
        <v xml:space="preserve">N79NX   </v>
      </c>
      <c r="BC704">
        <v>1</v>
      </c>
      <c r="BE704">
        <v>0</v>
      </c>
      <c r="BF704">
        <v>0</v>
      </c>
      <c r="BG704">
        <v>0</v>
      </c>
      <c r="BH704">
        <v>3275</v>
      </c>
      <c r="BI704">
        <v>0</v>
      </c>
      <c r="BJ704">
        <v>0</v>
      </c>
      <c r="BK704">
        <v>0</v>
      </c>
      <c r="BL704">
        <v>0</v>
      </c>
      <c r="BO704">
        <v>0</v>
      </c>
      <c r="BP704">
        <v>0</v>
      </c>
      <c r="BW704" t="str">
        <f>"18:39:22.421"</f>
        <v>18:39:22.421</v>
      </c>
      <c r="BZ704">
        <v>0</v>
      </c>
      <c r="CA704">
        <v>3488</v>
      </c>
      <c r="CB704">
        <v>216</v>
      </c>
      <c r="CC704">
        <v>583.59379999999999</v>
      </c>
      <c r="CD704">
        <v>1</v>
      </c>
      <c r="CE704">
        <v>1</v>
      </c>
      <c r="CF704">
        <v>0</v>
      </c>
      <c r="CG704">
        <v>1</v>
      </c>
      <c r="CH704">
        <v>0</v>
      </c>
      <c r="CI704">
        <v>0</v>
      </c>
      <c r="CJ704">
        <v>0</v>
      </c>
      <c r="CK704">
        <v>2</v>
      </c>
      <c r="CL704">
        <v>0</v>
      </c>
      <c r="CM704">
        <v>2</v>
      </c>
      <c r="CN704">
        <v>0</v>
      </c>
      <c r="CO704">
        <v>5</v>
      </c>
      <c r="CP704" t="s">
        <v>119</v>
      </c>
      <c r="CQ704">
        <v>145</v>
      </c>
      <c r="CR704">
        <v>1</v>
      </c>
      <c r="CW704">
        <v>8960767</v>
      </c>
      <c r="CY704">
        <v>0</v>
      </c>
      <c r="CZ704">
        <v>0</v>
      </c>
      <c r="DA704">
        <v>0</v>
      </c>
      <c r="DB704">
        <v>0</v>
      </c>
      <c r="DC704">
        <v>0</v>
      </c>
      <c r="DD704">
        <v>0</v>
      </c>
      <c r="DE704">
        <v>0</v>
      </c>
      <c r="DF704">
        <v>0</v>
      </c>
      <c r="DG704">
        <v>0</v>
      </c>
      <c r="DH704">
        <v>0</v>
      </c>
      <c r="DI704">
        <v>0</v>
      </c>
    </row>
    <row r="705" spans="1:113" x14ac:dyDescent="0.3">
      <c r="A705" t="str">
        <f>"02/13/2022 18:39:22.645"</f>
        <v>02/13/2022 18:39:22.645</v>
      </c>
      <c r="C705" t="str">
        <f t="shared" si="69"/>
        <v>FFDFD7C0</v>
      </c>
      <c r="D705" t="s">
        <v>113</v>
      </c>
      <c r="E705">
        <v>4</v>
      </c>
      <c r="F705">
        <v>1004</v>
      </c>
      <c r="G705" t="s">
        <v>120</v>
      </c>
      <c r="J705" t="s">
        <v>115</v>
      </c>
      <c r="K705">
        <v>0</v>
      </c>
      <c r="L705">
        <v>3</v>
      </c>
      <c r="M705">
        <v>0</v>
      </c>
      <c r="N705">
        <v>2</v>
      </c>
      <c r="O705">
        <v>1</v>
      </c>
      <c r="P705">
        <v>0</v>
      </c>
      <c r="Q705">
        <v>0</v>
      </c>
      <c r="S705" t="str">
        <f>"18:39:22.414"</f>
        <v>18:39:22.414</v>
      </c>
      <c r="T705" t="str">
        <f>"18:39:22.014"</f>
        <v>18:39:22.014</v>
      </c>
      <c r="U705" t="str">
        <f t="shared" si="68"/>
        <v>AAB6EE</v>
      </c>
      <c r="V705">
        <v>0</v>
      </c>
      <c r="W705">
        <v>0</v>
      </c>
      <c r="X705">
        <v>4</v>
      </c>
      <c r="Z705">
        <v>0</v>
      </c>
      <c r="AA705">
        <v>8</v>
      </c>
      <c r="AB705">
        <v>3</v>
      </c>
      <c r="AC705">
        <v>0</v>
      </c>
      <c r="AD705">
        <v>10</v>
      </c>
      <c r="AE705">
        <v>0</v>
      </c>
      <c r="AF705">
        <v>0</v>
      </c>
      <c r="AG705">
        <v>2</v>
      </c>
      <c r="AH705">
        <v>1</v>
      </c>
      <c r="AI705" t="s">
        <v>591</v>
      </c>
      <c r="AJ705">
        <v>35.385846999999998</v>
      </c>
      <c r="AK705" t="s">
        <v>592</v>
      </c>
      <c r="AL705">
        <v>-76.116607000000002</v>
      </c>
      <c r="AM705">
        <v>25</v>
      </c>
      <c r="AN705">
        <v>3425</v>
      </c>
      <c r="AO705" t="s">
        <v>118</v>
      </c>
      <c r="AP705">
        <v>-103</v>
      </c>
      <c r="AQ705">
        <v>-197</v>
      </c>
      <c r="AR705">
        <v>0</v>
      </c>
      <c r="AZ705">
        <v>4516</v>
      </c>
      <c r="BA705">
        <v>1</v>
      </c>
      <c r="BB705" t="str">
        <f t="shared" si="70"/>
        <v xml:space="preserve">N79NX   </v>
      </c>
      <c r="BC705">
        <v>1</v>
      </c>
      <c r="BE705">
        <v>0</v>
      </c>
      <c r="BF705">
        <v>0</v>
      </c>
      <c r="BG705">
        <v>0</v>
      </c>
      <c r="BH705">
        <v>3275</v>
      </c>
      <c r="BI705">
        <v>0</v>
      </c>
      <c r="BJ705">
        <v>0</v>
      </c>
      <c r="BK705">
        <v>0</v>
      </c>
      <c r="BL705">
        <v>0</v>
      </c>
      <c r="BO705">
        <v>0</v>
      </c>
      <c r="BP705">
        <v>0</v>
      </c>
      <c r="BW705" t="str">
        <f>"18:39:22.421"</f>
        <v>18:39:22.421</v>
      </c>
      <c r="BZ705">
        <v>0</v>
      </c>
      <c r="CA705">
        <v>3488</v>
      </c>
      <c r="CB705">
        <v>216</v>
      </c>
      <c r="CC705">
        <v>583.59379999999999</v>
      </c>
      <c r="CD705">
        <v>1</v>
      </c>
      <c r="CE705">
        <v>1</v>
      </c>
      <c r="CF705">
        <v>0</v>
      </c>
      <c r="CG705">
        <v>1</v>
      </c>
      <c r="CH705">
        <v>0</v>
      </c>
      <c r="CI705">
        <v>0</v>
      </c>
      <c r="CJ705">
        <v>0</v>
      </c>
      <c r="CK705">
        <v>2</v>
      </c>
      <c r="CL705">
        <v>0</v>
      </c>
      <c r="CM705">
        <v>2</v>
      </c>
      <c r="CN705">
        <v>0</v>
      </c>
      <c r="CO705">
        <v>5</v>
      </c>
      <c r="CP705" t="s">
        <v>119</v>
      </c>
      <c r="CQ705">
        <v>145</v>
      </c>
      <c r="CR705">
        <v>1</v>
      </c>
      <c r="CW705">
        <v>8960767</v>
      </c>
      <c r="CY705">
        <v>0</v>
      </c>
      <c r="CZ705">
        <v>0</v>
      </c>
      <c r="DA705">
        <v>1</v>
      </c>
      <c r="DB705">
        <v>0</v>
      </c>
      <c r="DC705">
        <v>0</v>
      </c>
      <c r="DD705">
        <v>0</v>
      </c>
      <c r="DE705">
        <v>0</v>
      </c>
      <c r="DF705">
        <v>0</v>
      </c>
      <c r="DG705">
        <v>0</v>
      </c>
      <c r="DH705">
        <v>0</v>
      </c>
      <c r="DI705">
        <v>0</v>
      </c>
    </row>
    <row r="706" spans="1:113" x14ac:dyDescent="0.3">
      <c r="A706" t="str">
        <f>"02/13/2022 18:39:22.692"</f>
        <v>02/13/2022 18:39:22.692</v>
      </c>
      <c r="C706" t="str">
        <f t="shared" si="69"/>
        <v>FFDFD7C0</v>
      </c>
      <c r="D706" t="s">
        <v>121</v>
      </c>
      <c r="E706">
        <v>2</v>
      </c>
      <c r="H706">
        <v>158</v>
      </c>
      <c r="I706" t="s">
        <v>120</v>
      </c>
      <c r="J706" t="s">
        <v>122</v>
      </c>
      <c r="K706">
        <v>0</v>
      </c>
      <c r="L706">
        <v>3</v>
      </c>
      <c r="M706">
        <v>0</v>
      </c>
      <c r="N706">
        <v>2</v>
      </c>
      <c r="O706">
        <v>1</v>
      </c>
      <c r="P706">
        <v>0</v>
      </c>
      <c r="Q706">
        <v>0</v>
      </c>
      <c r="S706" t="str">
        <f>"18:39:22.414"</f>
        <v>18:39:22.414</v>
      </c>
      <c r="T706" t="str">
        <f>"18:39:22.014"</f>
        <v>18:39:22.014</v>
      </c>
      <c r="U706" t="str">
        <f t="shared" ref="U706:U769" si="76">"AAB6EE"</f>
        <v>AAB6EE</v>
      </c>
      <c r="V706">
        <v>0</v>
      </c>
      <c r="W706">
        <v>0</v>
      </c>
      <c r="X706">
        <v>4</v>
      </c>
      <c r="Z706">
        <v>0</v>
      </c>
      <c r="AA706">
        <v>8</v>
      </c>
      <c r="AB706">
        <v>3</v>
      </c>
      <c r="AC706">
        <v>0</v>
      </c>
      <c r="AD706">
        <v>10</v>
      </c>
      <c r="AE706">
        <v>0</v>
      </c>
      <c r="AF706">
        <v>0</v>
      </c>
      <c r="AG706">
        <v>2</v>
      </c>
      <c r="AH706">
        <v>1</v>
      </c>
      <c r="AI706" t="s">
        <v>591</v>
      </c>
      <c r="AJ706">
        <v>35.385846999999998</v>
      </c>
      <c r="AK706" t="s">
        <v>592</v>
      </c>
      <c r="AL706">
        <v>-76.116607000000002</v>
      </c>
      <c r="AM706">
        <v>25</v>
      </c>
      <c r="AN706">
        <v>3425</v>
      </c>
      <c r="AO706" t="s">
        <v>118</v>
      </c>
      <c r="AP706">
        <v>-103</v>
      </c>
      <c r="AQ706">
        <v>-197</v>
      </c>
      <c r="AR706">
        <v>0</v>
      </c>
      <c r="AZ706">
        <v>4516</v>
      </c>
      <c r="BA706">
        <v>1</v>
      </c>
      <c r="BB706" t="str">
        <f t="shared" si="70"/>
        <v xml:space="preserve">N79NX   </v>
      </c>
      <c r="BC706">
        <v>1</v>
      </c>
      <c r="BE706">
        <v>0</v>
      </c>
      <c r="BF706">
        <v>0</v>
      </c>
      <c r="BG706">
        <v>0</v>
      </c>
      <c r="BH706">
        <v>3275</v>
      </c>
      <c r="BI706">
        <v>0</v>
      </c>
      <c r="BJ706">
        <v>0</v>
      </c>
      <c r="BK706">
        <v>0</v>
      </c>
      <c r="BL706">
        <v>0</v>
      </c>
      <c r="BO706">
        <v>0</v>
      </c>
      <c r="BP706">
        <v>0</v>
      </c>
      <c r="BW706" t="str">
        <f>"18:39:22.421"</f>
        <v>18:39:22.421</v>
      </c>
      <c r="BZ706">
        <v>0</v>
      </c>
      <c r="CA706">
        <v>3488</v>
      </c>
      <c r="CB706">
        <v>216</v>
      </c>
      <c r="CC706">
        <v>583.59379999999999</v>
      </c>
      <c r="CD706">
        <v>1</v>
      </c>
      <c r="CE706">
        <v>1</v>
      </c>
      <c r="CF706">
        <v>0</v>
      </c>
      <c r="CG706">
        <v>1</v>
      </c>
      <c r="CH706">
        <v>0</v>
      </c>
      <c r="CI706">
        <v>0</v>
      </c>
      <c r="CJ706">
        <v>0</v>
      </c>
      <c r="CK706">
        <v>2</v>
      </c>
      <c r="CL706">
        <v>0</v>
      </c>
      <c r="CM706">
        <v>2</v>
      </c>
      <c r="CN706">
        <v>0</v>
      </c>
      <c r="CO706">
        <v>5</v>
      </c>
      <c r="CP706" t="s">
        <v>119</v>
      </c>
      <c r="CQ706">
        <v>145</v>
      </c>
      <c r="CR706">
        <v>1</v>
      </c>
      <c r="CW706">
        <v>8960767</v>
      </c>
      <c r="CY706">
        <v>0</v>
      </c>
      <c r="CZ706">
        <v>0</v>
      </c>
      <c r="DA706">
        <v>1</v>
      </c>
      <c r="DB706">
        <v>0</v>
      </c>
      <c r="DC706">
        <v>0</v>
      </c>
      <c r="DD706">
        <v>0</v>
      </c>
      <c r="DE706">
        <v>0</v>
      </c>
      <c r="DF706">
        <v>0</v>
      </c>
      <c r="DG706">
        <v>0</v>
      </c>
      <c r="DH706">
        <v>0</v>
      </c>
      <c r="DI706">
        <v>0</v>
      </c>
    </row>
    <row r="707" spans="1:113" x14ac:dyDescent="0.3">
      <c r="A707" t="str">
        <f>"02/13/2022 18:39:23.755"</f>
        <v>02/13/2022 18:39:23.755</v>
      </c>
      <c r="C707" t="str">
        <f t="shared" si="69"/>
        <v>FFDFD7C0</v>
      </c>
      <c r="D707" t="s">
        <v>113</v>
      </c>
      <c r="E707">
        <v>3</v>
      </c>
      <c r="F707">
        <v>1003</v>
      </c>
      <c r="G707" t="s">
        <v>114</v>
      </c>
      <c r="J707" t="s">
        <v>115</v>
      </c>
      <c r="K707">
        <v>0</v>
      </c>
      <c r="L707">
        <v>3</v>
      </c>
      <c r="M707">
        <v>0</v>
      </c>
      <c r="N707">
        <v>2</v>
      </c>
      <c r="O707">
        <v>1</v>
      </c>
      <c r="P707">
        <v>0</v>
      </c>
      <c r="Q707">
        <v>0</v>
      </c>
      <c r="S707" t="str">
        <f>"18:39:23.500"</f>
        <v>18:39:23.500</v>
      </c>
      <c r="T707" t="str">
        <f>"18:39:23.100"</f>
        <v>18:39:23.100</v>
      </c>
      <c r="U707" t="str">
        <f t="shared" si="76"/>
        <v>AAB6EE</v>
      </c>
      <c r="V707">
        <v>0</v>
      </c>
      <c r="W707">
        <v>0</v>
      </c>
      <c r="X707">
        <v>4</v>
      </c>
      <c r="Z707">
        <v>0</v>
      </c>
      <c r="AA707">
        <v>8</v>
      </c>
      <c r="AB707">
        <v>3</v>
      </c>
      <c r="AC707">
        <v>0</v>
      </c>
      <c r="AD707">
        <v>10</v>
      </c>
      <c r="AE707">
        <v>0</v>
      </c>
      <c r="AF707">
        <v>0</v>
      </c>
      <c r="AG707">
        <v>2</v>
      </c>
      <c r="AH707">
        <v>1</v>
      </c>
      <c r="AI707" t="s">
        <v>593</v>
      </c>
      <c r="AJ707">
        <v>35.384967000000003</v>
      </c>
      <c r="AK707" t="s">
        <v>594</v>
      </c>
      <c r="AL707">
        <v>-76.117187000000001</v>
      </c>
      <c r="AM707">
        <v>25</v>
      </c>
      <c r="AN707">
        <v>3425</v>
      </c>
      <c r="AO707" t="s">
        <v>118</v>
      </c>
      <c r="AP707">
        <v>-103</v>
      </c>
      <c r="AQ707">
        <v>-197</v>
      </c>
      <c r="AR707">
        <v>-64</v>
      </c>
      <c r="AZ707">
        <v>4516</v>
      </c>
      <c r="BA707">
        <v>1</v>
      </c>
      <c r="BB707" t="str">
        <f t="shared" si="70"/>
        <v xml:space="preserve">N79NX   </v>
      </c>
      <c r="BC707">
        <v>1</v>
      </c>
      <c r="BE707">
        <v>0</v>
      </c>
      <c r="BF707">
        <v>0</v>
      </c>
      <c r="BG707">
        <v>0</v>
      </c>
      <c r="BH707">
        <v>3300</v>
      </c>
      <c r="BI707">
        <v>0</v>
      </c>
      <c r="BJ707">
        <v>0</v>
      </c>
      <c r="BK707">
        <v>0</v>
      </c>
      <c r="BL707">
        <v>0</v>
      </c>
      <c r="BO707">
        <v>0</v>
      </c>
      <c r="BP707">
        <v>0</v>
      </c>
      <c r="BW707" t="str">
        <f>"18:39:23.501"</f>
        <v>18:39:23.501</v>
      </c>
      <c r="BZ707">
        <v>0</v>
      </c>
      <c r="CA707">
        <v>3488</v>
      </c>
      <c r="CB707">
        <v>216</v>
      </c>
      <c r="CC707">
        <v>583.59379999999999</v>
      </c>
      <c r="CD707">
        <v>1</v>
      </c>
      <c r="CE707">
        <v>1</v>
      </c>
      <c r="CF707">
        <v>0</v>
      </c>
      <c r="CG707">
        <v>1</v>
      </c>
      <c r="CH707">
        <v>0</v>
      </c>
      <c r="CI707">
        <v>0</v>
      </c>
      <c r="CJ707">
        <v>0</v>
      </c>
      <c r="CK707">
        <v>2</v>
      </c>
      <c r="CL707">
        <v>0</v>
      </c>
      <c r="CM707">
        <v>2</v>
      </c>
      <c r="CN707">
        <v>0</v>
      </c>
      <c r="CO707">
        <v>5</v>
      </c>
      <c r="CP707" t="s">
        <v>119</v>
      </c>
      <c r="CQ707">
        <v>145</v>
      </c>
      <c r="CR707">
        <v>1</v>
      </c>
      <c r="CW707">
        <v>8961209</v>
      </c>
      <c r="CY707">
        <v>0</v>
      </c>
      <c r="CZ707">
        <v>0</v>
      </c>
      <c r="DA707">
        <v>0</v>
      </c>
      <c r="DB707">
        <v>0</v>
      </c>
      <c r="DC707">
        <v>0</v>
      </c>
      <c r="DD707">
        <v>0</v>
      </c>
      <c r="DE707">
        <v>0</v>
      </c>
      <c r="DF707">
        <v>0</v>
      </c>
      <c r="DG707">
        <v>0</v>
      </c>
      <c r="DH707">
        <v>0</v>
      </c>
      <c r="DI707">
        <v>0</v>
      </c>
    </row>
    <row r="708" spans="1:113" x14ac:dyDescent="0.3">
      <c r="A708" t="str">
        <f>"02/13/2022 18:39:23.755"</f>
        <v>02/13/2022 18:39:23.755</v>
      </c>
      <c r="C708" t="str">
        <f t="shared" si="69"/>
        <v>FFDFD7C0</v>
      </c>
      <c r="D708" t="s">
        <v>113</v>
      </c>
      <c r="E708">
        <v>4</v>
      </c>
      <c r="F708">
        <v>1004</v>
      </c>
      <c r="G708" t="s">
        <v>120</v>
      </c>
      <c r="J708" t="s">
        <v>115</v>
      </c>
      <c r="K708">
        <v>0</v>
      </c>
      <c r="L708">
        <v>3</v>
      </c>
      <c r="M708">
        <v>0</v>
      </c>
      <c r="N708">
        <v>2</v>
      </c>
      <c r="O708">
        <v>1</v>
      </c>
      <c r="P708">
        <v>0</v>
      </c>
      <c r="Q708">
        <v>0</v>
      </c>
      <c r="S708" t="str">
        <f>"18:39:23.500"</f>
        <v>18:39:23.500</v>
      </c>
      <c r="T708" t="str">
        <f>"18:39:23.100"</f>
        <v>18:39:23.100</v>
      </c>
      <c r="U708" t="str">
        <f t="shared" si="76"/>
        <v>AAB6EE</v>
      </c>
      <c r="V708">
        <v>0</v>
      </c>
      <c r="W708">
        <v>0</v>
      </c>
      <c r="X708">
        <v>4</v>
      </c>
      <c r="Z708">
        <v>0</v>
      </c>
      <c r="AA708">
        <v>8</v>
      </c>
      <c r="AB708">
        <v>3</v>
      </c>
      <c r="AC708">
        <v>0</v>
      </c>
      <c r="AD708">
        <v>10</v>
      </c>
      <c r="AE708">
        <v>0</v>
      </c>
      <c r="AF708">
        <v>0</v>
      </c>
      <c r="AG708">
        <v>2</v>
      </c>
      <c r="AH708">
        <v>1</v>
      </c>
      <c r="AI708" t="s">
        <v>593</v>
      </c>
      <c r="AJ708">
        <v>35.384967000000003</v>
      </c>
      <c r="AK708" t="s">
        <v>594</v>
      </c>
      <c r="AL708">
        <v>-76.117187000000001</v>
      </c>
      <c r="AM708">
        <v>25</v>
      </c>
      <c r="AN708">
        <v>3425</v>
      </c>
      <c r="AO708" t="s">
        <v>118</v>
      </c>
      <c r="AP708">
        <v>-103</v>
      </c>
      <c r="AQ708">
        <v>-197</v>
      </c>
      <c r="AR708">
        <v>-64</v>
      </c>
      <c r="AZ708">
        <v>4516</v>
      </c>
      <c r="BA708">
        <v>1</v>
      </c>
      <c r="BB708" t="str">
        <f t="shared" si="70"/>
        <v xml:space="preserve">N79NX   </v>
      </c>
      <c r="BC708">
        <v>1</v>
      </c>
      <c r="BE708">
        <v>0</v>
      </c>
      <c r="BF708">
        <v>0</v>
      </c>
      <c r="BG708">
        <v>0</v>
      </c>
      <c r="BH708">
        <v>3300</v>
      </c>
      <c r="BI708">
        <v>0</v>
      </c>
      <c r="BJ708">
        <v>0</v>
      </c>
      <c r="BK708">
        <v>0</v>
      </c>
      <c r="BL708">
        <v>0</v>
      </c>
      <c r="BO708">
        <v>0</v>
      </c>
      <c r="BP708">
        <v>0</v>
      </c>
      <c r="BW708" t="str">
        <f>"18:39:23.501"</f>
        <v>18:39:23.501</v>
      </c>
      <c r="BZ708">
        <v>0</v>
      </c>
      <c r="CA708">
        <v>3488</v>
      </c>
      <c r="CB708">
        <v>216</v>
      </c>
      <c r="CC708">
        <v>583.59379999999999</v>
      </c>
      <c r="CD708">
        <v>1</v>
      </c>
      <c r="CE708">
        <v>1</v>
      </c>
      <c r="CF708">
        <v>0</v>
      </c>
      <c r="CG708">
        <v>1</v>
      </c>
      <c r="CH708">
        <v>0</v>
      </c>
      <c r="CI708">
        <v>0</v>
      </c>
      <c r="CJ708">
        <v>0</v>
      </c>
      <c r="CK708">
        <v>2</v>
      </c>
      <c r="CL708">
        <v>0</v>
      </c>
      <c r="CM708">
        <v>2</v>
      </c>
      <c r="CN708">
        <v>0</v>
      </c>
      <c r="CO708">
        <v>5</v>
      </c>
      <c r="CP708" t="s">
        <v>119</v>
      </c>
      <c r="CQ708">
        <v>145</v>
      </c>
      <c r="CR708">
        <v>1</v>
      </c>
      <c r="CW708">
        <v>8961209</v>
      </c>
      <c r="CY708">
        <v>0</v>
      </c>
      <c r="CZ708">
        <v>0</v>
      </c>
      <c r="DA708">
        <v>1</v>
      </c>
      <c r="DB708">
        <v>0</v>
      </c>
      <c r="DC708">
        <v>0</v>
      </c>
      <c r="DD708">
        <v>0</v>
      </c>
      <c r="DE708">
        <v>0</v>
      </c>
      <c r="DF708">
        <v>0</v>
      </c>
      <c r="DG708">
        <v>0</v>
      </c>
      <c r="DH708">
        <v>0</v>
      </c>
      <c r="DI708">
        <v>0</v>
      </c>
    </row>
    <row r="709" spans="1:113" x14ac:dyDescent="0.3">
      <c r="A709" t="str">
        <f>"02/13/2022 18:39:23.755"</f>
        <v>02/13/2022 18:39:23.755</v>
      </c>
      <c r="C709" t="str">
        <f t="shared" ref="C709:C772" si="77">"FFDFD7C0"</f>
        <v>FFDFD7C0</v>
      </c>
      <c r="D709" t="s">
        <v>121</v>
      </c>
      <c r="E709">
        <v>2</v>
      </c>
      <c r="H709">
        <v>158</v>
      </c>
      <c r="I709" t="s">
        <v>120</v>
      </c>
      <c r="J709" t="s">
        <v>122</v>
      </c>
      <c r="K709">
        <v>0</v>
      </c>
      <c r="L709">
        <v>3</v>
      </c>
      <c r="M709">
        <v>0</v>
      </c>
      <c r="N709">
        <v>2</v>
      </c>
      <c r="O709">
        <v>1</v>
      </c>
      <c r="P709">
        <v>0</v>
      </c>
      <c r="Q709">
        <v>0</v>
      </c>
      <c r="S709" t="str">
        <f>"18:39:23.500"</f>
        <v>18:39:23.500</v>
      </c>
      <c r="T709" t="str">
        <f>"18:39:23.100"</f>
        <v>18:39:23.100</v>
      </c>
      <c r="U709" t="str">
        <f t="shared" si="76"/>
        <v>AAB6EE</v>
      </c>
      <c r="V709">
        <v>0</v>
      </c>
      <c r="W709">
        <v>0</v>
      </c>
      <c r="X709">
        <v>4</v>
      </c>
      <c r="Z709">
        <v>0</v>
      </c>
      <c r="AA709">
        <v>8</v>
      </c>
      <c r="AB709">
        <v>3</v>
      </c>
      <c r="AC709">
        <v>0</v>
      </c>
      <c r="AD709">
        <v>10</v>
      </c>
      <c r="AE709">
        <v>0</v>
      </c>
      <c r="AF709">
        <v>0</v>
      </c>
      <c r="AG709">
        <v>2</v>
      </c>
      <c r="AH709">
        <v>1</v>
      </c>
      <c r="AI709" t="s">
        <v>593</v>
      </c>
      <c r="AJ709">
        <v>35.384967000000003</v>
      </c>
      <c r="AK709" t="s">
        <v>594</v>
      </c>
      <c r="AL709">
        <v>-76.117187000000001</v>
      </c>
      <c r="AM709">
        <v>25</v>
      </c>
      <c r="AN709">
        <v>3425</v>
      </c>
      <c r="AO709" t="s">
        <v>118</v>
      </c>
      <c r="AP709">
        <v>-103</v>
      </c>
      <c r="AQ709">
        <v>-197</v>
      </c>
      <c r="AR709">
        <v>-64</v>
      </c>
      <c r="AZ709">
        <v>4516</v>
      </c>
      <c r="BA709">
        <v>1</v>
      </c>
      <c r="BB709" t="str">
        <f t="shared" ref="BB709:BB772" si="78">"N79NX   "</f>
        <v xml:space="preserve">N79NX   </v>
      </c>
      <c r="BC709">
        <v>1</v>
      </c>
      <c r="BE709">
        <v>0</v>
      </c>
      <c r="BF709">
        <v>0</v>
      </c>
      <c r="BG709">
        <v>0</v>
      </c>
      <c r="BH709">
        <v>3300</v>
      </c>
      <c r="BI709">
        <v>0</v>
      </c>
      <c r="BJ709">
        <v>0</v>
      </c>
      <c r="BK709">
        <v>0</v>
      </c>
      <c r="BL709">
        <v>0</v>
      </c>
      <c r="BO709">
        <v>0</v>
      </c>
      <c r="BP709">
        <v>0</v>
      </c>
      <c r="BW709" t="str">
        <f>"18:39:23.501"</f>
        <v>18:39:23.501</v>
      </c>
      <c r="BZ709">
        <v>0</v>
      </c>
      <c r="CA709">
        <v>3488</v>
      </c>
      <c r="CB709">
        <v>216</v>
      </c>
      <c r="CC709">
        <v>583.59379999999999</v>
      </c>
      <c r="CD709">
        <v>1</v>
      </c>
      <c r="CE709">
        <v>1</v>
      </c>
      <c r="CF709">
        <v>0</v>
      </c>
      <c r="CG709">
        <v>1</v>
      </c>
      <c r="CH709">
        <v>0</v>
      </c>
      <c r="CI709">
        <v>0</v>
      </c>
      <c r="CJ709">
        <v>0</v>
      </c>
      <c r="CK709">
        <v>2</v>
      </c>
      <c r="CL709">
        <v>0</v>
      </c>
      <c r="CM709">
        <v>2</v>
      </c>
      <c r="CN709">
        <v>0</v>
      </c>
      <c r="CO709">
        <v>5</v>
      </c>
      <c r="CP709" t="s">
        <v>119</v>
      </c>
      <c r="CQ709">
        <v>145</v>
      </c>
      <c r="CR709">
        <v>1</v>
      </c>
      <c r="CW709">
        <v>8961209</v>
      </c>
      <c r="CY709">
        <v>0</v>
      </c>
      <c r="CZ709">
        <v>0</v>
      </c>
      <c r="DA709">
        <v>1</v>
      </c>
      <c r="DB709">
        <v>0</v>
      </c>
      <c r="DC709">
        <v>0</v>
      </c>
      <c r="DD709">
        <v>0</v>
      </c>
      <c r="DE709">
        <v>0</v>
      </c>
      <c r="DF709">
        <v>0</v>
      </c>
      <c r="DG709">
        <v>0</v>
      </c>
      <c r="DH709">
        <v>0</v>
      </c>
      <c r="DI709">
        <v>0</v>
      </c>
    </row>
    <row r="710" spans="1:113" x14ac:dyDescent="0.3">
      <c r="A710" t="str">
        <f>"02/13/2022 18:39:24.618"</f>
        <v>02/13/2022 18:39:24.618</v>
      </c>
      <c r="C710" t="str">
        <f t="shared" si="77"/>
        <v>FFDFD7C0</v>
      </c>
      <c r="D710" t="s">
        <v>121</v>
      </c>
      <c r="E710">
        <v>2</v>
      </c>
      <c r="H710">
        <v>158</v>
      </c>
      <c r="I710" t="s">
        <v>120</v>
      </c>
      <c r="J710" t="s">
        <v>122</v>
      </c>
      <c r="K710">
        <v>0</v>
      </c>
      <c r="L710">
        <v>3</v>
      </c>
      <c r="M710">
        <v>0</v>
      </c>
      <c r="N710">
        <v>2</v>
      </c>
      <c r="O710">
        <v>1</v>
      </c>
      <c r="P710">
        <v>0</v>
      </c>
      <c r="Q710">
        <v>0</v>
      </c>
      <c r="S710" t="str">
        <f>"18:39:24.438"</f>
        <v>18:39:24.438</v>
      </c>
      <c r="T710" t="str">
        <f>"18:39:24.038"</f>
        <v>18:39:24.038</v>
      </c>
      <c r="U710" t="str">
        <f t="shared" si="76"/>
        <v>AAB6EE</v>
      </c>
      <c r="V710">
        <v>0</v>
      </c>
      <c r="W710">
        <v>0</v>
      </c>
      <c r="X710">
        <v>4</v>
      </c>
      <c r="Z710">
        <v>0</v>
      </c>
      <c r="AA710">
        <v>8</v>
      </c>
      <c r="AB710">
        <v>3</v>
      </c>
      <c r="AC710">
        <v>0</v>
      </c>
      <c r="AD710">
        <v>10</v>
      </c>
      <c r="AE710">
        <v>0</v>
      </c>
      <c r="AF710">
        <v>0</v>
      </c>
      <c r="AG710">
        <v>2</v>
      </c>
      <c r="AH710">
        <v>1</v>
      </c>
      <c r="AI710" t="s">
        <v>595</v>
      </c>
      <c r="AJ710">
        <v>35.384022999999999</v>
      </c>
      <c r="AK710" t="s">
        <v>596</v>
      </c>
      <c r="AL710">
        <v>-76.117787000000007</v>
      </c>
      <c r="AM710">
        <v>25</v>
      </c>
      <c r="AN710">
        <v>3425</v>
      </c>
      <c r="AO710" t="s">
        <v>118</v>
      </c>
      <c r="AP710">
        <v>-103</v>
      </c>
      <c r="AQ710">
        <v>-197</v>
      </c>
      <c r="AR710">
        <v>0</v>
      </c>
      <c r="AZ710">
        <v>4516</v>
      </c>
      <c r="BA710">
        <v>1</v>
      </c>
      <c r="BB710" t="str">
        <f t="shared" si="78"/>
        <v xml:space="preserve">N79NX   </v>
      </c>
      <c r="BC710">
        <v>1</v>
      </c>
      <c r="BE710">
        <v>0</v>
      </c>
      <c r="BF710">
        <v>0</v>
      </c>
      <c r="BG710">
        <v>0</v>
      </c>
      <c r="BH710">
        <v>3275</v>
      </c>
      <c r="BI710">
        <v>0</v>
      </c>
      <c r="BJ710">
        <v>0</v>
      </c>
      <c r="BK710">
        <v>0</v>
      </c>
      <c r="BL710">
        <v>0</v>
      </c>
      <c r="BO710">
        <v>0</v>
      </c>
      <c r="BP710">
        <v>0</v>
      </c>
      <c r="BW710" t="str">
        <f>"18:39:24.441"</f>
        <v>18:39:24.441</v>
      </c>
      <c r="BZ710">
        <v>0</v>
      </c>
      <c r="CA710">
        <v>3488</v>
      </c>
      <c r="CB710">
        <v>216</v>
      </c>
      <c r="CC710">
        <v>583.59379999999999</v>
      </c>
      <c r="CD710">
        <v>1</v>
      </c>
      <c r="CE710">
        <v>1</v>
      </c>
      <c r="CF710">
        <v>0</v>
      </c>
      <c r="CG710">
        <v>1</v>
      </c>
      <c r="CH710">
        <v>0</v>
      </c>
      <c r="CI710">
        <v>0</v>
      </c>
      <c r="CJ710">
        <v>0</v>
      </c>
      <c r="CK710">
        <v>2</v>
      </c>
      <c r="CL710">
        <v>0</v>
      </c>
      <c r="CM710">
        <v>2</v>
      </c>
      <c r="CN710">
        <v>0</v>
      </c>
      <c r="CO710">
        <v>5</v>
      </c>
      <c r="CP710" t="s">
        <v>119</v>
      </c>
      <c r="CQ710">
        <v>145</v>
      </c>
      <c r="CR710">
        <v>1</v>
      </c>
      <c r="CW710">
        <v>8961683</v>
      </c>
      <c r="CY710">
        <v>0</v>
      </c>
      <c r="CZ710">
        <v>0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  <c r="DG710">
        <v>0</v>
      </c>
      <c r="DH710">
        <v>0</v>
      </c>
      <c r="DI710">
        <v>0</v>
      </c>
    </row>
    <row r="711" spans="1:113" x14ac:dyDescent="0.3">
      <c r="A711" t="str">
        <f>"02/13/2022 18:39:24.696"</f>
        <v>02/13/2022 18:39:24.696</v>
      </c>
      <c r="C711" t="str">
        <f t="shared" si="77"/>
        <v>FFDFD7C0</v>
      </c>
      <c r="D711" t="s">
        <v>113</v>
      </c>
      <c r="E711">
        <v>3</v>
      </c>
      <c r="F711">
        <v>1003</v>
      </c>
      <c r="G711" t="s">
        <v>114</v>
      </c>
      <c r="J711" t="s">
        <v>115</v>
      </c>
      <c r="K711">
        <v>0</v>
      </c>
      <c r="L711">
        <v>3</v>
      </c>
      <c r="M711">
        <v>0</v>
      </c>
      <c r="N711">
        <v>2</v>
      </c>
      <c r="O711">
        <v>1</v>
      </c>
      <c r="P711">
        <v>0</v>
      </c>
      <c r="Q711">
        <v>0</v>
      </c>
      <c r="S711" t="str">
        <f>"18:39:24.438"</f>
        <v>18:39:24.438</v>
      </c>
      <c r="T711" t="str">
        <f>"18:39:24.038"</f>
        <v>18:39:24.038</v>
      </c>
      <c r="U711" t="str">
        <f t="shared" si="76"/>
        <v>AAB6EE</v>
      </c>
      <c r="V711">
        <v>0</v>
      </c>
      <c r="W711">
        <v>0</v>
      </c>
      <c r="X711">
        <v>4</v>
      </c>
      <c r="Z711">
        <v>0</v>
      </c>
      <c r="AA711">
        <v>8</v>
      </c>
      <c r="AB711">
        <v>3</v>
      </c>
      <c r="AC711">
        <v>0</v>
      </c>
      <c r="AD711">
        <v>10</v>
      </c>
      <c r="AE711">
        <v>0</v>
      </c>
      <c r="AF711">
        <v>0</v>
      </c>
      <c r="AG711">
        <v>2</v>
      </c>
      <c r="AH711">
        <v>1</v>
      </c>
      <c r="AI711" t="s">
        <v>595</v>
      </c>
      <c r="AJ711">
        <v>35.384022999999999</v>
      </c>
      <c r="AK711" t="s">
        <v>596</v>
      </c>
      <c r="AL711">
        <v>-76.117787000000007</v>
      </c>
      <c r="AM711">
        <v>25</v>
      </c>
      <c r="AN711">
        <v>3425</v>
      </c>
      <c r="AO711" t="s">
        <v>118</v>
      </c>
      <c r="AP711">
        <v>-103</v>
      </c>
      <c r="AQ711">
        <v>-197</v>
      </c>
      <c r="AR711">
        <v>0</v>
      </c>
      <c r="AZ711">
        <v>4516</v>
      </c>
      <c r="BA711">
        <v>1</v>
      </c>
      <c r="BB711" t="str">
        <f t="shared" si="78"/>
        <v xml:space="preserve">N79NX   </v>
      </c>
      <c r="BC711">
        <v>1</v>
      </c>
      <c r="BE711">
        <v>0</v>
      </c>
      <c r="BF711">
        <v>0</v>
      </c>
      <c r="BG711">
        <v>0</v>
      </c>
      <c r="BH711">
        <v>3275</v>
      </c>
      <c r="BI711">
        <v>0</v>
      </c>
      <c r="BJ711">
        <v>0</v>
      </c>
      <c r="BK711">
        <v>0</v>
      </c>
      <c r="BL711">
        <v>0</v>
      </c>
      <c r="BO711">
        <v>0</v>
      </c>
      <c r="BP711">
        <v>0</v>
      </c>
      <c r="BW711" t="str">
        <f>"18:39:24.441"</f>
        <v>18:39:24.441</v>
      </c>
      <c r="BZ711">
        <v>0</v>
      </c>
      <c r="CA711">
        <v>3488</v>
      </c>
      <c r="CB711">
        <v>216</v>
      </c>
      <c r="CC711">
        <v>583.59379999999999</v>
      </c>
      <c r="CD711">
        <v>1</v>
      </c>
      <c r="CE711">
        <v>1</v>
      </c>
      <c r="CF711">
        <v>0</v>
      </c>
      <c r="CG711">
        <v>1</v>
      </c>
      <c r="CH711">
        <v>0</v>
      </c>
      <c r="CI711">
        <v>0</v>
      </c>
      <c r="CJ711">
        <v>0</v>
      </c>
      <c r="CK711">
        <v>2</v>
      </c>
      <c r="CL711">
        <v>0</v>
      </c>
      <c r="CM711">
        <v>2</v>
      </c>
      <c r="CN711">
        <v>0</v>
      </c>
      <c r="CO711">
        <v>5</v>
      </c>
      <c r="CP711" t="s">
        <v>119</v>
      </c>
      <c r="CQ711">
        <v>145</v>
      </c>
      <c r="CR711">
        <v>1</v>
      </c>
      <c r="CW711">
        <v>8961683</v>
      </c>
      <c r="CY711">
        <v>0</v>
      </c>
      <c r="CZ711">
        <v>0</v>
      </c>
      <c r="DA711">
        <v>1</v>
      </c>
      <c r="DB711">
        <v>0</v>
      </c>
      <c r="DC711">
        <v>0</v>
      </c>
      <c r="DD711">
        <v>0</v>
      </c>
      <c r="DE711">
        <v>0</v>
      </c>
      <c r="DF711">
        <v>0</v>
      </c>
      <c r="DG711">
        <v>0</v>
      </c>
      <c r="DH711">
        <v>0</v>
      </c>
      <c r="DI711">
        <v>0</v>
      </c>
    </row>
    <row r="712" spans="1:113" x14ac:dyDescent="0.3">
      <c r="A712" t="str">
        <f>"02/13/2022 18:39:24.696"</f>
        <v>02/13/2022 18:39:24.696</v>
      </c>
      <c r="C712" t="str">
        <f t="shared" si="77"/>
        <v>FFDFD7C0</v>
      </c>
      <c r="D712" t="s">
        <v>113</v>
      </c>
      <c r="E712">
        <v>4</v>
      </c>
      <c r="F712">
        <v>1004</v>
      </c>
      <c r="G712" t="s">
        <v>120</v>
      </c>
      <c r="J712" t="s">
        <v>115</v>
      </c>
      <c r="K712">
        <v>0</v>
      </c>
      <c r="L712">
        <v>3</v>
      </c>
      <c r="M712">
        <v>0</v>
      </c>
      <c r="N712">
        <v>2</v>
      </c>
      <c r="O712">
        <v>1</v>
      </c>
      <c r="P712">
        <v>0</v>
      </c>
      <c r="Q712">
        <v>0</v>
      </c>
      <c r="S712" t="str">
        <f>"18:39:24.438"</f>
        <v>18:39:24.438</v>
      </c>
      <c r="T712" t="str">
        <f>"18:39:24.038"</f>
        <v>18:39:24.038</v>
      </c>
      <c r="U712" t="str">
        <f t="shared" si="76"/>
        <v>AAB6EE</v>
      </c>
      <c r="V712">
        <v>0</v>
      </c>
      <c r="W712">
        <v>0</v>
      </c>
      <c r="X712">
        <v>4</v>
      </c>
      <c r="Z712">
        <v>0</v>
      </c>
      <c r="AA712">
        <v>8</v>
      </c>
      <c r="AB712">
        <v>3</v>
      </c>
      <c r="AC712">
        <v>0</v>
      </c>
      <c r="AD712">
        <v>10</v>
      </c>
      <c r="AE712">
        <v>0</v>
      </c>
      <c r="AF712">
        <v>0</v>
      </c>
      <c r="AG712">
        <v>2</v>
      </c>
      <c r="AH712">
        <v>1</v>
      </c>
      <c r="AI712" t="s">
        <v>595</v>
      </c>
      <c r="AJ712">
        <v>35.384022999999999</v>
      </c>
      <c r="AK712" t="s">
        <v>596</v>
      </c>
      <c r="AL712">
        <v>-76.117787000000007</v>
      </c>
      <c r="AM712">
        <v>25</v>
      </c>
      <c r="AN712">
        <v>3425</v>
      </c>
      <c r="AO712" t="s">
        <v>118</v>
      </c>
      <c r="AP712">
        <v>-103</v>
      </c>
      <c r="AQ712">
        <v>-197</v>
      </c>
      <c r="AR712">
        <v>0</v>
      </c>
      <c r="AZ712">
        <v>4516</v>
      </c>
      <c r="BA712">
        <v>1</v>
      </c>
      <c r="BB712" t="str">
        <f t="shared" si="78"/>
        <v xml:space="preserve">N79NX   </v>
      </c>
      <c r="BC712">
        <v>1</v>
      </c>
      <c r="BE712">
        <v>0</v>
      </c>
      <c r="BF712">
        <v>0</v>
      </c>
      <c r="BG712">
        <v>0</v>
      </c>
      <c r="BH712">
        <v>3275</v>
      </c>
      <c r="BI712">
        <v>0</v>
      </c>
      <c r="BJ712">
        <v>0</v>
      </c>
      <c r="BK712">
        <v>0</v>
      </c>
      <c r="BL712">
        <v>0</v>
      </c>
      <c r="BO712">
        <v>0</v>
      </c>
      <c r="BP712">
        <v>0</v>
      </c>
      <c r="BW712" t="str">
        <f>"18:39:24.441"</f>
        <v>18:39:24.441</v>
      </c>
      <c r="BZ712">
        <v>0</v>
      </c>
      <c r="CA712">
        <v>3488</v>
      </c>
      <c r="CB712">
        <v>216</v>
      </c>
      <c r="CC712">
        <v>583.59379999999999</v>
      </c>
      <c r="CD712">
        <v>1</v>
      </c>
      <c r="CE712">
        <v>1</v>
      </c>
      <c r="CF712">
        <v>0</v>
      </c>
      <c r="CG712">
        <v>1</v>
      </c>
      <c r="CH712">
        <v>0</v>
      </c>
      <c r="CI712">
        <v>0</v>
      </c>
      <c r="CJ712">
        <v>0</v>
      </c>
      <c r="CK712">
        <v>2</v>
      </c>
      <c r="CL712">
        <v>0</v>
      </c>
      <c r="CM712">
        <v>2</v>
      </c>
      <c r="CN712">
        <v>0</v>
      </c>
      <c r="CO712">
        <v>5</v>
      </c>
      <c r="CP712" t="s">
        <v>119</v>
      </c>
      <c r="CQ712">
        <v>145</v>
      </c>
      <c r="CR712">
        <v>1</v>
      </c>
      <c r="CW712">
        <v>8961683</v>
      </c>
      <c r="CY712">
        <v>0</v>
      </c>
      <c r="CZ712">
        <v>0</v>
      </c>
      <c r="DA712">
        <v>1</v>
      </c>
      <c r="DB712">
        <v>0</v>
      </c>
      <c r="DC712">
        <v>0</v>
      </c>
      <c r="DD712">
        <v>0</v>
      </c>
      <c r="DE712">
        <v>0</v>
      </c>
      <c r="DF712">
        <v>0</v>
      </c>
      <c r="DG712">
        <v>0</v>
      </c>
      <c r="DH712">
        <v>0</v>
      </c>
      <c r="DI712">
        <v>0</v>
      </c>
    </row>
    <row r="713" spans="1:113" x14ac:dyDescent="0.3">
      <c r="A713" t="str">
        <f>"02/13/2022 18:39:25.572"</f>
        <v>02/13/2022 18:39:25.572</v>
      </c>
      <c r="C713" t="str">
        <f t="shared" si="77"/>
        <v>FFDFD7C0</v>
      </c>
      <c r="D713" t="s">
        <v>113</v>
      </c>
      <c r="E713">
        <v>3</v>
      </c>
      <c r="F713">
        <v>1003</v>
      </c>
      <c r="G713" t="s">
        <v>114</v>
      </c>
      <c r="J713" t="s">
        <v>115</v>
      </c>
      <c r="K713">
        <v>0</v>
      </c>
      <c r="L713">
        <v>3</v>
      </c>
      <c r="M713">
        <v>0</v>
      </c>
      <c r="N713">
        <v>2</v>
      </c>
      <c r="O713">
        <v>1</v>
      </c>
      <c r="P713">
        <v>0</v>
      </c>
      <c r="Q713">
        <v>0</v>
      </c>
      <c r="S713" t="str">
        <f>"18:39:25.344"</f>
        <v>18:39:25.344</v>
      </c>
      <c r="T713" t="str">
        <f>"18:39:25.044"</f>
        <v>18:39:25.044</v>
      </c>
      <c r="U713" t="str">
        <f t="shared" si="76"/>
        <v>AAB6EE</v>
      </c>
      <c r="V713">
        <v>0</v>
      </c>
      <c r="W713">
        <v>0</v>
      </c>
      <c r="X713">
        <v>4</v>
      </c>
      <c r="Z713">
        <v>0</v>
      </c>
      <c r="AA713">
        <v>8</v>
      </c>
      <c r="AB713">
        <v>3</v>
      </c>
      <c r="AC713">
        <v>0</v>
      </c>
      <c r="AD713">
        <v>10</v>
      </c>
      <c r="AE713">
        <v>0</v>
      </c>
      <c r="AF713">
        <v>0</v>
      </c>
      <c r="AG713">
        <v>2</v>
      </c>
      <c r="AH713">
        <v>1</v>
      </c>
      <c r="AI713" t="s">
        <v>597</v>
      </c>
      <c r="AJ713">
        <v>35.383208000000003</v>
      </c>
      <c r="AK713" t="s">
        <v>598</v>
      </c>
      <c r="AL713">
        <v>-76.118324000000001</v>
      </c>
      <c r="AM713">
        <v>25</v>
      </c>
      <c r="AN713">
        <v>3425</v>
      </c>
      <c r="AO713" t="s">
        <v>118</v>
      </c>
      <c r="AP713">
        <v>-103</v>
      </c>
      <c r="AQ713">
        <v>-197</v>
      </c>
      <c r="AR713">
        <v>0</v>
      </c>
      <c r="AZ713">
        <v>4516</v>
      </c>
      <c r="BA713">
        <v>1</v>
      </c>
      <c r="BB713" t="str">
        <f t="shared" si="78"/>
        <v xml:space="preserve">N79NX   </v>
      </c>
      <c r="BC713">
        <v>1</v>
      </c>
      <c r="BE713">
        <v>0</v>
      </c>
      <c r="BF713">
        <v>0</v>
      </c>
      <c r="BG713">
        <v>0</v>
      </c>
      <c r="BH713">
        <v>3300</v>
      </c>
      <c r="BI713">
        <v>0</v>
      </c>
      <c r="BJ713">
        <v>0</v>
      </c>
      <c r="BK713">
        <v>0</v>
      </c>
      <c r="BL713">
        <v>0</v>
      </c>
      <c r="BO713">
        <v>0</v>
      </c>
      <c r="BP713">
        <v>0</v>
      </c>
      <c r="BW713" t="str">
        <f>"18:39:25.351"</f>
        <v>18:39:25.351</v>
      </c>
      <c r="BZ713">
        <v>0</v>
      </c>
      <c r="CA713">
        <v>3488</v>
      </c>
      <c r="CB713">
        <v>216</v>
      </c>
      <c r="CC713">
        <v>583.59379999999999</v>
      </c>
      <c r="CD713">
        <v>1</v>
      </c>
      <c r="CE713">
        <v>1</v>
      </c>
      <c r="CF713">
        <v>0</v>
      </c>
      <c r="CG713">
        <v>1</v>
      </c>
      <c r="CH713">
        <v>0</v>
      </c>
      <c r="CI713">
        <v>0</v>
      </c>
      <c r="CJ713">
        <v>0</v>
      </c>
      <c r="CK713">
        <v>2</v>
      </c>
      <c r="CL713">
        <v>0</v>
      </c>
      <c r="CM713">
        <v>2</v>
      </c>
      <c r="CN713">
        <v>0</v>
      </c>
      <c r="CO713">
        <v>5</v>
      </c>
      <c r="CP713" t="s">
        <v>119</v>
      </c>
      <c r="CQ713">
        <v>145</v>
      </c>
      <c r="CR713">
        <v>1</v>
      </c>
      <c r="CW713">
        <v>8962180</v>
      </c>
      <c r="CY713">
        <v>0</v>
      </c>
      <c r="CZ713">
        <v>0</v>
      </c>
      <c r="DA713">
        <v>0</v>
      </c>
      <c r="DB713">
        <v>0</v>
      </c>
      <c r="DC713">
        <v>0</v>
      </c>
      <c r="DD713">
        <v>0</v>
      </c>
      <c r="DE713">
        <v>0</v>
      </c>
      <c r="DF713">
        <v>0</v>
      </c>
      <c r="DG713">
        <v>0</v>
      </c>
      <c r="DH713">
        <v>0</v>
      </c>
      <c r="DI713">
        <v>0</v>
      </c>
    </row>
    <row r="714" spans="1:113" x14ac:dyDescent="0.3">
      <c r="A714" t="str">
        <f>"02/13/2022 18:39:25.572"</f>
        <v>02/13/2022 18:39:25.572</v>
      </c>
      <c r="C714" t="str">
        <f t="shared" si="77"/>
        <v>FFDFD7C0</v>
      </c>
      <c r="D714" t="s">
        <v>113</v>
      </c>
      <c r="E714">
        <v>4</v>
      </c>
      <c r="F714">
        <v>1004</v>
      </c>
      <c r="G714" t="s">
        <v>120</v>
      </c>
      <c r="J714" t="s">
        <v>115</v>
      </c>
      <c r="K714">
        <v>0</v>
      </c>
      <c r="L714">
        <v>3</v>
      </c>
      <c r="M714">
        <v>0</v>
      </c>
      <c r="N714">
        <v>2</v>
      </c>
      <c r="O714">
        <v>1</v>
      </c>
      <c r="P714">
        <v>0</v>
      </c>
      <c r="Q714">
        <v>0</v>
      </c>
      <c r="S714" t="str">
        <f>"18:39:25.344"</f>
        <v>18:39:25.344</v>
      </c>
      <c r="T714" t="str">
        <f>"18:39:25.044"</f>
        <v>18:39:25.044</v>
      </c>
      <c r="U714" t="str">
        <f t="shared" si="76"/>
        <v>AAB6EE</v>
      </c>
      <c r="V714">
        <v>0</v>
      </c>
      <c r="W714">
        <v>0</v>
      </c>
      <c r="X714">
        <v>4</v>
      </c>
      <c r="Z714">
        <v>0</v>
      </c>
      <c r="AA714">
        <v>8</v>
      </c>
      <c r="AB714">
        <v>3</v>
      </c>
      <c r="AC714">
        <v>0</v>
      </c>
      <c r="AD714">
        <v>10</v>
      </c>
      <c r="AE714">
        <v>0</v>
      </c>
      <c r="AF714">
        <v>0</v>
      </c>
      <c r="AG714">
        <v>2</v>
      </c>
      <c r="AH714">
        <v>1</v>
      </c>
      <c r="AI714" t="s">
        <v>597</v>
      </c>
      <c r="AJ714">
        <v>35.383208000000003</v>
      </c>
      <c r="AK714" t="s">
        <v>598</v>
      </c>
      <c r="AL714">
        <v>-76.118324000000001</v>
      </c>
      <c r="AM714">
        <v>25</v>
      </c>
      <c r="AN714">
        <v>3425</v>
      </c>
      <c r="AO714" t="s">
        <v>118</v>
      </c>
      <c r="AP714">
        <v>-103</v>
      </c>
      <c r="AQ714">
        <v>-197</v>
      </c>
      <c r="AR714">
        <v>0</v>
      </c>
      <c r="AZ714">
        <v>4516</v>
      </c>
      <c r="BA714">
        <v>1</v>
      </c>
      <c r="BB714" t="str">
        <f t="shared" si="78"/>
        <v xml:space="preserve">N79NX   </v>
      </c>
      <c r="BC714">
        <v>1</v>
      </c>
      <c r="BE714">
        <v>0</v>
      </c>
      <c r="BF714">
        <v>0</v>
      </c>
      <c r="BG714">
        <v>0</v>
      </c>
      <c r="BH714">
        <v>3300</v>
      </c>
      <c r="BI714">
        <v>0</v>
      </c>
      <c r="BJ714">
        <v>0</v>
      </c>
      <c r="BK714">
        <v>0</v>
      </c>
      <c r="BL714">
        <v>0</v>
      </c>
      <c r="BO714">
        <v>0</v>
      </c>
      <c r="BP714">
        <v>0</v>
      </c>
      <c r="BW714" t="str">
        <f>"18:39:25.351"</f>
        <v>18:39:25.351</v>
      </c>
      <c r="BZ714">
        <v>0</v>
      </c>
      <c r="CA714">
        <v>3488</v>
      </c>
      <c r="CB714">
        <v>216</v>
      </c>
      <c r="CC714">
        <v>583.59379999999999</v>
      </c>
      <c r="CD714">
        <v>1</v>
      </c>
      <c r="CE714">
        <v>1</v>
      </c>
      <c r="CF714">
        <v>0</v>
      </c>
      <c r="CG714">
        <v>1</v>
      </c>
      <c r="CH714">
        <v>0</v>
      </c>
      <c r="CI714">
        <v>0</v>
      </c>
      <c r="CJ714">
        <v>0</v>
      </c>
      <c r="CK714">
        <v>2</v>
      </c>
      <c r="CL714">
        <v>0</v>
      </c>
      <c r="CM714">
        <v>2</v>
      </c>
      <c r="CN714">
        <v>0</v>
      </c>
      <c r="CO714">
        <v>5</v>
      </c>
      <c r="CP714" t="s">
        <v>119</v>
      </c>
      <c r="CQ714">
        <v>145</v>
      </c>
      <c r="CR714">
        <v>1</v>
      </c>
      <c r="CW714">
        <v>8962180</v>
      </c>
      <c r="CY714">
        <v>0</v>
      </c>
      <c r="CZ714">
        <v>0</v>
      </c>
      <c r="DA714">
        <v>1</v>
      </c>
      <c r="DB714">
        <v>0</v>
      </c>
      <c r="DC714">
        <v>0</v>
      </c>
      <c r="DD714">
        <v>0</v>
      </c>
      <c r="DE714">
        <v>0</v>
      </c>
      <c r="DF714">
        <v>0</v>
      </c>
      <c r="DG714">
        <v>0</v>
      </c>
      <c r="DH714">
        <v>0</v>
      </c>
      <c r="DI714">
        <v>0</v>
      </c>
    </row>
    <row r="715" spans="1:113" x14ac:dyDescent="0.3">
      <c r="A715" t="str">
        <f>"02/13/2022 18:39:25.666"</f>
        <v>02/13/2022 18:39:25.666</v>
      </c>
      <c r="C715" t="str">
        <f t="shared" si="77"/>
        <v>FFDFD7C0</v>
      </c>
      <c r="D715" t="s">
        <v>121</v>
      </c>
      <c r="E715">
        <v>2</v>
      </c>
      <c r="H715">
        <v>158</v>
      </c>
      <c r="I715" t="s">
        <v>120</v>
      </c>
      <c r="J715" t="s">
        <v>122</v>
      </c>
      <c r="K715">
        <v>0</v>
      </c>
      <c r="L715">
        <v>3</v>
      </c>
      <c r="M715">
        <v>0</v>
      </c>
      <c r="N715">
        <v>2</v>
      </c>
      <c r="O715">
        <v>1</v>
      </c>
      <c r="P715">
        <v>0</v>
      </c>
      <c r="Q715">
        <v>0</v>
      </c>
      <c r="S715" t="str">
        <f>"18:39:25.344"</f>
        <v>18:39:25.344</v>
      </c>
      <c r="T715" t="str">
        <f>"18:39:25.044"</f>
        <v>18:39:25.044</v>
      </c>
      <c r="U715" t="str">
        <f t="shared" si="76"/>
        <v>AAB6EE</v>
      </c>
      <c r="V715">
        <v>0</v>
      </c>
      <c r="W715">
        <v>0</v>
      </c>
      <c r="X715">
        <v>4</v>
      </c>
      <c r="Z715">
        <v>0</v>
      </c>
      <c r="AA715">
        <v>8</v>
      </c>
      <c r="AB715">
        <v>3</v>
      </c>
      <c r="AC715">
        <v>0</v>
      </c>
      <c r="AD715">
        <v>10</v>
      </c>
      <c r="AE715">
        <v>0</v>
      </c>
      <c r="AF715">
        <v>0</v>
      </c>
      <c r="AG715">
        <v>2</v>
      </c>
      <c r="AH715">
        <v>1</v>
      </c>
      <c r="AI715" t="s">
        <v>597</v>
      </c>
      <c r="AJ715">
        <v>35.383208000000003</v>
      </c>
      <c r="AK715" t="s">
        <v>598</v>
      </c>
      <c r="AL715">
        <v>-76.118324000000001</v>
      </c>
      <c r="AM715">
        <v>25</v>
      </c>
      <c r="AN715">
        <v>3425</v>
      </c>
      <c r="AO715" t="s">
        <v>118</v>
      </c>
      <c r="AP715">
        <v>-103</v>
      </c>
      <c r="AQ715">
        <v>-197</v>
      </c>
      <c r="AR715">
        <v>0</v>
      </c>
      <c r="AZ715">
        <v>4516</v>
      </c>
      <c r="BA715">
        <v>1</v>
      </c>
      <c r="BB715" t="str">
        <f t="shared" si="78"/>
        <v xml:space="preserve">N79NX   </v>
      </c>
      <c r="BC715">
        <v>1</v>
      </c>
      <c r="BE715">
        <v>0</v>
      </c>
      <c r="BF715">
        <v>0</v>
      </c>
      <c r="BG715">
        <v>0</v>
      </c>
      <c r="BH715">
        <v>3300</v>
      </c>
      <c r="BI715">
        <v>0</v>
      </c>
      <c r="BJ715">
        <v>0</v>
      </c>
      <c r="BK715">
        <v>0</v>
      </c>
      <c r="BL715">
        <v>0</v>
      </c>
      <c r="BO715">
        <v>0</v>
      </c>
      <c r="BP715">
        <v>0</v>
      </c>
      <c r="BW715" t="str">
        <f>"18:39:25.351"</f>
        <v>18:39:25.351</v>
      </c>
      <c r="BZ715">
        <v>0</v>
      </c>
      <c r="CA715">
        <v>3488</v>
      </c>
      <c r="CB715">
        <v>216</v>
      </c>
      <c r="CC715">
        <v>583.59379999999999</v>
      </c>
      <c r="CD715">
        <v>1</v>
      </c>
      <c r="CE715">
        <v>1</v>
      </c>
      <c r="CF715">
        <v>0</v>
      </c>
      <c r="CG715">
        <v>1</v>
      </c>
      <c r="CH715">
        <v>0</v>
      </c>
      <c r="CI715">
        <v>0</v>
      </c>
      <c r="CJ715">
        <v>0</v>
      </c>
      <c r="CK715">
        <v>2</v>
      </c>
      <c r="CL715">
        <v>0</v>
      </c>
      <c r="CM715">
        <v>2</v>
      </c>
      <c r="CN715">
        <v>0</v>
      </c>
      <c r="CO715">
        <v>5</v>
      </c>
      <c r="CP715" t="s">
        <v>119</v>
      </c>
      <c r="CQ715">
        <v>145</v>
      </c>
      <c r="CR715">
        <v>1</v>
      </c>
      <c r="CW715">
        <v>8962180</v>
      </c>
      <c r="CY715">
        <v>0</v>
      </c>
      <c r="CZ715">
        <v>0</v>
      </c>
      <c r="DA715">
        <v>1</v>
      </c>
      <c r="DB715">
        <v>0</v>
      </c>
      <c r="DC715">
        <v>0</v>
      </c>
      <c r="DD715">
        <v>0</v>
      </c>
      <c r="DE715">
        <v>0</v>
      </c>
      <c r="DF715">
        <v>0</v>
      </c>
      <c r="DG715">
        <v>0</v>
      </c>
      <c r="DH715">
        <v>0</v>
      </c>
      <c r="DI715">
        <v>0</v>
      </c>
    </row>
    <row r="716" spans="1:113" x14ac:dyDescent="0.3">
      <c r="A716" t="str">
        <f>"02/13/2022 18:39:26.603"</f>
        <v>02/13/2022 18:39:26.603</v>
      </c>
      <c r="C716" t="str">
        <f t="shared" si="77"/>
        <v>FFDFD7C0</v>
      </c>
      <c r="D716" t="s">
        <v>121</v>
      </c>
      <c r="E716">
        <v>2</v>
      </c>
      <c r="H716">
        <v>158</v>
      </c>
      <c r="I716" t="s">
        <v>120</v>
      </c>
      <c r="J716" t="s">
        <v>122</v>
      </c>
      <c r="K716">
        <v>0</v>
      </c>
      <c r="L716">
        <v>3</v>
      </c>
      <c r="M716">
        <v>0</v>
      </c>
      <c r="N716">
        <v>2</v>
      </c>
      <c r="O716">
        <v>1</v>
      </c>
      <c r="P716">
        <v>0</v>
      </c>
      <c r="Q716">
        <v>0</v>
      </c>
      <c r="S716" t="str">
        <f>"18:39:26.398"</f>
        <v>18:39:26.398</v>
      </c>
      <c r="T716" t="str">
        <f>"18:39:25.998"</f>
        <v>18:39:25.998</v>
      </c>
      <c r="U716" t="str">
        <f t="shared" si="76"/>
        <v>AAB6EE</v>
      </c>
      <c r="V716">
        <v>0</v>
      </c>
      <c r="W716">
        <v>0</v>
      </c>
      <c r="X716">
        <v>4</v>
      </c>
      <c r="Z716">
        <v>0</v>
      </c>
      <c r="AA716">
        <v>8</v>
      </c>
      <c r="AB716">
        <v>3</v>
      </c>
      <c r="AC716">
        <v>0</v>
      </c>
      <c r="AD716">
        <v>10</v>
      </c>
      <c r="AE716">
        <v>0</v>
      </c>
      <c r="AF716">
        <v>0</v>
      </c>
      <c r="AG716">
        <v>2</v>
      </c>
      <c r="AH716">
        <v>1</v>
      </c>
      <c r="AI716" t="s">
        <v>599</v>
      </c>
      <c r="AJ716">
        <v>35.382285000000003</v>
      </c>
      <c r="AK716" t="s">
        <v>600</v>
      </c>
      <c r="AL716">
        <v>-76.118881999999999</v>
      </c>
      <c r="AM716">
        <v>25</v>
      </c>
      <c r="AN716">
        <v>3425</v>
      </c>
      <c r="AO716" t="s">
        <v>118</v>
      </c>
      <c r="AP716">
        <v>-103</v>
      </c>
      <c r="AQ716">
        <v>-197</v>
      </c>
      <c r="AR716">
        <v>64</v>
      </c>
      <c r="AZ716">
        <v>4516</v>
      </c>
      <c r="BA716">
        <v>1</v>
      </c>
      <c r="BB716" t="str">
        <f t="shared" si="78"/>
        <v xml:space="preserve">N79NX   </v>
      </c>
      <c r="BC716">
        <v>1</v>
      </c>
      <c r="BE716">
        <v>0</v>
      </c>
      <c r="BF716">
        <v>0</v>
      </c>
      <c r="BG716">
        <v>0</v>
      </c>
      <c r="BH716">
        <v>3275</v>
      </c>
      <c r="BI716">
        <v>0</v>
      </c>
      <c r="BJ716">
        <v>0</v>
      </c>
      <c r="BK716">
        <v>0</v>
      </c>
      <c r="BL716">
        <v>0</v>
      </c>
      <c r="BO716">
        <v>0</v>
      </c>
      <c r="BP716">
        <v>0</v>
      </c>
      <c r="BW716" t="str">
        <f>"18:39:26.401"</f>
        <v>18:39:26.401</v>
      </c>
      <c r="BZ716">
        <v>0</v>
      </c>
      <c r="CA716">
        <v>3488</v>
      </c>
      <c r="CB716">
        <v>216</v>
      </c>
      <c r="CC716">
        <v>583.59379999999999</v>
      </c>
      <c r="CD716">
        <v>1</v>
      </c>
      <c r="CE716">
        <v>1</v>
      </c>
      <c r="CF716">
        <v>0</v>
      </c>
      <c r="CG716">
        <v>1</v>
      </c>
      <c r="CH716">
        <v>0</v>
      </c>
      <c r="CI716">
        <v>0</v>
      </c>
      <c r="CJ716">
        <v>0</v>
      </c>
      <c r="CK716">
        <v>2</v>
      </c>
      <c r="CL716">
        <v>0</v>
      </c>
      <c r="CM716">
        <v>2</v>
      </c>
      <c r="CN716">
        <v>0</v>
      </c>
      <c r="CO716">
        <v>5</v>
      </c>
      <c r="CP716" t="s">
        <v>119</v>
      </c>
      <c r="CQ716">
        <v>145</v>
      </c>
      <c r="CR716">
        <v>1</v>
      </c>
      <c r="CW716">
        <v>8962723</v>
      </c>
      <c r="CY716">
        <v>0</v>
      </c>
      <c r="CZ716">
        <v>0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  <c r="DG716">
        <v>0</v>
      </c>
      <c r="DH716">
        <v>0</v>
      </c>
      <c r="DI716">
        <v>0</v>
      </c>
    </row>
    <row r="717" spans="1:113" x14ac:dyDescent="0.3">
      <c r="A717" t="str">
        <f>"02/13/2022 18:39:26.635"</f>
        <v>02/13/2022 18:39:26.635</v>
      </c>
      <c r="C717" t="str">
        <f t="shared" si="77"/>
        <v>FFDFD7C0</v>
      </c>
      <c r="D717" t="s">
        <v>113</v>
      </c>
      <c r="E717">
        <v>3</v>
      </c>
      <c r="F717">
        <v>1003</v>
      </c>
      <c r="G717" t="s">
        <v>114</v>
      </c>
      <c r="J717" t="s">
        <v>115</v>
      </c>
      <c r="K717">
        <v>0</v>
      </c>
      <c r="L717">
        <v>3</v>
      </c>
      <c r="M717">
        <v>0</v>
      </c>
      <c r="N717">
        <v>2</v>
      </c>
      <c r="O717">
        <v>1</v>
      </c>
      <c r="P717">
        <v>0</v>
      </c>
      <c r="Q717">
        <v>0</v>
      </c>
      <c r="S717" t="str">
        <f>"18:39:26.398"</f>
        <v>18:39:26.398</v>
      </c>
      <c r="T717" t="str">
        <f>"18:39:25.998"</f>
        <v>18:39:25.998</v>
      </c>
      <c r="U717" t="str">
        <f t="shared" si="76"/>
        <v>AAB6EE</v>
      </c>
      <c r="V717">
        <v>0</v>
      </c>
      <c r="W717">
        <v>0</v>
      </c>
      <c r="X717">
        <v>4</v>
      </c>
      <c r="Z717">
        <v>0</v>
      </c>
      <c r="AA717">
        <v>8</v>
      </c>
      <c r="AB717">
        <v>3</v>
      </c>
      <c r="AC717">
        <v>0</v>
      </c>
      <c r="AD717">
        <v>10</v>
      </c>
      <c r="AE717">
        <v>0</v>
      </c>
      <c r="AF717">
        <v>0</v>
      </c>
      <c r="AG717">
        <v>2</v>
      </c>
      <c r="AH717">
        <v>1</v>
      </c>
      <c r="AI717" t="s">
        <v>599</v>
      </c>
      <c r="AJ717">
        <v>35.382285000000003</v>
      </c>
      <c r="AK717" t="s">
        <v>600</v>
      </c>
      <c r="AL717">
        <v>-76.118881999999999</v>
      </c>
      <c r="AM717">
        <v>25</v>
      </c>
      <c r="AN717">
        <v>3425</v>
      </c>
      <c r="AO717" t="s">
        <v>118</v>
      </c>
      <c r="AP717">
        <v>-103</v>
      </c>
      <c r="AQ717">
        <v>-197</v>
      </c>
      <c r="AR717">
        <v>64</v>
      </c>
      <c r="AZ717">
        <v>4516</v>
      </c>
      <c r="BA717">
        <v>1</v>
      </c>
      <c r="BB717" t="str">
        <f t="shared" si="78"/>
        <v xml:space="preserve">N79NX   </v>
      </c>
      <c r="BC717">
        <v>1</v>
      </c>
      <c r="BE717">
        <v>0</v>
      </c>
      <c r="BF717">
        <v>0</v>
      </c>
      <c r="BG717">
        <v>0</v>
      </c>
      <c r="BH717">
        <v>3275</v>
      </c>
      <c r="BI717">
        <v>0</v>
      </c>
      <c r="BJ717">
        <v>0</v>
      </c>
      <c r="BK717">
        <v>0</v>
      </c>
      <c r="BL717">
        <v>0</v>
      </c>
      <c r="BO717">
        <v>0</v>
      </c>
      <c r="BP717">
        <v>0</v>
      </c>
      <c r="BW717" t="str">
        <f>"18:39:26.401"</f>
        <v>18:39:26.401</v>
      </c>
      <c r="BZ717">
        <v>0</v>
      </c>
      <c r="CA717">
        <v>3488</v>
      </c>
      <c r="CB717">
        <v>216</v>
      </c>
      <c r="CC717">
        <v>583.59379999999999</v>
      </c>
      <c r="CD717">
        <v>1</v>
      </c>
      <c r="CE717">
        <v>1</v>
      </c>
      <c r="CF717">
        <v>0</v>
      </c>
      <c r="CG717">
        <v>1</v>
      </c>
      <c r="CH717">
        <v>0</v>
      </c>
      <c r="CI717">
        <v>0</v>
      </c>
      <c r="CJ717">
        <v>0</v>
      </c>
      <c r="CK717">
        <v>2</v>
      </c>
      <c r="CL717">
        <v>0</v>
      </c>
      <c r="CM717">
        <v>2</v>
      </c>
      <c r="CN717">
        <v>0</v>
      </c>
      <c r="CO717">
        <v>5</v>
      </c>
      <c r="CP717" t="s">
        <v>119</v>
      </c>
      <c r="CQ717">
        <v>145</v>
      </c>
      <c r="CR717">
        <v>1</v>
      </c>
      <c r="CW717">
        <v>8962723</v>
      </c>
      <c r="CY717">
        <v>0</v>
      </c>
      <c r="CZ717">
        <v>0</v>
      </c>
      <c r="DA717">
        <v>1</v>
      </c>
      <c r="DB717">
        <v>0</v>
      </c>
      <c r="DC717">
        <v>0</v>
      </c>
      <c r="DD717">
        <v>0</v>
      </c>
      <c r="DE717">
        <v>0</v>
      </c>
      <c r="DF717">
        <v>0</v>
      </c>
      <c r="DG717">
        <v>0</v>
      </c>
      <c r="DH717">
        <v>0</v>
      </c>
      <c r="DI717">
        <v>0</v>
      </c>
    </row>
    <row r="718" spans="1:113" x14ac:dyDescent="0.3">
      <c r="A718" t="str">
        <f>"02/13/2022 18:39:26.635"</f>
        <v>02/13/2022 18:39:26.635</v>
      </c>
      <c r="C718" t="str">
        <f t="shared" si="77"/>
        <v>FFDFD7C0</v>
      </c>
      <c r="D718" t="s">
        <v>113</v>
      </c>
      <c r="E718">
        <v>4</v>
      </c>
      <c r="F718">
        <v>1004</v>
      </c>
      <c r="G718" t="s">
        <v>120</v>
      </c>
      <c r="J718" t="s">
        <v>115</v>
      </c>
      <c r="K718">
        <v>0</v>
      </c>
      <c r="L718">
        <v>3</v>
      </c>
      <c r="M718">
        <v>0</v>
      </c>
      <c r="N718">
        <v>2</v>
      </c>
      <c r="O718">
        <v>1</v>
      </c>
      <c r="P718">
        <v>0</v>
      </c>
      <c r="Q718">
        <v>0</v>
      </c>
      <c r="S718" t="str">
        <f>"18:39:26.398"</f>
        <v>18:39:26.398</v>
      </c>
      <c r="T718" t="str">
        <f>"18:39:25.998"</f>
        <v>18:39:25.998</v>
      </c>
      <c r="U718" t="str">
        <f t="shared" si="76"/>
        <v>AAB6EE</v>
      </c>
      <c r="V718">
        <v>0</v>
      </c>
      <c r="W718">
        <v>0</v>
      </c>
      <c r="X718">
        <v>4</v>
      </c>
      <c r="Z718">
        <v>0</v>
      </c>
      <c r="AA718">
        <v>8</v>
      </c>
      <c r="AB718">
        <v>3</v>
      </c>
      <c r="AC718">
        <v>0</v>
      </c>
      <c r="AD718">
        <v>10</v>
      </c>
      <c r="AE718">
        <v>0</v>
      </c>
      <c r="AF718">
        <v>0</v>
      </c>
      <c r="AG718">
        <v>2</v>
      </c>
      <c r="AH718">
        <v>1</v>
      </c>
      <c r="AI718" t="s">
        <v>599</v>
      </c>
      <c r="AJ718">
        <v>35.382285000000003</v>
      </c>
      <c r="AK718" t="s">
        <v>600</v>
      </c>
      <c r="AL718">
        <v>-76.118881999999999</v>
      </c>
      <c r="AM718">
        <v>25</v>
      </c>
      <c r="AN718">
        <v>3425</v>
      </c>
      <c r="AO718" t="s">
        <v>118</v>
      </c>
      <c r="AP718">
        <v>-103</v>
      </c>
      <c r="AQ718">
        <v>-197</v>
      </c>
      <c r="AR718">
        <v>64</v>
      </c>
      <c r="AZ718">
        <v>4516</v>
      </c>
      <c r="BA718">
        <v>1</v>
      </c>
      <c r="BB718" t="str">
        <f t="shared" si="78"/>
        <v xml:space="preserve">N79NX   </v>
      </c>
      <c r="BC718">
        <v>1</v>
      </c>
      <c r="BE718">
        <v>0</v>
      </c>
      <c r="BF718">
        <v>0</v>
      </c>
      <c r="BG718">
        <v>0</v>
      </c>
      <c r="BH718">
        <v>3275</v>
      </c>
      <c r="BI718">
        <v>0</v>
      </c>
      <c r="BJ718">
        <v>0</v>
      </c>
      <c r="BK718">
        <v>0</v>
      </c>
      <c r="BL718">
        <v>0</v>
      </c>
      <c r="BO718">
        <v>0</v>
      </c>
      <c r="BP718">
        <v>0</v>
      </c>
      <c r="BW718" t="str">
        <f>"18:39:26.401"</f>
        <v>18:39:26.401</v>
      </c>
      <c r="BZ718">
        <v>0</v>
      </c>
      <c r="CA718">
        <v>3488</v>
      </c>
      <c r="CB718">
        <v>216</v>
      </c>
      <c r="CC718">
        <v>583.59379999999999</v>
      </c>
      <c r="CD718">
        <v>1</v>
      </c>
      <c r="CE718">
        <v>1</v>
      </c>
      <c r="CF718">
        <v>0</v>
      </c>
      <c r="CG718">
        <v>1</v>
      </c>
      <c r="CH718">
        <v>0</v>
      </c>
      <c r="CI718">
        <v>0</v>
      </c>
      <c r="CJ718">
        <v>0</v>
      </c>
      <c r="CK718">
        <v>2</v>
      </c>
      <c r="CL718">
        <v>0</v>
      </c>
      <c r="CM718">
        <v>2</v>
      </c>
      <c r="CN718">
        <v>0</v>
      </c>
      <c r="CO718">
        <v>5</v>
      </c>
      <c r="CP718" t="s">
        <v>119</v>
      </c>
      <c r="CQ718">
        <v>145</v>
      </c>
      <c r="CR718">
        <v>1</v>
      </c>
      <c r="CW718">
        <v>8962723</v>
      </c>
      <c r="CY718">
        <v>0</v>
      </c>
      <c r="CZ718">
        <v>0</v>
      </c>
      <c r="DA718">
        <v>1</v>
      </c>
      <c r="DB718">
        <v>0</v>
      </c>
      <c r="DC718">
        <v>0</v>
      </c>
      <c r="DD718">
        <v>0</v>
      </c>
      <c r="DE718">
        <v>0</v>
      </c>
      <c r="DF718">
        <v>0</v>
      </c>
      <c r="DG718">
        <v>0</v>
      </c>
      <c r="DH718">
        <v>0</v>
      </c>
      <c r="DI718">
        <v>0</v>
      </c>
    </row>
    <row r="719" spans="1:113" x14ac:dyDescent="0.3">
      <c r="A719" t="str">
        <f>"02/13/2022 18:39:27.572"</f>
        <v>02/13/2022 18:39:27.572</v>
      </c>
      <c r="C719" t="str">
        <f t="shared" si="77"/>
        <v>FFDFD7C0</v>
      </c>
      <c r="D719" t="s">
        <v>113</v>
      </c>
      <c r="E719">
        <v>3</v>
      </c>
      <c r="F719">
        <v>1003</v>
      </c>
      <c r="G719" t="s">
        <v>114</v>
      </c>
      <c r="J719" t="s">
        <v>115</v>
      </c>
      <c r="K719">
        <v>0</v>
      </c>
      <c r="L719">
        <v>3</v>
      </c>
      <c r="M719">
        <v>0</v>
      </c>
      <c r="N719">
        <v>2</v>
      </c>
      <c r="O719">
        <v>1</v>
      </c>
      <c r="P719">
        <v>0</v>
      </c>
      <c r="Q719">
        <v>0</v>
      </c>
      <c r="S719" t="str">
        <f>"18:39:27.328"</f>
        <v>18:39:27.328</v>
      </c>
      <c r="T719" t="str">
        <f>"18:39:27.028"</f>
        <v>18:39:27.028</v>
      </c>
      <c r="U719" t="str">
        <f t="shared" si="76"/>
        <v>AAB6EE</v>
      </c>
      <c r="V719">
        <v>0</v>
      </c>
      <c r="W719">
        <v>0</v>
      </c>
      <c r="X719">
        <v>4</v>
      </c>
      <c r="Z719">
        <v>0</v>
      </c>
      <c r="AA719">
        <v>8</v>
      </c>
      <c r="AB719">
        <v>3</v>
      </c>
      <c r="AC719">
        <v>0</v>
      </c>
      <c r="AD719">
        <v>10</v>
      </c>
      <c r="AE719">
        <v>0</v>
      </c>
      <c r="AF719">
        <v>0</v>
      </c>
      <c r="AG719">
        <v>2</v>
      </c>
      <c r="AH719">
        <v>1</v>
      </c>
      <c r="AI719" t="s">
        <v>601</v>
      </c>
      <c r="AJ719">
        <v>35.381383999999997</v>
      </c>
      <c r="AK719" t="s">
        <v>602</v>
      </c>
      <c r="AL719">
        <v>-76.119461000000001</v>
      </c>
      <c r="AM719">
        <v>25</v>
      </c>
      <c r="AN719">
        <v>3425</v>
      </c>
      <c r="AO719" t="s">
        <v>118</v>
      </c>
      <c r="AP719">
        <v>-103</v>
      </c>
      <c r="AQ719">
        <v>-197</v>
      </c>
      <c r="AR719">
        <v>0</v>
      </c>
      <c r="AZ719">
        <v>4516</v>
      </c>
      <c r="BA719">
        <v>1</v>
      </c>
      <c r="BB719" t="str">
        <f t="shared" si="78"/>
        <v xml:space="preserve">N79NX   </v>
      </c>
      <c r="BC719">
        <v>1</v>
      </c>
      <c r="BE719">
        <v>0</v>
      </c>
      <c r="BF719">
        <v>0</v>
      </c>
      <c r="BG719">
        <v>0</v>
      </c>
      <c r="BH719">
        <v>3300</v>
      </c>
      <c r="BI719">
        <v>0</v>
      </c>
      <c r="BJ719">
        <v>0</v>
      </c>
      <c r="BK719">
        <v>0</v>
      </c>
      <c r="BL719">
        <v>0</v>
      </c>
      <c r="BO719">
        <v>0</v>
      </c>
      <c r="BP719">
        <v>0</v>
      </c>
      <c r="BW719" t="str">
        <f>"18:39:27.331"</f>
        <v>18:39:27.331</v>
      </c>
      <c r="BZ719">
        <v>0</v>
      </c>
      <c r="CA719">
        <v>3488</v>
      </c>
      <c r="CB719">
        <v>216</v>
      </c>
      <c r="CC719">
        <v>583.59379999999999</v>
      </c>
      <c r="CD719">
        <v>1</v>
      </c>
      <c r="CE719">
        <v>1</v>
      </c>
      <c r="CF719">
        <v>0</v>
      </c>
      <c r="CG719">
        <v>1</v>
      </c>
      <c r="CH719">
        <v>0</v>
      </c>
      <c r="CI719">
        <v>0</v>
      </c>
      <c r="CJ719">
        <v>0</v>
      </c>
      <c r="CK719">
        <v>2</v>
      </c>
      <c r="CL719">
        <v>0</v>
      </c>
      <c r="CM719">
        <v>2</v>
      </c>
      <c r="CN719">
        <v>0</v>
      </c>
      <c r="CO719">
        <v>5</v>
      </c>
      <c r="CP719" t="s">
        <v>119</v>
      </c>
      <c r="CQ719">
        <v>145</v>
      </c>
      <c r="CR719">
        <v>1</v>
      </c>
      <c r="CW719">
        <v>8963108</v>
      </c>
      <c r="CY719">
        <v>0</v>
      </c>
      <c r="CZ719">
        <v>0</v>
      </c>
      <c r="DA719">
        <v>0</v>
      </c>
      <c r="DB719">
        <v>0</v>
      </c>
      <c r="DC719">
        <v>0</v>
      </c>
      <c r="DD719">
        <v>0</v>
      </c>
      <c r="DE719">
        <v>0</v>
      </c>
      <c r="DF719">
        <v>0</v>
      </c>
      <c r="DG719">
        <v>0</v>
      </c>
      <c r="DH719">
        <v>0</v>
      </c>
      <c r="DI719">
        <v>0</v>
      </c>
    </row>
    <row r="720" spans="1:113" x14ac:dyDescent="0.3">
      <c r="A720" t="str">
        <f>"02/13/2022 18:39:27.572"</f>
        <v>02/13/2022 18:39:27.572</v>
      </c>
      <c r="C720" t="str">
        <f t="shared" si="77"/>
        <v>FFDFD7C0</v>
      </c>
      <c r="D720" t="s">
        <v>113</v>
      </c>
      <c r="E720">
        <v>4</v>
      </c>
      <c r="F720">
        <v>1004</v>
      </c>
      <c r="G720" t="s">
        <v>120</v>
      </c>
      <c r="J720" t="s">
        <v>115</v>
      </c>
      <c r="K720">
        <v>0</v>
      </c>
      <c r="L720">
        <v>3</v>
      </c>
      <c r="M720">
        <v>0</v>
      </c>
      <c r="N720">
        <v>2</v>
      </c>
      <c r="O720">
        <v>1</v>
      </c>
      <c r="P720">
        <v>0</v>
      </c>
      <c r="Q720">
        <v>0</v>
      </c>
      <c r="S720" t="str">
        <f>"18:39:27.328"</f>
        <v>18:39:27.328</v>
      </c>
      <c r="T720" t="str">
        <f>"18:39:27.028"</f>
        <v>18:39:27.028</v>
      </c>
      <c r="U720" t="str">
        <f t="shared" si="76"/>
        <v>AAB6EE</v>
      </c>
      <c r="V720">
        <v>0</v>
      </c>
      <c r="W720">
        <v>0</v>
      </c>
      <c r="X720">
        <v>4</v>
      </c>
      <c r="Z720">
        <v>0</v>
      </c>
      <c r="AA720">
        <v>8</v>
      </c>
      <c r="AB720">
        <v>3</v>
      </c>
      <c r="AC720">
        <v>0</v>
      </c>
      <c r="AD720">
        <v>10</v>
      </c>
      <c r="AE720">
        <v>0</v>
      </c>
      <c r="AF720">
        <v>0</v>
      </c>
      <c r="AG720">
        <v>2</v>
      </c>
      <c r="AH720">
        <v>1</v>
      </c>
      <c r="AI720" t="s">
        <v>601</v>
      </c>
      <c r="AJ720">
        <v>35.381383999999997</v>
      </c>
      <c r="AK720" t="s">
        <v>602</v>
      </c>
      <c r="AL720">
        <v>-76.119461000000001</v>
      </c>
      <c r="AM720">
        <v>25</v>
      </c>
      <c r="AN720">
        <v>3425</v>
      </c>
      <c r="AO720" t="s">
        <v>118</v>
      </c>
      <c r="AP720">
        <v>-103</v>
      </c>
      <c r="AQ720">
        <v>-197</v>
      </c>
      <c r="AR720">
        <v>0</v>
      </c>
      <c r="AZ720">
        <v>4516</v>
      </c>
      <c r="BA720">
        <v>1</v>
      </c>
      <c r="BB720" t="str">
        <f t="shared" si="78"/>
        <v xml:space="preserve">N79NX   </v>
      </c>
      <c r="BC720">
        <v>1</v>
      </c>
      <c r="BE720">
        <v>0</v>
      </c>
      <c r="BF720">
        <v>0</v>
      </c>
      <c r="BG720">
        <v>0</v>
      </c>
      <c r="BH720">
        <v>3300</v>
      </c>
      <c r="BI720">
        <v>0</v>
      </c>
      <c r="BJ720">
        <v>0</v>
      </c>
      <c r="BK720">
        <v>0</v>
      </c>
      <c r="BL720">
        <v>0</v>
      </c>
      <c r="BO720">
        <v>0</v>
      </c>
      <c r="BP720">
        <v>0</v>
      </c>
      <c r="BW720" t="str">
        <f>"18:39:27.331"</f>
        <v>18:39:27.331</v>
      </c>
      <c r="BZ720">
        <v>0</v>
      </c>
      <c r="CA720">
        <v>3488</v>
      </c>
      <c r="CB720">
        <v>216</v>
      </c>
      <c r="CC720">
        <v>583.59379999999999</v>
      </c>
      <c r="CD720">
        <v>1</v>
      </c>
      <c r="CE720">
        <v>1</v>
      </c>
      <c r="CF720">
        <v>0</v>
      </c>
      <c r="CG720">
        <v>1</v>
      </c>
      <c r="CH720">
        <v>0</v>
      </c>
      <c r="CI720">
        <v>0</v>
      </c>
      <c r="CJ720">
        <v>0</v>
      </c>
      <c r="CK720">
        <v>2</v>
      </c>
      <c r="CL720">
        <v>0</v>
      </c>
      <c r="CM720">
        <v>2</v>
      </c>
      <c r="CN720">
        <v>0</v>
      </c>
      <c r="CO720">
        <v>5</v>
      </c>
      <c r="CP720" t="s">
        <v>119</v>
      </c>
      <c r="CQ720">
        <v>145</v>
      </c>
      <c r="CR720">
        <v>1</v>
      </c>
      <c r="CW720">
        <v>8963108</v>
      </c>
      <c r="CY720">
        <v>0</v>
      </c>
      <c r="CZ720">
        <v>0</v>
      </c>
      <c r="DA720">
        <v>1</v>
      </c>
      <c r="DB720">
        <v>0</v>
      </c>
      <c r="DC720">
        <v>0</v>
      </c>
      <c r="DD720">
        <v>0</v>
      </c>
      <c r="DE720">
        <v>0</v>
      </c>
      <c r="DF720">
        <v>0</v>
      </c>
      <c r="DG720">
        <v>0</v>
      </c>
      <c r="DH720">
        <v>0</v>
      </c>
      <c r="DI720">
        <v>0</v>
      </c>
    </row>
    <row r="721" spans="1:113" x14ac:dyDescent="0.3">
      <c r="A721" t="str">
        <f>"02/13/2022 18:39:27.572"</f>
        <v>02/13/2022 18:39:27.572</v>
      </c>
      <c r="C721" t="str">
        <f t="shared" si="77"/>
        <v>FFDFD7C0</v>
      </c>
      <c r="D721" t="s">
        <v>121</v>
      </c>
      <c r="E721">
        <v>2</v>
      </c>
      <c r="H721">
        <v>158</v>
      </c>
      <c r="I721" t="s">
        <v>120</v>
      </c>
      <c r="J721" t="s">
        <v>122</v>
      </c>
      <c r="K721">
        <v>0</v>
      </c>
      <c r="L721">
        <v>3</v>
      </c>
      <c r="M721">
        <v>0</v>
      </c>
      <c r="N721">
        <v>2</v>
      </c>
      <c r="O721">
        <v>1</v>
      </c>
      <c r="P721">
        <v>0</v>
      </c>
      <c r="Q721">
        <v>0</v>
      </c>
      <c r="S721" t="str">
        <f>"18:39:27.328"</f>
        <v>18:39:27.328</v>
      </c>
      <c r="T721" t="str">
        <f>"18:39:27.028"</f>
        <v>18:39:27.028</v>
      </c>
      <c r="U721" t="str">
        <f t="shared" si="76"/>
        <v>AAB6EE</v>
      </c>
      <c r="V721">
        <v>0</v>
      </c>
      <c r="W721">
        <v>0</v>
      </c>
      <c r="X721">
        <v>4</v>
      </c>
      <c r="Z721">
        <v>0</v>
      </c>
      <c r="AA721">
        <v>8</v>
      </c>
      <c r="AB721">
        <v>3</v>
      </c>
      <c r="AC721">
        <v>0</v>
      </c>
      <c r="AD721">
        <v>10</v>
      </c>
      <c r="AE721">
        <v>0</v>
      </c>
      <c r="AF721">
        <v>0</v>
      </c>
      <c r="AG721">
        <v>2</v>
      </c>
      <c r="AH721">
        <v>1</v>
      </c>
      <c r="AI721" t="s">
        <v>601</v>
      </c>
      <c r="AJ721">
        <v>35.381383999999997</v>
      </c>
      <c r="AK721" t="s">
        <v>602</v>
      </c>
      <c r="AL721">
        <v>-76.119461000000001</v>
      </c>
      <c r="AM721">
        <v>25</v>
      </c>
      <c r="AN721">
        <v>3425</v>
      </c>
      <c r="AO721" t="s">
        <v>118</v>
      </c>
      <c r="AP721">
        <v>-103</v>
      </c>
      <c r="AQ721">
        <v>-197</v>
      </c>
      <c r="AR721">
        <v>0</v>
      </c>
      <c r="AZ721">
        <v>4516</v>
      </c>
      <c r="BA721">
        <v>1</v>
      </c>
      <c r="BB721" t="str">
        <f t="shared" si="78"/>
        <v xml:space="preserve">N79NX   </v>
      </c>
      <c r="BC721">
        <v>1</v>
      </c>
      <c r="BE721">
        <v>0</v>
      </c>
      <c r="BF721">
        <v>0</v>
      </c>
      <c r="BG721">
        <v>0</v>
      </c>
      <c r="BH721">
        <v>3300</v>
      </c>
      <c r="BI721">
        <v>0</v>
      </c>
      <c r="BJ721">
        <v>0</v>
      </c>
      <c r="BK721">
        <v>0</v>
      </c>
      <c r="BL721">
        <v>0</v>
      </c>
      <c r="BO721">
        <v>0</v>
      </c>
      <c r="BP721">
        <v>0</v>
      </c>
      <c r="BW721" t="str">
        <f>"18:39:27.331"</f>
        <v>18:39:27.331</v>
      </c>
      <c r="BZ721">
        <v>0</v>
      </c>
      <c r="CA721">
        <v>3488</v>
      </c>
      <c r="CB721">
        <v>216</v>
      </c>
      <c r="CC721">
        <v>583.59379999999999</v>
      </c>
      <c r="CD721">
        <v>1</v>
      </c>
      <c r="CE721">
        <v>1</v>
      </c>
      <c r="CF721">
        <v>0</v>
      </c>
      <c r="CG721">
        <v>1</v>
      </c>
      <c r="CH721">
        <v>0</v>
      </c>
      <c r="CI721">
        <v>0</v>
      </c>
      <c r="CJ721">
        <v>0</v>
      </c>
      <c r="CK721">
        <v>2</v>
      </c>
      <c r="CL721">
        <v>0</v>
      </c>
      <c r="CM721">
        <v>2</v>
      </c>
      <c r="CN721">
        <v>0</v>
      </c>
      <c r="CO721">
        <v>5</v>
      </c>
      <c r="CP721" t="s">
        <v>119</v>
      </c>
      <c r="CQ721">
        <v>145</v>
      </c>
      <c r="CR721">
        <v>1</v>
      </c>
      <c r="CW721">
        <v>8963108</v>
      </c>
      <c r="CY721">
        <v>0</v>
      </c>
      <c r="CZ721">
        <v>0</v>
      </c>
      <c r="DA721">
        <v>1</v>
      </c>
      <c r="DB721">
        <v>0</v>
      </c>
      <c r="DC721">
        <v>0</v>
      </c>
      <c r="DD721">
        <v>0</v>
      </c>
      <c r="DE721">
        <v>0</v>
      </c>
      <c r="DF721">
        <v>0</v>
      </c>
      <c r="DG721">
        <v>0</v>
      </c>
      <c r="DH721">
        <v>0</v>
      </c>
      <c r="DI721">
        <v>0</v>
      </c>
    </row>
    <row r="722" spans="1:113" x14ac:dyDescent="0.3">
      <c r="A722" t="str">
        <f>"02/13/2022 18:39:28.479"</f>
        <v>02/13/2022 18:39:28.479</v>
      </c>
      <c r="C722" t="str">
        <f t="shared" si="77"/>
        <v>FFDFD7C0</v>
      </c>
      <c r="D722" t="s">
        <v>121</v>
      </c>
      <c r="E722">
        <v>2</v>
      </c>
      <c r="H722">
        <v>158</v>
      </c>
      <c r="I722" t="s">
        <v>120</v>
      </c>
      <c r="J722" t="s">
        <v>122</v>
      </c>
      <c r="K722">
        <v>0</v>
      </c>
      <c r="L722">
        <v>3</v>
      </c>
      <c r="M722">
        <v>0</v>
      </c>
      <c r="N722">
        <v>2</v>
      </c>
      <c r="O722">
        <v>1</v>
      </c>
      <c r="P722">
        <v>0</v>
      </c>
      <c r="Q722">
        <v>0</v>
      </c>
      <c r="S722" t="str">
        <f>"18:39:28.266"</f>
        <v>18:39:28.266</v>
      </c>
      <c r="T722" t="str">
        <f>"18:39:27.866"</f>
        <v>18:39:27.866</v>
      </c>
      <c r="U722" t="str">
        <f t="shared" si="76"/>
        <v>AAB6EE</v>
      </c>
      <c r="V722">
        <v>0</v>
      </c>
      <c r="W722">
        <v>0</v>
      </c>
      <c r="X722">
        <v>4</v>
      </c>
      <c r="Z722">
        <v>0</v>
      </c>
      <c r="AA722">
        <v>8</v>
      </c>
      <c r="AB722">
        <v>3</v>
      </c>
      <c r="AC722">
        <v>0</v>
      </c>
      <c r="AD722">
        <v>10</v>
      </c>
      <c r="AE722">
        <v>0</v>
      </c>
      <c r="AF722">
        <v>0</v>
      </c>
      <c r="AG722">
        <v>2</v>
      </c>
      <c r="AH722">
        <v>1</v>
      </c>
      <c r="AI722" t="s">
        <v>603</v>
      </c>
      <c r="AJ722">
        <v>35.380589999999998</v>
      </c>
      <c r="AK722" t="s">
        <v>604</v>
      </c>
      <c r="AL722">
        <v>-76.119997999999995</v>
      </c>
      <c r="AM722">
        <v>25</v>
      </c>
      <c r="AN722">
        <v>3425</v>
      </c>
      <c r="AO722" t="s">
        <v>118</v>
      </c>
      <c r="AP722">
        <v>-103</v>
      </c>
      <c r="AQ722">
        <v>-197</v>
      </c>
      <c r="AR722">
        <v>-64</v>
      </c>
      <c r="AZ722">
        <v>4516</v>
      </c>
      <c r="BA722">
        <v>1</v>
      </c>
      <c r="BB722" t="str">
        <f t="shared" si="78"/>
        <v xml:space="preserve">N79NX   </v>
      </c>
      <c r="BC722">
        <v>1</v>
      </c>
      <c r="BE722">
        <v>0</v>
      </c>
      <c r="BF722">
        <v>0</v>
      </c>
      <c r="BG722">
        <v>0</v>
      </c>
      <c r="BH722">
        <v>3275</v>
      </c>
      <c r="BI722">
        <v>0</v>
      </c>
      <c r="BJ722">
        <v>0</v>
      </c>
      <c r="BK722">
        <v>0</v>
      </c>
      <c r="BL722">
        <v>0</v>
      </c>
      <c r="BO722">
        <v>0</v>
      </c>
      <c r="BP722">
        <v>0</v>
      </c>
      <c r="BW722" t="str">
        <f>"18:39:28.271"</f>
        <v>18:39:28.271</v>
      </c>
      <c r="BZ722">
        <v>0</v>
      </c>
      <c r="CA722">
        <v>3488</v>
      </c>
      <c r="CB722">
        <v>216</v>
      </c>
      <c r="CC722">
        <v>583.59379999999999</v>
      </c>
      <c r="CD722">
        <v>1</v>
      </c>
      <c r="CE722">
        <v>1</v>
      </c>
      <c r="CF722">
        <v>0</v>
      </c>
      <c r="CG722">
        <v>1</v>
      </c>
      <c r="CH722">
        <v>0</v>
      </c>
      <c r="CI722">
        <v>0</v>
      </c>
      <c r="CJ722">
        <v>0</v>
      </c>
      <c r="CK722">
        <v>2</v>
      </c>
      <c r="CL722">
        <v>0</v>
      </c>
      <c r="CM722">
        <v>2</v>
      </c>
      <c r="CN722">
        <v>0</v>
      </c>
      <c r="CO722">
        <v>5</v>
      </c>
      <c r="CP722" t="s">
        <v>119</v>
      </c>
      <c r="CQ722">
        <v>145</v>
      </c>
      <c r="CR722">
        <v>1</v>
      </c>
      <c r="CW722">
        <v>8963532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0</v>
      </c>
      <c r="DE722">
        <v>0</v>
      </c>
      <c r="DF722">
        <v>0</v>
      </c>
      <c r="DG722">
        <v>0</v>
      </c>
      <c r="DH722">
        <v>0</v>
      </c>
      <c r="DI722">
        <v>0</v>
      </c>
    </row>
    <row r="723" spans="1:113" x14ac:dyDescent="0.3">
      <c r="A723" t="str">
        <f>"02/13/2022 18:39:28.510"</f>
        <v>02/13/2022 18:39:28.510</v>
      </c>
      <c r="C723" t="str">
        <f t="shared" si="77"/>
        <v>FFDFD7C0</v>
      </c>
      <c r="D723" t="s">
        <v>113</v>
      </c>
      <c r="E723">
        <v>4</v>
      </c>
      <c r="F723">
        <v>1004</v>
      </c>
      <c r="G723" t="s">
        <v>120</v>
      </c>
      <c r="J723" t="s">
        <v>115</v>
      </c>
      <c r="K723">
        <v>0</v>
      </c>
      <c r="L723">
        <v>3</v>
      </c>
      <c r="M723">
        <v>0</v>
      </c>
      <c r="N723">
        <v>2</v>
      </c>
      <c r="O723">
        <v>1</v>
      </c>
      <c r="P723">
        <v>0</v>
      </c>
      <c r="Q723">
        <v>0</v>
      </c>
      <c r="S723" t="str">
        <f>"18:39:28.266"</f>
        <v>18:39:28.266</v>
      </c>
      <c r="T723" t="str">
        <f>"18:39:27.866"</f>
        <v>18:39:27.866</v>
      </c>
      <c r="U723" t="str">
        <f t="shared" si="76"/>
        <v>AAB6EE</v>
      </c>
      <c r="V723">
        <v>0</v>
      </c>
      <c r="W723">
        <v>0</v>
      </c>
      <c r="X723">
        <v>4</v>
      </c>
      <c r="Z723">
        <v>0</v>
      </c>
      <c r="AA723">
        <v>8</v>
      </c>
      <c r="AB723">
        <v>3</v>
      </c>
      <c r="AC723">
        <v>0</v>
      </c>
      <c r="AD723">
        <v>10</v>
      </c>
      <c r="AE723">
        <v>0</v>
      </c>
      <c r="AF723">
        <v>0</v>
      </c>
      <c r="AG723">
        <v>2</v>
      </c>
      <c r="AH723">
        <v>1</v>
      </c>
      <c r="AI723" t="s">
        <v>603</v>
      </c>
      <c r="AJ723">
        <v>35.380589999999998</v>
      </c>
      <c r="AK723" t="s">
        <v>604</v>
      </c>
      <c r="AL723">
        <v>-76.119997999999995</v>
      </c>
      <c r="AM723">
        <v>25</v>
      </c>
      <c r="AN723">
        <v>3425</v>
      </c>
      <c r="AO723" t="s">
        <v>118</v>
      </c>
      <c r="AP723">
        <v>-103</v>
      </c>
      <c r="AQ723">
        <v>-197</v>
      </c>
      <c r="AR723">
        <v>-64</v>
      </c>
      <c r="AZ723">
        <v>4516</v>
      </c>
      <c r="BA723">
        <v>1</v>
      </c>
      <c r="BB723" t="str">
        <f t="shared" si="78"/>
        <v xml:space="preserve">N79NX   </v>
      </c>
      <c r="BC723">
        <v>1</v>
      </c>
      <c r="BE723">
        <v>0</v>
      </c>
      <c r="BF723">
        <v>0</v>
      </c>
      <c r="BG723">
        <v>0</v>
      </c>
      <c r="BH723">
        <v>3275</v>
      </c>
      <c r="BI723">
        <v>0</v>
      </c>
      <c r="BJ723">
        <v>0</v>
      </c>
      <c r="BK723">
        <v>0</v>
      </c>
      <c r="BL723">
        <v>0</v>
      </c>
      <c r="BO723">
        <v>0</v>
      </c>
      <c r="BP723">
        <v>0</v>
      </c>
      <c r="BW723" t="str">
        <f>"18:39:28.271"</f>
        <v>18:39:28.271</v>
      </c>
      <c r="BZ723">
        <v>0</v>
      </c>
      <c r="CA723">
        <v>3488</v>
      </c>
      <c r="CB723">
        <v>216</v>
      </c>
      <c r="CC723">
        <v>583.59379999999999</v>
      </c>
      <c r="CD723">
        <v>1</v>
      </c>
      <c r="CE723">
        <v>1</v>
      </c>
      <c r="CF723">
        <v>0</v>
      </c>
      <c r="CG723">
        <v>1</v>
      </c>
      <c r="CH723">
        <v>0</v>
      </c>
      <c r="CI723">
        <v>0</v>
      </c>
      <c r="CJ723">
        <v>0</v>
      </c>
      <c r="CK723">
        <v>2</v>
      </c>
      <c r="CL723">
        <v>0</v>
      </c>
      <c r="CM723">
        <v>2</v>
      </c>
      <c r="CN723">
        <v>0</v>
      </c>
      <c r="CO723">
        <v>5</v>
      </c>
      <c r="CP723" t="s">
        <v>119</v>
      </c>
      <c r="CQ723">
        <v>145</v>
      </c>
      <c r="CR723">
        <v>1</v>
      </c>
      <c r="CW723">
        <v>8963532</v>
      </c>
      <c r="CY723">
        <v>0</v>
      </c>
      <c r="CZ723">
        <v>0</v>
      </c>
      <c r="DA723">
        <v>1</v>
      </c>
      <c r="DB723">
        <v>0</v>
      </c>
      <c r="DC723">
        <v>0</v>
      </c>
      <c r="DD723">
        <v>0</v>
      </c>
      <c r="DE723">
        <v>0</v>
      </c>
      <c r="DF723">
        <v>0</v>
      </c>
      <c r="DG723">
        <v>0</v>
      </c>
      <c r="DH723">
        <v>0</v>
      </c>
      <c r="DI723">
        <v>0</v>
      </c>
    </row>
    <row r="724" spans="1:113" x14ac:dyDescent="0.3">
      <c r="A724" t="str">
        <f>"02/13/2022 18:39:28.510"</f>
        <v>02/13/2022 18:39:28.510</v>
      </c>
      <c r="C724" t="str">
        <f t="shared" si="77"/>
        <v>FFDFD7C0</v>
      </c>
      <c r="D724" t="s">
        <v>113</v>
      </c>
      <c r="E724">
        <v>3</v>
      </c>
      <c r="F724">
        <v>1003</v>
      </c>
      <c r="G724" t="s">
        <v>114</v>
      </c>
      <c r="J724" t="s">
        <v>115</v>
      </c>
      <c r="K724">
        <v>0</v>
      </c>
      <c r="L724">
        <v>3</v>
      </c>
      <c r="M724">
        <v>0</v>
      </c>
      <c r="N724">
        <v>2</v>
      </c>
      <c r="O724">
        <v>1</v>
      </c>
      <c r="P724">
        <v>0</v>
      </c>
      <c r="Q724">
        <v>0</v>
      </c>
      <c r="S724" t="str">
        <f>"18:39:28.266"</f>
        <v>18:39:28.266</v>
      </c>
      <c r="T724" t="str">
        <f>"18:39:27.866"</f>
        <v>18:39:27.866</v>
      </c>
      <c r="U724" t="str">
        <f t="shared" si="76"/>
        <v>AAB6EE</v>
      </c>
      <c r="V724">
        <v>0</v>
      </c>
      <c r="W724">
        <v>0</v>
      </c>
      <c r="X724">
        <v>4</v>
      </c>
      <c r="Z724">
        <v>0</v>
      </c>
      <c r="AA724">
        <v>8</v>
      </c>
      <c r="AB724">
        <v>3</v>
      </c>
      <c r="AC724">
        <v>0</v>
      </c>
      <c r="AD724">
        <v>10</v>
      </c>
      <c r="AE724">
        <v>0</v>
      </c>
      <c r="AF724">
        <v>0</v>
      </c>
      <c r="AG724">
        <v>2</v>
      </c>
      <c r="AH724">
        <v>1</v>
      </c>
      <c r="AI724" t="s">
        <v>603</v>
      </c>
      <c r="AJ724">
        <v>35.380589999999998</v>
      </c>
      <c r="AK724" t="s">
        <v>604</v>
      </c>
      <c r="AL724">
        <v>-76.119997999999995</v>
      </c>
      <c r="AM724">
        <v>25</v>
      </c>
      <c r="AN724">
        <v>3425</v>
      </c>
      <c r="AO724" t="s">
        <v>118</v>
      </c>
      <c r="AP724">
        <v>-103</v>
      </c>
      <c r="AQ724">
        <v>-197</v>
      </c>
      <c r="AR724">
        <v>-64</v>
      </c>
      <c r="AZ724">
        <v>4516</v>
      </c>
      <c r="BA724">
        <v>1</v>
      </c>
      <c r="BB724" t="str">
        <f t="shared" si="78"/>
        <v xml:space="preserve">N79NX   </v>
      </c>
      <c r="BC724">
        <v>1</v>
      </c>
      <c r="BE724">
        <v>0</v>
      </c>
      <c r="BF724">
        <v>0</v>
      </c>
      <c r="BG724">
        <v>0</v>
      </c>
      <c r="BH724">
        <v>3275</v>
      </c>
      <c r="BI724">
        <v>0</v>
      </c>
      <c r="BJ724">
        <v>0</v>
      </c>
      <c r="BK724">
        <v>0</v>
      </c>
      <c r="BL724">
        <v>0</v>
      </c>
      <c r="BO724">
        <v>0</v>
      </c>
      <c r="BP724">
        <v>0</v>
      </c>
      <c r="BW724" t="str">
        <f>"18:39:28.271"</f>
        <v>18:39:28.271</v>
      </c>
      <c r="BZ724">
        <v>0</v>
      </c>
      <c r="CA724">
        <v>3488</v>
      </c>
      <c r="CB724">
        <v>216</v>
      </c>
      <c r="CC724">
        <v>583.59379999999999</v>
      </c>
      <c r="CD724">
        <v>1</v>
      </c>
      <c r="CE724">
        <v>1</v>
      </c>
      <c r="CF724">
        <v>0</v>
      </c>
      <c r="CG724">
        <v>1</v>
      </c>
      <c r="CH724">
        <v>0</v>
      </c>
      <c r="CI724">
        <v>0</v>
      </c>
      <c r="CJ724">
        <v>0</v>
      </c>
      <c r="CK724">
        <v>2</v>
      </c>
      <c r="CL724">
        <v>0</v>
      </c>
      <c r="CM724">
        <v>2</v>
      </c>
      <c r="CN724">
        <v>0</v>
      </c>
      <c r="CO724">
        <v>5</v>
      </c>
      <c r="CP724" t="s">
        <v>119</v>
      </c>
      <c r="CQ724">
        <v>145</v>
      </c>
      <c r="CR724">
        <v>1</v>
      </c>
      <c r="CW724">
        <v>8963532</v>
      </c>
      <c r="CY724">
        <v>0</v>
      </c>
      <c r="CZ724">
        <v>0</v>
      </c>
      <c r="DA724">
        <v>1</v>
      </c>
      <c r="DB724">
        <v>0</v>
      </c>
      <c r="DC724">
        <v>0</v>
      </c>
      <c r="DD724">
        <v>0</v>
      </c>
      <c r="DE724">
        <v>0</v>
      </c>
      <c r="DF724">
        <v>0</v>
      </c>
      <c r="DG724">
        <v>0</v>
      </c>
      <c r="DH724">
        <v>0</v>
      </c>
      <c r="DI724">
        <v>0</v>
      </c>
    </row>
    <row r="725" spans="1:113" x14ac:dyDescent="0.3">
      <c r="A725" t="str">
        <f>"02/13/2022 18:39:29.323"</f>
        <v>02/13/2022 18:39:29.323</v>
      </c>
      <c r="C725" t="str">
        <f t="shared" si="77"/>
        <v>FFDFD7C0</v>
      </c>
      <c r="D725" t="s">
        <v>113</v>
      </c>
      <c r="E725">
        <v>3</v>
      </c>
      <c r="F725">
        <v>1003</v>
      </c>
      <c r="G725" t="s">
        <v>114</v>
      </c>
      <c r="J725" t="s">
        <v>115</v>
      </c>
      <c r="K725">
        <v>0</v>
      </c>
      <c r="L725">
        <v>3</v>
      </c>
      <c r="M725">
        <v>0</v>
      </c>
      <c r="N725">
        <v>2</v>
      </c>
      <c r="O725">
        <v>1</v>
      </c>
      <c r="P725">
        <v>0</v>
      </c>
      <c r="Q725">
        <v>0</v>
      </c>
      <c r="S725" t="str">
        <f>"18:39:29.094"</f>
        <v>18:39:29.094</v>
      </c>
      <c r="T725" t="str">
        <f>"18:39:28.794"</f>
        <v>18:39:28.794</v>
      </c>
      <c r="U725" t="str">
        <f t="shared" si="76"/>
        <v>AAB6EE</v>
      </c>
      <c r="V725">
        <v>0</v>
      </c>
      <c r="W725">
        <v>0</v>
      </c>
      <c r="X725">
        <v>4</v>
      </c>
      <c r="Z725">
        <v>0</v>
      </c>
      <c r="AA725">
        <v>8</v>
      </c>
      <c r="AB725">
        <v>3</v>
      </c>
      <c r="AC725">
        <v>0</v>
      </c>
      <c r="AD725">
        <v>10</v>
      </c>
      <c r="AE725">
        <v>0</v>
      </c>
      <c r="AF725">
        <v>0</v>
      </c>
      <c r="AG725">
        <v>2</v>
      </c>
      <c r="AH725">
        <v>1</v>
      </c>
      <c r="AI725" t="s">
        <v>605</v>
      </c>
      <c r="AJ725">
        <v>35.379838999999997</v>
      </c>
      <c r="AK725" t="s">
        <v>606</v>
      </c>
      <c r="AL725">
        <v>-76.120469999999997</v>
      </c>
      <c r="AM725">
        <v>25</v>
      </c>
      <c r="AN725">
        <v>3425</v>
      </c>
      <c r="AO725" t="s">
        <v>118</v>
      </c>
      <c r="AP725">
        <v>-103</v>
      </c>
      <c r="AQ725">
        <v>-197</v>
      </c>
      <c r="AR725">
        <v>-64</v>
      </c>
      <c r="AZ725">
        <v>4516</v>
      </c>
      <c r="BA725">
        <v>1</v>
      </c>
      <c r="BB725" t="str">
        <f t="shared" si="78"/>
        <v xml:space="preserve">N79NX   </v>
      </c>
      <c r="BC725">
        <v>1</v>
      </c>
      <c r="BE725">
        <v>0</v>
      </c>
      <c r="BF725">
        <v>0</v>
      </c>
      <c r="BG725">
        <v>0</v>
      </c>
      <c r="BH725">
        <v>3275</v>
      </c>
      <c r="BI725">
        <v>0</v>
      </c>
      <c r="BJ725">
        <v>0</v>
      </c>
      <c r="BK725">
        <v>0</v>
      </c>
      <c r="BL725">
        <v>0</v>
      </c>
      <c r="BO725">
        <v>0</v>
      </c>
      <c r="BP725">
        <v>0</v>
      </c>
      <c r="BW725" t="str">
        <f>"18:39:29.101"</f>
        <v>18:39:29.101</v>
      </c>
      <c r="BZ725">
        <v>0</v>
      </c>
      <c r="CA725">
        <v>3488</v>
      </c>
      <c r="CB725">
        <v>216</v>
      </c>
      <c r="CC725">
        <v>583.59379999999999</v>
      </c>
      <c r="CD725">
        <v>1</v>
      </c>
      <c r="CE725">
        <v>1</v>
      </c>
      <c r="CF725">
        <v>0</v>
      </c>
      <c r="CG725">
        <v>1</v>
      </c>
      <c r="CH725">
        <v>0</v>
      </c>
      <c r="CI725">
        <v>0</v>
      </c>
      <c r="CJ725">
        <v>0</v>
      </c>
      <c r="CK725">
        <v>2</v>
      </c>
      <c r="CL725">
        <v>0</v>
      </c>
      <c r="CM725">
        <v>2</v>
      </c>
      <c r="CN725">
        <v>0</v>
      </c>
      <c r="CO725">
        <v>5</v>
      </c>
      <c r="CP725" t="s">
        <v>119</v>
      </c>
      <c r="CQ725">
        <v>145</v>
      </c>
      <c r="CR725">
        <v>1</v>
      </c>
      <c r="CW725">
        <v>8963937</v>
      </c>
      <c r="CY725">
        <v>0</v>
      </c>
      <c r="CZ725">
        <v>0</v>
      </c>
      <c r="DA725">
        <v>0</v>
      </c>
      <c r="DB725">
        <v>0</v>
      </c>
      <c r="DC725">
        <v>0</v>
      </c>
      <c r="DD725">
        <v>0</v>
      </c>
      <c r="DE725">
        <v>0</v>
      </c>
      <c r="DF725">
        <v>0</v>
      </c>
      <c r="DG725">
        <v>0</v>
      </c>
      <c r="DH725">
        <v>0</v>
      </c>
      <c r="DI725">
        <v>0</v>
      </c>
    </row>
    <row r="726" spans="1:113" x14ac:dyDescent="0.3">
      <c r="A726" t="str">
        <f>"02/13/2022 18:39:29.355"</f>
        <v>02/13/2022 18:39:29.355</v>
      </c>
      <c r="C726" t="str">
        <f t="shared" si="77"/>
        <v>FFDFD7C0</v>
      </c>
      <c r="D726" t="s">
        <v>113</v>
      </c>
      <c r="E726">
        <v>4</v>
      </c>
      <c r="F726">
        <v>1004</v>
      </c>
      <c r="G726" t="s">
        <v>120</v>
      </c>
      <c r="J726" t="s">
        <v>115</v>
      </c>
      <c r="K726">
        <v>0</v>
      </c>
      <c r="L726">
        <v>3</v>
      </c>
      <c r="M726">
        <v>0</v>
      </c>
      <c r="N726">
        <v>2</v>
      </c>
      <c r="O726">
        <v>1</v>
      </c>
      <c r="P726">
        <v>0</v>
      </c>
      <c r="Q726">
        <v>0</v>
      </c>
      <c r="S726" t="str">
        <f>"18:39:29.094"</f>
        <v>18:39:29.094</v>
      </c>
      <c r="T726" t="str">
        <f>"18:39:28.794"</f>
        <v>18:39:28.794</v>
      </c>
      <c r="U726" t="str">
        <f t="shared" si="76"/>
        <v>AAB6EE</v>
      </c>
      <c r="V726">
        <v>0</v>
      </c>
      <c r="W726">
        <v>0</v>
      </c>
      <c r="X726">
        <v>4</v>
      </c>
      <c r="Z726">
        <v>0</v>
      </c>
      <c r="AA726">
        <v>8</v>
      </c>
      <c r="AB726">
        <v>3</v>
      </c>
      <c r="AC726">
        <v>0</v>
      </c>
      <c r="AD726">
        <v>10</v>
      </c>
      <c r="AE726">
        <v>0</v>
      </c>
      <c r="AF726">
        <v>0</v>
      </c>
      <c r="AG726">
        <v>2</v>
      </c>
      <c r="AH726">
        <v>1</v>
      </c>
      <c r="AI726" t="s">
        <v>605</v>
      </c>
      <c r="AJ726">
        <v>35.379838999999997</v>
      </c>
      <c r="AK726" t="s">
        <v>606</v>
      </c>
      <c r="AL726">
        <v>-76.120469999999997</v>
      </c>
      <c r="AM726">
        <v>25</v>
      </c>
      <c r="AN726">
        <v>3425</v>
      </c>
      <c r="AO726" t="s">
        <v>118</v>
      </c>
      <c r="AP726">
        <v>-103</v>
      </c>
      <c r="AQ726">
        <v>-197</v>
      </c>
      <c r="AR726">
        <v>-64</v>
      </c>
      <c r="AZ726">
        <v>4516</v>
      </c>
      <c r="BA726">
        <v>1</v>
      </c>
      <c r="BB726" t="str">
        <f t="shared" si="78"/>
        <v xml:space="preserve">N79NX   </v>
      </c>
      <c r="BC726">
        <v>1</v>
      </c>
      <c r="BE726">
        <v>0</v>
      </c>
      <c r="BF726">
        <v>0</v>
      </c>
      <c r="BG726">
        <v>0</v>
      </c>
      <c r="BH726">
        <v>3275</v>
      </c>
      <c r="BI726">
        <v>0</v>
      </c>
      <c r="BJ726">
        <v>0</v>
      </c>
      <c r="BK726">
        <v>0</v>
      </c>
      <c r="BL726">
        <v>0</v>
      </c>
      <c r="BO726">
        <v>0</v>
      </c>
      <c r="BP726">
        <v>0</v>
      </c>
      <c r="BW726" t="str">
        <f>"18:39:29.101"</f>
        <v>18:39:29.101</v>
      </c>
      <c r="BZ726">
        <v>0</v>
      </c>
      <c r="CA726">
        <v>3488</v>
      </c>
      <c r="CB726">
        <v>216</v>
      </c>
      <c r="CC726">
        <v>583.59379999999999</v>
      </c>
      <c r="CD726">
        <v>1</v>
      </c>
      <c r="CE726">
        <v>1</v>
      </c>
      <c r="CF726">
        <v>0</v>
      </c>
      <c r="CG726">
        <v>1</v>
      </c>
      <c r="CH726">
        <v>0</v>
      </c>
      <c r="CI726">
        <v>0</v>
      </c>
      <c r="CJ726">
        <v>0</v>
      </c>
      <c r="CK726">
        <v>2</v>
      </c>
      <c r="CL726">
        <v>0</v>
      </c>
      <c r="CM726">
        <v>2</v>
      </c>
      <c r="CN726">
        <v>0</v>
      </c>
      <c r="CO726">
        <v>5</v>
      </c>
      <c r="CP726" t="s">
        <v>119</v>
      </c>
      <c r="CQ726">
        <v>145</v>
      </c>
      <c r="CR726">
        <v>1</v>
      </c>
      <c r="CW726">
        <v>8963937</v>
      </c>
      <c r="CY726">
        <v>0</v>
      </c>
      <c r="CZ726">
        <v>0</v>
      </c>
      <c r="DA726">
        <v>1</v>
      </c>
      <c r="DB726">
        <v>0</v>
      </c>
      <c r="DC726">
        <v>0</v>
      </c>
      <c r="DD726">
        <v>0</v>
      </c>
      <c r="DE726">
        <v>0</v>
      </c>
      <c r="DF726">
        <v>0</v>
      </c>
      <c r="DG726">
        <v>0</v>
      </c>
      <c r="DH726">
        <v>0</v>
      </c>
      <c r="DI726">
        <v>0</v>
      </c>
    </row>
    <row r="727" spans="1:113" x14ac:dyDescent="0.3">
      <c r="A727" t="str">
        <f>"02/13/2022 18:39:29.418"</f>
        <v>02/13/2022 18:39:29.418</v>
      </c>
      <c r="C727" t="str">
        <f t="shared" si="77"/>
        <v>FFDFD7C0</v>
      </c>
      <c r="D727" t="s">
        <v>121</v>
      </c>
      <c r="E727">
        <v>2</v>
      </c>
      <c r="H727">
        <v>158</v>
      </c>
      <c r="I727" t="s">
        <v>120</v>
      </c>
      <c r="J727" t="s">
        <v>122</v>
      </c>
      <c r="K727">
        <v>0</v>
      </c>
      <c r="L727">
        <v>3</v>
      </c>
      <c r="M727">
        <v>0</v>
      </c>
      <c r="N727">
        <v>2</v>
      </c>
      <c r="O727">
        <v>1</v>
      </c>
      <c r="P727">
        <v>0</v>
      </c>
      <c r="Q727">
        <v>0</v>
      </c>
      <c r="S727" t="str">
        <f>"18:39:29.094"</f>
        <v>18:39:29.094</v>
      </c>
      <c r="T727" t="str">
        <f>"18:39:28.794"</f>
        <v>18:39:28.794</v>
      </c>
      <c r="U727" t="str">
        <f t="shared" si="76"/>
        <v>AAB6EE</v>
      </c>
      <c r="V727">
        <v>0</v>
      </c>
      <c r="W727">
        <v>0</v>
      </c>
      <c r="X727">
        <v>4</v>
      </c>
      <c r="Z727">
        <v>0</v>
      </c>
      <c r="AA727">
        <v>8</v>
      </c>
      <c r="AB727">
        <v>3</v>
      </c>
      <c r="AC727">
        <v>0</v>
      </c>
      <c r="AD727">
        <v>10</v>
      </c>
      <c r="AE727">
        <v>0</v>
      </c>
      <c r="AF727">
        <v>0</v>
      </c>
      <c r="AG727">
        <v>2</v>
      </c>
      <c r="AH727">
        <v>1</v>
      </c>
      <c r="AI727" t="s">
        <v>605</v>
      </c>
      <c r="AJ727">
        <v>35.379838999999997</v>
      </c>
      <c r="AK727" t="s">
        <v>606</v>
      </c>
      <c r="AL727">
        <v>-76.120469999999997</v>
      </c>
      <c r="AM727">
        <v>25</v>
      </c>
      <c r="AN727">
        <v>3425</v>
      </c>
      <c r="AO727" t="s">
        <v>118</v>
      </c>
      <c r="AP727">
        <v>-103</v>
      </c>
      <c r="AQ727">
        <v>-197</v>
      </c>
      <c r="AR727">
        <v>-64</v>
      </c>
      <c r="AZ727">
        <v>4516</v>
      </c>
      <c r="BA727">
        <v>1</v>
      </c>
      <c r="BB727" t="str">
        <f t="shared" si="78"/>
        <v xml:space="preserve">N79NX   </v>
      </c>
      <c r="BC727">
        <v>1</v>
      </c>
      <c r="BE727">
        <v>0</v>
      </c>
      <c r="BF727">
        <v>0</v>
      </c>
      <c r="BG727">
        <v>0</v>
      </c>
      <c r="BH727">
        <v>3275</v>
      </c>
      <c r="BI727">
        <v>0</v>
      </c>
      <c r="BJ727">
        <v>0</v>
      </c>
      <c r="BK727">
        <v>0</v>
      </c>
      <c r="BL727">
        <v>0</v>
      </c>
      <c r="BO727">
        <v>0</v>
      </c>
      <c r="BP727">
        <v>0</v>
      </c>
      <c r="BW727" t="str">
        <f>"18:39:29.101"</f>
        <v>18:39:29.101</v>
      </c>
      <c r="BZ727">
        <v>0</v>
      </c>
      <c r="CA727">
        <v>3488</v>
      </c>
      <c r="CB727">
        <v>216</v>
      </c>
      <c r="CC727">
        <v>583.59379999999999</v>
      </c>
      <c r="CD727">
        <v>1</v>
      </c>
      <c r="CE727">
        <v>1</v>
      </c>
      <c r="CF727">
        <v>0</v>
      </c>
      <c r="CG727">
        <v>1</v>
      </c>
      <c r="CH727">
        <v>0</v>
      </c>
      <c r="CI727">
        <v>0</v>
      </c>
      <c r="CJ727">
        <v>0</v>
      </c>
      <c r="CK727">
        <v>2</v>
      </c>
      <c r="CL727">
        <v>0</v>
      </c>
      <c r="CM727">
        <v>2</v>
      </c>
      <c r="CN727">
        <v>0</v>
      </c>
      <c r="CO727">
        <v>5</v>
      </c>
      <c r="CP727" t="s">
        <v>119</v>
      </c>
      <c r="CQ727">
        <v>145</v>
      </c>
      <c r="CR727">
        <v>1</v>
      </c>
      <c r="CW727">
        <v>8963937</v>
      </c>
      <c r="CY727">
        <v>0</v>
      </c>
      <c r="CZ727">
        <v>0</v>
      </c>
      <c r="DA727">
        <v>1</v>
      </c>
      <c r="DB727">
        <v>0</v>
      </c>
      <c r="DC727">
        <v>0</v>
      </c>
      <c r="DD727">
        <v>0</v>
      </c>
      <c r="DE727">
        <v>0</v>
      </c>
      <c r="DF727">
        <v>0</v>
      </c>
      <c r="DG727">
        <v>0</v>
      </c>
      <c r="DH727">
        <v>0</v>
      </c>
      <c r="DI727">
        <v>0</v>
      </c>
    </row>
    <row r="728" spans="1:113" x14ac:dyDescent="0.3">
      <c r="A728" t="str">
        <f>"02/13/2022 18:39:30.372"</f>
        <v>02/13/2022 18:39:30.372</v>
      </c>
      <c r="C728" t="str">
        <f t="shared" si="77"/>
        <v>FFDFD7C0</v>
      </c>
      <c r="D728" t="s">
        <v>121</v>
      </c>
      <c r="E728">
        <v>2</v>
      </c>
      <c r="H728">
        <v>158</v>
      </c>
      <c r="I728" t="s">
        <v>120</v>
      </c>
      <c r="J728" t="s">
        <v>122</v>
      </c>
      <c r="K728">
        <v>0</v>
      </c>
      <c r="L728">
        <v>3</v>
      </c>
      <c r="M728">
        <v>0</v>
      </c>
      <c r="N728">
        <v>2</v>
      </c>
      <c r="O728">
        <v>1</v>
      </c>
      <c r="P728">
        <v>0</v>
      </c>
      <c r="Q728">
        <v>0</v>
      </c>
      <c r="S728" t="str">
        <f>"18:39:30.148"</f>
        <v>18:39:30.148</v>
      </c>
      <c r="T728" t="str">
        <f>"18:39:29.748"</f>
        <v>18:39:29.748</v>
      </c>
      <c r="U728" t="str">
        <f t="shared" si="76"/>
        <v>AAB6EE</v>
      </c>
      <c r="V728">
        <v>0</v>
      </c>
      <c r="W728">
        <v>0</v>
      </c>
      <c r="X728">
        <v>4</v>
      </c>
      <c r="Z728">
        <v>0</v>
      </c>
      <c r="AA728">
        <v>8</v>
      </c>
      <c r="AB728">
        <v>3</v>
      </c>
      <c r="AC728">
        <v>0</v>
      </c>
      <c r="AD728">
        <v>10</v>
      </c>
      <c r="AE728">
        <v>0</v>
      </c>
      <c r="AF728">
        <v>0</v>
      </c>
      <c r="AG728">
        <v>2</v>
      </c>
      <c r="AH728">
        <v>1</v>
      </c>
      <c r="AI728" t="s">
        <v>607</v>
      </c>
      <c r="AJ728">
        <v>35.378808999999997</v>
      </c>
      <c r="AK728" t="s">
        <v>608</v>
      </c>
      <c r="AL728">
        <v>-76.121112999999994</v>
      </c>
      <c r="AM728">
        <v>25</v>
      </c>
      <c r="AN728">
        <v>3450</v>
      </c>
      <c r="AO728" t="s">
        <v>118</v>
      </c>
      <c r="AP728">
        <v>-103</v>
      </c>
      <c r="AQ728">
        <v>-197</v>
      </c>
      <c r="AR728">
        <v>0</v>
      </c>
      <c r="AZ728">
        <v>4516</v>
      </c>
      <c r="BA728">
        <v>1</v>
      </c>
      <c r="BB728" t="str">
        <f t="shared" si="78"/>
        <v xml:space="preserve">N79NX   </v>
      </c>
      <c r="BC728">
        <v>1</v>
      </c>
      <c r="BE728">
        <v>0</v>
      </c>
      <c r="BF728">
        <v>0</v>
      </c>
      <c r="BG728">
        <v>0</v>
      </c>
      <c r="BH728">
        <v>3275</v>
      </c>
      <c r="BI728">
        <v>0</v>
      </c>
      <c r="BJ728">
        <v>0</v>
      </c>
      <c r="BK728">
        <v>0</v>
      </c>
      <c r="BL728">
        <v>0</v>
      </c>
      <c r="BO728">
        <v>0</v>
      </c>
      <c r="BP728">
        <v>0</v>
      </c>
      <c r="BW728" t="str">
        <f>"18:39:30.151"</f>
        <v>18:39:30.151</v>
      </c>
      <c r="BZ728">
        <v>0</v>
      </c>
      <c r="CA728">
        <v>3488</v>
      </c>
      <c r="CB728">
        <v>216</v>
      </c>
      <c r="CC728">
        <v>583.59379999999999</v>
      </c>
      <c r="CD728">
        <v>1</v>
      </c>
      <c r="CE728">
        <v>1</v>
      </c>
      <c r="CF728">
        <v>0</v>
      </c>
      <c r="CG728">
        <v>1</v>
      </c>
      <c r="CH728">
        <v>0</v>
      </c>
      <c r="CI728">
        <v>0</v>
      </c>
      <c r="CJ728">
        <v>0</v>
      </c>
      <c r="CK728">
        <v>2</v>
      </c>
      <c r="CL728">
        <v>0</v>
      </c>
      <c r="CM728">
        <v>2</v>
      </c>
      <c r="CN728">
        <v>0</v>
      </c>
      <c r="CO728">
        <v>5</v>
      </c>
      <c r="CP728" t="s">
        <v>119</v>
      </c>
      <c r="CQ728">
        <v>145</v>
      </c>
      <c r="CR728">
        <v>1</v>
      </c>
      <c r="CW728">
        <v>8964519</v>
      </c>
      <c r="CY728">
        <v>0</v>
      </c>
      <c r="CZ728">
        <v>0</v>
      </c>
      <c r="DA728">
        <v>0</v>
      </c>
      <c r="DB728">
        <v>0</v>
      </c>
      <c r="DC728">
        <v>0</v>
      </c>
      <c r="DD728">
        <v>0</v>
      </c>
      <c r="DE728">
        <v>0</v>
      </c>
      <c r="DF728">
        <v>0</v>
      </c>
      <c r="DG728">
        <v>0</v>
      </c>
      <c r="DH728">
        <v>0</v>
      </c>
      <c r="DI728">
        <v>0</v>
      </c>
    </row>
    <row r="729" spans="1:113" x14ac:dyDescent="0.3">
      <c r="A729" t="str">
        <f>"02/13/2022 18:39:30.372"</f>
        <v>02/13/2022 18:39:30.372</v>
      </c>
      <c r="C729" t="str">
        <f t="shared" si="77"/>
        <v>FFDFD7C0</v>
      </c>
      <c r="D729" t="s">
        <v>113</v>
      </c>
      <c r="E729">
        <v>3</v>
      </c>
      <c r="F729">
        <v>1003</v>
      </c>
      <c r="G729" t="s">
        <v>114</v>
      </c>
      <c r="J729" t="s">
        <v>115</v>
      </c>
      <c r="K729">
        <v>0</v>
      </c>
      <c r="L729">
        <v>3</v>
      </c>
      <c r="M729">
        <v>0</v>
      </c>
      <c r="N729">
        <v>2</v>
      </c>
      <c r="O729">
        <v>1</v>
      </c>
      <c r="P729">
        <v>0</v>
      </c>
      <c r="Q729">
        <v>0</v>
      </c>
      <c r="S729" t="str">
        <f>"18:39:30.148"</f>
        <v>18:39:30.148</v>
      </c>
      <c r="T729" t="str">
        <f>"18:39:29.748"</f>
        <v>18:39:29.748</v>
      </c>
      <c r="U729" t="str">
        <f t="shared" si="76"/>
        <v>AAB6EE</v>
      </c>
      <c r="V729">
        <v>0</v>
      </c>
      <c r="W729">
        <v>0</v>
      </c>
      <c r="X729">
        <v>4</v>
      </c>
      <c r="Z729">
        <v>0</v>
      </c>
      <c r="AA729">
        <v>8</v>
      </c>
      <c r="AB729">
        <v>3</v>
      </c>
      <c r="AC729">
        <v>0</v>
      </c>
      <c r="AD729">
        <v>10</v>
      </c>
      <c r="AE729">
        <v>0</v>
      </c>
      <c r="AF729">
        <v>0</v>
      </c>
      <c r="AG729">
        <v>2</v>
      </c>
      <c r="AH729">
        <v>1</v>
      </c>
      <c r="AI729" t="s">
        <v>607</v>
      </c>
      <c r="AJ729">
        <v>35.378808999999997</v>
      </c>
      <c r="AK729" t="s">
        <v>608</v>
      </c>
      <c r="AL729">
        <v>-76.121112999999994</v>
      </c>
      <c r="AM729">
        <v>25</v>
      </c>
      <c r="AN729">
        <v>3450</v>
      </c>
      <c r="AO729" t="s">
        <v>118</v>
      </c>
      <c r="AP729">
        <v>-103</v>
      </c>
      <c r="AQ729">
        <v>-197</v>
      </c>
      <c r="AR729">
        <v>0</v>
      </c>
      <c r="AZ729">
        <v>4516</v>
      </c>
      <c r="BA729">
        <v>1</v>
      </c>
      <c r="BB729" t="str">
        <f t="shared" si="78"/>
        <v xml:space="preserve">N79NX   </v>
      </c>
      <c r="BC729">
        <v>1</v>
      </c>
      <c r="BE729">
        <v>0</v>
      </c>
      <c r="BF729">
        <v>0</v>
      </c>
      <c r="BG729">
        <v>0</v>
      </c>
      <c r="BH729">
        <v>3275</v>
      </c>
      <c r="BI729">
        <v>0</v>
      </c>
      <c r="BJ729">
        <v>0</v>
      </c>
      <c r="BK729">
        <v>0</v>
      </c>
      <c r="BL729">
        <v>0</v>
      </c>
      <c r="BO729">
        <v>0</v>
      </c>
      <c r="BP729">
        <v>0</v>
      </c>
      <c r="BW729" t="str">
        <f>"18:39:30.151"</f>
        <v>18:39:30.151</v>
      </c>
      <c r="BZ729">
        <v>0</v>
      </c>
      <c r="CA729">
        <v>3488</v>
      </c>
      <c r="CB729">
        <v>216</v>
      </c>
      <c r="CC729">
        <v>583.59379999999999</v>
      </c>
      <c r="CD729">
        <v>1</v>
      </c>
      <c r="CE729">
        <v>1</v>
      </c>
      <c r="CF729">
        <v>0</v>
      </c>
      <c r="CG729">
        <v>1</v>
      </c>
      <c r="CH729">
        <v>0</v>
      </c>
      <c r="CI729">
        <v>0</v>
      </c>
      <c r="CJ729">
        <v>0</v>
      </c>
      <c r="CK729">
        <v>2</v>
      </c>
      <c r="CL729">
        <v>0</v>
      </c>
      <c r="CM729">
        <v>2</v>
      </c>
      <c r="CN729">
        <v>0</v>
      </c>
      <c r="CO729">
        <v>5</v>
      </c>
      <c r="CP729" t="s">
        <v>119</v>
      </c>
      <c r="CQ729">
        <v>145</v>
      </c>
      <c r="CR729">
        <v>1</v>
      </c>
      <c r="CW729">
        <v>8964519</v>
      </c>
      <c r="CY729">
        <v>0</v>
      </c>
      <c r="CZ729">
        <v>0</v>
      </c>
      <c r="DA729">
        <v>1</v>
      </c>
      <c r="DB729">
        <v>0</v>
      </c>
      <c r="DC729">
        <v>0</v>
      </c>
      <c r="DD729">
        <v>0</v>
      </c>
      <c r="DE729">
        <v>0</v>
      </c>
      <c r="DF729">
        <v>0</v>
      </c>
      <c r="DG729">
        <v>0</v>
      </c>
      <c r="DH729">
        <v>0</v>
      </c>
      <c r="DI729">
        <v>0</v>
      </c>
    </row>
    <row r="730" spans="1:113" x14ac:dyDescent="0.3">
      <c r="A730" t="str">
        <f>"02/13/2022 18:39:30.372"</f>
        <v>02/13/2022 18:39:30.372</v>
      </c>
      <c r="C730" t="str">
        <f t="shared" si="77"/>
        <v>FFDFD7C0</v>
      </c>
      <c r="D730" t="s">
        <v>113</v>
      </c>
      <c r="E730">
        <v>4</v>
      </c>
      <c r="F730">
        <v>1004</v>
      </c>
      <c r="G730" t="s">
        <v>120</v>
      </c>
      <c r="J730" t="s">
        <v>115</v>
      </c>
      <c r="K730">
        <v>0</v>
      </c>
      <c r="L730">
        <v>3</v>
      </c>
      <c r="M730">
        <v>0</v>
      </c>
      <c r="N730">
        <v>2</v>
      </c>
      <c r="O730">
        <v>1</v>
      </c>
      <c r="P730">
        <v>0</v>
      </c>
      <c r="Q730">
        <v>0</v>
      </c>
      <c r="S730" t="str">
        <f>"18:39:30.148"</f>
        <v>18:39:30.148</v>
      </c>
      <c r="T730" t="str">
        <f>"18:39:29.748"</f>
        <v>18:39:29.748</v>
      </c>
      <c r="U730" t="str">
        <f t="shared" si="76"/>
        <v>AAB6EE</v>
      </c>
      <c r="V730">
        <v>0</v>
      </c>
      <c r="W730">
        <v>0</v>
      </c>
      <c r="X730">
        <v>4</v>
      </c>
      <c r="Z730">
        <v>0</v>
      </c>
      <c r="AA730">
        <v>8</v>
      </c>
      <c r="AB730">
        <v>3</v>
      </c>
      <c r="AC730">
        <v>0</v>
      </c>
      <c r="AD730">
        <v>10</v>
      </c>
      <c r="AE730">
        <v>0</v>
      </c>
      <c r="AF730">
        <v>0</v>
      </c>
      <c r="AG730">
        <v>2</v>
      </c>
      <c r="AH730">
        <v>1</v>
      </c>
      <c r="AI730" t="s">
        <v>607</v>
      </c>
      <c r="AJ730">
        <v>35.378808999999997</v>
      </c>
      <c r="AK730" t="s">
        <v>608</v>
      </c>
      <c r="AL730">
        <v>-76.121112999999994</v>
      </c>
      <c r="AM730">
        <v>25</v>
      </c>
      <c r="AN730">
        <v>3450</v>
      </c>
      <c r="AO730" t="s">
        <v>118</v>
      </c>
      <c r="AP730">
        <v>-103</v>
      </c>
      <c r="AQ730">
        <v>-197</v>
      </c>
      <c r="AR730">
        <v>0</v>
      </c>
      <c r="AZ730">
        <v>4516</v>
      </c>
      <c r="BA730">
        <v>1</v>
      </c>
      <c r="BB730" t="str">
        <f t="shared" si="78"/>
        <v xml:space="preserve">N79NX   </v>
      </c>
      <c r="BC730">
        <v>1</v>
      </c>
      <c r="BE730">
        <v>0</v>
      </c>
      <c r="BF730">
        <v>0</v>
      </c>
      <c r="BG730">
        <v>0</v>
      </c>
      <c r="BH730">
        <v>3275</v>
      </c>
      <c r="BI730">
        <v>0</v>
      </c>
      <c r="BJ730">
        <v>0</v>
      </c>
      <c r="BK730">
        <v>0</v>
      </c>
      <c r="BL730">
        <v>0</v>
      </c>
      <c r="BO730">
        <v>0</v>
      </c>
      <c r="BP730">
        <v>0</v>
      </c>
      <c r="BW730" t="str">
        <f>"18:39:30.151"</f>
        <v>18:39:30.151</v>
      </c>
      <c r="BZ730">
        <v>0</v>
      </c>
      <c r="CA730">
        <v>3488</v>
      </c>
      <c r="CB730">
        <v>216</v>
      </c>
      <c r="CC730">
        <v>583.59379999999999</v>
      </c>
      <c r="CD730">
        <v>1</v>
      </c>
      <c r="CE730">
        <v>1</v>
      </c>
      <c r="CF730">
        <v>0</v>
      </c>
      <c r="CG730">
        <v>1</v>
      </c>
      <c r="CH730">
        <v>0</v>
      </c>
      <c r="CI730">
        <v>0</v>
      </c>
      <c r="CJ730">
        <v>0</v>
      </c>
      <c r="CK730">
        <v>2</v>
      </c>
      <c r="CL730">
        <v>0</v>
      </c>
      <c r="CM730">
        <v>2</v>
      </c>
      <c r="CN730">
        <v>0</v>
      </c>
      <c r="CO730">
        <v>5</v>
      </c>
      <c r="CP730" t="s">
        <v>119</v>
      </c>
      <c r="CQ730">
        <v>145</v>
      </c>
      <c r="CR730">
        <v>1</v>
      </c>
      <c r="CW730">
        <v>8964519</v>
      </c>
      <c r="CY730">
        <v>0</v>
      </c>
      <c r="CZ730">
        <v>0</v>
      </c>
      <c r="DA730">
        <v>1</v>
      </c>
      <c r="DB730">
        <v>0</v>
      </c>
      <c r="DC730">
        <v>0</v>
      </c>
      <c r="DD730">
        <v>0</v>
      </c>
      <c r="DE730">
        <v>0</v>
      </c>
      <c r="DF730">
        <v>0</v>
      </c>
      <c r="DG730">
        <v>0</v>
      </c>
      <c r="DH730">
        <v>0</v>
      </c>
      <c r="DI730">
        <v>0</v>
      </c>
    </row>
    <row r="731" spans="1:113" x14ac:dyDescent="0.3">
      <c r="A731" t="str">
        <f>"02/13/2022 18:39:31.409"</f>
        <v>02/13/2022 18:39:31.409</v>
      </c>
      <c r="C731" t="str">
        <f t="shared" si="77"/>
        <v>FFDFD7C0</v>
      </c>
      <c r="D731" t="s">
        <v>121</v>
      </c>
      <c r="E731">
        <v>2</v>
      </c>
      <c r="H731">
        <v>158</v>
      </c>
      <c r="I731" t="s">
        <v>120</v>
      </c>
      <c r="J731" t="s">
        <v>122</v>
      </c>
      <c r="K731">
        <v>0</v>
      </c>
      <c r="L731">
        <v>3</v>
      </c>
      <c r="M731">
        <v>0</v>
      </c>
      <c r="N731">
        <v>2</v>
      </c>
      <c r="O731">
        <v>1</v>
      </c>
      <c r="P731">
        <v>0</v>
      </c>
      <c r="Q731">
        <v>0</v>
      </c>
      <c r="S731" t="str">
        <f>"18:39:31.227"</f>
        <v>18:39:31.227</v>
      </c>
      <c r="T731" t="str">
        <f>"18:39:30.927"</f>
        <v>18:39:30.927</v>
      </c>
      <c r="U731" t="str">
        <f t="shared" si="76"/>
        <v>AAB6EE</v>
      </c>
      <c r="V731">
        <v>0</v>
      </c>
      <c r="W731">
        <v>0</v>
      </c>
      <c r="X731">
        <v>4</v>
      </c>
      <c r="Z731">
        <v>0</v>
      </c>
      <c r="AA731">
        <v>8</v>
      </c>
      <c r="AB731">
        <v>3</v>
      </c>
      <c r="AC731">
        <v>0</v>
      </c>
      <c r="AD731">
        <v>10</v>
      </c>
      <c r="AE731">
        <v>0</v>
      </c>
      <c r="AF731">
        <v>0</v>
      </c>
      <c r="AG731">
        <v>2</v>
      </c>
      <c r="AH731">
        <v>1</v>
      </c>
      <c r="AI731" t="s">
        <v>609</v>
      </c>
      <c r="AJ731">
        <v>35.377842999999999</v>
      </c>
      <c r="AK731" t="s">
        <v>610</v>
      </c>
      <c r="AL731">
        <v>-76.121757000000002</v>
      </c>
      <c r="AM731">
        <v>25</v>
      </c>
      <c r="AN731">
        <v>3425</v>
      </c>
      <c r="AO731" t="s">
        <v>118</v>
      </c>
      <c r="AP731">
        <v>-103</v>
      </c>
      <c r="AQ731">
        <v>-197</v>
      </c>
      <c r="AR731">
        <v>64</v>
      </c>
      <c r="AZ731">
        <v>4516</v>
      </c>
      <c r="BA731">
        <v>1</v>
      </c>
      <c r="BB731" t="str">
        <f t="shared" si="78"/>
        <v xml:space="preserve">N79NX   </v>
      </c>
      <c r="BC731">
        <v>1</v>
      </c>
      <c r="BE731">
        <v>0</v>
      </c>
      <c r="BF731">
        <v>0</v>
      </c>
      <c r="BG731">
        <v>0</v>
      </c>
      <c r="BH731">
        <v>3275</v>
      </c>
      <c r="BI731">
        <v>0</v>
      </c>
      <c r="BJ731">
        <v>0</v>
      </c>
      <c r="BK731">
        <v>0</v>
      </c>
      <c r="BL731">
        <v>0</v>
      </c>
      <c r="BO731">
        <v>0</v>
      </c>
      <c r="BP731">
        <v>0</v>
      </c>
      <c r="BW731" t="str">
        <f>"18:39:31.231"</f>
        <v>18:39:31.231</v>
      </c>
      <c r="BZ731">
        <v>0</v>
      </c>
      <c r="CA731">
        <v>3488</v>
      </c>
      <c r="CB731">
        <v>216</v>
      </c>
      <c r="CC731">
        <v>583.59379999999999</v>
      </c>
      <c r="CD731">
        <v>1</v>
      </c>
      <c r="CE731">
        <v>1</v>
      </c>
      <c r="CF731">
        <v>0</v>
      </c>
      <c r="CG731">
        <v>1</v>
      </c>
      <c r="CH731">
        <v>0</v>
      </c>
      <c r="CI731">
        <v>0</v>
      </c>
      <c r="CJ731">
        <v>0</v>
      </c>
      <c r="CK731">
        <v>2</v>
      </c>
      <c r="CL731">
        <v>0</v>
      </c>
      <c r="CM731">
        <v>2</v>
      </c>
      <c r="CN731">
        <v>0</v>
      </c>
      <c r="CO731">
        <v>5</v>
      </c>
      <c r="CP731" t="s">
        <v>119</v>
      </c>
      <c r="CQ731">
        <v>145</v>
      </c>
      <c r="CR731">
        <v>1</v>
      </c>
      <c r="CW731">
        <v>8964987</v>
      </c>
      <c r="CY731">
        <v>0</v>
      </c>
      <c r="CZ731">
        <v>0</v>
      </c>
      <c r="DA731">
        <v>0</v>
      </c>
      <c r="DB731">
        <v>0</v>
      </c>
      <c r="DC731">
        <v>0</v>
      </c>
      <c r="DD731">
        <v>0</v>
      </c>
      <c r="DE731">
        <v>0</v>
      </c>
      <c r="DF731">
        <v>0</v>
      </c>
      <c r="DG731">
        <v>0</v>
      </c>
      <c r="DH731">
        <v>0</v>
      </c>
      <c r="DI731">
        <v>0</v>
      </c>
    </row>
    <row r="732" spans="1:113" x14ac:dyDescent="0.3">
      <c r="A732" t="str">
        <f>"02/13/2022 18:39:31.425"</f>
        <v>02/13/2022 18:39:31.425</v>
      </c>
      <c r="C732" t="str">
        <f t="shared" si="77"/>
        <v>FFDFD7C0</v>
      </c>
      <c r="D732" t="s">
        <v>113</v>
      </c>
      <c r="E732">
        <v>3</v>
      </c>
      <c r="F732">
        <v>1003</v>
      </c>
      <c r="G732" t="s">
        <v>114</v>
      </c>
      <c r="J732" t="s">
        <v>115</v>
      </c>
      <c r="K732">
        <v>0</v>
      </c>
      <c r="L732">
        <v>3</v>
      </c>
      <c r="M732">
        <v>0</v>
      </c>
      <c r="N732">
        <v>2</v>
      </c>
      <c r="O732">
        <v>1</v>
      </c>
      <c r="P732">
        <v>0</v>
      </c>
      <c r="Q732">
        <v>0</v>
      </c>
      <c r="S732" t="str">
        <f>"18:39:31.227"</f>
        <v>18:39:31.227</v>
      </c>
      <c r="T732" t="str">
        <f>"18:39:30.927"</f>
        <v>18:39:30.927</v>
      </c>
      <c r="U732" t="str">
        <f t="shared" si="76"/>
        <v>AAB6EE</v>
      </c>
      <c r="V732">
        <v>0</v>
      </c>
      <c r="W732">
        <v>0</v>
      </c>
      <c r="X732">
        <v>4</v>
      </c>
      <c r="Z732">
        <v>0</v>
      </c>
      <c r="AA732">
        <v>8</v>
      </c>
      <c r="AB732">
        <v>3</v>
      </c>
      <c r="AC732">
        <v>0</v>
      </c>
      <c r="AD732">
        <v>10</v>
      </c>
      <c r="AE732">
        <v>0</v>
      </c>
      <c r="AF732">
        <v>0</v>
      </c>
      <c r="AG732">
        <v>2</v>
      </c>
      <c r="AH732">
        <v>1</v>
      </c>
      <c r="AI732" t="s">
        <v>609</v>
      </c>
      <c r="AJ732">
        <v>35.377842999999999</v>
      </c>
      <c r="AK732" t="s">
        <v>610</v>
      </c>
      <c r="AL732">
        <v>-76.121757000000002</v>
      </c>
      <c r="AM732">
        <v>25</v>
      </c>
      <c r="AN732">
        <v>3425</v>
      </c>
      <c r="AO732" t="s">
        <v>118</v>
      </c>
      <c r="AP732">
        <v>-103</v>
      </c>
      <c r="AQ732">
        <v>-197</v>
      </c>
      <c r="AR732">
        <v>64</v>
      </c>
      <c r="AZ732">
        <v>4516</v>
      </c>
      <c r="BA732">
        <v>1</v>
      </c>
      <c r="BB732" t="str">
        <f t="shared" si="78"/>
        <v xml:space="preserve">N79NX   </v>
      </c>
      <c r="BC732">
        <v>1</v>
      </c>
      <c r="BE732">
        <v>0</v>
      </c>
      <c r="BF732">
        <v>0</v>
      </c>
      <c r="BG732">
        <v>0</v>
      </c>
      <c r="BH732">
        <v>3275</v>
      </c>
      <c r="BI732">
        <v>0</v>
      </c>
      <c r="BJ732">
        <v>0</v>
      </c>
      <c r="BK732">
        <v>0</v>
      </c>
      <c r="BL732">
        <v>0</v>
      </c>
      <c r="BO732">
        <v>0</v>
      </c>
      <c r="BP732">
        <v>0</v>
      </c>
      <c r="BW732" t="str">
        <f>"18:39:31.231"</f>
        <v>18:39:31.231</v>
      </c>
      <c r="BZ732">
        <v>0</v>
      </c>
      <c r="CA732">
        <v>3488</v>
      </c>
      <c r="CB732">
        <v>216</v>
      </c>
      <c r="CC732">
        <v>583.59379999999999</v>
      </c>
      <c r="CD732">
        <v>1</v>
      </c>
      <c r="CE732">
        <v>1</v>
      </c>
      <c r="CF732">
        <v>0</v>
      </c>
      <c r="CG732">
        <v>1</v>
      </c>
      <c r="CH732">
        <v>0</v>
      </c>
      <c r="CI732">
        <v>0</v>
      </c>
      <c r="CJ732">
        <v>0</v>
      </c>
      <c r="CK732">
        <v>2</v>
      </c>
      <c r="CL732">
        <v>0</v>
      </c>
      <c r="CM732">
        <v>2</v>
      </c>
      <c r="CN732">
        <v>0</v>
      </c>
      <c r="CO732">
        <v>5</v>
      </c>
      <c r="CP732" t="s">
        <v>119</v>
      </c>
      <c r="CQ732">
        <v>145</v>
      </c>
      <c r="CR732">
        <v>1</v>
      </c>
      <c r="CW732">
        <v>8964987</v>
      </c>
      <c r="CY732">
        <v>0</v>
      </c>
      <c r="CZ732">
        <v>0</v>
      </c>
      <c r="DA732">
        <v>1</v>
      </c>
      <c r="DB732">
        <v>0</v>
      </c>
      <c r="DC732">
        <v>0</v>
      </c>
      <c r="DD732">
        <v>0</v>
      </c>
      <c r="DE732">
        <v>0</v>
      </c>
      <c r="DF732">
        <v>0</v>
      </c>
      <c r="DG732">
        <v>0</v>
      </c>
      <c r="DH732">
        <v>0</v>
      </c>
      <c r="DI732">
        <v>0</v>
      </c>
    </row>
    <row r="733" spans="1:113" x14ac:dyDescent="0.3">
      <c r="A733" t="str">
        <f>"02/13/2022 18:39:31.425"</f>
        <v>02/13/2022 18:39:31.425</v>
      </c>
      <c r="C733" t="str">
        <f t="shared" si="77"/>
        <v>FFDFD7C0</v>
      </c>
      <c r="D733" t="s">
        <v>113</v>
      </c>
      <c r="E733">
        <v>4</v>
      </c>
      <c r="F733">
        <v>1004</v>
      </c>
      <c r="G733" t="s">
        <v>120</v>
      </c>
      <c r="J733" t="s">
        <v>115</v>
      </c>
      <c r="K733">
        <v>0</v>
      </c>
      <c r="L733">
        <v>3</v>
      </c>
      <c r="M733">
        <v>0</v>
      </c>
      <c r="N733">
        <v>2</v>
      </c>
      <c r="O733">
        <v>1</v>
      </c>
      <c r="P733">
        <v>0</v>
      </c>
      <c r="Q733">
        <v>0</v>
      </c>
      <c r="S733" t="str">
        <f>"18:39:31.227"</f>
        <v>18:39:31.227</v>
      </c>
      <c r="T733" t="str">
        <f>"18:39:30.927"</f>
        <v>18:39:30.927</v>
      </c>
      <c r="U733" t="str">
        <f t="shared" si="76"/>
        <v>AAB6EE</v>
      </c>
      <c r="V733">
        <v>0</v>
      </c>
      <c r="W733">
        <v>0</v>
      </c>
      <c r="X733">
        <v>4</v>
      </c>
      <c r="Z733">
        <v>0</v>
      </c>
      <c r="AA733">
        <v>8</v>
      </c>
      <c r="AB733">
        <v>3</v>
      </c>
      <c r="AC733">
        <v>0</v>
      </c>
      <c r="AD733">
        <v>10</v>
      </c>
      <c r="AE733">
        <v>0</v>
      </c>
      <c r="AF733">
        <v>0</v>
      </c>
      <c r="AG733">
        <v>2</v>
      </c>
      <c r="AH733">
        <v>1</v>
      </c>
      <c r="AI733" t="s">
        <v>609</v>
      </c>
      <c r="AJ733">
        <v>35.377842999999999</v>
      </c>
      <c r="AK733" t="s">
        <v>610</v>
      </c>
      <c r="AL733">
        <v>-76.121757000000002</v>
      </c>
      <c r="AM733">
        <v>25</v>
      </c>
      <c r="AN733">
        <v>3425</v>
      </c>
      <c r="AO733" t="s">
        <v>118</v>
      </c>
      <c r="AP733">
        <v>-103</v>
      </c>
      <c r="AQ733">
        <v>-197</v>
      </c>
      <c r="AR733">
        <v>64</v>
      </c>
      <c r="AZ733">
        <v>4516</v>
      </c>
      <c r="BA733">
        <v>1</v>
      </c>
      <c r="BB733" t="str">
        <f t="shared" si="78"/>
        <v xml:space="preserve">N79NX   </v>
      </c>
      <c r="BC733">
        <v>1</v>
      </c>
      <c r="BE733">
        <v>0</v>
      </c>
      <c r="BF733">
        <v>0</v>
      </c>
      <c r="BG733">
        <v>0</v>
      </c>
      <c r="BH733">
        <v>3275</v>
      </c>
      <c r="BI733">
        <v>0</v>
      </c>
      <c r="BJ733">
        <v>0</v>
      </c>
      <c r="BK733">
        <v>0</v>
      </c>
      <c r="BL733">
        <v>0</v>
      </c>
      <c r="BO733">
        <v>0</v>
      </c>
      <c r="BP733">
        <v>0</v>
      </c>
      <c r="BW733" t="str">
        <f>"18:39:31.231"</f>
        <v>18:39:31.231</v>
      </c>
      <c r="BZ733">
        <v>0</v>
      </c>
      <c r="CA733">
        <v>3488</v>
      </c>
      <c r="CB733">
        <v>216</v>
      </c>
      <c r="CC733">
        <v>583.59379999999999</v>
      </c>
      <c r="CD733">
        <v>1</v>
      </c>
      <c r="CE733">
        <v>1</v>
      </c>
      <c r="CF733">
        <v>0</v>
      </c>
      <c r="CG733">
        <v>1</v>
      </c>
      <c r="CH733">
        <v>0</v>
      </c>
      <c r="CI733">
        <v>0</v>
      </c>
      <c r="CJ733">
        <v>0</v>
      </c>
      <c r="CK733">
        <v>2</v>
      </c>
      <c r="CL733">
        <v>0</v>
      </c>
      <c r="CM733">
        <v>2</v>
      </c>
      <c r="CN733">
        <v>0</v>
      </c>
      <c r="CO733">
        <v>5</v>
      </c>
      <c r="CP733" t="s">
        <v>119</v>
      </c>
      <c r="CQ733">
        <v>145</v>
      </c>
      <c r="CR733">
        <v>1</v>
      </c>
      <c r="CW733">
        <v>8964987</v>
      </c>
      <c r="CY733">
        <v>0</v>
      </c>
      <c r="CZ733">
        <v>0</v>
      </c>
      <c r="DA733">
        <v>1</v>
      </c>
      <c r="DB733">
        <v>0</v>
      </c>
      <c r="DC733">
        <v>0</v>
      </c>
      <c r="DD733">
        <v>0</v>
      </c>
      <c r="DE733">
        <v>0</v>
      </c>
      <c r="DF733">
        <v>0</v>
      </c>
      <c r="DG733">
        <v>0</v>
      </c>
      <c r="DH733">
        <v>0</v>
      </c>
      <c r="DI733">
        <v>0</v>
      </c>
    </row>
    <row r="734" spans="1:113" x14ac:dyDescent="0.3">
      <c r="A734" t="str">
        <f>"02/13/2022 18:39:32.300"</f>
        <v>02/13/2022 18:39:32.300</v>
      </c>
      <c r="C734" t="str">
        <f t="shared" si="77"/>
        <v>FFDFD7C0</v>
      </c>
      <c r="D734" t="s">
        <v>121</v>
      </c>
      <c r="E734">
        <v>2</v>
      </c>
      <c r="H734">
        <v>158</v>
      </c>
      <c r="I734" t="s">
        <v>120</v>
      </c>
      <c r="J734" t="s">
        <v>122</v>
      </c>
      <c r="K734">
        <v>0</v>
      </c>
      <c r="L734">
        <v>3</v>
      </c>
      <c r="M734">
        <v>0</v>
      </c>
      <c r="N734">
        <v>2</v>
      </c>
      <c r="O734">
        <v>1</v>
      </c>
      <c r="P734">
        <v>0</v>
      </c>
      <c r="Q734">
        <v>0</v>
      </c>
      <c r="S734" t="str">
        <f>"18:39:32.055"</f>
        <v>18:39:32.055</v>
      </c>
      <c r="T734" t="str">
        <f>"18:39:31.855"</f>
        <v>18:39:31.855</v>
      </c>
      <c r="U734" t="str">
        <f t="shared" si="76"/>
        <v>AAB6EE</v>
      </c>
      <c r="V734">
        <v>0</v>
      </c>
      <c r="W734">
        <v>0</v>
      </c>
      <c r="X734">
        <v>4</v>
      </c>
      <c r="Z734">
        <v>0</v>
      </c>
      <c r="AA734">
        <v>8</v>
      </c>
      <c r="AB734">
        <v>3</v>
      </c>
      <c r="AC734">
        <v>0</v>
      </c>
      <c r="AD734">
        <v>10</v>
      </c>
      <c r="AE734">
        <v>0</v>
      </c>
      <c r="AF734">
        <v>0</v>
      </c>
      <c r="AG734">
        <v>2</v>
      </c>
      <c r="AH734">
        <v>1</v>
      </c>
      <c r="AI734" t="s">
        <v>611</v>
      </c>
      <c r="AJ734">
        <v>35.377091999999998</v>
      </c>
      <c r="AK734" t="s">
        <v>612</v>
      </c>
      <c r="AL734">
        <v>-76.122229000000004</v>
      </c>
      <c r="AM734">
        <v>25</v>
      </c>
      <c r="AN734">
        <v>3425</v>
      </c>
      <c r="AO734" t="s">
        <v>118</v>
      </c>
      <c r="AP734">
        <v>-103</v>
      </c>
      <c r="AQ734">
        <v>-197</v>
      </c>
      <c r="AR734">
        <v>0</v>
      </c>
      <c r="AZ734">
        <v>4516</v>
      </c>
      <c r="BA734">
        <v>1</v>
      </c>
      <c r="BB734" t="str">
        <f t="shared" si="78"/>
        <v xml:space="preserve">N79NX   </v>
      </c>
      <c r="BC734">
        <v>1</v>
      </c>
      <c r="BE734">
        <v>0</v>
      </c>
      <c r="BF734">
        <v>0</v>
      </c>
      <c r="BG734">
        <v>0</v>
      </c>
      <c r="BH734">
        <v>3275</v>
      </c>
      <c r="BI734">
        <v>0</v>
      </c>
      <c r="BJ734">
        <v>0</v>
      </c>
      <c r="BK734">
        <v>0</v>
      </c>
      <c r="BL734">
        <v>0</v>
      </c>
      <c r="BO734">
        <v>0</v>
      </c>
      <c r="BP734">
        <v>0</v>
      </c>
      <c r="BW734" t="str">
        <f>"18:39:32.061"</f>
        <v>18:39:32.061</v>
      </c>
      <c r="BZ734">
        <v>0</v>
      </c>
      <c r="CA734">
        <v>3488</v>
      </c>
      <c r="CB734">
        <v>216</v>
      </c>
      <c r="CC734">
        <v>583.59379999999999</v>
      </c>
      <c r="CD734">
        <v>1</v>
      </c>
      <c r="CE734">
        <v>1</v>
      </c>
      <c r="CF734">
        <v>0</v>
      </c>
      <c r="CG734">
        <v>1</v>
      </c>
      <c r="CH734">
        <v>0</v>
      </c>
      <c r="CI734">
        <v>0</v>
      </c>
      <c r="CJ734">
        <v>0</v>
      </c>
      <c r="CK734">
        <v>2</v>
      </c>
      <c r="CL734">
        <v>0</v>
      </c>
      <c r="CM734">
        <v>2</v>
      </c>
      <c r="CN734">
        <v>0</v>
      </c>
      <c r="CO734">
        <v>5</v>
      </c>
      <c r="CP734" t="s">
        <v>119</v>
      </c>
      <c r="CQ734">
        <v>145</v>
      </c>
      <c r="CR734">
        <v>1</v>
      </c>
      <c r="CW734">
        <v>8965368</v>
      </c>
      <c r="CY734">
        <v>0</v>
      </c>
      <c r="CZ734">
        <v>0</v>
      </c>
      <c r="DA734">
        <v>0</v>
      </c>
      <c r="DB734">
        <v>0</v>
      </c>
      <c r="DC734">
        <v>0</v>
      </c>
      <c r="DD734">
        <v>0</v>
      </c>
      <c r="DE734">
        <v>0</v>
      </c>
      <c r="DF734">
        <v>0</v>
      </c>
      <c r="DG734">
        <v>0</v>
      </c>
      <c r="DH734">
        <v>0</v>
      </c>
      <c r="DI734">
        <v>0</v>
      </c>
    </row>
    <row r="735" spans="1:113" x14ac:dyDescent="0.3">
      <c r="A735" t="str">
        <f>"02/13/2022 18:39:32.300"</f>
        <v>02/13/2022 18:39:32.300</v>
      </c>
      <c r="C735" t="str">
        <f t="shared" si="77"/>
        <v>FFDFD7C0</v>
      </c>
      <c r="D735" t="s">
        <v>113</v>
      </c>
      <c r="E735">
        <v>3</v>
      </c>
      <c r="F735">
        <v>1003</v>
      </c>
      <c r="G735" t="s">
        <v>114</v>
      </c>
      <c r="J735" t="s">
        <v>115</v>
      </c>
      <c r="K735">
        <v>0</v>
      </c>
      <c r="L735">
        <v>3</v>
      </c>
      <c r="M735">
        <v>0</v>
      </c>
      <c r="N735">
        <v>2</v>
      </c>
      <c r="O735">
        <v>1</v>
      </c>
      <c r="P735">
        <v>0</v>
      </c>
      <c r="Q735">
        <v>0</v>
      </c>
      <c r="S735" t="str">
        <f>"18:39:32.055"</f>
        <v>18:39:32.055</v>
      </c>
      <c r="T735" t="str">
        <f>"18:39:31.855"</f>
        <v>18:39:31.855</v>
      </c>
      <c r="U735" t="str">
        <f t="shared" si="76"/>
        <v>AAB6EE</v>
      </c>
      <c r="V735">
        <v>0</v>
      </c>
      <c r="W735">
        <v>0</v>
      </c>
      <c r="X735">
        <v>4</v>
      </c>
      <c r="Z735">
        <v>0</v>
      </c>
      <c r="AA735">
        <v>8</v>
      </c>
      <c r="AB735">
        <v>3</v>
      </c>
      <c r="AC735">
        <v>0</v>
      </c>
      <c r="AD735">
        <v>10</v>
      </c>
      <c r="AE735">
        <v>0</v>
      </c>
      <c r="AF735">
        <v>0</v>
      </c>
      <c r="AG735">
        <v>2</v>
      </c>
      <c r="AH735">
        <v>1</v>
      </c>
      <c r="AI735" t="s">
        <v>611</v>
      </c>
      <c r="AJ735">
        <v>35.377091999999998</v>
      </c>
      <c r="AK735" t="s">
        <v>612</v>
      </c>
      <c r="AL735">
        <v>-76.122229000000004</v>
      </c>
      <c r="AM735">
        <v>25</v>
      </c>
      <c r="AN735">
        <v>3425</v>
      </c>
      <c r="AO735" t="s">
        <v>118</v>
      </c>
      <c r="AP735">
        <v>-103</v>
      </c>
      <c r="AQ735">
        <v>-197</v>
      </c>
      <c r="AR735">
        <v>0</v>
      </c>
      <c r="AZ735">
        <v>4516</v>
      </c>
      <c r="BA735">
        <v>1</v>
      </c>
      <c r="BB735" t="str">
        <f t="shared" si="78"/>
        <v xml:space="preserve">N79NX   </v>
      </c>
      <c r="BC735">
        <v>1</v>
      </c>
      <c r="BE735">
        <v>0</v>
      </c>
      <c r="BF735">
        <v>0</v>
      </c>
      <c r="BG735">
        <v>0</v>
      </c>
      <c r="BH735">
        <v>3275</v>
      </c>
      <c r="BI735">
        <v>0</v>
      </c>
      <c r="BJ735">
        <v>0</v>
      </c>
      <c r="BK735">
        <v>0</v>
      </c>
      <c r="BL735">
        <v>0</v>
      </c>
      <c r="BO735">
        <v>0</v>
      </c>
      <c r="BP735">
        <v>0</v>
      </c>
      <c r="BW735" t="str">
        <f>"18:39:32.061"</f>
        <v>18:39:32.061</v>
      </c>
      <c r="BZ735">
        <v>0</v>
      </c>
      <c r="CA735">
        <v>3488</v>
      </c>
      <c r="CB735">
        <v>216</v>
      </c>
      <c r="CC735">
        <v>583.59379999999999</v>
      </c>
      <c r="CD735">
        <v>1</v>
      </c>
      <c r="CE735">
        <v>1</v>
      </c>
      <c r="CF735">
        <v>0</v>
      </c>
      <c r="CG735">
        <v>1</v>
      </c>
      <c r="CH735">
        <v>0</v>
      </c>
      <c r="CI735">
        <v>0</v>
      </c>
      <c r="CJ735">
        <v>0</v>
      </c>
      <c r="CK735">
        <v>2</v>
      </c>
      <c r="CL735">
        <v>0</v>
      </c>
      <c r="CM735">
        <v>2</v>
      </c>
      <c r="CN735">
        <v>0</v>
      </c>
      <c r="CO735">
        <v>5</v>
      </c>
      <c r="CP735" t="s">
        <v>119</v>
      </c>
      <c r="CQ735">
        <v>145</v>
      </c>
      <c r="CR735">
        <v>1</v>
      </c>
      <c r="CW735">
        <v>8965368</v>
      </c>
      <c r="CY735">
        <v>0</v>
      </c>
      <c r="CZ735">
        <v>0</v>
      </c>
      <c r="DA735">
        <v>1</v>
      </c>
      <c r="DB735">
        <v>0</v>
      </c>
      <c r="DC735">
        <v>0</v>
      </c>
      <c r="DD735">
        <v>0</v>
      </c>
      <c r="DE735">
        <v>0</v>
      </c>
      <c r="DF735">
        <v>0</v>
      </c>
      <c r="DG735">
        <v>0</v>
      </c>
      <c r="DH735">
        <v>0</v>
      </c>
      <c r="DI735">
        <v>0</v>
      </c>
    </row>
    <row r="736" spans="1:113" x14ac:dyDescent="0.3">
      <c r="A736" t="str">
        <f>"02/13/2022 18:39:32.300"</f>
        <v>02/13/2022 18:39:32.300</v>
      </c>
      <c r="C736" t="str">
        <f t="shared" si="77"/>
        <v>FFDFD7C0</v>
      </c>
      <c r="D736" t="s">
        <v>113</v>
      </c>
      <c r="E736">
        <v>4</v>
      </c>
      <c r="F736">
        <v>1004</v>
      </c>
      <c r="G736" t="s">
        <v>120</v>
      </c>
      <c r="J736" t="s">
        <v>115</v>
      </c>
      <c r="K736">
        <v>0</v>
      </c>
      <c r="L736">
        <v>3</v>
      </c>
      <c r="M736">
        <v>0</v>
      </c>
      <c r="N736">
        <v>2</v>
      </c>
      <c r="O736">
        <v>1</v>
      </c>
      <c r="P736">
        <v>0</v>
      </c>
      <c r="Q736">
        <v>0</v>
      </c>
      <c r="S736" t="str">
        <f>"18:39:32.055"</f>
        <v>18:39:32.055</v>
      </c>
      <c r="T736" t="str">
        <f>"18:39:31.855"</f>
        <v>18:39:31.855</v>
      </c>
      <c r="U736" t="str">
        <f t="shared" si="76"/>
        <v>AAB6EE</v>
      </c>
      <c r="V736">
        <v>0</v>
      </c>
      <c r="W736">
        <v>0</v>
      </c>
      <c r="X736">
        <v>4</v>
      </c>
      <c r="Z736">
        <v>0</v>
      </c>
      <c r="AA736">
        <v>8</v>
      </c>
      <c r="AB736">
        <v>3</v>
      </c>
      <c r="AC736">
        <v>0</v>
      </c>
      <c r="AD736">
        <v>10</v>
      </c>
      <c r="AE736">
        <v>0</v>
      </c>
      <c r="AF736">
        <v>0</v>
      </c>
      <c r="AG736">
        <v>2</v>
      </c>
      <c r="AH736">
        <v>1</v>
      </c>
      <c r="AI736" t="s">
        <v>611</v>
      </c>
      <c r="AJ736">
        <v>35.377091999999998</v>
      </c>
      <c r="AK736" t="s">
        <v>612</v>
      </c>
      <c r="AL736">
        <v>-76.122229000000004</v>
      </c>
      <c r="AM736">
        <v>25</v>
      </c>
      <c r="AN736">
        <v>3425</v>
      </c>
      <c r="AO736" t="s">
        <v>118</v>
      </c>
      <c r="AP736">
        <v>-103</v>
      </c>
      <c r="AQ736">
        <v>-197</v>
      </c>
      <c r="AR736">
        <v>0</v>
      </c>
      <c r="AZ736">
        <v>4516</v>
      </c>
      <c r="BA736">
        <v>1</v>
      </c>
      <c r="BB736" t="str">
        <f t="shared" si="78"/>
        <v xml:space="preserve">N79NX   </v>
      </c>
      <c r="BC736">
        <v>1</v>
      </c>
      <c r="BE736">
        <v>0</v>
      </c>
      <c r="BF736">
        <v>0</v>
      </c>
      <c r="BG736">
        <v>0</v>
      </c>
      <c r="BH736">
        <v>3275</v>
      </c>
      <c r="BI736">
        <v>0</v>
      </c>
      <c r="BJ736">
        <v>0</v>
      </c>
      <c r="BK736">
        <v>0</v>
      </c>
      <c r="BL736">
        <v>0</v>
      </c>
      <c r="BO736">
        <v>0</v>
      </c>
      <c r="BP736">
        <v>0</v>
      </c>
      <c r="BW736" t="str">
        <f>"18:39:32.061"</f>
        <v>18:39:32.061</v>
      </c>
      <c r="BZ736">
        <v>0</v>
      </c>
      <c r="CA736">
        <v>3488</v>
      </c>
      <c r="CB736">
        <v>216</v>
      </c>
      <c r="CC736">
        <v>583.59379999999999</v>
      </c>
      <c r="CD736">
        <v>1</v>
      </c>
      <c r="CE736">
        <v>1</v>
      </c>
      <c r="CF736">
        <v>0</v>
      </c>
      <c r="CG736">
        <v>1</v>
      </c>
      <c r="CH736">
        <v>0</v>
      </c>
      <c r="CI736">
        <v>0</v>
      </c>
      <c r="CJ736">
        <v>0</v>
      </c>
      <c r="CK736">
        <v>2</v>
      </c>
      <c r="CL736">
        <v>0</v>
      </c>
      <c r="CM736">
        <v>2</v>
      </c>
      <c r="CN736">
        <v>0</v>
      </c>
      <c r="CO736">
        <v>5</v>
      </c>
      <c r="CP736" t="s">
        <v>119</v>
      </c>
      <c r="CQ736">
        <v>145</v>
      </c>
      <c r="CR736">
        <v>1</v>
      </c>
      <c r="CW736">
        <v>8965368</v>
      </c>
      <c r="CY736">
        <v>0</v>
      </c>
      <c r="CZ736">
        <v>0</v>
      </c>
      <c r="DA736">
        <v>1</v>
      </c>
      <c r="DB736">
        <v>0</v>
      </c>
      <c r="DC736">
        <v>0</v>
      </c>
      <c r="DD736">
        <v>0</v>
      </c>
      <c r="DE736">
        <v>0</v>
      </c>
      <c r="DF736">
        <v>0</v>
      </c>
      <c r="DG736">
        <v>0</v>
      </c>
      <c r="DH736">
        <v>0</v>
      </c>
      <c r="DI736">
        <v>0</v>
      </c>
    </row>
    <row r="737" spans="1:113" x14ac:dyDescent="0.3">
      <c r="A737" t="str">
        <f>"02/13/2022 18:39:33.347"</f>
        <v>02/13/2022 18:39:33.347</v>
      </c>
      <c r="C737" t="str">
        <f t="shared" si="77"/>
        <v>FFDFD7C0</v>
      </c>
      <c r="D737" t="s">
        <v>121</v>
      </c>
      <c r="E737">
        <v>2</v>
      </c>
      <c r="H737">
        <v>158</v>
      </c>
      <c r="I737" t="s">
        <v>120</v>
      </c>
      <c r="J737" t="s">
        <v>122</v>
      </c>
      <c r="K737">
        <v>0</v>
      </c>
      <c r="L737">
        <v>3</v>
      </c>
      <c r="M737">
        <v>0</v>
      </c>
      <c r="N737">
        <v>2</v>
      </c>
      <c r="O737">
        <v>1</v>
      </c>
      <c r="P737">
        <v>0</v>
      </c>
      <c r="Q737">
        <v>0</v>
      </c>
      <c r="S737" t="str">
        <f>"18:39:33.109"</f>
        <v>18:39:33.109</v>
      </c>
      <c r="T737" t="str">
        <f>"18:39:32.709"</f>
        <v>18:39:32.709</v>
      </c>
      <c r="U737" t="str">
        <f t="shared" si="76"/>
        <v>AAB6EE</v>
      </c>
      <c r="V737">
        <v>0</v>
      </c>
      <c r="W737">
        <v>0</v>
      </c>
      <c r="X737">
        <v>4</v>
      </c>
      <c r="Z737">
        <v>0</v>
      </c>
      <c r="AA737">
        <v>8</v>
      </c>
      <c r="AB737">
        <v>3</v>
      </c>
      <c r="AC737">
        <v>0</v>
      </c>
      <c r="AD737">
        <v>10</v>
      </c>
      <c r="AE737">
        <v>0</v>
      </c>
      <c r="AF737">
        <v>0</v>
      </c>
      <c r="AG737">
        <v>2</v>
      </c>
      <c r="AH737">
        <v>1</v>
      </c>
      <c r="AI737" t="s">
        <v>613</v>
      </c>
      <c r="AJ737">
        <v>35.376105000000003</v>
      </c>
      <c r="AK737" t="s">
        <v>614</v>
      </c>
      <c r="AL737">
        <v>-76.122894000000002</v>
      </c>
      <c r="AM737">
        <v>25</v>
      </c>
      <c r="AN737">
        <v>3425</v>
      </c>
      <c r="AO737" t="s">
        <v>118</v>
      </c>
      <c r="AP737">
        <v>-103</v>
      </c>
      <c r="AQ737">
        <v>-197</v>
      </c>
      <c r="AR737">
        <v>0</v>
      </c>
      <c r="AZ737">
        <v>4516</v>
      </c>
      <c r="BA737">
        <v>1</v>
      </c>
      <c r="BB737" t="str">
        <f t="shared" si="78"/>
        <v xml:space="preserve">N79NX   </v>
      </c>
      <c r="BC737">
        <v>1</v>
      </c>
      <c r="BE737">
        <v>0</v>
      </c>
      <c r="BF737">
        <v>0</v>
      </c>
      <c r="BG737">
        <v>0</v>
      </c>
      <c r="BH737">
        <v>3275</v>
      </c>
      <c r="BI737">
        <v>0</v>
      </c>
      <c r="BJ737">
        <v>0</v>
      </c>
      <c r="BK737">
        <v>0</v>
      </c>
      <c r="BL737">
        <v>0</v>
      </c>
      <c r="BO737">
        <v>0</v>
      </c>
      <c r="BP737">
        <v>0</v>
      </c>
      <c r="BW737" t="str">
        <f>"18:39:33.111"</f>
        <v>18:39:33.111</v>
      </c>
      <c r="BZ737">
        <v>0</v>
      </c>
      <c r="CA737">
        <v>3488</v>
      </c>
      <c r="CB737">
        <v>216</v>
      </c>
      <c r="CC737">
        <v>583.59379999999999</v>
      </c>
      <c r="CD737">
        <v>1</v>
      </c>
      <c r="CE737">
        <v>1</v>
      </c>
      <c r="CF737">
        <v>0</v>
      </c>
      <c r="CG737">
        <v>1</v>
      </c>
      <c r="CH737">
        <v>0</v>
      </c>
      <c r="CI737">
        <v>0</v>
      </c>
      <c r="CJ737">
        <v>0</v>
      </c>
      <c r="CK737">
        <v>2</v>
      </c>
      <c r="CL737">
        <v>0</v>
      </c>
      <c r="CM737">
        <v>2</v>
      </c>
      <c r="CN737">
        <v>0</v>
      </c>
      <c r="CO737">
        <v>5</v>
      </c>
      <c r="CP737" t="s">
        <v>119</v>
      </c>
      <c r="CQ737">
        <v>145</v>
      </c>
      <c r="CR737">
        <v>1</v>
      </c>
      <c r="CW737">
        <v>8965821</v>
      </c>
      <c r="CY737">
        <v>0</v>
      </c>
      <c r="CZ737">
        <v>0</v>
      </c>
      <c r="DA737">
        <v>0</v>
      </c>
      <c r="DB737">
        <v>0</v>
      </c>
      <c r="DC737">
        <v>0</v>
      </c>
      <c r="DD737">
        <v>0</v>
      </c>
      <c r="DE737">
        <v>0</v>
      </c>
      <c r="DF737">
        <v>0</v>
      </c>
      <c r="DG737">
        <v>0</v>
      </c>
      <c r="DH737">
        <v>0</v>
      </c>
      <c r="DI737">
        <v>0</v>
      </c>
    </row>
    <row r="738" spans="1:113" x14ac:dyDescent="0.3">
      <c r="A738" t="str">
        <f>"02/13/2022 18:39:33.347"</f>
        <v>02/13/2022 18:39:33.347</v>
      </c>
      <c r="C738" t="str">
        <f t="shared" si="77"/>
        <v>FFDFD7C0</v>
      </c>
      <c r="D738" t="s">
        <v>113</v>
      </c>
      <c r="E738">
        <v>3</v>
      </c>
      <c r="F738">
        <v>1003</v>
      </c>
      <c r="G738" t="s">
        <v>114</v>
      </c>
      <c r="J738" t="s">
        <v>115</v>
      </c>
      <c r="K738">
        <v>0</v>
      </c>
      <c r="L738">
        <v>3</v>
      </c>
      <c r="M738">
        <v>0</v>
      </c>
      <c r="N738">
        <v>2</v>
      </c>
      <c r="O738">
        <v>1</v>
      </c>
      <c r="P738">
        <v>0</v>
      </c>
      <c r="Q738">
        <v>0</v>
      </c>
      <c r="S738" t="str">
        <f>"18:39:33.109"</f>
        <v>18:39:33.109</v>
      </c>
      <c r="T738" t="str">
        <f>"18:39:32.709"</f>
        <v>18:39:32.709</v>
      </c>
      <c r="U738" t="str">
        <f t="shared" si="76"/>
        <v>AAB6EE</v>
      </c>
      <c r="V738">
        <v>0</v>
      </c>
      <c r="W738">
        <v>0</v>
      </c>
      <c r="X738">
        <v>4</v>
      </c>
      <c r="Z738">
        <v>0</v>
      </c>
      <c r="AA738">
        <v>8</v>
      </c>
      <c r="AB738">
        <v>3</v>
      </c>
      <c r="AC738">
        <v>0</v>
      </c>
      <c r="AD738">
        <v>10</v>
      </c>
      <c r="AE738">
        <v>0</v>
      </c>
      <c r="AF738">
        <v>0</v>
      </c>
      <c r="AG738">
        <v>2</v>
      </c>
      <c r="AH738">
        <v>1</v>
      </c>
      <c r="AI738" t="s">
        <v>613</v>
      </c>
      <c r="AJ738">
        <v>35.376105000000003</v>
      </c>
      <c r="AK738" t="s">
        <v>614</v>
      </c>
      <c r="AL738">
        <v>-76.122894000000002</v>
      </c>
      <c r="AM738">
        <v>25</v>
      </c>
      <c r="AN738">
        <v>3425</v>
      </c>
      <c r="AO738" t="s">
        <v>118</v>
      </c>
      <c r="AP738">
        <v>-103</v>
      </c>
      <c r="AQ738">
        <v>-197</v>
      </c>
      <c r="AR738">
        <v>0</v>
      </c>
      <c r="AZ738">
        <v>4516</v>
      </c>
      <c r="BA738">
        <v>1</v>
      </c>
      <c r="BB738" t="str">
        <f t="shared" si="78"/>
        <v xml:space="preserve">N79NX   </v>
      </c>
      <c r="BC738">
        <v>1</v>
      </c>
      <c r="BE738">
        <v>0</v>
      </c>
      <c r="BF738">
        <v>0</v>
      </c>
      <c r="BG738">
        <v>0</v>
      </c>
      <c r="BH738">
        <v>3275</v>
      </c>
      <c r="BI738">
        <v>0</v>
      </c>
      <c r="BJ738">
        <v>0</v>
      </c>
      <c r="BK738">
        <v>0</v>
      </c>
      <c r="BL738">
        <v>0</v>
      </c>
      <c r="BO738">
        <v>0</v>
      </c>
      <c r="BP738">
        <v>0</v>
      </c>
      <c r="BW738" t="str">
        <f>"18:39:33.111"</f>
        <v>18:39:33.111</v>
      </c>
      <c r="BZ738">
        <v>0</v>
      </c>
      <c r="CA738">
        <v>3488</v>
      </c>
      <c r="CB738">
        <v>216</v>
      </c>
      <c r="CC738">
        <v>583.59379999999999</v>
      </c>
      <c r="CD738">
        <v>1</v>
      </c>
      <c r="CE738">
        <v>1</v>
      </c>
      <c r="CF738">
        <v>0</v>
      </c>
      <c r="CG738">
        <v>1</v>
      </c>
      <c r="CH738">
        <v>0</v>
      </c>
      <c r="CI738">
        <v>0</v>
      </c>
      <c r="CJ738">
        <v>0</v>
      </c>
      <c r="CK738">
        <v>2</v>
      </c>
      <c r="CL738">
        <v>0</v>
      </c>
      <c r="CM738">
        <v>2</v>
      </c>
      <c r="CN738">
        <v>0</v>
      </c>
      <c r="CO738">
        <v>5</v>
      </c>
      <c r="CP738" t="s">
        <v>119</v>
      </c>
      <c r="CQ738">
        <v>145</v>
      </c>
      <c r="CR738">
        <v>1</v>
      </c>
      <c r="CW738">
        <v>8965821</v>
      </c>
      <c r="CY738">
        <v>0</v>
      </c>
      <c r="CZ738">
        <v>0</v>
      </c>
      <c r="DA738">
        <v>1</v>
      </c>
      <c r="DB738">
        <v>0</v>
      </c>
      <c r="DC738">
        <v>0</v>
      </c>
      <c r="DD738">
        <v>0</v>
      </c>
      <c r="DE738">
        <v>0</v>
      </c>
      <c r="DF738">
        <v>0</v>
      </c>
      <c r="DG738">
        <v>0</v>
      </c>
      <c r="DH738">
        <v>0</v>
      </c>
      <c r="DI738">
        <v>0</v>
      </c>
    </row>
    <row r="739" spans="1:113" x14ac:dyDescent="0.3">
      <c r="A739" t="str">
        <f>"02/13/2022 18:39:33.347"</f>
        <v>02/13/2022 18:39:33.347</v>
      </c>
      <c r="C739" t="str">
        <f t="shared" si="77"/>
        <v>FFDFD7C0</v>
      </c>
      <c r="D739" t="s">
        <v>113</v>
      </c>
      <c r="E739">
        <v>4</v>
      </c>
      <c r="F739">
        <v>1004</v>
      </c>
      <c r="G739" t="s">
        <v>120</v>
      </c>
      <c r="J739" t="s">
        <v>115</v>
      </c>
      <c r="K739">
        <v>0</v>
      </c>
      <c r="L739">
        <v>3</v>
      </c>
      <c r="M739">
        <v>0</v>
      </c>
      <c r="N739">
        <v>2</v>
      </c>
      <c r="O739">
        <v>1</v>
      </c>
      <c r="P739">
        <v>0</v>
      </c>
      <c r="Q739">
        <v>0</v>
      </c>
      <c r="S739" t="str">
        <f>"18:39:33.109"</f>
        <v>18:39:33.109</v>
      </c>
      <c r="T739" t="str">
        <f>"18:39:32.709"</f>
        <v>18:39:32.709</v>
      </c>
      <c r="U739" t="str">
        <f t="shared" si="76"/>
        <v>AAB6EE</v>
      </c>
      <c r="V739">
        <v>0</v>
      </c>
      <c r="W739">
        <v>0</v>
      </c>
      <c r="X739">
        <v>4</v>
      </c>
      <c r="Z739">
        <v>0</v>
      </c>
      <c r="AA739">
        <v>8</v>
      </c>
      <c r="AB739">
        <v>3</v>
      </c>
      <c r="AC739">
        <v>0</v>
      </c>
      <c r="AD739">
        <v>10</v>
      </c>
      <c r="AE739">
        <v>0</v>
      </c>
      <c r="AF739">
        <v>0</v>
      </c>
      <c r="AG739">
        <v>2</v>
      </c>
      <c r="AH739">
        <v>1</v>
      </c>
      <c r="AI739" t="s">
        <v>613</v>
      </c>
      <c r="AJ739">
        <v>35.376105000000003</v>
      </c>
      <c r="AK739" t="s">
        <v>614</v>
      </c>
      <c r="AL739">
        <v>-76.122894000000002</v>
      </c>
      <c r="AM739">
        <v>25</v>
      </c>
      <c r="AN739">
        <v>3425</v>
      </c>
      <c r="AO739" t="s">
        <v>118</v>
      </c>
      <c r="AP739">
        <v>-103</v>
      </c>
      <c r="AQ739">
        <v>-197</v>
      </c>
      <c r="AR739">
        <v>0</v>
      </c>
      <c r="AZ739">
        <v>4516</v>
      </c>
      <c r="BA739">
        <v>1</v>
      </c>
      <c r="BB739" t="str">
        <f t="shared" si="78"/>
        <v xml:space="preserve">N79NX   </v>
      </c>
      <c r="BC739">
        <v>1</v>
      </c>
      <c r="BE739">
        <v>0</v>
      </c>
      <c r="BF739">
        <v>0</v>
      </c>
      <c r="BG739">
        <v>0</v>
      </c>
      <c r="BH739">
        <v>3275</v>
      </c>
      <c r="BI739">
        <v>0</v>
      </c>
      <c r="BJ739">
        <v>0</v>
      </c>
      <c r="BK739">
        <v>0</v>
      </c>
      <c r="BL739">
        <v>0</v>
      </c>
      <c r="BO739">
        <v>0</v>
      </c>
      <c r="BP739">
        <v>0</v>
      </c>
      <c r="BW739" t="str">
        <f>"18:39:33.111"</f>
        <v>18:39:33.111</v>
      </c>
      <c r="BZ739">
        <v>0</v>
      </c>
      <c r="CA739">
        <v>3488</v>
      </c>
      <c r="CB739">
        <v>216</v>
      </c>
      <c r="CC739">
        <v>583.59379999999999</v>
      </c>
      <c r="CD739">
        <v>1</v>
      </c>
      <c r="CE739">
        <v>1</v>
      </c>
      <c r="CF739">
        <v>0</v>
      </c>
      <c r="CG739">
        <v>1</v>
      </c>
      <c r="CH739">
        <v>0</v>
      </c>
      <c r="CI739">
        <v>0</v>
      </c>
      <c r="CJ739">
        <v>0</v>
      </c>
      <c r="CK739">
        <v>2</v>
      </c>
      <c r="CL739">
        <v>0</v>
      </c>
      <c r="CM739">
        <v>2</v>
      </c>
      <c r="CN739">
        <v>0</v>
      </c>
      <c r="CO739">
        <v>5</v>
      </c>
      <c r="CP739" t="s">
        <v>119</v>
      </c>
      <c r="CQ739">
        <v>145</v>
      </c>
      <c r="CR739">
        <v>1</v>
      </c>
      <c r="CW739">
        <v>8965821</v>
      </c>
      <c r="CY739">
        <v>0</v>
      </c>
      <c r="CZ739">
        <v>0</v>
      </c>
      <c r="DA739">
        <v>1</v>
      </c>
      <c r="DB739">
        <v>0</v>
      </c>
      <c r="DC739">
        <v>0</v>
      </c>
      <c r="DD739">
        <v>0</v>
      </c>
      <c r="DE739">
        <v>0</v>
      </c>
      <c r="DF739">
        <v>0</v>
      </c>
      <c r="DG739">
        <v>0</v>
      </c>
      <c r="DH739">
        <v>0</v>
      </c>
      <c r="DI739">
        <v>0</v>
      </c>
    </row>
    <row r="740" spans="1:113" x14ac:dyDescent="0.3">
      <c r="A740" t="str">
        <f>"02/13/2022 18:39:34.395"</f>
        <v>02/13/2022 18:39:34.395</v>
      </c>
      <c r="C740" t="str">
        <f t="shared" si="77"/>
        <v>FFDFD7C0</v>
      </c>
      <c r="D740" t="s">
        <v>121</v>
      </c>
      <c r="E740">
        <v>2</v>
      </c>
      <c r="H740">
        <v>158</v>
      </c>
      <c r="I740" t="s">
        <v>120</v>
      </c>
      <c r="J740" t="s">
        <v>122</v>
      </c>
      <c r="K740">
        <v>0</v>
      </c>
      <c r="L740">
        <v>3</v>
      </c>
      <c r="M740">
        <v>0</v>
      </c>
      <c r="N740">
        <v>2</v>
      </c>
      <c r="O740">
        <v>1</v>
      </c>
      <c r="P740">
        <v>0</v>
      </c>
      <c r="Q740">
        <v>0</v>
      </c>
      <c r="S740" t="str">
        <f>"18:39:34.188"</f>
        <v>18:39:34.188</v>
      </c>
      <c r="T740" t="str">
        <f>"18:39:33.788"</f>
        <v>18:39:33.788</v>
      </c>
      <c r="U740" t="str">
        <f t="shared" si="76"/>
        <v>AAB6EE</v>
      </c>
      <c r="V740">
        <v>0</v>
      </c>
      <c r="W740">
        <v>0</v>
      </c>
      <c r="X740">
        <v>4</v>
      </c>
      <c r="Z740">
        <v>0</v>
      </c>
      <c r="AA740">
        <v>8</v>
      </c>
      <c r="AB740">
        <v>3</v>
      </c>
      <c r="AC740">
        <v>0</v>
      </c>
      <c r="AD740">
        <v>10</v>
      </c>
      <c r="AE740">
        <v>0</v>
      </c>
      <c r="AF740">
        <v>0</v>
      </c>
      <c r="AG740">
        <v>2</v>
      </c>
      <c r="AH740">
        <v>1</v>
      </c>
      <c r="AI740" t="s">
        <v>615</v>
      </c>
      <c r="AJ740">
        <v>35.375203999999997</v>
      </c>
      <c r="AK740" t="s">
        <v>616</v>
      </c>
      <c r="AL740">
        <v>-76.123474000000002</v>
      </c>
      <c r="AM740">
        <v>25</v>
      </c>
      <c r="AN740">
        <v>3450</v>
      </c>
      <c r="AO740" t="s">
        <v>118</v>
      </c>
      <c r="AP740">
        <v>-103</v>
      </c>
      <c r="AQ740">
        <v>-197</v>
      </c>
      <c r="AR740">
        <v>0</v>
      </c>
      <c r="AZ740">
        <v>4516</v>
      </c>
      <c r="BA740">
        <v>1</v>
      </c>
      <c r="BB740" t="str">
        <f t="shared" si="78"/>
        <v xml:space="preserve">N79NX   </v>
      </c>
      <c r="BC740">
        <v>1</v>
      </c>
      <c r="BE740">
        <v>0</v>
      </c>
      <c r="BF740">
        <v>0</v>
      </c>
      <c r="BG740">
        <v>0</v>
      </c>
      <c r="BH740">
        <v>3300</v>
      </c>
      <c r="BI740">
        <v>0</v>
      </c>
      <c r="BJ740">
        <v>0</v>
      </c>
      <c r="BK740">
        <v>0</v>
      </c>
      <c r="BL740">
        <v>0</v>
      </c>
      <c r="BO740">
        <v>0</v>
      </c>
      <c r="BP740">
        <v>0</v>
      </c>
      <c r="BW740" t="str">
        <f>"18:39:34.191"</f>
        <v>18:39:34.191</v>
      </c>
      <c r="BZ740">
        <v>0</v>
      </c>
      <c r="CA740">
        <v>3488</v>
      </c>
      <c r="CB740">
        <v>216</v>
      </c>
      <c r="CC740">
        <v>583.59379999999999</v>
      </c>
      <c r="CD740">
        <v>1</v>
      </c>
      <c r="CE740">
        <v>1</v>
      </c>
      <c r="CF740">
        <v>0</v>
      </c>
      <c r="CG740">
        <v>1</v>
      </c>
      <c r="CH740">
        <v>0</v>
      </c>
      <c r="CI740">
        <v>0</v>
      </c>
      <c r="CJ740">
        <v>0</v>
      </c>
      <c r="CK740">
        <v>2</v>
      </c>
      <c r="CL740">
        <v>0</v>
      </c>
      <c r="CM740">
        <v>2</v>
      </c>
      <c r="CN740">
        <v>0</v>
      </c>
      <c r="CO740">
        <v>5</v>
      </c>
      <c r="CP740" t="s">
        <v>119</v>
      </c>
      <c r="CQ740">
        <v>145</v>
      </c>
      <c r="CR740">
        <v>1</v>
      </c>
      <c r="CW740">
        <v>8966361</v>
      </c>
      <c r="CY740">
        <v>0</v>
      </c>
      <c r="CZ740">
        <v>0</v>
      </c>
      <c r="DA740">
        <v>0</v>
      </c>
      <c r="DB740">
        <v>0</v>
      </c>
      <c r="DC740">
        <v>0</v>
      </c>
      <c r="DD740">
        <v>0</v>
      </c>
      <c r="DE740">
        <v>0</v>
      </c>
      <c r="DF740">
        <v>0</v>
      </c>
      <c r="DG740">
        <v>0</v>
      </c>
      <c r="DH740">
        <v>0</v>
      </c>
      <c r="DI740">
        <v>0</v>
      </c>
    </row>
    <row r="741" spans="1:113" x14ac:dyDescent="0.3">
      <c r="A741" t="str">
        <f>"02/13/2022 18:39:34.395"</f>
        <v>02/13/2022 18:39:34.395</v>
      </c>
      <c r="C741" t="str">
        <f t="shared" si="77"/>
        <v>FFDFD7C0</v>
      </c>
      <c r="D741" t="s">
        <v>113</v>
      </c>
      <c r="E741">
        <v>4</v>
      </c>
      <c r="F741">
        <v>1004</v>
      </c>
      <c r="G741" t="s">
        <v>120</v>
      </c>
      <c r="J741" t="s">
        <v>115</v>
      </c>
      <c r="K741">
        <v>0</v>
      </c>
      <c r="L741">
        <v>3</v>
      </c>
      <c r="M741">
        <v>0</v>
      </c>
      <c r="N741">
        <v>2</v>
      </c>
      <c r="O741">
        <v>1</v>
      </c>
      <c r="P741">
        <v>0</v>
      </c>
      <c r="Q741">
        <v>0</v>
      </c>
      <c r="S741" t="str">
        <f>"18:39:34.188"</f>
        <v>18:39:34.188</v>
      </c>
      <c r="T741" t="str">
        <f>"18:39:33.788"</f>
        <v>18:39:33.788</v>
      </c>
      <c r="U741" t="str">
        <f t="shared" si="76"/>
        <v>AAB6EE</v>
      </c>
      <c r="V741">
        <v>0</v>
      </c>
      <c r="W741">
        <v>0</v>
      </c>
      <c r="X741">
        <v>4</v>
      </c>
      <c r="Z741">
        <v>0</v>
      </c>
      <c r="AA741">
        <v>8</v>
      </c>
      <c r="AB741">
        <v>3</v>
      </c>
      <c r="AC741">
        <v>0</v>
      </c>
      <c r="AD741">
        <v>10</v>
      </c>
      <c r="AE741">
        <v>0</v>
      </c>
      <c r="AF741">
        <v>0</v>
      </c>
      <c r="AG741">
        <v>2</v>
      </c>
      <c r="AH741">
        <v>1</v>
      </c>
      <c r="AI741" t="s">
        <v>615</v>
      </c>
      <c r="AJ741">
        <v>35.375203999999997</v>
      </c>
      <c r="AK741" t="s">
        <v>616</v>
      </c>
      <c r="AL741">
        <v>-76.123474000000002</v>
      </c>
      <c r="AM741">
        <v>25</v>
      </c>
      <c r="AN741">
        <v>3450</v>
      </c>
      <c r="AO741" t="s">
        <v>118</v>
      </c>
      <c r="AP741">
        <v>-103</v>
      </c>
      <c r="AQ741">
        <v>-197</v>
      </c>
      <c r="AR741">
        <v>0</v>
      </c>
      <c r="AZ741">
        <v>4516</v>
      </c>
      <c r="BA741">
        <v>1</v>
      </c>
      <c r="BB741" t="str">
        <f t="shared" si="78"/>
        <v xml:space="preserve">N79NX   </v>
      </c>
      <c r="BC741">
        <v>1</v>
      </c>
      <c r="BE741">
        <v>0</v>
      </c>
      <c r="BF741">
        <v>0</v>
      </c>
      <c r="BG741">
        <v>0</v>
      </c>
      <c r="BH741">
        <v>3300</v>
      </c>
      <c r="BI741">
        <v>0</v>
      </c>
      <c r="BJ741">
        <v>0</v>
      </c>
      <c r="BK741">
        <v>0</v>
      </c>
      <c r="BL741">
        <v>0</v>
      </c>
      <c r="BO741">
        <v>0</v>
      </c>
      <c r="BP741">
        <v>0</v>
      </c>
      <c r="BW741" t="str">
        <f>"18:39:34.191"</f>
        <v>18:39:34.191</v>
      </c>
      <c r="BZ741">
        <v>0</v>
      </c>
      <c r="CA741">
        <v>3488</v>
      </c>
      <c r="CB741">
        <v>216</v>
      </c>
      <c r="CC741">
        <v>583.59379999999999</v>
      </c>
      <c r="CD741">
        <v>1</v>
      </c>
      <c r="CE741">
        <v>1</v>
      </c>
      <c r="CF741">
        <v>0</v>
      </c>
      <c r="CG741">
        <v>1</v>
      </c>
      <c r="CH741">
        <v>0</v>
      </c>
      <c r="CI741">
        <v>0</v>
      </c>
      <c r="CJ741">
        <v>0</v>
      </c>
      <c r="CK741">
        <v>2</v>
      </c>
      <c r="CL741">
        <v>0</v>
      </c>
      <c r="CM741">
        <v>2</v>
      </c>
      <c r="CN741">
        <v>0</v>
      </c>
      <c r="CO741">
        <v>5</v>
      </c>
      <c r="CP741" t="s">
        <v>119</v>
      </c>
      <c r="CQ741">
        <v>145</v>
      </c>
      <c r="CR741">
        <v>1</v>
      </c>
      <c r="CW741">
        <v>8966361</v>
      </c>
      <c r="CY741">
        <v>0</v>
      </c>
      <c r="CZ741">
        <v>0</v>
      </c>
      <c r="DA741">
        <v>1</v>
      </c>
      <c r="DB741">
        <v>0</v>
      </c>
      <c r="DC741">
        <v>0</v>
      </c>
      <c r="DD741">
        <v>0</v>
      </c>
      <c r="DE741">
        <v>0</v>
      </c>
      <c r="DF741">
        <v>0</v>
      </c>
      <c r="DG741">
        <v>0</v>
      </c>
      <c r="DH741">
        <v>0</v>
      </c>
      <c r="DI741">
        <v>0</v>
      </c>
    </row>
    <row r="742" spans="1:113" x14ac:dyDescent="0.3">
      <c r="A742" t="str">
        <f>"02/13/2022 18:39:34.395"</f>
        <v>02/13/2022 18:39:34.395</v>
      </c>
      <c r="C742" t="str">
        <f t="shared" si="77"/>
        <v>FFDFD7C0</v>
      </c>
      <c r="D742" t="s">
        <v>113</v>
      </c>
      <c r="E742">
        <v>3</v>
      </c>
      <c r="F742">
        <v>1003</v>
      </c>
      <c r="G742" t="s">
        <v>114</v>
      </c>
      <c r="J742" t="s">
        <v>115</v>
      </c>
      <c r="K742">
        <v>0</v>
      </c>
      <c r="L742">
        <v>3</v>
      </c>
      <c r="M742">
        <v>0</v>
      </c>
      <c r="N742">
        <v>2</v>
      </c>
      <c r="O742">
        <v>1</v>
      </c>
      <c r="P742">
        <v>0</v>
      </c>
      <c r="Q742">
        <v>0</v>
      </c>
      <c r="S742" t="str">
        <f>"18:39:34.188"</f>
        <v>18:39:34.188</v>
      </c>
      <c r="T742" t="str">
        <f>"18:39:33.788"</f>
        <v>18:39:33.788</v>
      </c>
      <c r="U742" t="str">
        <f t="shared" si="76"/>
        <v>AAB6EE</v>
      </c>
      <c r="V742">
        <v>0</v>
      </c>
      <c r="W742">
        <v>0</v>
      </c>
      <c r="X742">
        <v>4</v>
      </c>
      <c r="Z742">
        <v>0</v>
      </c>
      <c r="AA742">
        <v>8</v>
      </c>
      <c r="AB742">
        <v>3</v>
      </c>
      <c r="AC742">
        <v>0</v>
      </c>
      <c r="AD742">
        <v>10</v>
      </c>
      <c r="AE742">
        <v>0</v>
      </c>
      <c r="AF742">
        <v>0</v>
      </c>
      <c r="AG742">
        <v>2</v>
      </c>
      <c r="AH742">
        <v>1</v>
      </c>
      <c r="AI742" t="s">
        <v>615</v>
      </c>
      <c r="AJ742">
        <v>35.375203999999997</v>
      </c>
      <c r="AK742" t="s">
        <v>616</v>
      </c>
      <c r="AL742">
        <v>-76.123474000000002</v>
      </c>
      <c r="AM742">
        <v>25</v>
      </c>
      <c r="AN742">
        <v>3450</v>
      </c>
      <c r="AO742" t="s">
        <v>118</v>
      </c>
      <c r="AP742">
        <v>-103</v>
      </c>
      <c r="AQ742">
        <v>-197</v>
      </c>
      <c r="AR742">
        <v>0</v>
      </c>
      <c r="AZ742">
        <v>4516</v>
      </c>
      <c r="BA742">
        <v>1</v>
      </c>
      <c r="BB742" t="str">
        <f t="shared" si="78"/>
        <v xml:space="preserve">N79NX   </v>
      </c>
      <c r="BC742">
        <v>1</v>
      </c>
      <c r="BE742">
        <v>0</v>
      </c>
      <c r="BF742">
        <v>0</v>
      </c>
      <c r="BG742">
        <v>0</v>
      </c>
      <c r="BH742">
        <v>3300</v>
      </c>
      <c r="BI742">
        <v>0</v>
      </c>
      <c r="BJ742">
        <v>0</v>
      </c>
      <c r="BK742">
        <v>0</v>
      </c>
      <c r="BL742">
        <v>0</v>
      </c>
      <c r="BO742">
        <v>0</v>
      </c>
      <c r="BP742">
        <v>0</v>
      </c>
      <c r="BW742" t="str">
        <f>"18:39:34.191"</f>
        <v>18:39:34.191</v>
      </c>
      <c r="BZ742">
        <v>0</v>
      </c>
      <c r="CA742">
        <v>3488</v>
      </c>
      <c r="CB742">
        <v>216</v>
      </c>
      <c r="CC742">
        <v>583.59379999999999</v>
      </c>
      <c r="CD742">
        <v>1</v>
      </c>
      <c r="CE742">
        <v>1</v>
      </c>
      <c r="CF742">
        <v>0</v>
      </c>
      <c r="CG742">
        <v>1</v>
      </c>
      <c r="CH742">
        <v>0</v>
      </c>
      <c r="CI742">
        <v>0</v>
      </c>
      <c r="CJ742">
        <v>0</v>
      </c>
      <c r="CK742">
        <v>2</v>
      </c>
      <c r="CL742">
        <v>0</v>
      </c>
      <c r="CM742">
        <v>2</v>
      </c>
      <c r="CN742">
        <v>0</v>
      </c>
      <c r="CO742">
        <v>5</v>
      </c>
      <c r="CP742" t="s">
        <v>119</v>
      </c>
      <c r="CQ742">
        <v>145</v>
      </c>
      <c r="CR742">
        <v>1</v>
      </c>
      <c r="CW742">
        <v>8966361</v>
      </c>
      <c r="CY742">
        <v>0</v>
      </c>
      <c r="CZ742">
        <v>0</v>
      </c>
      <c r="DA742">
        <v>1</v>
      </c>
      <c r="DB742">
        <v>0</v>
      </c>
      <c r="DC742">
        <v>0</v>
      </c>
      <c r="DD742">
        <v>0</v>
      </c>
      <c r="DE742">
        <v>0</v>
      </c>
      <c r="DF742">
        <v>0</v>
      </c>
      <c r="DG742">
        <v>0</v>
      </c>
      <c r="DH742">
        <v>0</v>
      </c>
      <c r="DI742">
        <v>0</v>
      </c>
    </row>
    <row r="743" spans="1:113" x14ac:dyDescent="0.3">
      <c r="A743" t="str">
        <f>"02/13/2022 18:39:35.557"</f>
        <v>02/13/2022 18:39:35.557</v>
      </c>
      <c r="C743" t="str">
        <f t="shared" si="77"/>
        <v>FFDFD7C0</v>
      </c>
      <c r="D743" t="s">
        <v>113</v>
      </c>
      <c r="E743">
        <v>3</v>
      </c>
      <c r="F743">
        <v>1003</v>
      </c>
      <c r="G743" t="s">
        <v>114</v>
      </c>
      <c r="J743" t="s">
        <v>115</v>
      </c>
      <c r="K743">
        <v>0</v>
      </c>
      <c r="L743">
        <v>3</v>
      </c>
      <c r="M743">
        <v>0</v>
      </c>
      <c r="N743">
        <v>2</v>
      </c>
      <c r="O743">
        <v>1</v>
      </c>
      <c r="P743">
        <v>0</v>
      </c>
      <c r="Q743">
        <v>0</v>
      </c>
      <c r="S743" t="str">
        <f>"18:39:35.305"</f>
        <v>18:39:35.305</v>
      </c>
      <c r="T743" t="str">
        <f>"18:39:35.205"</f>
        <v>18:39:35.205</v>
      </c>
      <c r="U743" t="str">
        <f t="shared" si="76"/>
        <v>AAB6EE</v>
      </c>
      <c r="V743">
        <v>0</v>
      </c>
      <c r="W743">
        <v>0</v>
      </c>
      <c r="X743">
        <v>4</v>
      </c>
      <c r="Z743">
        <v>0</v>
      </c>
      <c r="AA743">
        <v>8</v>
      </c>
      <c r="AB743">
        <v>3</v>
      </c>
      <c r="AC743">
        <v>0</v>
      </c>
      <c r="AD743">
        <v>10</v>
      </c>
      <c r="AE743">
        <v>0</v>
      </c>
      <c r="AF743">
        <v>0</v>
      </c>
      <c r="AG743">
        <v>2</v>
      </c>
      <c r="AH743">
        <v>1</v>
      </c>
      <c r="AI743" t="s">
        <v>617</v>
      </c>
      <c r="AJ743">
        <v>35.374110000000002</v>
      </c>
      <c r="AK743" t="s">
        <v>618</v>
      </c>
      <c r="AL743">
        <v>-76.124160000000003</v>
      </c>
      <c r="AM743">
        <v>25</v>
      </c>
      <c r="AN743">
        <v>3425</v>
      </c>
      <c r="AO743" t="s">
        <v>118</v>
      </c>
      <c r="AP743">
        <v>-103</v>
      </c>
      <c r="AQ743">
        <v>-197</v>
      </c>
      <c r="AR743">
        <v>-64</v>
      </c>
      <c r="AZ743">
        <v>4516</v>
      </c>
      <c r="BA743">
        <v>1</v>
      </c>
      <c r="BB743" t="str">
        <f t="shared" si="78"/>
        <v xml:space="preserve">N79NX   </v>
      </c>
      <c r="BC743">
        <v>1</v>
      </c>
      <c r="BE743">
        <v>0</v>
      </c>
      <c r="BF743">
        <v>0</v>
      </c>
      <c r="BG743">
        <v>0</v>
      </c>
      <c r="BH743">
        <v>3300</v>
      </c>
      <c r="BI743">
        <v>0</v>
      </c>
      <c r="BJ743">
        <v>0</v>
      </c>
      <c r="BK743">
        <v>0</v>
      </c>
      <c r="BL743">
        <v>0</v>
      </c>
      <c r="BO743">
        <v>0</v>
      </c>
      <c r="BP743">
        <v>0</v>
      </c>
      <c r="BW743" t="str">
        <f>"18:39:35.311"</f>
        <v>18:39:35.311</v>
      </c>
      <c r="BZ743">
        <v>0</v>
      </c>
      <c r="CA743">
        <v>3488</v>
      </c>
      <c r="CB743">
        <v>216</v>
      </c>
      <c r="CC743">
        <v>583.59379999999999</v>
      </c>
      <c r="CD743">
        <v>1</v>
      </c>
      <c r="CE743">
        <v>1</v>
      </c>
      <c r="CF743">
        <v>0</v>
      </c>
      <c r="CG743">
        <v>1</v>
      </c>
      <c r="CH743">
        <v>0</v>
      </c>
      <c r="CI743">
        <v>0</v>
      </c>
      <c r="CJ743">
        <v>0</v>
      </c>
      <c r="CK743">
        <v>2</v>
      </c>
      <c r="CL743">
        <v>0</v>
      </c>
      <c r="CM743">
        <v>2</v>
      </c>
      <c r="CN743">
        <v>0</v>
      </c>
      <c r="CO743">
        <v>5</v>
      </c>
      <c r="CP743" t="s">
        <v>119</v>
      </c>
      <c r="CQ743">
        <v>145</v>
      </c>
      <c r="CR743">
        <v>1</v>
      </c>
      <c r="CW743">
        <v>8966893</v>
      </c>
      <c r="CY743">
        <v>0</v>
      </c>
      <c r="CZ743">
        <v>0</v>
      </c>
      <c r="DA743">
        <v>0</v>
      </c>
      <c r="DB743">
        <v>0</v>
      </c>
      <c r="DC743">
        <v>0</v>
      </c>
      <c r="DD743">
        <v>0</v>
      </c>
      <c r="DE743">
        <v>0</v>
      </c>
      <c r="DF743">
        <v>0</v>
      </c>
      <c r="DG743">
        <v>0</v>
      </c>
      <c r="DH743">
        <v>0</v>
      </c>
      <c r="DI743">
        <v>0</v>
      </c>
    </row>
    <row r="744" spans="1:113" x14ac:dyDescent="0.3">
      <c r="A744" t="str">
        <f>"02/13/2022 18:39:35.573"</f>
        <v>02/13/2022 18:39:35.573</v>
      </c>
      <c r="C744" t="str">
        <f t="shared" si="77"/>
        <v>FFDFD7C0</v>
      </c>
      <c r="D744" t="s">
        <v>113</v>
      </c>
      <c r="E744">
        <v>4</v>
      </c>
      <c r="F744">
        <v>1004</v>
      </c>
      <c r="G744" t="s">
        <v>120</v>
      </c>
      <c r="J744" t="s">
        <v>115</v>
      </c>
      <c r="K744">
        <v>0</v>
      </c>
      <c r="L744">
        <v>3</v>
      </c>
      <c r="M744">
        <v>0</v>
      </c>
      <c r="N744">
        <v>2</v>
      </c>
      <c r="O744">
        <v>1</v>
      </c>
      <c r="P744">
        <v>0</v>
      </c>
      <c r="Q744">
        <v>0</v>
      </c>
      <c r="S744" t="str">
        <f>"18:39:35.305"</f>
        <v>18:39:35.305</v>
      </c>
      <c r="T744" t="str">
        <f>"18:39:35.205"</f>
        <v>18:39:35.205</v>
      </c>
      <c r="U744" t="str">
        <f t="shared" si="76"/>
        <v>AAB6EE</v>
      </c>
      <c r="V744">
        <v>0</v>
      </c>
      <c r="W744">
        <v>0</v>
      </c>
      <c r="X744">
        <v>4</v>
      </c>
      <c r="Z744">
        <v>0</v>
      </c>
      <c r="AA744">
        <v>8</v>
      </c>
      <c r="AB744">
        <v>3</v>
      </c>
      <c r="AC744">
        <v>0</v>
      </c>
      <c r="AD744">
        <v>10</v>
      </c>
      <c r="AE744">
        <v>0</v>
      </c>
      <c r="AF744">
        <v>0</v>
      </c>
      <c r="AG744">
        <v>2</v>
      </c>
      <c r="AH744">
        <v>1</v>
      </c>
      <c r="AI744" t="s">
        <v>617</v>
      </c>
      <c r="AJ744">
        <v>35.374110000000002</v>
      </c>
      <c r="AK744" t="s">
        <v>618</v>
      </c>
      <c r="AL744">
        <v>-76.124160000000003</v>
      </c>
      <c r="AM744">
        <v>25</v>
      </c>
      <c r="AN744">
        <v>3425</v>
      </c>
      <c r="AO744" t="s">
        <v>118</v>
      </c>
      <c r="AP744">
        <v>-103</v>
      </c>
      <c r="AQ744">
        <v>-197</v>
      </c>
      <c r="AR744">
        <v>-64</v>
      </c>
      <c r="AZ744">
        <v>4516</v>
      </c>
      <c r="BA744">
        <v>1</v>
      </c>
      <c r="BB744" t="str">
        <f t="shared" si="78"/>
        <v xml:space="preserve">N79NX   </v>
      </c>
      <c r="BC744">
        <v>1</v>
      </c>
      <c r="BE744">
        <v>0</v>
      </c>
      <c r="BF744">
        <v>0</v>
      </c>
      <c r="BG744">
        <v>0</v>
      </c>
      <c r="BH744">
        <v>3300</v>
      </c>
      <c r="BI744">
        <v>0</v>
      </c>
      <c r="BJ744">
        <v>0</v>
      </c>
      <c r="BK744">
        <v>0</v>
      </c>
      <c r="BL744">
        <v>0</v>
      </c>
      <c r="BO744">
        <v>0</v>
      </c>
      <c r="BP744">
        <v>0</v>
      </c>
      <c r="BW744" t="str">
        <f>"18:39:35.311"</f>
        <v>18:39:35.311</v>
      </c>
      <c r="BZ744">
        <v>0</v>
      </c>
      <c r="CA744">
        <v>3488</v>
      </c>
      <c r="CB744">
        <v>216</v>
      </c>
      <c r="CC744">
        <v>583.59379999999999</v>
      </c>
      <c r="CD744">
        <v>1</v>
      </c>
      <c r="CE744">
        <v>1</v>
      </c>
      <c r="CF744">
        <v>0</v>
      </c>
      <c r="CG744">
        <v>1</v>
      </c>
      <c r="CH744">
        <v>0</v>
      </c>
      <c r="CI744">
        <v>0</v>
      </c>
      <c r="CJ744">
        <v>0</v>
      </c>
      <c r="CK744">
        <v>2</v>
      </c>
      <c r="CL744">
        <v>0</v>
      </c>
      <c r="CM744">
        <v>2</v>
      </c>
      <c r="CN744">
        <v>0</v>
      </c>
      <c r="CO744">
        <v>5</v>
      </c>
      <c r="CP744" t="s">
        <v>119</v>
      </c>
      <c r="CQ744">
        <v>145</v>
      </c>
      <c r="CR744">
        <v>1</v>
      </c>
      <c r="CW744">
        <v>8966893</v>
      </c>
      <c r="CY744">
        <v>0</v>
      </c>
      <c r="CZ744">
        <v>0</v>
      </c>
      <c r="DA744">
        <v>1</v>
      </c>
      <c r="DB744">
        <v>0</v>
      </c>
      <c r="DC744">
        <v>0</v>
      </c>
      <c r="DD744">
        <v>0</v>
      </c>
      <c r="DE744">
        <v>0</v>
      </c>
      <c r="DF744">
        <v>0</v>
      </c>
      <c r="DG744">
        <v>0</v>
      </c>
      <c r="DH744">
        <v>0</v>
      </c>
      <c r="DI744">
        <v>0</v>
      </c>
    </row>
    <row r="745" spans="1:113" x14ac:dyDescent="0.3">
      <c r="A745" t="str">
        <f>"02/13/2022 18:39:35.573"</f>
        <v>02/13/2022 18:39:35.573</v>
      </c>
      <c r="C745" t="str">
        <f t="shared" si="77"/>
        <v>FFDFD7C0</v>
      </c>
      <c r="D745" t="s">
        <v>121</v>
      </c>
      <c r="E745">
        <v>2</v>
      </c>
      <c r="H745">
        <v>158</v>
      </c>
      <c r="I745" t="s">
        <v>120</v>
      </c>
      <c r="J745" t="s">
        <v>122</v>
      </c>
      <c r="K745">
        <v>0</v>
      </c>
      <c r="L745">
        <v>3</v>
      </c>
      <c r="M745">
        <v>0</v>
      </c>
      <c r="N745">
        <v>2</v>
      </c>
      <c r="O745">
        <v>1</v>
      </c>
      <c r="P745">
        <v>0</v>
      </c>
      <c r="Q745">
        <v>0</v>
      </c>
      <c r="S745" t="str">
        <f>"18:39:35.305"</f>
        <v>18:39:35.305</v>
      </c>
      <c r="T745" t="str">
        <f>"18:39:35.205"</f>
        <v>18:39:35.205</v>
      </c>
      <c r="U745" t="str">
        <f t="shared" si="76"/>
        <v>AAB6EE</v>
      </c>
      <c r="V745">
        <v>0</v>
      </c>
      <c r="W745">
        <v>0</v>
      </c>
      <c r="X745">
        <v>4</v>
      </c>
      <c r="Z745">
        <v>0</v>
      </c>
      <c r="AA745">
        <v>8</v>
      </c>
      <c r="AB745">
        <v>3</v>
      </c>
      <c r="AC745">
        <v>0</v>
      </c>
      <c r="AD745">
        <v>10</v>
      </c>
      <c r="AE745">
        <v>0</v>
      </c>
      <c r="AF745">
        <v>0</v>
      </c>
      <c r="AG745">
        <v>2</v>
      </c>
      <c r="AH745">
        <v>1</v>
      </c>
      <c r="AI745" t="s">
        <v>617</v>
      </c>
      <c r="AJ745">
        <v>35.374110000000002</v>
      </c>
      <c r="AK745" t="s">
        <v>618</v>
      </c>
      <c r="AL745">
        <v>-76.124160000000003</v>
      </c>
      <c r="AM745">
        <v>25</v>
      </c>
      <c r="AN745">
        <v>3425</v>
      </c>
      <c r="AO745" t="s">
        <v>118</v>
      </c>
      <c r="AP745">
        <v>-103</v>
      </c>
      <c r="AQ745">
        <v>-197</v>
      </c>
      <c r="AR745">
        <v>-64</v>
      </c>
      <c r="AZ745">
        <v>4516</v>
      </c>
      <c r="BA745">
        <v>1</v>
      </c>
      <c r="BB745" t="str">
        <f t="shared" si="78"/>
        <v xml:space="preserve">N79NX   </v>
      </c>
      <c r="BC745">
        <v>1</v>
      </c>
      <c r="BE745">
        <v>0</v>
      </c>
      <c r="BF745">
        <v>0</v>
      </c>
      <c r="BG745">
        <v>0</v>
      </c>
      <c r="BH745">
        <v>3300</v>
      </c>
      <c r="BI745">
        <v>0</v>
      </c>
      <c r="BJ745">
        <v>0</v>
      </c>
      <c r="BK745">
        <v>0</v>
      </c>
      <c r="BL745">
        <v>0</v>
      </c>
      <c r="BO745">
        <v>0</v>
      </c>
      <c r="BP745">
        <v>0</v>
      </c>
      <c r="BW745" t="str">
        <f>"18:39:35.311"</f>
        <v>18:39:35.311</v>
      </c>
      <c r="BZ745">
        <v>0</v>
      </c>
      <c r="CA745">
        <v>3488</v>
      </c>
      <c r="CB745">
        <v>216</v>
      </c>
      <c r="CC745">
        <v>583.59379999999999</v>
      </c>
      <c r="CD745">
        <v>1</v>
      </c>
      <c r="CE745">
        <v>1</v>
      </c>
      <c r="CF745">
        <v>0</v>
      </c>
      <c r="CG745">
        <v>1</v>
      </c>
      <c r="CH745">
        <v>0</v>
      </c>
      <c r="CI745">
        <v>0</v>
      </c>
      <c r="CJ745">
        <v>0</v>
      </c>
      <c r="CK745">
        <v>2</v>
      </c>
      <c r="CL745">
        <v>0</v>
      </c>
      <c r="CM745">
        <v>2</v>
      </c>
      <c r="CN745">
        <v>0</v>
      </c>
      <c r="CO745">
        <v>5</v>
      </c>
      <c r="CP745" t="s">
        <v>119</v>
      </c>
      <c r="CQ745">
        <v>145</v>
      </c>
      <c r="CR745">
        <v>1</v>
      </c>
      <c r="CW745">
        <v>8966893</v>
      </c>
      <c r="CY745">
        <v>0</v>
      </c>
      <c r="CZ745">
        <v>0</v>
      </c>
      <c r="DA745">
        <v>1</v>
      </c>
      <c r="DB745">
        <v>0</v>
      </c>
      <c r="DC745">
        <v>0</v>
      </c>
      <c r="DD745">
        <v>0</v>
      </c>
      <c r="DE745">
        <v>0</v>
      </c>
      <c r="DF745">
        <v>0</v>
      </c>
      <c r="DG745">
        <v>0</v>
      </c>
      <c r="DH745">
        <v>0</v>
      </c>
      <c r="DI745">
        <v>0</v>
      </c>
    </row>
    <row r="746" spans="1:113" x14ac:dyDescent="0.3">
      <c r="A746" t="str">
        <f>"02/13/2022 18:39:36.667"</f>
        <v>02/13/2022 18:39:36.667</v>
      </c>
      <c r="C746" t="str">
        <f t="shared" si="77"/>
        <v>FFDFD7C0</v>
      </c>
      <c r="D746" t="s">
        <v>113</v>
      </c>
      <c r="E746">
        <v>3</v>
      </c>
      <c r="F746">
        <v>1003</v>
      </c>
      <c r="G746" t="s">
        <v>114</v>
      </c>
      <c r="J746" t="s">
        <v>115</v>
      </c>
      <c r="K746">
        <v>0</v>
      </c>
      <c r="L746">
        <v>3</v>
      </c>
      <c r="M746">
        <v>0</v>
      </c>
      <c r="N746">
        <v>2</v>
      </c>
      <c r="O746">
        <v>1</v>
      </c>
      <c r="P746">
        <v>0</v>
      </c>
      <c r="Q746">
        <v>0</v>
      </c>
      <c r="S746" t="str">
        <f>"18:39:36.438"</f>
        <v>18:39:36.438</v>
      </c>
      <c r="T746" t="str">
        <f>"18:39:36.137"</f>
        <v>18:39:36.137</v>
      </c>
      <c r="U746" t="str">
        <f t="shared" si="76"/>
        <v>AAB6EE</v>
      </c>
      <c r="V746">
        <v>0</v>
      </c>
      <c r="W746">
        <v>0</v>
      </c>
      <c r="X746">
        <v>4</v>
      </c>
      <c r="Z746">
        <v>0</v>
      </c>
      <c r="AA746">
        <v>8</v>
      </c>
      <c r="AB746">
        <v>3</v>
      </c>
      <c r="AC746">
        <v>0</v>
      </c>
      <c r="AD746">
        <v>10</v>
      </c>
      <c r="AE746">
        <v>0</v>
      </c>
      <c r="AF746">
        <v>0</v>
      </c>
      <c r="AG746">
        <v>2</v>
      </c>
      <c r="AH746">
        <v>1</v>
      </c>
      <c r="AI746" t="s">
        <v>619</v>
      </c>
      <c r="AJ746">
        <v>35.373080000000002</v>
      </c>
      <c r="AK746" t="s">
        <v>620</v>
      </c>
      <c r="AL746">
        <v>-76.124803999999997</v>
      </c>
      <c r="AM746">
        <v>25</v>
      </c>
      <c r="AN746">
        <v>3425</v>
      </c>
      <c r="AO746" t="s">
        <v>118</v>
      </c>
      <c r="AP746">
        <v>-103</v>
      </c>
      <c r="AQ746">
        <v>-197</v>
      </c>
      <c r="AR746">
        <v>-64</v>
      </c>
      <c r="AZ746">
        <v>4516</v>
      </c>
      <c r="BA746">
        <v>1</v>
      </c>
      <c r="BB746" t="str">
        <f t="shared" si="78"/>
        <v xml:space="preserve">N79NX   </v>
      </c>
      <c r="BC746">
        <v>1</v>
      </c>
      <c r="BE746">
        <v>0</v>
      </c>
      <c r="BF746">
        <v>0</v>
      </c>
      <c r="BG746">
        <v>0</v>
      </c>
      <c r="BH746">
        <v>3275</v>
      </c>
      <c r="BI746">
        <v>0</v>
      </c>
      <c r="BJ746">
        <v>0</v>
      </c>
      <c r="BK746">
        <v>0</v>
      </c>
      <c r="BL746">
        <v>0</v>
      </c>
      <c r="BO746">
        <v>0</v>
      </c>
      <c r="BP746">
        <v>0</v>
      </c>
      <c r="BW746" t="str">
        <f>"18:39:36.441"</f>
        <v>18:39:36.441</v>
      </c>
      <c r="BZ746">
        <v>0</v>
      </c>
      <c r="CA746">
        <v>3488</v>
      </c>
      <c r="CB746">
        <v>216</v>
      </c>
      <c r="CC746">
        <v>583.59379999999999</v>
      </c>
      <c r="CD746">
        <v>1</v>
      </c>
      <c r="CE746">
        <v>1</v>
      </c>
      <c r="CF746">
        <v>0</v>
      </c>
      <c r="CG746">
        <v>1</v>
      </c>
      <c r="CH746">
        <v>0</v>
      </c>
      <c r="CI746">
        <v>0</v>
      </c>
      <c r="CJ746">
        <v>0</v>
      </c>
      <c r="CK746">
        <v>2</v>
      </c>
      <c r="CL746">
        <v>0</v>
      </c>
      <c r="CM746">
        <v>2</v>
      </c>
      <c r="CN746">
        <v>0</v>
      </c>
      <c r="CO746">
        <v>5</v>
      </c>
      <c r="CP746" t="s">
        <v>119</v>
      </c>
      <c r="CQ746">
        <v>145</v>
      </c>
      <c r="CR746">
        <v>1</v>
      </c>
      <c r="CW746">
        <v>8967375</v>
      </c>
      <c r="CY746">
        <v>0</v>
      </c>
      <c r="CZ746">
        <v>0</v>
      </c>
      <c r="DA746">
        <v>0</v>
      </c>
      <c r="DB746">
        <v>0</v>
      </c>
      <c r="DC746">
        <v>0</v>
      </c>
      <c r="DD746">
        <v>0</v>
      </c>
      <c r="DE746">
        <v>0</v>
      </c>
      <c r="DF746">
        <v>0</v>
      </c>
      <c r="DG746">
        <v>0</v>
      </c>
      <c r="DH746">
        <v>0</v>
      </c>
      <c r="DI746">
        <v>0</v>
      </c>
    </row>
    <row r="747" spans="1:113" x14ac:dyDescent="0.3">
      <c r="A747" t="str">
        <f>"02/13/2022 18:39:36.667"</f>
        <v>02/13/2022 18:39:36.667</v>
      </c>
      <c r="C747" t="str">
        <f t="shared" si="77"/>
        <v>FFDFD7C0</v>
      </c>
      <c r="D747" t="s">
        <v>113</v>
      </c>
      <c r="E747">
        <v>4</v>
      </c>
      <c r="F747">
        <v>1004</v>
      </c>
      <c r="G747" t="s">
        <v>120</v>
      </c>
      <c r="J747" t="s">
        <v>115</v>
      </c>
      <c r="K747">
        <v>0</v>
      </c>
      <c r="L747">
        <v>3</v>
      </c>
      <c r="M747">
        <v>0</v>
      </c>
      <c r="N747">
        <v>2</v>
      </c>
      <c r="O747">
        <v>1</v>
      </c>
      <c r="P747">
        <v>0</v>
      </c>
      <c r="Q747">
        <v>0</v>
      </c>
      <c r="S747" t="str">
        <f>"18:39:36.438"</f>
        <v>18:39:36.438</v>
      </c>
      <c r="T747" t="str">
        <f>"18:39:36.137"</f>
        <v>18:39:36.137</v>
      </c>
      <c r="U747" t="str">
        <f t="shared" si="76"/>
        <v>AAB6EE</v>
      </c>
      <c r="V747">
        <v>0</v>
      </c>
      <c r="W747">
        <v>0</v>
      </c>
      <c r="X747">
        <v>4</v>
      </c>
      <c r="Z747">
        <v>0</v>
      </c>
      <c r="AA747">
        <v>8</v>
      </c>
      <c r="AB747">
        <v>3</v>
      </c>
      <c r="AC747">
        <v>0</v>
      </c>
      <c r="AD747">
        <v>10</v>
      </c>
      <c r="AE747">
        <v>0</v>
      </c>
      <c r="AF747">
        <v>0</v>
      </c>
      <c r="AG747">
        <v>2</v>
      </c>
      <c r="AH747">
        <v>1</v>
      </c>
      <c r="AI747" t="s">
        <v>619</v>
      </c>
      <c r="AJ747">
        <v>35.373080000000002</v>
      </c>
      <c r="AK747" t="s">
        <v>620</v>
      </c>
      <c r="AL747">
        <v>-76.124803999999997</v>
      </c>
      <c r="AM747">
        <v>25</v>
      </c>
      <c r="AN747">
        <v>3425</v>
      </c>
      <c r="AO747" t="s">
        <v>118</v>
      </c>
      <c r="AP747">
        <v>-103</v>
      </c>
      <c r="AQ747">
        <v>-197</v>
      </c>
      <c r="AR747">
        <v>-64</v>
      </c>
      <c r="AZ747">
        <v>4516</v>
      </c>
      <c r="BA747">
        <v>1</v>
      </c>
      <c r="BB747" t="str">
        <f t="shared" si="78"/>
        <v xml:space="preserve">N79NX   </v>
      </c>
      <c r="BC747">
        <v>1</v>
      </c>
      <c r="BE747">
        <v>0</v>
      </c>
      <c r="BF747">
        <v>0</v>
      </c>
      <c r="BG747">
        <v>0</v>
      </c>
      <c r="BH747">
        <v>3275</v>
      </c>
      <c r="BI747">
        <v>0</v>
      </c>
      <c r="BJ747">
        <v>0</v>
      </c>
      <c r="BK747">
        <v>0</v>
      </c>
      <c r="BL747">
        <v>0</v>
      </c>
      <c r="BO747">
        <v>0</v>
      </c>
      <c r="BP747">
        <v>0</v>
      </c>
      <c r="BW747" t="str">
        <f>"18:39:36.441"</f>
        <v>18:39:36.441</v>
      </c>
      <c r="BZ747">
        <v>0</v>
      </c>
      <c r="CA747">
        <v>3488</v>
      </c>
      <c r="CB747">
        <v>216</v>
      </c>
      <c r="CC747">
        <v>583.59379999999999</v>
      </c>
      <c r="CD747">
        <v>1</v>
      </c>
      <c r="CE747">
        <v>1</v>
      </c>
      <c r="CF747">
        <v>0</v>
      </c>
      <c r="CG747">
        <v>1</v>
      </c>
      <c r="CH747">
        <v>0</v>
      </c>
      <c r="CI747">
        <v>0</v>
      </c>
      <c r="CJ747">
        <v>0</v>
      </c>
      <c r="CK747">
        <v>2</v>
      </c>
      <c r="CL747">
        <v>0</v>
      </c>
      <c r="CM747">
        <v>2</v>
      </c>
      <c r="CN747">
        <v>0</v>
      </c>
      <c r="CO747">
        <v>5</v>
      </c>
      <c r="CP747" t="s">
        <v>119</v>
      </c>
      <c r="CQ747">
        <v>145</v>
      </c>
      <c r="CR747">
        <v>1</v>
      </c>
      <c r="CW747">
        <v>8967375</v>
      </c>
      <c r="CY747">
        <v>0</v>
      </c>
      <c r="CZ747">
        <v>0</v>
      </c>
      <c r="DA747">
        <v>1</v>
      </c>
      <c r="DB747">
        <v>0</v>
      </c>
      <c r="DC747">
        <v>0</v>
      </c>
      <c r="DD747">
        <v>0</v>
      </c>
      <c r="DE747">
        <v>0</v>
      </c>
      <c r="DF747">
        <v>0</v>
      </c>
      <c r="DG747">
        <v>0</v>
      </c>
      <c r="DH747">
        <v>0</v>
      </c>
      <c r="DI747">
        <v>0</v>
      </c>
    </row>
    <row r="748" spans="1:113" x14ac:dyDescent="0.3">
      <c r="A748" t="str">
        <f>"02/13/2022 18:39:36.698"</f>
        <v>02/13/2022 18:39:36.698</v>
      </c>
      <c r="C748" t="str">
        <f t="shared" si="77"/>
        <v>FFDFD7C0</v>
      </c>
      <c r="D748" t="s">
        <v>121</v>
      </c>
      <c r="E748">
        <v>2</v>
      </c>
      <c r="H748">
        <v>158</v>
      </c>
      <c r="I748" t="s">
        <v>120</v>
      </c>
      <c r="J748" t="s">
        <v>122</v>
      </c>
      <c r="K748">
        <v>0</v>
      </c>
      <c r="L748">
        <v>3</v>
      </c>
      <c r="M748">
        <v>0</v>
      </c>
      <c r="N748">
        <v>2</v>
      </c>
      <c r="O748">
        <v>1</v>
      </c>
      <c r="P748">
        <v>0</v>
      </c>
      <c r="Q748">
        <v>0</v>
      </c>
      <c r="S748" t="str">
        <f>"18:39:36.438"</f>
        <v>18:39:36.438</v>
      </c>
      <c r="T748" t="str">
        <f>"18:39:36.137"</f>
        <v>18:39:36.137</v>
      </c>
      <c r="U748" t="str">
        <f t="shared" si="76"/>
        <v>AAB6EE</v>
      </c>
      <c r="V748">
        <v>0</v>
      </c>
      <c r="W748">
        <v>0</v>
      </c>
      <c r="X748">
        <v>4</v>
      </c>
      <c r="Z748">
        <v>0</v>
      </c>
      <c r="AA748">
        <v>8</v>
      </c>
      <c r="AB748">
        <v>3</v>
      </c>
      <c r="AC748">
        <v>0</v>
      </c>
      <c r="AD748">
        <v>10</v>
      </c>
      <c r="AE748">
        <v>0</v>
      </c>
      <c r="AF748">
        <v>0</v>
      </c>
      <c r="AG748">
        <v>2</v>
      </c>
      <c r="AH748">
        <v>1</v>
      </c>
      <c r="AI748" t="s">
        <v>619</v>
      </c>
      <c r="AJ748">
        <v>35.373080000000002</v>
      </c>
      <c r="AK748" t="s">
        <v>620</v>
      </c>
      <c r="AL748">
        <v>-76.124803999999997</v>
      </c>
      <c r="AM748">
        <v>25</v>
      </c>
      <c r="AN748">
        <v>3425</v>
      </c>
      <c r="AO748" t="s">
        <v>118</v>
      </c>
      <c r="AP748">
        <v>-103</v>
      </c>
      <c r="AQ748">
        <v>-197</v>
      </c>
      <c r="AR748">
        <v>-64</v>
      </c>
      <c r="AZ748">
        <v>4516</v>
      </c>
      <c r="BA748">
        <v>1</v>
      </c>
      <c r="BB748" t="str">
        <f t="shared" si="78"/>
        <v xml:space="preserve">N79NX   </v>
      </c>
      <c r="BC748">
        <v>1</v>
      </c>
      <c r="BE748">
        <v>0</v>
      </c>
      <c r="BF748">
        <v>0</v>
      </c>
      <c r="BG748">
        <v>0</v>
      </c>
      <c r="BH748">
        <v>3275</v>
      </c>
      <c r="BI748">
        <v>0</v>
      </c>
      <c r="BJ748">
        <v>0</v>
      </c>
      <c r="BK748">
        <v>0</v>
      </c>
      <c r="BL748">
        <v>0</v>
      </c>
      <c r="BO748">
        <v>0</v>
      </c>
      <c r="BP748">
        <v>0</v>
      </c>
      <c r="BW748" t="str">
        <f>"18:39:36.441"</f>
        <v>18:39:36.441</v>
      </c>
      <c r="BZ748">
        <v>0</v>
      </c>
      <c r="CA748">
        <v>3488</v>
      </c>
      <c r="CB748">
        <v>216</v>
      </c>
      <c r="CC748">
        <v>583.59379999999999</v>
      </c>
      <c r="CD748">
        <v>1</v>
      </c>
      <c r="CE748">
        <v>1</v>
      </c>
      <c r="CF748">
        <v>0</v>
      </c>
      <c r="CG748">
        <v>1</v>
      </c>
      <c r="CH748">
        <v>0</v>
      </c>
      <c r="CI748">
        <v>0</v>
      </c>
      <c r="CJ748">
        <v>0</v>
      </c>
      <c r="CK748">
        <v>2</v>
      </c>
      <c r="CL748">
        <v>0</v>
      </c>
      <c r="CM748">
        <v>2</v>
      </c>
      <c r="CN748">
        <v>0</v>
      </c>
      <c r="CO748">
        <v>5</v>
      </c>
      <c r="CP748" t="s">
        <v>119</v>
      </c>
      <c r="CQ748">
        <v>145</v>
      </c>
      <c r="CR748">
        <v>1</v>
      </c>
      <c r="CW748">
        <v>8967375</v>
      </c>
      <c r="CY748">
        <v>0</v>
      </c>
      <c r="CZ748">
        <v>0</v>
      </c>
      <c r="DA748">
        <v>1</v>
      </c>
      <c r="DB748">
        <v>0</v>
      </c>
      <c r="DC748">
        <v>0</v>
      </c>
      <c r="DD748">
        <v>0</v>
      </c>
      <c r="DE748">
        <v>0</v>
      </c>
      <c r="DF748">
        <v>0</v>
      </c>
      <c r="DG748">
        <v>0</v>
      </c>
      <c r="DH748">
        <v>0</v>
      </c>
      <c r="DI748">
        <v>0</v>
      </c>
    </row>
    <row r="749" spans="1:113" x14ac:dyDescent="0.3">
      <c r="A749" t="str">
        <f>"02/13/2022 18:39:37.589"</f>
        <v>02/13/2022 18:39:37.589</v>
      </c>
      <c r="C749" t="str">
        <f t="shared" si="77"/>
        <v>FFDFD7C0</v>
      </c>
      <c r="D749" t="s">
        <v>113</v>
      </c>
      <c r="E749">
        <v>3</v>
      </c>
      <c r="F749">
        <v>1003</v>
      </c>
      <c r="G749" t="s">
        <v>114</v>
      </c>
      <c r="J749" t="s">
        <v>115</v>
      </c>
      <c r="K749">
        <v>0</v>
      </c>
      <c r="L749">
        <v>3</v>
      </c>
      <c r="M749">
        <v>0</v>
      </c>
      <c r="N749">
        <v>2</v>
      </c>
      <c r="O749">
        <v>1</v>
      </c>
      <c r="P749">
        <v>0</v>
      </c>
      <c r="Q749">
        <v>0</v>
      </c>
      <c r="S749" t="str">
        <f>"18:39:37.359"</f>
        <v>18:39:37.359</v>
      </c>
      <c r="T749" t="str">
        <f>"18:39:36.959"</f>
        <v>18:39:36.959</v>
      </c>
      <c r="U749" t="str">
        <f t="shared" si="76"/>
        <v>AAB6EE</v>
      </c>
      <c r="V749">
        <v>0</v>
      </c>
      <c r="W749">
        <v>0</v>
      </c>
      <c r="X749">
        <v>4</v>
      </c>
      <c r="Z749">
        <v>0</v>
      </c>
      <c r="AA749">
        <v>8</v>
      </c>
      <c r="AB749">
        <v>3</v>
      </c>
      <c r="AC749">
        <v>0</v>
      </c>
      <c r="AD749">
        <v>10</v>
      </c>
      <c r="AE749">
        <v>0</v>
      </c>
      <c r="AF749">
        <v>0</v>
      </c>
      <c r="AG749">
        <v>2</v>
      </c>
      <c r="AH749">
        <v>1</v>
      </c>
      <c r="AI749" t="s">
        <v>621</v>
      </c>
      <c r="AJ749">
        <v>35.372264000000001</v>
      </c>
      <c r="AK749" t="s">
        <v>622</v>
      </c>
      <c r="AL749">
        <v>-76.125298000000001</v>
      </c>
      <c r="AM749">
        <v>25</v>
      </c>
      <c r="AN749">
        <v>3425</v>
      </c>
      <c r="AO749" t="s">
        <v>118</v>
      </c>
      <c r="AP749">
        <v>-103</v>
      </c>
      <c r="AQ749">
        <v>-197</v>
      </c>
      <c r="AR749">
        <v>-64</v>
      </c>
      <c r="AZ749">
        <v>4516</v>
      </c>
      <c r="BA749">
        <v>1</v>
      </c>
      <c r="BB749" t="str">
        <f t="shared" si="78"/>
        <v xml:space="preserve">N79NX   </v>
      </c>
      <c r="BC749">
        <v>1</v>
      </c>
      <c r="BE749">
        <v>0</v>
      </c>
      <c r="BF749">
        <v>0</v>
      </c>
      <c r="BG749">
        <v>0</v>
      </c>
      <c r="BH749">
        <v>3275</v>
      </c>
      <c r="BI749">
        <v>0</v>
      </c>
      <c r="BJ749">
        <v>0</v>
      </c>
      <c r="BK749">
        <v>0</v>
      </c>
      <c r="BL749">
        <v>0</v>
      </c>
      <c r="BO749">
        <v>0</v>
      </c>
      <c r="BP749">
        <v>0</v>
      </c>
      <c r="BW749" t="str">
        <f>"18:39:37.361"</f>
        <v>18:39:37.361</v>
      </c>
      <c r="BZ749">
        <v>0</v>
      </c>
      <c r="CA749">
        <v>3488</v>
      </c>
      <c r="CB749">
        <v>216</v>
      </c>
      <c r="CC749">
        <v>583.59379999999999</v>
      </c>
      <c r="CD749">
        <v>1</v>
      </c>
      <c r="CE749">
        <v>1</v>
      </c>
      <c r="CF749">
        <v>0</v>
      </c>
      <c r="CG749">
        <v>1</v>
      </c>
      <c r="CH749">
        <v>0</v>
      </c>
      <c r="CI749">
        <v>0</v>
      </c>
      <c r="CJ749">
        <v>0</v>
      </c>
      <c r="CK749">
        <v>2</v>
      </c>
      <c r="CL749">
        <v>0</v>
      </c>
      <c r="CM749">
        <v>2</v>
      </c>
      <c r="CN749">
        <v>0</v>
      </c>
      <c r="CO749">
        <v>5</v>
      </c>
      <c r="CP749" t="s">
        <v>119</v>
      </c>
      <c r="CQ749">
        <v>145</v>
      </c>
      <c r="CR749">
        <v>1</v>
      </c>
      <c r="CW749">
        <v>8967784</v>
      </c>
      <c r="CY749">
        <v>0</v>
      </c>
      <c r="CZ749">
        <v>0</v>
      </c>
      <c r="DA749">
        <v>0</v>
      </c>
      <c r="DB749">
        <v>0</v>
      </c>
      <c r="DC749">
        <v>0</v>
      </c>
      <c r="DD749">
        <v>0</v>
      </c>
      <c r="DE749">
        <v>0</v>
      </c>
      <c r="DF749">
        <v>0</v>
      </c>
      <c r="DG749">
        <v>0</v>
      </c>
      <c r="DH749">
        <v>0</v>
      </c>
      <c r="DI749">
        <v>0</v>
      </c>
    </row>
    <row r="750" spans="1:113" x14ac:dyDescent="0.3">
      <c r="A750" t="str">
        <f>"02/13/2022 18:39:37.589"</f>
        <v>02/13/2022 18:39:37.589</v>
      </c>
      <c r="C750" t="str">
        <f t="shared" si="77"/>
        <v>FFDFD7C0</v>
      </c>
      <c r="D750" t="s">
        <v>113</v>
      </c>
      <c r="E750">
        <v>4</v>
      </c>
      <c r="F750">
        <v>1004</v>
      </c>
      <c r="G750" t="s">
        <v>120</v>
      </c>
      <c r="J750" t="s">
        <v>115</v>
      </c>
      <c r="K750">
        <v>0</v>
      </c>
      <c r="L750">
        <v>3</v>
      </c>
      <c r="M750">
        <v>0</v>
      </c>
      <c r="N750">
        <v>2</v>
      </c>
      <c r="O750">
        <v>1</v>
      </c>
      <c r="P750">
        <v>0</v>
      </c>
      <c r="Q750">
        <v>0</v>
      </c>
      <c r="S750" t="str">
        <f>"18:39:37.359"</f>
        <v>18:39:37.359</v>
      </c>
      <c r="T750" t="str">
        <f>"18:39:36.959"</f>
        <v>18:39:36.959</v>
      </c>
      <c r="U750" t="str">
        <f t="shared" si="76"/>
        <v>AAB6EE</v>
      </c>
      <c r="V750">
        <v>0</v>
      </c>
      <c r="W750">
        <v>0</v>
      </c>
      <c r="X750">
        <v>4</v>
      </c>
      <c r="Z750">
        <v>0</v>
      </c>
      <c r="AA750">
        <v>8</v>
      </c>
      <c r="AB750">
        <v>3</v>
      </c>
      <c r="AC750">
        <v>0</v>
      </c>
      <c r="AD750">
        <v>10</v>
      </c>
      <c r="AE750">
        <v>0</v>
      </c>
      <c r="AF750">
        <v>0</v>
      </c>
      <c r="AG750">
        <v>2</v>
      </c>
      <c r="AH750">
        <v>1</v>
      </c>
      <c r="AI750" t="s">
        <v>621</v>
      </c>
      <c r="AJ750">
        <v>35.372264000000001</v>
      </c>
      <c r="AK750" t="s">
        <v>622</v>
      </c>
      <c r="AL750">
        <v>-76.125298000000001</v>
      </c>
      <c r="AM750">
        <v>25</v>
      </c>
      <c r="AN750">
        <v>3425</v>
      </c>
      <c r="AO750" t="s">
        <v>118</v>
      </c>
      <c r="AP750">
        <v>-103</v>
      </c>
      <c r="AQ750">
        <v>-197</v>
      </c>
      <c r="AR750">
        <v>-64</v>
      </c>
      <c r="AZ750">
        <v>4516</v>
      </c>
      <c r="BA750">
        <v>1</v>
      </c>
      <c r="BB750" t="str">
        <f t="shared" si="78"/>
        <v xml:space="preserve">N79NX   </v>
      </c>
      <c r="BC750">
        <v>1</v>
      </c>
      <c r="BE750">
        <v>0</v>
      </c>
      <c r="BF750">
        <v>0</v>
      </c>
      <c r="BG750">
        <v>0</v>
      </c>
      <c r="BH750">
        <v>3275</v>
      </c>
      <c r="BI750">
        <v>0</v>
      </c>
      <c r="BJ750">
        <v>0</v>
      </c>
      <c r="BK750">
        <v>0</v>
      </c>
      <c r="BL750">
        <v>0</v>
      </c>
      <c r="BO750">
        <v>0</v>
      </c>
      <c r="BP750">
        <v>0</v>
      </c>
      <c r="BW750" t="str">
        <f>"18:39:37.361"</f>
        <v>18:39:37.361</v>
      </c>
      <c r="BZ750">
        <v>0</v>
      </c>
      <c r="CA750">
        <v>3488</v>
      </c>
      <c r="CB750">
        <v>216</v>
      </c>
      <c r="CC750">
        <v>583.59379999999999</v>
      </c>
      <c r="CD750">
        <v>1</v>
      </c>
      <c r="CE750">
        <v>1</v>
      </c>
      <c r="CF750">
        <v>0</v>
      </c>
      <c r="CG750">
        <v>1</v>
      </c>
      <c r="CH750">
        <v>0</v>
      </c>
      <c r="CI750">
        <v>0</v>
      </c>
      <c r="CJ750">
        <v>0</v>
      </c>
      <c r="CK750">
        <v>2</v>
      </c>
      <c r="CL750">
        <v>0</v>
      </c>
      <c r="CM750">
        <v>2</v>
      </c>
      <c r="CN750">
        <v>0</v>
      </c>
      <c r="CO750">
        <v>5</v>
      </c>
      <c r="CP750" t="s">
        <v>119</v>
      </c>
      <c r="CQ750">
        <v>145</v>
      </c>
      <c r="CR750">
        <v>1</v>
      </c>
      <c r="CW750">
        <v>8967784</v>
      </c>
      <c r="CY750">
        <v>0</v>
      </c>
      <c r="CZ750">
        <v>0</v>
      </c>
      <c r="DA750">
        <v>1</v>
      </c>
      <c r="DB750">
        <v>0</v>
      </c>
      <c r="DC750">
        <v>0</v>
      </c>
      <c r="DD750">
        <v>0</v>
      </c>
      <c r="DE750">
        <v>0</v>
      </c>
      <c r="DF750">
        <v>0</v>
      </c>
      <c r="DG750">
        <v>0</v>
      </c>
      <c r="DH750">
        <v>0</v>
      </c>
      <c r="DI750">
        <v>0</v>
      </c>
    </row>
    <row r="751" spans="1:113" x14ac:dyDescent="0.3">
      <c r="A751" t="str">
        <f>"02/13/2022 18:39:37.589"</f>
        <v>02/13/2022 18:39:37.589</v>
      </c>
      <c r="C751" t="str">
        <f t="shared" si="77"/>
        <v>FFDFD7C0</v>
      </c>
      <c r="D751" t="s">
        <v>121</v>
      </c>
      <c r="E751">
        <v>2</v>
      </c>
      <c r="H751">
        <v>158</v>
      </c>
      <c r="I751" t="s">
        <v>120</v>
      </c>
      <c r="J751" t="s">
        <v>122</v>
      </c>
      <c r="K751">
        <v>0</v>
      </c>
      <c r="L751">
        <v>3</v>
      </c>
      <c r="M751">
        <v>0</v>
      </c>
      <c r="N751">
        <v>2</v>
      </c>
      <c r="O751">
        <v>1</v>
      </c>
      <c r="P751">
        <v>0</v>
      </c>
      <c r="Q751">
        <v>0</v>
      </c>
      <c r="S751" t="str">
        <f>"18:39:37.359"</f>
        <v>18:39:37.359</v>
      </c>
      <c r="T751" t="str">
        <f>"18:39:36.959"</f>
        <v>18:39:36.959</v>
      </c>
      <c r="U751" t="str">
        <f t="shared" si="76"/>
        <v>AAB6EE</v>
      </c>
      <c r="V751">
        <v>0</v>
      </c>
      <c r="W751">
        <v>0</v>
      </c>
      <c r="X751">
        <v>4</v>
      </c>
      <c r="Z751">
        <v>0</v>
      </c>
      <c r="AA751">
        <v>8</v>
      </c>
      <c r="AB751">
        <v>3</v>
      </c>
      <c r="AC751">
        <v>0</v>
      </c>
      <c r="AD751">
        <v>10</v>
      </c>
      <c r="AE751">
        <v>0</v>
      </c>
      <c r="AF751">
        <v>0</v>
      </c>
      <c r="AG751">
        <v>2</v>
      </c>
      <c r="AH751">
        <v>1</v>
      </c>
      <c r="AI751" t="s">
        <v>621</v>
      </c>
      <c r="AJ751">
        <v>35.372264000000001</v>
      </c>
      <c r="AK751" t="s">
        <v>622</v>
      </c>
      <c r="AL751">
        <v>-76.125298000000001</v>
      </c>
      <c r="AM751">
        <v>25</v>
      </c>
      <c r="AN751">
        <v>3425</v>
      </c>
      <c r="AO751" t="s">
        <v>118</v>
      </c>
      <c r="AP751">
        <v>-103</v>
      </c>
      <c r="AQ751">
        <v>-197</v>
      </c>
      <c r="AR751">
        <v>-64</v>
      </c>
      <c r="AZ751">
        <v>4516</v>
      </c>
      <c r="BA751">
        <v>1</v>
      </c>
      <c r="BB751" t="str">
        <f t="shared" si="78"/>
        <v xml:space="preserve">N79NX   </v>
      </c>
      <c r="BC751">
        <v>1</v>
      </c>
      <c r="BE751">
        <v>0</v>
      </c>
      <c r="BF751">
        <v>0</v>
      </c>
      <c r="BG751">
        <v>0</v>
      </c>
      <c r="BH751">
        <v>3275</v>
      </c>
      <c r="BI751">
        <v>0</v>
      </c>
      <c r="BJ751">
        <v>0</v>
      </c>
      <c r="BK751">
        <v>0</v>
      </c>
      <c r="BL751">
        <v>0</v>
      </c>
      <c r="BO751">
        <v>0</v>
      </c>
      <c r="BP751">
        <v>0</v>
      </c>
      <c r="BW751" t="str">
        <f>"18:39:37.361"</f>
        <v>18:39:37.361</v>
      </c>
      <c r="BZ751">
        <v>0</v>
      </c>
      <c r="CA751">
        <v>3488</v>
      </c>
      <c r="CB751">
        <v>216</v>
      </c>
      <c r="CC751">
        <v>583.59379999999999</v>
      </c>
      <c r="CD751">
        <v>1</v>
      </c>
      <c r="CE751">
        <v>1</v>
      </c>
      <c r="CF751">
        <v>0</v>
      </c>
      <c r="CG751">
        <v>1</v>
      </c>
      <c r="CH751">
        <v>0</v>
      </c>
      <c r="CI751">
        <v>0</v>
      </c>
      <c r="CJ751">
        <v>0</v>
      </c>
      <c r="CK751">
        <v>2</v>
      </c>
      <c r="CL751">
        <v>0</v>
      </c>
      <c r="CM751">
        <v>2</v>
      </c>
      <c r="CN751">
        <v>0</v>
      </c>
      <c r="CO751">
        <v>5</v>
      </c>
      <c r="CP751" t="s">
        <v>119</v>
      </c>
      <c r="CQ751">
        <v>145</v>
      </c>
      <c r="CR751">
        <v>1</v>
      </c>
      <c r="CW751">
        <v>8967784</v>
      </c>
      <c r="CY751">
        <v>0</v>
      </c>
      <c r="CZ751">
        <v>0</v>
      </c>
      <c r="DA751">
        <v>1</v>
      </c>
      <c r="DB751">
        <v>0</v>
      </c>
      <c r="DC751">
        <v>0</v>
      </c>
      <c r="DD751">
        <v>0</v>
      </c>
      <c r="DE751">
        <v>0</v>
      </c>
      <c r="DF751">
        <v>0</v>
      </c>
      <c r="DG751">
        <v>0</v>
      </c>
      <c r="DH751">
        <v>0</v>
      </c>
      <c r="DI751">
        <v>0</v>
      </c>
    </row>
    <row r="752" spans="1:113" x14ac:dyDescent="0.3">
      <c r="A752" t="str">
        <f>"02/13/2022 18:39:38.589"</f>
        <v>02/13/2022 18:39:38.589</v>
      </c>
      <c r="C752" t="str">
        <f t="shared" si="77"/>
        <v>FFDFD7C0</v>
      </c>
      <c r="D752" t="s">
        <v>113</v>
      </c>
      <c r="E752">
        <v>4</v>
      </c>
      <c r="F752">
        <v>1004</v>
      </c>
      <c r="G752" t="s">
        <v>120</v>
      </c>
      <c r="J752" t="s">
        <v>115</v>
      </c>
      <c r="K752">
        <v>0</v>
      </c>
      <c r="L752">
        <v>3</v>
      </c>
      <c r="M752">
        <v>0</v>
      </c>
      <c r="N752">
        <v>2</v>
      </c>
      <c r="O752">
        <v>1</v>
      </c>
      <c r="P752">
        <v>0</v>
      </c>
      <c r="Q752">
        <v>0</v>
      </c>
      <c r="S752" t="str">
        <f>"18:39:38.344"</f>
        <v>18:39:38.344</v>
      </c>
      <c r="T752" t="str">
        <f>"18:39:38.144"</f>
        <v>18:39:38.144</v>
      </c>
      <c r="U752" t="str">
        <f t="shared" si="76"/>
        <v>AAB6EE</v>
      </c>
      <c r="V752">
        <v>0</v>
      </c>
      <c r="W752">
        <v>0</v>
      </c>
      <c r="X752">
        <v>4</v>
      </c>
      <c r="Z752">
        <v>0</v>
      </c>
      <c r="AA752">
        <v>8</v>
      </c>
      <c r="AB752">
        <v>3</v>
      </c>
      <c r="AC752">
        <v>0</v>
      </c>
      <c r="AD752">
        <v>10</v>
      </c>
      <c r="AE752">
        <v>0</v>
      </c>
      <c r="AF752">
        <v>0</v>
      </c>
      <c r="AG752">
        <v>2</v>
      </c>
      <c r="AH752">
        <v>1</v>
      </c>
      <c r="AI752" t="s">
        <v>623</v>
      </c>
      <c r="AJ752">
        <v>35.371363000000002</v>
      </c>
      <c r="AK752" t="s">
        <v>624</v>
      </c>
      <c r="AL752">
        <v>-76.125877000000003</v>
      </c>
      <c r="AM752">
        <v>25</v>
      </c>
      <c r="AN752">
        <v>3425</v>
      </c>
      <c r="AO752" t="s">
        <v>118</v>
      </c>
      <c r="AP752">
        <v>-103</v>
      </c>
      <c r="AQ752">
        <v>-197</v>
      </c>
      <c r="AR752">
        <v>0</v>
      </c>
      <c r="AZ752">
        <v>4516</v>
      </c>
      <c r="BA752">
        <v>1</v>
      </c>
      <c r="BB752" t="str">
        <f t="shared" si="78"/>
        <v xml:space="preserve">N79NX   </v>
      </c>
      <c r="BC752">
        <v>1</v>
      </c>
      <c r="BE752">
        <v>0</v>
      </c>
      <c r="BF752">
        <v>0</v>
      </c>
      <c r="BG752">
        <v>0</v>
      </c>
      <c r="BH752">
        <v>3275</v>
      </c>
      <c r="BI752">
        <v>0</v>
      </c>
      <c r="BJ752">
        <v>0</v>
      </c>
      <c r="BK752">
        <v>0</v>
      </c>
      <c r="BL752">
        <v>0</v>
      </c>
      <c r="BO752">
        <v>0</v>
      </c>
      <c r="BP752">
        <v>0</v>
      </c>
      <c r="BW752" t="str">
        <f>"18:39:38.351"</f>
        <v>18:39:38.351</v>
      </c>
      <c r="BZ752">
        <v>0</v>
      </c>
      <c r="CA752">
        <v>3488</v>
      </c>
      <c r="CB752">
        <v>216</v>
      </c>
      <c r="CC752">
        <v>583.59379999999999</v>
      </c>
      <c r="CD752">
        <v>1</v>
      </c>
      <c r="CE752">
        <v>1</v>
      </c>
      <c r="CF752">
        <v>0</v>
      </c>
      <c r="CG752">
        <v>1</v>
      </c>
      <c r="CH752">
        <v>0</v>
      </c>
      <c r="CI752">
        <v>0</v>
      </c>
      <c r="CJ752">
        <v>0</v>
      </c>
      <c r="CK752">
        <v>2</v>
      </c>
      <c r="CL752">
        <v>0</v>
      </c>
      <c r="CM752">
        <v>2</v>
      </c>
      <c r="CN752">
        <v>0</v>
      </c>
      <c r="CO752">
        <v>5</v>
      </c>
      <c r="CP752" t="s">
        <v>119</v>
      </c>
      <c r="CQ752">
        <v>145</v>
      </c>
      <c r="CR752">
        <v>1</v>
      </c>
      <c r="CW752">
        <v>8968259</v>
      </c>
      <c r="CY752">
        <v>0</v>
      </c>
      <c r="CZ752">
        <v>0</v>
      </c>
      <c r="DA752">
        <v>0</v>
      </c>
      <c r="DB752">
        <v>0</v>
      </c>
      <c r="DC752">
        <v>0</v>
      </c>
      <c r="DD752">
        <v>0</v>
      </c>
      <c r="DE752">
        <v>0</v>
      </c>
      <c r="DF752">
        <v>0</v>
      </c>
      <c r="DG752">
        <v>0</v>
      </c>
      <c r="DH752">
        <v>0</v>
      </c>
      <c r="DI752">
        <v>0</v>
      </c>
    </row>
    <row r="753" spans="1:113" x14ac:dyDescent="0.3">
      <c r="A753" t="str">
        <f>"02/13/2022 18:39:38.589"</f>
        <v>02/13/2022 18:39:38.589</v>
      </c>
      <c r="C753" t="str">
        <f t="shared" si="77"/>
        <v>FFDFD7C0</v>
      </c>
      <c r="D753" t="s">
        <v>113</v>
      </c>
      <c r="E753">
        <v>3</v>
      </c>
      <c r="F753">
        <v>1003</v>
      </c>
      <c r="G753" t="s">
        <v>114</v>
      </c>
      <c r="J753" t="s">
        <v>115</v>
      </c>
      <c r="K753">
        <v>0</v>
      </c>
      <c r="L753">
        <v>3</v>
      </c>
      <c r="M753">
        <v>0</v>
      </c>
      <c r="N753">
        <v>2</v>
      </c>
      <c r="O753">
        <v>1</v>
      </c>
      <c r="P753">
        <v>0</v>
      </c>
      <c r="Q753">
        <v>0</v>
      </c>
      <c r="S753" t="str">
        <f>"18:39:38.344"</f>
        <v>18:39:38.344</v>
      </c>
      <c r="T753" t="str">
        <f>"18:39:38.144"</f>
        <v>18:39:38.144</v>
      </c>
      <c r="U753" t="str">
        <f t="shared" si="76"/>
        <v>AAB6EE</v>
      </c>
      <c r="V753">
        <v>0</v>
      </c>
      <c r="W753">
        <v>0</v>
      </c>
      <c r="X753">
        <v>4</v>
      </c>
      <c r="Z753">
        <v>0</v>
      </c>
      <c r="AA753">
        <v>8</v>
      </c>
      <c r="AB753">
        <v>3</v>
      </c>
      <c r="AC753">
        <v>0</v>
      </c>
      <c r="AD753">
        <v>10</v>
      </c>
      <c r="AE753">
        <v>0</v>
      </c>
      <c r="AF753">
        <v>0</v>
      </c>
      <c r="AG753">
        <v>2</v>
      </c>
      <c r="AH753">
        <v>1</v>
      </c>
      <c r="AI753" t="s">
        <v>623</v>
      </c>
      <c r="AJ753">
        <v>35.371363000000002</v>
      </c>
      <c r="AK753" t="s">
        <v>624</v>
      </c>
      <c r="AL753">
        <v>-76.125877000000003</v>
      </c>
      <c r="AM753">
        <v>25</v>
      </c>
      <c r="AN753">
        <v>3425</v>
      </c>
      <c r="AO753" t="s">
        <v>118</v>
      </c>
      <c r="AP753">
        <v>-103</v>
      </c>
      <c r="AQ753">
        <v>-197</v>
      </c>
      <c r="AR753">
        <v>0</v>
      </c>
      <c r="AZ753">
        <v>4516</v>
      </c>
      <c r="BA753">
        <v>1</v>
      </c>
      <c r="BB753" t="str">
        <f t="shared" si="78"/>
        <v xml:space="preserve">N79NX   </v>
      </c>
      <c r="BC753">
        <v>1</v>
      </c>
      <c r="BE753">
        <v>0</v>
      </c>
      <c r="BF753">
        <v>0</v>
      </c>
      <c r="BG753">
        <v>0</v>
      </c>
      <c r="BH753">
        <v>3275</v>
      </c>
      <c r="BI753">
        <v>0</v>
      </c>
      <c r="BJ753">
        <v>0</v>
      </c>
      <c r="BK753">
        <v>0</v>
      </c>
      <c r="BL753">
        <v>0</v>
      </c>
      <c r="BO753">
        <v>0</v>
      </c>
      <c r="BP753">
        <v>0</v>
      </c>
      <c r="BW753" t="str">
        <f>"18:39:38.351"</f>
        <v>18:39:38.351</v>
      </c>
      <c r="BZ753">
        <v>0</v>
      </c>
      <c r="CA753">
        <v>3488</v>
      </c>
      <c r="CB753">
        <v>216</v>
      </c>
      <c r="CC753">
        <v>583.59379999999999</v>
      </c>
      <c r="CD753">
        <v>1</v>
      </c>
      <c r="CE753">
        <v>1</v>
      </c>
      <c r="CF753">
        <v>0</v>
      </c>
      <c r="CG753">
        <v>1</v>
      </c>
      <c r="CH753">
        <v>0</v>
      </c>
      <c r="CI753">
        <v>0</v>
      </c>
      <c r="CJ753">
        <v>0</v>
      </c>
      <c r="CK753">
        <v>2</v>
      </c>
      <c r="CL753">
        <v>0</v>
      </c>
      <c r="CM753">
        <v>2</v>
      </c>
      <c r="CN753">
        <v>0</v>
      </c>
      <c r="CO753">
        <v>5</v>
      </c>
      <c r="CP753" t="s">
        <v>119</v>
      </c>
      <c r="CQ753">
        <v>145</v>
      </c>
      <c r="CR753">
        <v>1</v>
      </c>
      <c r="CW753">
        <v>8968259</v>
      </c>
      <c r="CY753">
        <v>0</v>
      </c>
      <c r="CZ753">
        <v>0</v>
      </c>
      <c r="DA753">
        <v>1</v>
      </c>
      <c r="DB753">
        <v>0</v>
      </c>
      <c r="DC753">
        <v>0</v>
      </c>
      <c r="DD753">
        <v>0</v>
      </c>
      <c r="DE753">
        <v>0</v>
      </c>
      <c r="DF753">
        <v>0</v>
      </c>
      <c r="DG753">
        <v>0</v>
      </c>
      <c r="DH753">
        <v>0</v>
      </c>
      <c r="DI753">
        <v>0</v>
      </c>
    </row>
    <row r="754" spans="1:113" x14ac:dyDescent="0.3">
      <c r="A754" t="str">
        <f>"02/13/2022 18:39:38.636"</f>
        <v>02/13/2022 18:39:38.636</v>
      </c>
      <c r="C754" t="str">
        <f t="shared" si="77"/>
        <v>FFDFD7C0</v>
      </c>
      <c r="D754" t="s">
        <v>121</v>
      </c>
      <c r="E754">
        <v>2</v>
      </c>
      <c r="H754">
        <v>158</v>
      </c>
      <c r="I754" t="s">
        <v>120</v>
      </c>
      <c r="J754" t="s">
        <v>122</v>
      </c>
      <c r="K754">
        <v>0</v>
      </c>
      <c r="L754">
        <v>3</v>
      </c>
      <c r="M754">
        <v>0</v>
      </c>
      <c r="N754">
        <v>2</v>
      </c>
      <c r="O754">
        <v>1</v>
      </c>
      <c r="P754">
        <v>0</v>
      </c>
      <c r="Q754">
        <v>0</v>
      </c>
      <c r="S754" t="str">
        <f>"18:39:38.344"</f>
        <v>18:39:38.344</v>
      </c>
      <c r="T754" t="str">
        <f>"18:39:38.144"</f>
        <v>18:39:38.144</v>
      </c>
      <c r="U754" t="str">
        <f t="shared" si="76"/>
        <v>AAB6EE</v>
      </c>
      <c r="V754">
        <v>0</v>
      </c>
      <c r="W754">
        <v>0</v>
      </c>
      <c r="X754">
        <v>4</v>
      </c>
      <c r="Z754">
        <v>0</v>
      </c>
      <c r="AA754">
        <v>8</v>
      </c>
      <c r="AB754">
        <v>3</v>
      </c>
      <c r="AC754">
        <v>0</v>
      </c>
      <c r="AD754">
        <v>10</v>
      </c>
      <c r="AE754">
        <v>0</v>
      </c>
      <c r="AF754">
        <v>0</v>
      </c>
      <c r="AG754">
        <v>2</v>
      </c>
      <c r="AH754">
        <v>1</v>
      </c>
      <c r="AI754" t="s">
        <v>623</v>
      </c>
      <c r="AJ754">
        <v>35.371363000000002</v>
      </c>
      <c r="AK754" t="s">
        <v>624</v>
      </c>
      <c r="AL754">
        <v>-76.125877000000003</v>
      </c>
      <c r="AM754">
        <v>25</v>
      </c>
      <c r="AN754">
        <v>3425</v>
      </c>
      <c r="AO754" t="s">
        <v>118</v>
      </c>
      <c r="AP754">
        <v>-103</v>
      </c>
      <c r="AQ754">
        <v>-197</v>
      </c>
      <c r="AR754">
        <v>0</v>
      </c>
      <c r="AZ754">
        <v>4516</v>
      </c>
      <c r="BA754">
        <v>1</v>
      </c>
      <c r="BB754" t="str">
        <f t="shared" si="78"/>
        <v xml:space="preserve">N79NX   </v>
      </c>
      <c r="BC754">
        <v>1</v>
      </c>
      <c r="BE754">
        <v>0</v>
      </c>
      <c r="BF754">
        <v>0</v>
      </c>
      <c r="BG754">
        <v>0</v>
      </c>
      <c r="BH754">
        <v>3275</v>
      </c>
      <c r="BI754">
        <v>0</v>
      </c>
      <c r="BJ754">
        <v>0</v>
      </c>
      <c r="BK754">
        <v>0</v>
      </c>
      <c r="BL754">
        <v>0</v>
      </c>
      <c r="BO754">
        <v>0</v>
      </c>
      <c r="BP754">
        <v>0</v>
      </c>
      <c r="BW754" t="str">
        <f>"18:39:38.351"</f>
        <v>18:39:38.351</v>
      </c>
      <c r="BZ754">
        <v>0</v>
      </c>
      <c r="CA754">
        <v>3488</v>
      </c>
      <c r="CB754">
        <v>216</v>
      </c>
      <c r="CC754">
        <v>583.59379999999999</v>
      </c>
      <c r="CD754">
        <v>1</v>
      </c>
      <c r="CE754">
        <v>1</v>
      </c>
      <c r="CF754">
        <v>0</v>
      </c>
      <c r="CG754">
        <v>1</v>
      </c>
      <c r="CH754">
        <v>0</v>
      </c>
      <c r="CI754">
        <v>0</v>
      </c>
      <c r="CJ754">
        <v>0</v>
      </c>
      <c r="CK754">
        <v>2</v>
      </c>
      <c r="CL754">
        <v>0</v>
      </c>
      <c r="CM754">
        <v>2</v>
      </c>
      <c r="CN754">
        <v>0</v>
      </c>
      <c r="CO754">
        <v>5</v>
      </c>
      <c r="CP754" t="s">
        <v>119</v>
      </c>
      <c r="CQ754">
        <v>145</v>
      </c>
      <c r="CR754">
        <v>1</v>
      </c>
      <c r="CW754">
        <v>8968259</v>
      </c>
      <c r="CY754">
        <v>0</v>
      </c>
      <c r="CZ754">
        <v>0</v>
      </c>
      <c r="DA754">
        <v>1</v>
      </c>
      <c r="DB754">
        <v>0</v>
      </c>
      <c r="DC754">
        <v>0</v>
      </c>
      <c r="DD754">
        <v>0</v>
      </c>
      <c r="DE754">
        <v>0</v>
      </c>
      <c r="DF754">
        <v>0</v>
      </c>
      <c r="DG754">
        <v>0</v>
      </c>
      <c r="DH754">
        <v>0</v>
      </c>
      <c r="DI754">
        <v>0</v>
      </c>
    </row>
    <row r="755" spans="1:113" x14ac:dyDescent="0.3">
      <c r="A755" t="str">
        <f>"02/13/2022 18:39:39.529"</f>
        <v>02/13/2022 18:39:39.529</v>
      </c>
      <c r="C755" t="str">
        <f t="shared" si="77"/>
        <v>FFDFD7C0</v>
      </c>
      <c r="D755" t="s">
        <v>121</v>
      </c>
      <c r="E755">
        <v>2</v>
      </c>
      <c r="H755">
        <v>158</v>
      </c>
      <c r="I755" t="s">
        <v>120</v>
      </c>
      <c r="J755" t="s">
        <v>122</v>
      </c>
      <c r="K755">
        <v>0</v>
      </c>
      <c r="L755">
        <v>3</v>
      </c>
      <c r="M755">
        <v>0</v>
      </c>
      <c r="N755">
        <v>2</v>
      </c>
      <c r="O755">
        <v>1</v>
      </c>
      <c r="P755">
        <v>0</v>
      </c>
      <c r="Q755">
        <v>0</v>
      </c>
      <c r="S755" t="str">
        <f>"18:39:39.273"</f>
        <v>18:39:39.273</v>
      </c>
      <c r="T755" t="str">
        <f>"18:39:39.173"</f>
        <v>18:39:39.173</v>
      </c>
      <c r="U755" t="str">
        <f t="shared" si="76"/>
        <v>AAB6EE</v>
      </c>
      <c r="V755">
        <v>0</v>
      </c>
      <c r="W755">
        <v>0</v>
      </c>
      <c r="X755">
        <v>4</v>
      </c>
      <c r="Z755">
        <v>0</v>
      </c>
      <c r="AA755">
        <v>8</v>
      </c>
      <c r="AB755">
        <v>3</v>
      </c>
      <c r="AC755">
        <v>0</v>
      </c>
      <c r="AD755">
        <v>10</v>
      </c>
      <c r="AE755">
        <v>0</v>
      </c>
      <c r="AF755">
        <v>0</v>
      </c>
      <c r="AG755">
        <v>2</v>
      </c>
      <c r="AH755">
        <v>1</v>
      </c>
      <c r="AI755" t="s">
        <v>625</v>
      </c>
      <c r="AJ755">
        <v>35.370525999999998</v>
      </c>
      <c r="AK755" t="s">
        <v>626</v>
      </c>
      <c r="AL755">
        <v>-76.126435000000001</v>
      </c>
      <c r="AM755">
        <v>25</v>
      </c>
      <c r="AN755">
        <v>3425</v>
      </c>
      <c r="AO755" t="s">
        <v>118</v>
      </c>
      <c r="AP755">
        <v>-102</v>
      </c>
      <c r="AQ755">
        <v>-197</v>
      </c>
      <c r="AR755">
        <v>64</v>
      </c>
      <c r="AZ755">
        <v>4516</v>
      </c>
      <c r="BA755">
        <v>1</v>
      </c>
      <c r="BB755" t="str">
        <f t="shared" si="78"/>
        <v xml:space="preserve">N79NX   </v>
      </c>
      <c r="BC755">
        <v>1</v>
      </c>
      <c r="BE755">
        <v>0</v>
      </c>
      <c r="BF755">
        <v>0</v>
      </c>
      <c r="BG755">
        <v>0</v>
      </c>
      <c r="BH755">
        <v>3275</v>
      </c>
      <c r="BI755">
        <v>0</v>
      </c>
      <c r="BJ755">
        <v>0</v>
      </c>
      <c r="BK755">
        <v>0</v>
      </c>
      <c r="BL755">
        <v>0</v>
      </c>
      <c r="BO755">
        <v>0</v>
      </c>
      <c r="BP755">
        <v>0</v>
      </c>
      <c r="BW755" t="str">
        <f>"18:39:39.281"</f>
        <v>18:39:39.281</v>
      </c>
      <c r="BZ755">
        <v>0</v>
      </c>
      <c r="CA755">
        <v>3488</v>
      </c>
      <c r="CB755">
        <v>216</v>
      </c>
      <c r="CC755">
        <v>583.59379999999999</v>
      </c>
      <c r="CD755">
        <v>1</v>
      </c>
      <c r="CE755">
        <v>1</v>
      </c>
      <c r="CF755">
        <v>0</v>
      </c>
      <c r="CG755">
        <v>1</v>
      </c>
      <c r="CH755">
        <v>0</v>
      </c>
      <c r="CI755">
        <v>0</v>
      </c>
      <c r="CJ755">
        <v>0</v>
      </c>
      <c r="CK755">
        <v>2</v>
      </c>
      <c r="CL755">
        <v>0</v>
      </c>
      <c r="CM755">
        <v>2</v>
      </c>
      <c r="CN755">
        <v>0</v>
      </c>
      <c r="CO755">
        <v>5</v>
      </c>
      <c r="CP755" t="s">
        <v>119</v>
      </c>
      <c r="CQ755">
        <v>145</v>
      </c>
      <c r="CR755">
        <v>1</v>
      </c>
      <c r="CW755">
        <v>8968722</v>
      </c>
      <c r="CY755">
        <v>0</v>
      </c>
      <c r="CZ755">
        <v>0</v>
      </c>
      <c r="DA755">
        <v>0</v>
      </c>
      <c r="DB755">
        <v>0</v>
      </c>
      <c r="DC755">
        <v>0</v>
      </c>
      <c r="DD755">
        <v>0</v>
      </c>
      <c r="DE755">
        <v>0</v>
      </c>
      <c r="DF755">
        <v>0</v>
      </c>
      <c r="DG755">
        <v>0</v>
      </c>
      <c r="DH755">
        <v>0</v>
      </c>
      <c r="DI755">
        <v>0</v>
      </c>
    </row>
    <row r="756" spans="1:113" x14ac:dyDescent="0.3">
      <c r="A756" t="str">
        <f>"02/13/2022 18:39:39.529"</f>
        <v>02/13/2022 18:39:39.529</v>
      </c>
      <c r="C756" t="str">
        <f t="shared" si="77"/>
        <v>FFDFD7C0</v>
      </c>
      <c r="D756" t="s">
        <v>113</v>
      </c>
      <c r="E756">
        <v>3</v>
      </c>
      <c r="F756">
        <v>1003</v>
      </c>
      <c r="G756" t="s">
        <v>114</v>
      </c>
      <c r="J756" t="s">
        <v>115</v>
      </c>
      <c r="K756">
        <v>0</v>
      </c>
      <c r="L756">
        <v>3</v>
      </c>
      <c r="M756">
        <v>0</v>
      </c>
      <c r="N756">
        <v>2</v>
      </c>
      <c r="O756">
        <v>1</v>
      </c>
      <c r="P756">
        <v>0</v>
      </c>
      <c r="Q756">
        <v>0</v>
      </c>
      <c r="S756" t="str">
        <f>"18:39:39.273"</f>
        <v>18:39:39.273</v>
      </c>
      <c r="T756" t="str">
        <f>"18:39:39.173"</f>
        <v>18:39:39.173</v>
      </c>
      <c r="U756" t="str">
        <f t="shared" si="76"/>
        <v>AAB6EE</v>
      </c>
      <c r="V756">
        <v>0</v>
      </c>
      <c r="W756">
        <v>0</v>
      </c>
      <c r="X756">
        <v>4</v>
      </c>
      <c r="Z756">
        <v>0</v>
      </c>
      <c r="AA756">
        <v>8</v>
      </c>
      <c r="AB756">
        <v>3</v>
      </c>
      <c r="AC756">
        <v>0</v>
      </c>
      <c r="AD756">
        <v>10</v>
      </c>
      <c r="AE756">
        <v>0</v>
      </c>
      <c r="AF756">
        <v>0</v>
      </c>
      <c r="AG756">
        <v>2</v>
      </c>
      <c r="AH756">
        <v>1</v>
      </c>
      <c r="AI756" t="s">
        <v>625</v>
      </c>
      <c r="AJ756">
        <v>35.370525999999998</v>
      </c>
      <c r="AK756" t="s">
        <v>626</v>
      </c>
      <c r="AL756">
        <v>-76.126435000000001</v>
      </c>
      <c r="AM756">
        <v>25</v>
      </c>
      <c r="AN756">
        <v>3425</v>
      </c>
      <c r="AO756" t="s">
        <v>118</v>
      </c>
      <c r="AP756">
        <v>-102</v>
      </c>
      <c r="AQ756">
        <v>-197</v>
      </c>
      <c r="AR756">
        <v>64</v>
      </c>
      <c r="AZ756">
        <v>4516</v>
      </c>
      <c r="BA756">
        <v>1</v>
      </c>
      <c r="BB756" t="str">
        <f t="shared" si="78"/>
        <v xml:space="preserve">N79NX   </v>
      </c>
      <c r="BC756">
        <v>1</v>
      </c>
      <c r="BE756">
        <v>0</v>
      </c>
      <c r="BF756">
        <v>0</v>
      </c>
      <c r="BG756">
        <v>0</v>
      </c>
      <c r="BH756">
        <v>3275</v>
      </c>
      <c r="BI756">
        <v>0</v>
      </c>
      <c r="BJ756">
        <v>0</v>
      </c>
      <c r="BK756">
        <v>0</v>
      </c>
      <c r="BL756">
        <v>0</v>
      </c>
      <c r="BO756">
        <v>0</v>
      </c>
      <c r="BP756">
        <v>0</v>
      </c>
      <c r="BW756" t="str">
        <f>"18:39:39.281"</f>
        <v>18:39:39.281</v>
      </c>
      <c r="BZ756">
        <v>0</v>
      </c>
      <c r="CA756">
        <v>3488</v>
      </c>
      <c r="CB756">
        <v>216</v>
      </c>
      <c r="CC756">
        <v>583.59379999999999</v>
      </c>
      <c r="CD756">
        <v>1</v>
      </c>
      <c r="CE756">
        <v>1</v>
      </c>
      <c r="CF756">
        <v>0</v>
      </c>
      <c r="CG756">
        <v>1</v>
      </c>
      <c r="CH756">
        <v>0</v>
      </c>
      <c r="CI756">
        <v>0</v>
      </c>
      <c r="CJ756">
        <v>0</v>
      </c>
      <c r="CK756">
        <v>2</v>
      </c>
      <c r="CL756">
        <v>0</v>
      </c>
      <c r="CM756">
        <v>2</v>
      </c>
      <c r="CN756">
        <v>0</v>
      </c>
      <c r="CO756">
        <v>5</v>
      </c>
      <c r="CP756" t="s">
        <v>119</v>
      </c>
      <c r="CQ756">
        <v>145</v>
      </c>
      <c r="CR756">
        <v>1</v>
      </c>
      <c r="CW756">
        <v>8968722</v>
      </c>
      <c r="CY756">
        <v>0</v>
      </c>
      <c r="CZ756">
        <v>0</v>
      </c>
      <c r="DA756">
        <v>1</v>
      </c>
      <c r="DB756">
        <v>0</v>
      </c>
      <c r="DC756">
        <v>0</v>
      </c>
      <c r="DD756">
        <v>0</v>
      </c>
      <c r="DE756">
        <v>0</v>
      </c>
      <c r="DF756">
        <v>0</v>
      </c>
      <c r="DG756">
        <v>0</v>
      </c>
      <c r="DH756">
        <v>0</v>
      </c>
      <c r="DI756">
        <v>0</v>
      </c>
    </row>
    <row r="757" spans="1:113" x14ac:dyDescent="0.3">
      <c r="A757" t="str">
        <f>"02/13/2022 18:39:39.529"</f>
        <v>02/13/2022 18:39:39.529</v>
      </c>
      <c r="C757" t="str">
        <f t="shared" si="77"/>
        <v>FFDFD7C0</v>
      </c>
      <c r="D757" t="s">
        <v>113</v>
      </c>
      <c r="E757">
        <v>4</v>
      </c>
      <c r="F757">
        <v>1004</v>
      </c>
      <c r="G757" t="s">
        <v>120</v>
      </c>
      <c r="J757" t="s">
        <v>115</v>
      </c>
      <c r="K757">
        <v>0</v>
      </c>
      <c r="L757">
        <v>3</v>
      </c>
      <c r="M757">
        <v>0</v>
      </c>
      <c r="N757">
        <v>2</v>
      </c>
      <c r="O757">
        <v>1</v>
      </c>
      <c r="P757">
        <v>0</v>
      </c>
      <c r="Q757">
        <v>0</v>
      </c>
      <c r="S757" t="str">
        <f>"18:39:39.273"</f>
        <v>18:39:39.273</v>
      </c>
      <c r="T757" t="str">
        <f>"18:39:39.173"</f>
        <v>18:39:39.173</v>
      </c>
      <c r="U757" t="str">
        <f t="shared" si="76"/>
        <v>AAB6EE</v>
      </c>
      <c r="V757">
        <v>0</v>
      </c>
      <c r="W757">
        <v>0</v>
      </c>
      <c r="X757">
        <v>4</v>
      </c>
      <c r="Z757">
        <v>0</v>
      </c>
      <c r="AA757">
        <v>8</v>
      </c>
      <c r="AB757">
        <v>3</v>
      </c>
      <c r="AC757">
        <v>0</v>
      </c>
      <c r="AD757">
        <v>10</v>
      </c>
      <c r="AE757">
        <v>0</v>
      </c>
      <c r="AF757">
        <v>0</v>
      </c>
      <c r="AG757">
        <v>2</v>
      </c>
      <c r="AH757">
        <v>1</v>
      </c>
      <c r="AI757" t="s">
        <v>625</v>
      </c>
      <c r="AJ757">
        <v>35.370525999999998</v>
      </c>
      <c r="AK757" t="s">
        <v>626</v>
      </c>
      <c r="AL757">
        <v>-76.126435000000001</v>
      </c>
      <c r="AM757">
        <v>25</v>
      </c>
      <c r="AN757">
        <v>3425</v>
      </c>
      <c r="AO757" t="s">
        <v>118</v>
      </c>
      <c r="AP757">
        <v>-102</v>
      </c>
      <c r="AQ757">
        <v>-197</v>
      </c>
      <c r="AR757">
        <v>64</v>
      </c>
      <c r="AZ757">
        <v>4516</v>
      </c>
      <c r="BA757">
        <v>1</v>
      </c>
      <c r="BB757" t="str">
        <f t="shared" si="78"/>
        <v xml:space="preserve">N79NX   </v>
      </c>
      <c r="BC757">
        <v>1</v>
      </c>
      <c r="BE757">
        <v>0</v>
      </c>
      <c r="BF757">
        <v>0</v>
      </c>
      <c r="BG757">
        <v>0</v>
      </c>
      <c r="BH757">
        <v>3275</v>
      </c>
      <c r="BI757">
        <v>0</v>
      </c>
      <c r="BJ757">
        <v>0</v>
      </c>
      <c r="BK757">
        <v>0</v>
      </c>
      <c r="BL757">
        <v>0</v>
      </c>
      <c r="BO757">
        <v>0</v>
      </c>
      <c r="BP757">
        <v>0</v>
      </c>
      <c r="BW757" t="str">
        <f>"18:39:39.281"</f>
        <v>18:39:39.281</v>
      </c>
      <c r="BZ757">
        <v>0</v>
      </c>
      <c r="CA757">
        <v>3488</v>
      </c>
      <c r="CB757">
        <v>216</v>
      </c>
      <c r="CC757">
        <v>583.59379999999999</v>
      </c>
      <c r="CD757">
        <v>1</v>
      </c>
      <c r="CE757">
        <v>1</v>
      </c>
      <c r="CF757">
        <v>0</v>
      </c>
      <c r="CG757">
        <v>1</v>
      </c>
      <c r="CH757">
        <v>0</v>
      </c>
      <c r="CI757">
        <v>0</v>
      </c>
      <c r="CJ757">
        <v>0</v>
      </c>
      <c r="CK757">
        <v>2</v>
      </c>
      <c r="CL757">
        <v>0</v>
      </c>
      <c r="CM757">
        <v>2</v>
      </c>
      <c r="CN757">
        <v>0</v>
      </c>
      <c r="CO757">
        <v>5</v>
      </c>
      <c r="CP757" t="s">
        <v>119</v>
      </c>
      <c r="CQ757">
        <v>145</v>
      </c>
      <c r="CR757">
        <v>1</v>
      </c>
      <c r="CW757">
        <v>8968722</v>
      </c>
      <c r="CY757">
        <v>0</v>
      </c>
      <c r="CZ757">
        <v>0</v>
      </c>
      <c r="DA757">
        <v>1</v>
      </c>
      <c r="DB757">
        <v>0</v>
      </c>
      <c r="DC757">
        <v>0</v>
      </c>
      <c r="DD757">
        <v>0</v>
      </c>
      <c r="DE757">
        <v>0</v>
      </c>
      <c r="DF757">
        <v>0</v>
      </c>
      <c r="DG757">
        <v>0</v>
      </c>
      <c r="DH757">
        <v>0</v>
      </c>
      <c r="DI757">
        <v>0</v>
      </c>
    </row>
    <row r="758" spans="1:113" x14ac:dyDescent="0.3">
      <c r="A758" t="str">
        <f>"02/13/2022 18:39:40.655"</f>
        <v>02/13/2022 18:39:40.655</v>
      </c>
      <c r="C758" t="str">
        <f t="shared" si="77"/>
        <v>FFDFD7C0</v>
      </c>
      <c r="D758" t="s">
        <v>113</v>
      </c>
      <c r="E758">
        <v>3</v>
      </c>
      <c r="F758">
        <v>1003</v>
      </c>
      <c r="G758" t="s">
        <v>114</v>
      </c>
      <c r="J758" t="s">
        <v>115</v>
      </c>
      <c r="K758">
        <v>0</v>
      </c>
      <c r="L758">
        <v>3</v>
      </c>
      <c r="M758">
        <v>0</v>
      </c>
      <c r="N758">
        <v>2</v>
      </c>
      <c r="O758">
        <v>1</v>
      </c>
      <c r="P758">
        <v>0</v>
      </c>
      <c r="Q758">
        <v>0</v>
      </c>
      <c r="S758" t="str">
        <f t="shared" ref="S758:T760" si="79">"18:39:40.344"</f>
        <v>18:39:40.344</v>
      </c>
      <c r="T758" t="str">
        <f t="shared" si="79"/>
        <v>18:39:40.344</v>
      </c>
      <c r="U758" t="str">
        <f t="shared" si="76"/>
        <v>AAB6EE</v>
      </c>
      <c r="V758">
        <v>0</v>
      </c>
      <c r="W758">
        <v>0</v>
      </c>
      <c r="X758">
        <v>4</v>
      </c>
      <c r="Z758">
        <v>0</v>
      </c>
      <c r="AA758">
        <v>8</v>
      </c>
      <c r="AB758">
        <v>3</v>
      </c>
      <c r="AC758">
        <v>0</v>
      </c>
      <c r="AD758">
        <v>10</v>
      </c>
      <c r="AE758">
        <v>0</v>
      </c>
      <c r="AF758">
        <v>0</v>
      </c>
      <c r="AG758">
        <v>2</v>
      </c>
      <c r="AH758">
        <v>1</v>
      </c>
      <c r="AI758" t="s">
        <v>627</v>
      </c>
      <c r="AJ758">
        <v>35.369517999999999</v>
      </c>
      <c r="AK758" t="s">
        <v>628</v>
      </c>
      <c r="AL758">
        <v>-76.127078999999995</v>
      </c>
      <c r="AM758">
        <v>25</v>
      </c>
      <c r="AN758">
        <v>3425</v>
      </c>
      <c r="AO758" t="s">
        <v>118</v>
      </c>
      <c r="AP758">
        <v>-103</v>
      </c>
      <c r="AQ758">
        <v>-197</v>
      </c>
      <c r="AR758">
        <v>0</v>
      </c>
      <c r="AZ758">
        <v>4516</v>
      </c>
      <c r="BA758">
        <v>1</v>
      </c>
      <c r="BB758" t="str">
        <f t="shared" si="78"/>
        <v xml:space="preserve">N79NX   </v>
      </c>
      <c r="BC758">
        <v>1</v>
      </c>
      <c r="BE758">
        <v>0</v>
      </c>
      <c r="BF758">
        <v>0</v>
      </c>
      <c r="BG758">
        <v>0</v>
      </c>
      <c r="BH758">
        <v>3275</v>
      </c>
      <c r="BI758">
        <v>0</v>
      </c>
      <c r="BJ758">
        <v>0</v>
      </c>
      <c r="BK758">
        <v>0</v>
      </c>
      <c r="BL758">
        <v>0</v>
      </c>
      <c r="BO758">
        <v>0</v>
      </c>
      <c r="BP758">
        <v>0</v>
      </c>
      <c r="BW758" t="str">
        <f>"18:39:40.351"</f>
        <v>18:39:40.351</v>
      </c>
      <c r="BZ758">
        <v>0</v>
      </c>
      <c r="CA758">
        <v>3488</v>
      </c>
      <c r="CB758">
        <v>216</v>
      </c>
      <c r="CC758">
        <v>583.59379999999999</v>
      </c>
      <c r="CD758">
        <v>1</v>
      </c>
      <c r="CE758">
        <v>1</v>
      </c>
      <c r="CF758">
        <v>0</v>
      </c>
      <c r="CG758">
        <v>1</v>
      </c>
      <c r="CH758">
        <v>0</v>
      </c>
      <c r="CI758">
        <v>0</v>
      </c>
      <c r="CJ758">
        <v>0</v>
      </c>
      <c r="CK758">
        <v>2</v>
      </c>
      <c r="CL758">
        <v>0</v>
      </c>
      <c r="CM758">
        <v>2</v>
      </c>
      <c r="CN758">
        <v>0</v>
      </c>
      <c r="CO758">
        <v>5</v>
      </c>
      <c r="CP758" t="s">
        <v>119</v>
      </c>
      <c r="CQ758">
        <v>145</v>
      </c>
      <c r="CR758">
        <v>1</v>
      </c>
      <c r="CW758">
        <v>8969233</v>
      </c>
      <c r="CY758">
        <v>0</v>
      </c>
      <c r="CZ758">
        <v>0</v>
      </c>
      <c r="DA758">
        <v>0</v>
      </c>
      <c r="DB758">
        <v>0</v>
      </c>
      <c r="DC758">
        <v>0</v>
      </c>
      <c r="DD758">
        <v>0</v>
      </c>
      <c r="DE758">
        <v>0</v>
      </c>
      <c r="DF758">
        <v>0</v>
      </c>
      <c r="DG758">
        <v>0</v>
      </c>
      <c r="DH758">
        <v>0</v>
      </c>
      <c r="DI758">
        <v>0</v>
      </c>
    </row>
    <row r="759" spans="1:113" x14ac:dyDescent="0.3">
      <c r="A759" t="str">
        <f>"02/13/2022 18:39:40.655"</f>
        <v>02/13/2022 18:39:40.655</v>
      </c>
      <c r="C759" t="str">
        <f t="shared" si="77"/>
        <v>FFDFD7C0</v>
      </c>
      <c r="D759" t="s">
        <v>113</v>
      </c>
      <c r="E759">
        <v>4</v>
      </c>
      <c r="F759">
        <v>1004</v>
      </c>
      <c r="G759" t="s">
        <v>120</v>
      </c>
      <c r="J759" t="s">
        <v>115</v>
      </c>
      <c r="K759">
        <v>0</v>
      </c>
      <c r="L759">
        <v>3</v>
      </c>
      <c r="M759">
        <v>0</v>
      </c>
      <c r="N759">
        <v>2</v>
      </c>
      <c r="O759">
        <v>1</v>
      </c>
      <c r="P759">
        <v>0</v>
      </c>
      <c r="Q759">
        <v>0</v>
      </c>
      <c r="S759" t="str">
        <f t="shared" si="79"/>
        <v>18:39:40.344</v>
      </c>
      <c r="T759" t="str">
        <f t="shared" si="79"/>
        <v>18:39:40.344</v>
      </c>
      <c r="U759" t="str">
        <f t="shared" si="76"/>
        <v>AAB6EE</v>
      </c>
      <c r="V759">
        <v>0</v>
      </c>
      <c r="W759">
        <v>0</v>
      </c>
      <c r="X759">
        <v>4</v>
      </c>
      <c r="Z759">
        <v>0</v>
      </c>
      <c r="AA759">
        <v>8</v>
      </c>
      <c r="AB759">
        <v>3</v>
      </c>
      <c r="AC759">
        <v>0</v>
      </c>
      <c r="AD759">
        <v>10</v>
      </c>
      <c r="AE759">
        <v>0</v>
      </c>
      <c r="AF759">
        <v>0</v>
      </c>
      <c r="AG759">
        <v>2</v>
      </c>
      <c r="AH759">
        <v>1</v>
      </c>
      <c r="AI759" t="s">
        <v>627</v>
      </c>
      <c r="AJ759">
        <v>35.369517999999999</v>
      </c>
      <c r="AK759" t="s">
        <v>628</v>
      </c>
      <c r="AL759">
        <v>-76.127078999999995</v>
      </c>
      <c r="AM759">
        <v>25</v>
      </c>
      <c r="AN759">
        <v>3425</v>
      </c>
      <c r="AO759" t="s">
        <v>118</v>
      </c>
      <c r="AP759">
        <v>-103</v>
      </c>
      <c r="AQ759">
        <v>-197</v>
      </c>
      <c r="AR759">
        <v>0</v>
      </c>
      <c r="AZ759">
        <v>4516</v>
      </c>
      <c r="BA759">
        <v>1</v>
      </c>
      <c r="BB759" t="str">
        <f t="shared" si="78"/>
        <v xml:space="preserve">N79NX   </v>
      </c>
      <c r="BC759">
        <v>1</v>
      </c>
      <c r="BE759">
        <v>0</v>
      </c>
      <c r="BF759">
        <v>0</v>
      </c>
      <c r="BG759">
        <v>0</v>
      </c>
      <c r="BH759">
        <v>3275</v>
      </c>
      <c r="BI759">
        <v>0</v>
      </c>
      <c r="BJ759">
        <v>0</v>
      </c>
      <c r="BK759">
        <v>0</v>
      </c>
      <c r="BL759">
        <v>0</v>
      </c>
      <c r="BO759">
        <v>0</v>
      </c>
      <c r="BP759">
        <v>0</v>
      </c>
      <c r="BW759" t="str">
        <f>"18:39:40.351"</f>
        <v>18:39:40.351</v>
      </c>
      <c r="BZ759">
        <v>0</v>
      </c>
      <c r="CA759">
        <v>3488</v>
      </c>
      <c r="CB759">
        <v>216</v>
      </c>
      <c r="CC759">
        <v>583.59379999999999</v>
      </c>
      <c r="CD759">
        <v>1</v>
      </c>
      <c r="CE759">
        <v>1</v>
      </c>
      <c r="CF759">
        <v>0</v>
      </c>
      <c r="CG759">
        <v>1</v>
      </c>
      <c r="CH759">
        <v>0</v>
      </c>
      <c r="CI759">
        <v>0</v>
      </c>
      <c r="CJ759">
        <v>0</v>
      </c>
      <c r="CK759">
        <v>2</v>
      </c>
      <c r="CL759">
        <v>0</v>
      </c>
      <c r="CM759">
        <v>2</v>
      </c>
      <c r="CN759">
        <v>0</v>
      </c>
      <c r="CO759">
        <v>5</v>
      </c>
      <c r="CP759" t="s">
        <v>119</v>
      </c>
      <c r="CQ759">
        <v>145</v>
      </c>
      <c r="CR759">
        <v>1</v>
      </c>
      <c r="CW759">
        <v>8969233</v>
      </c>
      <c r="CY759">
        <v>0</v>
      </c>
      <c r="CZ759">
        <v>0</v>
      </c>
      <c r="DA759">
        <v>1</v>
      </c>
      <c r="DB759">
        <v>0</v>
      </c>
      <c r="DC759">
        <v>0</v>
      </c>
      <c r="DD759">
        <v>0</v>
      </c>
      <c r="DE759">
        <v>0</v>
      </c>
      <c r="DF759">
        <v>0</v>
      </c>
      <c r="DG759">
        <v>0</v>
      </c>
      <c r="DH759">
        <v>0</v>
      </c>
      <c r="DI759">
        <v>0</v>
      </c>
    </row>
    <row r="760" spans="1:113" x14ac:dyDescent="0.3">
      <c r="A760" t="str">
        <f>"02/13/2022 18:39:40.655"</f>
        <v>02/13/2022 18:39:40.655</v>
      </c>
      <c r="C760" t="str">
        <f t="shared" si="77"/>
        <v>FFDFD7C0</v>
      </c>
      <c r="D760" t="s">
        <v>121</v>
      </c>
      <c r="E760">
        <v>2</v>
      </c>
      <c r="H760">
        <v>158</v>
      </c>
      <c r="I760" t="s">
        <v>120</v>
      </c>
      <c r="J760" t="s">
        <v>122</v>
      </c>
      <c r="K760">
        <v>0</v>
      </c>
      <c r="L760">
        <v>3</v>
      </c>
      <c r="M760">
        <v>0</v>
      </c>
      <c r="N760">
        <v>2</v>
      </c>
      <c r="O760">
        <v>1</v>
      </c>
      <c r="P760">
        <v>0</v>
      </c>
      <c r="Q760">
        <v>0</v>
      </c>
      <c r="S760" t="str">
        <f t="shared" si="79"/>
        <v>18:39:40.344</v>
      </c>
      <c r="T760" t="str">
        <f t="shared" si="79"/>
        <v>18:39:40.344</v>
      </c>
      <c r="U760" t="str">
        <f t="shared" si="76"/>
        <v>AAB6EE</v>
      </c>
      <c r="V760">
        <v>0</v>
      </c>
      <c r="W760">
        <v>0</v>
      </c>
      <c r="X760">
        <v>4</v>
      </c>
      <c r="Z760">
        <v>0</v>
      </c>
      <c r="AA760">
        <v>8</v>
      </c>
      <c r="AB760">
        <v>3</v>
      </c>
      <c r="AC760">
        <v>0</v>
      </c>
      <c r="AD760">
        <v>10</v>
      </c>
      <c r="AE760">
        <v>0</v>
      </c>
      <c r="AF760">
        <v>0</v>
      </c>
      <c r="AG760">
        <v>2</v>
      </c>
      <c r="AH760">
        <v>1</v>
      </c>
      <c r="AI760" t="s">
        <v>627</v>
      </c>
      <c r="AJ760">
        <v>35.369517999999999</v>
      </c>
      <c r="AK760" t="s">
        <v>628</v>
      </c>
      <c r="AL760">
        <v>-76.127078999999995</v>
      </c>
      <c r="AM760">
        <v>25</v>
      </c>
      <c r="AN760">
        <v>3425</v>
      </c>
      <c r="AO760" t="s">
        <v>118</v>
      </c>
      <c r="AP760">
        <v>-103</v>
      </c>
      <c r="AQ760">
        <v>-197</v>
      </c>
      <c r="AR760">
        <v>0</v>
      </c>
      <c r="AZ760">
        <v>4516</v>
      </c>
      <c r="BA760">
        <v>1</v>
      </c>
      <c r="BB760" t="str">
        <f t="shared" si="78"/>
        <v xml:space="preserve">N79NX   </v>
      </c>
      <c r="BC760">
        <v>1</v>
      </c>
      <c r="BE760">
        <v>0</v>
      </c>
      <c r="BF760">
        <v>0</v>
      </c>
      <c r="BG760">
        <v>0</v>
      </c>
      <c r="BH760">
        <v>3275</v>
      </c>
      <c r="BI760">
        <v>0</v>
      </c>
      <c r="BJ760">
        <v>0</v>
      </c>
      <c r="BK760">
        <v>0</v>
      </c>
      <c r="BL760">
        <v>0</v>
      </c>
      <c r="BO760">
        <v>0</v>
      </c>
      <c r="BP760">
        <v>0</v>
      </c>
      <c r="BW760" t="str">
        <f>"18:39:40.351"</f>
        <v>18:39:40.351</v>
      </c>
      <c r="BZ760">
        <v>0</v>
      </c>
      <c r="CA760">
        <v>3488</v>
      </c>
      <c r="CB760">
        <v>216</v>
      </c>
      <c r="CC760">
        <v>583.59379999999999</v>
      </c>
      <c r="CD760">
        <v>1</v>
      </c>
      <c r="CE760">
        <v>1</v>
      </c>
      <c r="CF760">
        <v>0</v>
      </c>
      <c r="CG760">
        <v>1</v>
      </c>
      <c r="CH760">
        <v>0</v>
      </c>
      <c r="CI760">
        <v>0</v>
      </c>
      <c r="CJ760">
        <v>0</v>
      </c>
      <c r="CK760">
        <v>2</v>
      </c>
      <c r="CL760">
        <v>0</v>
      </c>
      <c r="CM760">
        <v>2</v>
      </c>
      <c r="CN760">
        <v>0</v>
      </c>
      <c r="CO760">
        <v>5</v>
      </c>
      <c r="CP760" t="s">
        <v>119</v>
      </c>
      <c r="CQ760">
        <v>145</v>
      </c>
      <c r="CR760">
        <v>1</v>
      </c>
      <c r="CW760">
        <v>8969233</v>
      </c>
      <c r="CY760">
        <v>0</v>
      </c>
      <c r="CZ760">
        <v>0</v>
      </c>
      <c r="DA760">
        <v>1</v>
      </c>
      <c r="DB760">
        <v>0</v>
      </c>
      <c r="DC760">
        <v>0</v>
      </c>
      <c r="DD760">
        <v>0</v>
      </c>
      <c r="DE760">
        <v>0</v>
      </c>
      <c r="DF760">
        <v>0</v>
      </c>
      <c r="DG760">
        <v>0</v>
      </c>
      <c r="DH760">
        <v>0</v>
      </c>
      <c r="DI760">
        <v>0</v>
      </c>
    </row>
    <row r="761" spans="1:113" x14ac:dyDescent="0.3">
      <c r="A761" t="str">
        <f>"02/13/2022 18:39:41.436"</f>
        <v>02/13/2022 18:39:41.436</v>
      </c>
      <c r="C761" t="str">
        <f t="shared" si="77"/>
        <v>FFDFD7C0</v>
      </c>
      <c r="D761" t="s">
        <v>113</v>
      </c>
      <c r="E761">
        <v>3</v>
      </c>
      <c r="F761">
        <v>1003</v>
      </c>
      <c r="G761" t="s">
        <v>114</v>
      </c>
      <c r="J761" t="s">
        <v>115</v>
      </c>
      <c r="K761">
        <v>0</v>
      </c>
      <c r="L761">
        <v>3</v>
      </c>
      <c r="M761">
        <v>0</v>
      </c>
      <c r="N761">
        <v>2</v>
      </c>
      <c r="O761">
        <v>1</v>
      </c>
      <c r="P761">
        <v>0</v>
      </c>
      <c r="Q761">
        <v>0</v>
      </c>
      <c r="S761" t="str">
        <f>"18:39:41.219"</f>
        <v>18:39:41.219</v>
      </c>
      <c r="T761" t="str">
        <f>"18:39:40.919"</f>
        <v>18:39:40.919</v>
      </c>
      <c r="U761" t="str">
        <f t="shared" si="76"/>
        <v>AAB6EE</v>
      </c>
      <c r="V761">
        <v>0</v>
      </c>
      <c r="W761">
        <v>0</v>
      </c>
      <c r="X761">
        <v>4</v>
      </c>
      <c r="Z761">
        <v>0</v>
      </c>
      <c r="AA761">
        <v>8</v>
      </c>
      <c r="AB761">
        <v>3</v>
      </c>
      <c r="AC761">
        <v>0</v>
      </c>
      <c r="AD761">
        <v>10</v>
      </c>
      <c r="AE761">
        <v>0</v>
      </c>
      <c r="AF761">
        <v>0</v>
      </c>
      <c r="AG761">
        <v>2</v>
      </c>
      <c r="AH761">
        <v>1</v>
      </c>
      <c r="AI761" t="s">
        <v>629</v>
      </c>
      <c r="AJ761">
        <v>35.368724</v>
      </c>
      <c r="AK761" t="s">
        <v>630</v>
      </c>
      <c r="AL761">
        <v>-76.127594000000002</v>
      </c>
      <c r="AM761">
        <v>25</v>
      </c>
      <c r="AN761">
        <v>3425</v>
      </c>
      <c r="AO761" t="s">
        <v>118</v>
      </c>
      <c r="AP761">
        <v>-103</v>
      </c>
      <c r="AQ761">
        <v>-197</v>
      </c>
      <c r="AR761">
        <v>64</v>
      </c>
      <c r="AZ761">
        <v>4516</v>
      </c>
      <c r="BA761">
        <v>1</v>
      </c>
      <c r="BB761" t="str">
        <f t="shared" si="78"/>
        <v xml:space="preserve">N79NX   </v>
      </c>
      <c r="BC761">
        <v>1</v>
      </c>
      <c r="BE761">
        <v>0</v>
      </c>
      <c r="BF761">
        <v>0</v>
      </c>
      <c r="BG761">
        <v>0</v>
      </c>
      <c r="BH761">
        <v>3300</v>
      </c>
      <c r="BI761">
        <v>0</v>
      </c>
      <c r="BJ761">
        <v>0</v>
      </c>
      <c r="BK761">
        <v>0</v>
      </c>
      <c r="BL761">
        <v>0</v>
      </c>
      <c r="BO761">
        <v>0</v>
      </c>
      <c r="BP761">
        <v>0</v>
      </c>
      <c r="BW761" t="str">
        <f>"18:39:41.221"</f>
        <v>18:39:41.221</v>
      </c>
      <c r="BZ761">
        <v>0</v>
      </c>
      <c r="CA761">
        <v>3488</v>
      </c>
      <c r="CB761">
        <v>216</v>
      </c>
      <c r="CC761">
        <v>583.59379999999999</v>
      </c>
      <c r="CD761">
        <v>1</v>
      </c>
      <c r="CE761">
        <v>1</v>
      </c>
      <c r="CF761">
        <v>0</v>
      </c>
      <c r="CG761">
        <v>1</v>
      </c>
      <c r="CH761">
        <v>0</v>
      </c>
      <c r="CI761">
        <v>0</v>
      </c>
      <c r="CJ761">
        <v>0</v>
      </c>
      <c r="CK761">
        <v>2</v>
      </c>
      <c r="CL761">
        <v>0</v>
      </c>
      <c r="CM761">
        <v>2</v>
      </c>
      <c r="CN761">
        <v>0</v>
      </c>
      <c r="CO761">
        <v>5</v>
      </c>
      <c r="CP761" t="s">
        <v>119</v>
      </c>
      <c r="CQ761">
        <v>145</v>
      </c>
      <c r="CR761">
        <v>1</v>
      </c>
      <c r="CW761">
        <v>8969590</v>
      </c>
      <c r="CY761">
        <v>0</v>
      </c>
      <c r="CZ761">
        <v>0</v>
      </c>
      <c r="DA761">
        <v>0</v>
      </c>
      <c r="DB761">
        <v>0</v>
      </c>
      <c r="DC761">
        <v>0</v>
      </c>
      <c r="DD761">
        <v>0</v>
      </c>
      <c r="DE761">
        <v>0</v>
      </c>
      <c r="DF761">
        <v>0</v>
      </c>
      <c r="DG761">
        <v>0</v>
      </c>
      <c r="DH761">
        <v>0</v>
      </c>
      <c r="DI761">
        <v>0</v>
      </c>
    </row>
    <row r="762" spans="1:113" x14ac:dyDescent="0.3">
      <c r="A762" t="str">
        <f>"02/13/2022 18:39:41.436"</f>
        <v>02/13/2022 18:39:41.436</v>
      </c>
      <c r="C762" t="str">
        <f t="shared" si="77"/>
        <v>FFDFD7C0</v>
      </c>
      <c r="D762" t="s">
        <v>113</v>
      </c>
      <c r="E762">
        <v>4</v>
      </c>
      <c r="F762">
        <v>1004</v>
      </c>
      <c r="G762" t="s">
        <v>120</v>
      </c>
      <c r="J762" t="s">
        <v>115</v>
      </c>
      <c r="K762">
        <v>0</v>
      </c>
      <c r="L762">
        <v>3</v>
      </c>
      <c r="M762">
        <v>0</v>
      </c>
      <c r="N762">
        <v>2</v>
      </c>
      <c r="O762">
        <v>1</v>
      </c>
      <c r="P762">
        <v>0</v>
      </c>
      <c r="Q762">
        <v>0</v>
      </c>
      <c r="S762" t="str">
        <f>"18:39:41.219"</f>
        <v>18:39:41.219</v>
      </c>
      <c r="T762" t="str">
        <f>"18:39:40.919"</f>
        <v>18:39:40.919</v>
      </c>
      <c r="U762" t="str">
        <f t="shared" si="76"/>
        <v>AAB6EE</v>
      </c>
      <c r="V762">
        <v>0</v>
      </c>
      <c r="W762">
        <v>0</v>
      </c>
      <c r="X762">
        <v>4</v>
      </c>
      <c r="Z762">
        <v>0</v>
      </c>
      <c r="AA762">
        <v>8</v>
      </c>
      <c r="AB762">
        <v>3</v>
      </c>
      <c r="AC762">
        <v>0</v>
      </c>
      <c r="AD762">
        <v>10</v>
      </c>
      <c r="AE762">
        <v>0</v>
      </c>
      <c r="AF762">
        <v>0</v>
      </c>
      <c r="AG762">
        <v>2</v>
      </c>
      <c r="AH762">
        <v>1</v>
      </c>
      <c r="AI762" t="s">
        <v>629</v>
      </c>
      <c r="AJ762">
        <v>35.368724</v>
      </c>
      <c r="AK762" t="s">
        <v>630</v>
      </c>
      <c r="AL762">
        <v>-76.127594000000002</v>
      </c>
      <c r="AM762">
        <v>25</v>
      </c>
      <c r="AN762">
        <v>3425</v>
      </c>
      <c r="AO762" t="s">
        <v>118</v>
      </c>
      <c r="AP762">
        <v>-103</v>
      </c>
      <c r="AQ762">
        <v>-197</v>
      </c>
      <c r="AR762">
        <v>64</v>
      </c>
      <c r="AZ762">
        <v>4516</v>
      </c>
      <c r="BA762">
        <v>1</v>
      </c>
      <c r="BB762" t="str">
        <f t="shared" si="78"/>
        <v xml:space="preserve">N79NX   </v>
      </c>
      <c r="BC762">
        <v>1</v>
      </c>
      <c r="BE762">
        <v>0</v>
      </c>
      <c r="BF762">
        <v>0</v>
      </c>
      <c r="BG762">
        <v>0</v>
      </c>
      <c r="BH762">
        <v>3300</v>
      </c>
      <c r="BI762">
        <v>0</v>
      </c>
      <c r="BJ762">
        <v>0</v>
      </c>
      <c r="BK762">
        <v>0</v>
      </c>
      <c r="BL762">
        <v>0</v>
      </c>
      <c r="BO762">
        <v>0</v>
      </c>
      <c r="BP762">
        <v>0</v>
      </c>
      <c r="BW762" t="str">
        <f>"18:39:41.221"</f>
        <v>18:39:41.221</v>
      </c>
      <c r="BZ762">
        <v>0</v>
      </c>
      <c r="CA762">
        <v>3488</v>
      </c>
      <c r="CB762">
        <v>216</v>
      </c>
      <c r="CC762">
        <v>583.59379999999999</v>
      </c>
      <c r="CD762">
        <v>1</v>
      </c>
      <c r="CE762">
        <v>1</v>
      </c>
      <c r="CF762">
        <v>0</v>
      </c>
      <c r="CG762">
        <v>1</v>
      </c>
      <c r="CH762">
        <v>0</v>
      </c>
      <c r="CI762">
        <v>0</v>
      </c>
      <c r="CJ762">
        <v>0</v>
      </c>
      <c r="CK762">
        <v>2</v>
      </c>
      <c r="CL762">
        <v>0</v>
      </c>
      <c r="CM762">
        <v>2</v>
      </c>
      <c r="CN762">
        <v>0</v>
      </c>
      <c r="CO762">
        <v>5</v>
      </c>
      <c r="CP762" t="s">
        <v>119</v>
      </c>
      <c r="CQ762">
        <v>145</v>
      </c>
      <c r="CR762">
        <v>1</v>
      </c>
      <c r="CW762">
        <v>8969590</v>
      </c>
      <c r="CY762">
        <v>0</v>
      </c>
      <c r="CZ762">
        <v>0</v>
      </c>
      <c r="DA762">
        <v>1</v>
      </c>
      <c r="DB762">
        <v>0</v>
      </c>
      <c r="DC762">
        <v>0</v>
      </c>
      <c r="DD762">
        <v>0</v>
      </c>
      <c r="DE762">
        <v>0</v>
      </c>
      <c r="DF762">
        <v>0</v>
      </c>
      <c r="DG762">
        <v>0</v>
      </c>
      <c r="DH762">
        <v>0</v>
      </c>
      <c r="DI762">
        <v>0</v>
      </c>
    </row>
    <row r="763" spans="1:113" x14ac:dyDescent="0.3">
      <c r="A763" t="str">
        <f>"02/13/2022 18:39:41.436"</f>
        <v>02/13/2022 18:39:41.436</v>
      </c>
      <c r="C763" t="str">
        <f t="shared" si="77"/>
        <v>FFDFD7C0</v>
      </c>
      <c r="D763" t="s">
        <v>121</v>
      </c>
      <c r="E763">
        <v>2</v>
      </c>
      <c r="H763">
        <v>158</v>
      </c>
      <c r="I763" t="s">
        <v>120</v>
      </c>
      <c r="J763" t="s">
        <v>122</v>
      </c>
      <c r="K763">
        <v>0</v>
      </c>
      <c r="L763">
        <v>3</v>
      </c>
      <c r="M763">
        <v>0</v>
      </c>
      <c r="N763">
        <v>2</v>
      </c>
      <c r="O763">
        <v>1</v>
      </c>
      <c r="P763">
        <v>0</v>
      </c>
      <c r="Q763">
        <v>0</v>
      </c>
      <c r="S763" t="str">
        <f>"18:39:41.219"</f>
        <v>18:39:41.219</v>
      </c>
      <c r="T763" t="str">
        <f>"18:39:40.919"</f>
        <v>18:39:40.919</v>
      </c>
      <c r="U763" t="str">
        <f t="shared" si="76"/>
        <v>AAB6EE</v>
      </c>
      <c r="V763">
        <v>0</v>
      </c>
      <c r="W763">
        <v>0</v>
      </c>
      <c r="X763">
        <v>4</v>
      </c>
      <c r="Z763">
        <v>0</v>
      </c>
      <c r="AA763">
        <v>8</v>
      </c>
      <c r="AB763">
        <v>3</v>
      </c>
      <c r="AC763">
        <v>0</v>
      </c>
      <c r="AD763">
        <v>10</v>
      </c>
      <c r="AE763">
        <v>0</v>
      </c>
      <c r="AF763">
        <v>0</v>
      </c>
      <c r="AG763">
        <v>2</v>
      </c>
      <c r="AH763">
        <v>1</v>
      </c>
      <c r="AI763" t="s">
        <v>629</v>
      </c>
      <c r="AJ763">
        <v>35.368724</v>
      </c>
      <c r="AK763" t="s">
        <v>630</v>
      </c>
      <c r="AL763">
        <v>-76.127594000000002</v>
      </c>
      <c r="AM763">
        <v>25</v>
      </c>
      <c r="AN763">
        <v>3425</v>
      </c>
      <c r="AO763" t="s">
        <v>118</v>
      </c>
      <c r="AP763">
        <v>-103</v>
      </c>
      <c r="AQ763">
        <v>-197</v>
      </c>
      <c r="AR763">
        <v>64</v>
      </c>
      <c r="AZ763">
        <v>4516</v>
      </c>
      <c r="BA763">
        <v>1</v>
      </c>
      <c r="BB763" t="str">
        <f t="shared" si="78"/>
        <v xml:space="preserve">N79NX   </v>
      </c>
      <c r="BC763">
        <v>1</v>
      </c>
      <c r="BE763">
        <v>0</v>
      </c>
      <c r="BF763">
        <v>0</v>
      </c>
      <c r="BG763">
        <v>0</v>
      </c>
      <c r="BH763">
        <v>3300</v>
      </c>
      <c r="BI763">
        <v>0</v>
      </c>
      <c r="BJ763">
        <v>0</v>
      </c>
      <c r="BK763">
        <v>0</v>
      </c>
      <c r="BL763">
        <v>0</v>
      </c>
      <c r="BO763">
        <v>0</v>
      </c>
      <c r="BP763">
        <v>0</v>
      </c>
      <c r="BW763" t="str">
        <f>"18:39:41.221"</f>
        <v>18:39:41.221</v>
      </c>
      <c r="BZ763">
        <v>0</v>
      </c>
      <c r="CA763">
        <v>3488</v>
      </c>
      <c r="CB763">
        <v>216</v>
      </c>
      <c r="CC763">
        <v>583.59379999999999</v>
      </c>
      <c r="CD763">
        <v>1</v>
      </c>
      <c r="CE763">
        <v>1</v>
      </c>
      <c r="CF763">
        <v>0</v>
      </c>
      <c r="CG763">
        <v>1</v>
      </c>
      <c r="CH763">
        <v>0</v>
      </c>
      <c r="CI763">
        <v>0</v>
      </c>
      <c r="CJ763">
        <v>0</v>
      </c>
      <c r="CK763">
        <v>2</v>
      </c>
      <c r="CL763">
        <v>0</v>
      </c>
      <c r="CM763">
        <v>2</v>
      </c>
      <c r="CN763">
        <v>0</v>
      </c>
      <c r="CO763">
        <v>5</v>
      </c>
      <c r="CP763" t="s">
        <v>119</v>
      </c>
      <c r="CQ763">
        <v>145</v>
      </c>
      <c r="CR763">
        <v>1</v>
      </c>
      <c r="CW763">
        <v>8969590</v>
      </c>
      <c r="CY763">
        <v>0</v>
      </c>
      <c r="CZ763">
        <v>0</v>
      </c>
      <c r="DA763">
        <v>1</v>
      </c>
      <c r="DB763">
        <v>0</v>
      </c>
      <c r="DC763">
        <v>0</v>
      </c>
      <c r="DD763">
        <v>0</v>
      </c>
      <c r="DE763">
        <v>0</v>
      </c>
      <c r="DF763">
        <v>0</v>
      </c>
      <c r="DG763">
        <v>0</v>
      </c>
      <c r="DH763">
        <v>0</v>
      </c>
      <c r="DI763">
        <v>0</v>
      </c>
    </row>
    <row r="764" spans="1:113" x14ac:dyDescent="0.3">
      <c r="A764" t="str">
        <f>"02/13/2022 18:39:42.483"</f>
        <v>02/13/2022 18:39:42.483</v>
      </c>
      <c r="C764" t="str">
        <f t="shared" si="77"/>
        <v>FFDFD7C0</v>
      </c>
      <c r="D764" t="s">
        <v>113</v>
      </c>
      <c r="E764">
        <v>3</v>
      </c>
      <c r="F764">
        <v>1003</v>
      </c>
      <c r="G764" t="s">
        <v>114</v>
      </c>
      <c r="J764" t="s">
        <v>115</v>
      </c>
      <c r="K764">
        <v>0</v>
      </c>
      <c r="L764">
        <v>3</v>
      </c>
      <c r="M764">
        <v>0</v>
      </c>
      <c r="N764">
        <v>2</v>
      </c>
      <c r="O764">
        <v>1</v>
      </c>
      <c r="P764">
        <v>0</v>
      </c>
      <c r="Q764">
        <v>0</v>
      </c>
      <c r="S764" t="str">
        <f>"18:39:42.258"</f>
        <v>18:39:42.258</v>
      </c>
      <c r="T764" t="str">
        <f>"18:39:41.858"</f>
        <v>18:39:41.858</v>
      </c>
      <c r="U764" t="str">
        <f t="shared" si="76"/>
        <v>AAB6EE</v>
      </c>
      <c r="V764">
        <v>0</v>
      </c>
      <c r="W764">
        <v>0</v>
      </c>
      <c r="X764">
        <v>4</v>
      </c>
      <c r="Z764">
        <v>0</v>
      </c>
      <c r="AA764">
        <v>8</v>
      </c>
      <c r="AB764">
        <v>3</v>
      </c>
      <c r="AC764">
        <v>0</v>
      </c>
      <c r="AD764">
        <v>10</v>
      </c>
      <c r="AE764">
        <v>0</v>
      </c>
      <c r="AF764">
        <v>0</v>
      </c>
      <c r="AG764">
        <v>2</v>
      </c>
      <c r="AH764">
        <v>1</v>
      </c>
      <c r="AI764" t="s">
        <v>631</v>
      </c>
      <c r="AJ764">
        <v>35.367780000000003</v>
      </c>
      <c r="AK764" t="s">
        <v>632</v>
      </c>
      <c r="AL764">
        <v>-76.128173000000004</v>
      </c>
      <c r="AM764">
        <v>25</v>
      </c>
      <c r="AN764">
        <v>3425</v>
      </c>
      <c r="AO764" t="s">
        <v>118</v>
      </c>
      <c r="AP764">
        <v>-103</v>
      </c>
      <c r="AQ764">
        <v>-197</v>
      </c>
      <c r="AR764">
        <v>0</v>
      </c>
      <c r="AZ764">
        <v>4516</v>
      </c>
      <c r="BA764">
        <v>1</v>
      </c>
      <c r="BB764" t="str">
        <f t="shared" si="78"/>
        <v xml:space="preserve">N79NX   </v>
      </c>
      <c r="BC764">
        <v>1</v>
      </c>
      <c r="BE764">
        <v>0</v>
      </c>
      <c r="BF764">
        <v>0</v>
      </c>
      <c r="BG764">
        <v>0</v>
      </c>
      <c r="BH764">
        <v>3275</v>
      </c>
      <c r="BI764">
        <v>0</v>
      </c>
      <c r="BJ764">
        <v>0</v>
      </c>
      <c r="BK764">
        <v>0</v>
      </c>
      <c r="BL764">
        <v>0</v>
      </c>
      <c r="BO764">
        <v>0</v>
      </c>
      <c r="BP764">
        <v>0</v>
      </c>
      <c r="BW764" t="str">
        <f>"18:39:42.261"</f>
        <v>18:39:42.261</v>
      </c>
      <c r="BZ764">
        <v>0</v>
      </c>
      <c r="CA764">
        <v>3488</v>
      </c>
      <c r="CB764">
        <v>216</v>
      </c>
      <c r="CC764">
        <v>583.59379999999999</v>
      </c>
      <c r="CD764">
        <v>1</v>
      </c>
      <c r="CE764">
        <v>1</v>
      </c>
      <c r="CF764">
        <v>0</v>
      </c>
      <c r="CG764">
        <v>1</v>
      </c>
      <c r="CH764">
        <v>0</v>
      </c>
      <c r="CI764">
        <v>0</v>
      </c>
      <c r="CJ764">
        <v>0</v>
      </c>
      <c r="CK764">
        <v>2</v>
      </c>
      <c r="CL764">
        <v>0</v>
      </c>
      <c r="CM764">
        <v>2</v>
      </c>
      <c r="CN764">
        <v>0</v>
      </c>
      <c r="CO764">
        <v>6</v>
      </c>
      <c r="CP764" t="s">
        <v>119</v>
      </c>
      <c r="CQ764">
        <v>145</v>
      </c>
      <c r="CR764">
        <v>1</v>
      </c>
      <c r="CW764">
        <v>8970087</v>
      </c>
      <c r="CY764">
        <v>0</v>
      </c>
      <c r="CZ764">
        <v>0</v>
      </c>
      <c r="DA764">
        <v>0</v>
      </c>
      <c r="DB764">
        <v>0</v>
      </c>
      <c r="DC764">
        <v>0</v>
      </c>
      <c r="DD764">
        <v>0</v>
      </c>
      <c r="DE764">
        <v>0</v>
      </c>
      <c r="DF764">
        <v>0</v>
      </c>
      <c r="DG764">
        <v>0</v>
      </c>
      <c r="DH764">
        <v>0</v>
      </c>
      <c r="DI764">
        <v>0</v>
      </c>
    </row>
    <row r="765" spans="1:113" x14ac:dyDescent="0.3">
      <c r="A765" t="str">
        <f>"02/13/2022 18:39:42.483"</f>
        <v>02/13/2022 18:39:42.483</v>
      </c>
      <c r="C765" t="str">
        <f t="shared" si="77"/>
        <v>FFDFD7C0</v>
      </c>
      <c r="D765" t="s">
        <v>113</v>
      </c>
      <c r="E765">
        <v>4</v>
      </c>
      <c r="F765">
        <v>1004</v>
      </c>
      <c r="G765" t="s">
        <v>120</v>
      </c>
      <c r="J765" t="s">
        <v>115</v>
      </c>
      <c r="K765">
        <v>0</v>
      </c>
      <c r="L765">
        <v>3</v>
      </c>
      <c r="M765">
        <v>0</v>
      </c>
      <c r="N765">
        <v>2</v>
      </c>
      <c r="O765">
        <v>1</v>
      </c>
      <c r="P765">
        <v>0</v>
      </c>
      <c r="Q765">
        <v>0</v>
      </c>
      <c r="S765" t="str">
        <f>"18:39:42.258"</f>
        <v>18:39:42.258</v>
      </c>
      <c r="T765" t="str">
        <f>"18:39:41.858"</f>
        <v>18:39:41.858</v>
      </c>
      <c r="U765" t="str">
        <f t="shared" si="76"/>
        <v>AAB6EE</v>
      </c>
      <c r="V765">
        <v>0</v>
      </c>
      <c r="W765">
        <v>0</v>
      </c>
      <c r="X765">
        <v>4</v>
      </c>
      <c r="Z765">
        <v>0</v>
      </c>
      <c r="AA765">
        <v>8</v>
      </c>
      <c r="AB765">
        <v>3</v>
      </c>
      <c r="AC765">
        <v>0</v>
      </c>
      <c r="AD765">
        <v>10</v>
      </c>
      <c r="AE765">
        <v>0</v>
      </c>
      <c r="AF765">
        <v>0</v>
      </c>
      <c r="AG765">
        <v>2</v>
      </c>
      <c r="AH765">
        <v>1</v>
      </c>
      <c r="AI765" t="s">
        <v>631</v>
      </c>
      <c r="AJ765">
        <v>35.367780000000003</v>
      </c>
      <c r="AK765" t="s">
        <v>632</v>
      </c>
      <c r="AL765">
        <v>-76.128173000000004</v>
      </c>
      <c r="AM765">
        <v>25</v>
      </c>
      <c r="AN765">
        <v>3425</v>
      </c>
      <c r="AO765" t="s">
        <v>118</v>
      </c>
      <c r="AP765">
        <v>-103</v>
      </c>
      <c r="AQ765">
        <v>-197</v>
      </c>
      <c r="AR765">
        <v>0</v>
      </c>
      <c r="AZ765">
        <v>4516</v>
      </c>
      <c r="BA765">
        <v>1</v>
      </c>
      <c r="BB765" t="str">
        <f t="shared" si="78"/>
        <v xml:space="preserve">N79NX   </v>
      </c>
      <c r="BC765">
        <v>1</v>
      </c>
      <c r="BE765">
        <v>0</v>
      </c>
      <c r="BF765">
        <v>0</v>
      </c>
      <c r="BG765">
        <v>0</v>
      </c>
      <c r="BH765">
        <v>3275</v>
      </c>
      <c r="BI765">
        <v>0</v>
      </c>
      <c r="BJ765">
        <v>0</v>
      </c>
      <c r="BK765">
        <v>0</v>
      </c>
      <c r="BL765">
        <v>0</v>
      </c>
      <c r="BO765">
        <v>0</v>
      </c>
      <c r="BP765">
        <v>0</v>
      </c>
      <c r="BW765" t="str">
        <f>"18:39:42.261"</f>
        <v>18:39:42.261</v>
      </c>
      <c r="BZ765">
        <v>0</v>
      </c>
      <c r="CA765">
        <v>3488</v>
      </c>
      <c r="CB765">
        <v>216</v>
      </c>
      <c r="CC765">
        <v>583.59379999999999</v>
      </c>
      <c r="CD765">
        <v>1</v>
      </c>
      <c r="CE765">
        <v>1</v>
      </c>
      <c r="CF765">
        <v>0</v>
      </c>
      <c r="CG765">
        <v>1</v>
      </c>
      <c r="CH765">
        <v>0</v>
      </c>
      <c r="CI765">
        <v>0</v>
      </c>
      <c r="CJ765">
        <v>0</v>
      </c>
      <c r="CK765">
        <v>2</v>
      </c>
      <c r="CL765">
        <v>0</v>
      </c>
      <c r="CM765">
        <v>2</v>
      </c>
      <c r="CN765">
        <v>0</v>
      </c>
      <c r="CO765">
        <v>6</v>
      </c>
      <c r="CP765" t="s">
        <v>119</v>
      </c>
      <c r="CQ765">
        <v>145</v>
      </c>
      <c r="CR765">
        <v>1</v>
      </c>
      <c r="CW765">
        <v>8970087</v>
      </c>
      <c r="CY765">
        <v>0</v>
      </c>
      <c r="CZ765">
        <v>0</v>
      </c>
      <c r="DA765">
        <v>1</v>
      </c>
      <c r="DB765">
        <v>0</v>
      </c>
      <c r="DC765">
        <v>0</v>
      </c>
      <c r="DD765">
        <v>0</v>
      </c>
      <c r="DE765">
        <v>0</v>
      </c>
      <c r="DF765">
        <v>0</v>
      </c>
      <c r="DG765">
        <v>0</v>
      </c>
      <c r="DH765">
        <v>0</v>
      </c>
      <c r="DI765">
        <v>0</v>
      </c>
    </row>
    <row r="766" spans="1:113" x14ac:dyDescent="0.3">
      <c r="A766" t="str">
        <f>"02/13/2022 18:39:42.514"</f>
        <v>02/13/2022 18:39:42.514</v>
      </c>
      <c r="C766" t="str">
        <f t="shared" si="77"/>
        <v>FFDFD7C0</v>
      </c>
      <c r="D766" t="s">
        <v>121</v>
      </c>
      <c r="E766">
        <v>2</v>
      </c>
      <c r="H766">
        <v>158</v>
      </c>
      <c r="I766" t="s">
        <v>120</v>
      </c>
      <c r="J766" t="s">
        <v>122</v>
      </c>
      <c r="K766">
        <v>0</v>
      </c>
      <c r="L766">
        <v>3</v>
      </c>
      <c r="M766">
        <v>0</v>
      </c>
      <c r="N766">
        <v>2</v>
      </c>
      <c r="O766">
        <v>1</v>
      </c>
      <c r="P766">
        <v>0</v>
      </c>
      <c r="Q766">
        <v>0</v>
      </c>
      <c r="S766" t="str">
        <f>"18:39:42.258"</f>
        <v>18:39:42.258</v>
      </c>
      <c r="T766" t="str">
        <f>"18:39:41.858"</f>
        <v>18:39:41.858</v>
      </c>
      <c r="U766" t="str">
        <f t="shared" si="76"/>
        <v>AAB6EE</v>
      </c>
      <c r="V766">
        <v>0</v>
      </c>
      <c r="W766">
        <v>0</v>
      </c>
      <c r="X766">
        <v>4</v>
      </c>
      <c r="Z766">
        <v>0</v>
      </c>
      <c r="AA766">
        <v>8</v>
      </c>
      <c r="AB766">
        <v>3</v>
      </c>
      <c r="AC766">
        <v>0</v>
      </c>
      <c r="AD766">
        <v>10</v>
      </c>
      <c r="AE766">
        <v>0</v>
      </c>
      <c r="AF766">
        <v>0</v>
      </c>
      <c r="AG766">
        <v>2</v>
      </c>
      <c r="AH766">
        <v>1</v>
      </c>
      <c r="AI766" t="s">
        <v>631</v>
      </c>
      <c r="AJ766">
        <v>35.367780000000003</v>
      </c>
      <c r="AK766" t="s">
        <v>632</v>
      </c>
      <c r="AL766">
        <v>-76.128173000000004</v>
      </c>
      <c r="AM766">
        <v>25</v>
      </c>
      <c r="AN766">
        <v>3425</v>
      </c>
      <c r="AO766" t="s">
        <v>118</v>
      </c>
      <c r="AP766">
        <v>-103</v>
      </c>
      <c r="AQ766">
        <v>-197</v>
      </c>
      <c r="AR766">
        <v>0</v>
      </c>
      <c r="AZ766">
        <v>4516</v>
      </c>
      <c r="BA766">
        <v>1</v>
      </c>
      <c r="BB766" t="str">
        <f t="shared" si="78"/>
        <v xml:space="preserve">N79NX   </v>
      </c>
      <c r="BC766">
        <v>1</v>
      </c>
      <c r="BE766">
        <v>0</v>
      </c>
      <c r="BF766">
        <v>0</v>
      </c>
      <c r="BG766">
        <v>0</v>
      </c>
      <c r="BH766">
        <v>3275</v>
      </c>
      <c r="BI766">
        <v>0</v>
      </c>
      <c r="BJ766">
        <v>0</v>
      </c>
      <c r="BK766">
        <v>0</v>
      </c>
      <c r="BL766">
        <v>0</v>
      </c>
      <c r="BO766">
        <v>0</v>
      </c>
      <c r="BP766">
        <v>0</v>
      </c>
      <c r="BW766" t="str">
        <f>"18:39:42.261"</f>
        <v>18:39:42.261</v>
      </c>
      <c r="BZ766">
        <v>0</v>
      </c>
      <c r="CA766">
        <v>3488</v>
      </c>
      <c r="CB766">
        <v>216</v>
      </c>
      <c r="CC766">
        <v>583.59379999999999</v>
      </c>
      <c r="CD766">
        <v>1</v>
      </c>
      <c r="CE766">
        <v>1</v>
      </c>
      <c r="CF766">
        <v>0</v>
      </c>
      <c r="CG766">
        <v>1</v>
      </c>
      <c r="CH766">
        <v>0</v>
      </c>
      <c r="CI766">
        <v>0</v>
      </c>
      <c r="CJ766">
        <v>0</v>
      </c>
      <c r="CK766">
        <v>2</v>
      </c>
      <c r="CL766">
        <v>0</v>
      </c>
      <c r="CM766">
        <v>2</v>
      </c>
      <c r="CN766">
        <v>0</v>
      </c>
      <c r="CO766">
        <v>6</v>
      </c>
      <c r="CP766" t="s">
        <v>119</v>
      </c>
      <c r="CQ766">
        <v>145</v>
      </c>
      <c r="CR766">
        <v>1</v>
      </c>
      <c r="CW766">
        <v>8970087</v>
      </c>
      <c r="CY766">
        <v>0</v>
      </c>
      <c r="CZ766">
        <v>0</v>
      </c>
      <c r="DA766">
        <v>1</v>
      </c>
      <c r="DB766">
        <v>0</v>
      </c>
      <c r="DC766">
        <v>0</v>
      </c>
      <c r="DD766">
        <v>0</v>
      </c>
      <c r="DE766">
        <v>0</v>
      </c>
      <c r="DF766">
        <v>0</v>
      </c>
      <c r="DG766">
        <v>0</v>
      </c>
      <c r="DH766">
        <v>0</v>
      </c>
      <c r="DI766">
        <v>0</v>
      </c>
    </row>
    <row r="767" spans="1:113" x14ac:dyDescent="0.3">
      <c r="A767" t="str">
        <f>"02/13/2022 18:39:43.639"</f>
        <v>02/13/2022 18:39:43.639</v>
      </c>
      <c r="C767" t="str">
        <f t="shared" si="77"/>
        <v>FFDFD7C0</v>
      </c>
      <c r="D767" t="s">
        <v>121</v>
      </c>
      <c r="E767">
        <v>2</v>
      </c>
      <c r="H767">
        <v>158</v>
      </c>
      <c r="I767" t="s">
        <v>120</v>
      </c>
      <c r="J767" t="s">
        <v>122</v>
      </c>
      <c r="K767">
        <v>0</v>
      </c>
      <c r="L767">
        <v>3</v>
      </c>
      <c r="M767">
        <v>0</v>
      </c>
      <c r="N767">
        <v>2</v>
      </c>
      <c r="O767">
        <v>1</v>
      </c>
      <c r="P767">
        <v>0</v>
      </c>
      <c r="Q767">
        <v>0</v>
      </c>
      <c r="S767" t="str">
        <f>"18:39:43.414"</f>
        <v>18:39:43.414</v>
      </c>
      <c r="T767" t="str">
        <f>"18:39:43.014"</f>
        <v>18:39:43.014</v>
      </c>
      <c r="U767" t="str">
        <f t="shared" si="76"/>
        <v>AAB6EE</v>
      </c>
      <c r="V767">
        <v>0</v>
      </c>
      <c r="W767">
        <v>0</v>
      </c>
      <c r="X767">
        <v>4</v>
      </c>
      <c r="Z767">
        <v>0</v>
      </c>
      <c r="AA767">
        <v>8</v>
      </c>
      <c r="AB767">
        <v>3</v>
      </c>
      <c r="AC767">
        <v>0</v>
      </c>
      <c r="AD767">
        <v>10</v>
      </c>
      <c r="AE767">
        <v>0</v>
      </c>
      <c r="AF767">
        <v>0</v>
      </c>
      <c r="AG767">
        <v>2</v>
      </c>
      <c r="AH767">
        <v>1</v>
      </c>
      <c r="AI767" t="s">
        <v>633</v>
      </c>
      <c r="AJ767">
        <v>35.366664</v>
      </c>
      <c r="AK767" t="s">
        <v>634</v>
      </c>
      <c r="AL767">
        <v>-76.128881000000007</v>
      </c>
      <c r="AM767">
        <v>25</v>
      </c>
      <c r="AN767">
        <v>3425</v>
      </c>
      <c r="AO767" t="s">
        <v>118</v>
      </c>
      <c r="AP767">
        <v>-103</v>
      </c>
      <c r="AQ767">
        <v>-197</v>
      </c>
      <c r="AR767">
        <v>0</v>
      </c>
      <c r="AZ767">
        <v>4516</v>
      </c>
      <c r="BA767">
        <v>1</v>
      </c>
      <c r="BB767" t="str">
        <f t="shared" si="78"/>
        <v xml:space="preserve">N79NX   </v>
      </c>
      <c r="BC767">
        <v>1</v>
      </c>
      <c r="BE767">
        <v>0</v>
      </c>
      <c r="BF767">
        <v>0</v>
      </c>
      <c r="BG767">
        <v>0</v>
      </c>
      <c r="BH767">
        <v>3300</v>
      </c>
      <c r="BI767">
        <v>0</v>
      </c>
      <c r="BJ767">
        <v>0</v>
      </c>
      <c r="BK767">
        <v>0</v>
      </c>
      <c r="BL767">
        <v>0</v>
      </c>
      <c r="BO767">
        <v>0</v>
      </c>
      <c r="BP767">
        <v>0</v>
      </c>
      <c r="BW767" t="str">
        <f>"18:39:43.421"</f>
        <v>18:39:43.421</v>
      </c>
      <c r="BZ767">
        <v>0</v>
      </c>
      <c r="CA767">
        <v>3488</v>
      </c>
      <c r="CB767">
        <v>216</v>
      </c>
      <c r="CC767">
        <v>583.59379999999999</v>
      </c>
      <c r="CD767">
        <v>1</v>
      </c>
      <c r="CE767">
        <v>1</v>
      </c>
      <c r="CF767">
        <v>0</v>
      </c>
      <c r="CG767">
        <v>1</v>
      </c>
      <c r="CH767">
        <v>0</v>
      </c>
      <c r="CI767">
        <v>0</v>
      </c>
      <c r="CJ767">
        <v>0</v>
      </c>
      <c r="CK767">
        <v>2</v>
      </c>
      <c r="CL767">
        <v>0</v>
      </c>
      <c r="CM767">
        <v>2</v>
      </c>
      <c r="CN767">
        <v>0</v>
      </c>
      <c r="CO767">
        <v>5</v>
      </c>
      <c r="CP767" t="s">
        <v>119</v>
      </c>
      <c r="CQ767">
        <v>145</v>
      </c>
      <c r="CR767">
        <v>1</v>
      </c>
      <c r="CW767">
        <v>8970672</v>
      </c>
      <c r="CY767">
        <v>0</v>
      </c>
      <c r="CZ767">
        <v>0</v>
      </c>
      <c r="DA767">
        <v>0</v>
      </c>
      <c r="DB767">
        <v>0</v>
      </c>
      <c r="DC767">
        <v>0</v>
      </c>
      <c r="DD767">
        <v>0</v>
      </c>
      <c r="DE767">
        <v>0</v>
      </c>
      <c r="DF767">
        <v>0</v>
      </c>
      <c r="DG767">
        <v>0</v>
      </c>
      <c r="DH767">
        <v>0</v>
      </c>
      <c r="DI767">
        <v>0</v>
      </c>
    </row>
    <row r="768" spans="1:113" x14ac:dyDescent="0.3">
      <c r="A768" t="str">
        <f>"02/13/2022 18:39:43.639"</f>
        <v>02/13/2022 18:39:43.639</v>
      </c>
      <c r="C768" t="str">
        <f t="shared" si="77"/>
        <v>FFDFD7C0</v>
      </c>
      <c r="D768" t="s">
        <v>113</v>
      </c>
      <c r="E768">
        <v>3</v>
      </c>
      <c r="F768">
        <v>1003</v>
      </c>
      <c r="G768" t="s">
        <v>114</v>
      </c>
      <c r="J768" t="s">
        <v>115</v>
      </c>
      <c r="K768">
        <v>0</v>
      </c>
      <c r="L768">
        <v>3</v>
      </c>
      <c r="M768">
        <v>0</v>
      </c>
      <c r="N768">
        <v>2</v>
      </c>
      <c r="O768">
        <v>1</v>
      </c>
      <c r="P768">
        <v>0</v>
      </c>
      <c r="Q768">
        <v>0</v>
      </c>
      <c r="S768" t="str">
        <f>"18:39:43.414"</f>
        <v>18:39:43.414</v>
      </c>
      <c r="T768" t="str">
        <f>"18:39:43.014"</f>
        <v>18:39:43.014</v>
      </c>
      <c r="U768" t="str">
        <f t="shared" si="76"/>
        <v>AAB6EE</v>
      </c>
      <c r="V768">
        <v>0</v>
      </c>
      <c r="W768">
        <v>0</v>
      </c>
      <c r="X768">
        <v>4</v>
      </c>
      <c r="Z768">
        <v>0</v>
      </c>
      <c r="AA768">
        <v>8</v>
      </c>
      <c r="AB768">
        <v>3</v>
      </c>
      <c r="AC768">
        <v>0</v>
      </c>
      <c r="AD768">
        <v>10</v>
      </c>
      <c r="AE768">
        <v>0</v>
      </c>
      <c r="AF768">
        <v>0</v>
      </c>
      <c r="AG768">
        <v>2</v>
      </c>
      <c r="AH768">
        <v>1</v>
      </c>
      <c r="AI768" t="s">
        <v>633</v>
      </c>
      <c r="AJ768">
        <v>35.366664</v>
      </c>
      <c r="AK768" t="s">
        <v>634</v>
      </c>
      <c r="AL768">
        <v>-76.128881000000007</v>
      </c>
      <c r="AM768">
        <v>25</v>
      </c>
      <c r="AN768">
        <v>3425</v>
      </c>
      <c r="AO768" t="s">
        <v>118</v>
      </c>
      <c r="AP768">
        <v>-103</v>
      </c>
      <c r="AQ768">
        <v>-197</v>
      </c>
      <c r="AR768">
        <v>0</v>
      </c>
      <c r="AZ768">
        <v>4516</v>
      </c>
      <c r="BA768">
        <v>1</v>
      </c>
      <c r="BB768" t="str">
        <f t="shared" si="78"/>
        <v xml:space="preserve">N79NX   </v>
      </c>
      <c r="BC768">
        <v>1</v>
      </c>
      <c r="BE768">
        <v>0</v>
      </c>
      <c r="BF768">
        <v>0</v>
      </c>
      <c r="BG768">
        <v>0</v>
      </c>
      <c r="BH768">
        <v>3300</v>
      </c>
      <c r="BI768">
        <v>0</v>
      </c>
      <c r="BJ768">
        <v>0</v>
      </c>
      <c r="BK768">
        <v>0</v>
      </c>
      <c r="BL768">
        <v>0</v>
      </c>
      <c r="BO768">
        <v>0</v>
      </c>
      <c r="BP768">
        <v>0</v>
      </c>
      <c r="BW768" t="str">
        <f>"18:39:43.421"</f>
        <v>18:39:43.421</v>
      </c>
      <c r="BZ768">
        <v>0</v>
      </c>
      <c r="CA768">
        <v>3488</v>
      </c>
      <c r="CB768">
        <v>216</v>
      </c>
      <c r="CC768">
        <v>583.59379999999999</v>
      </c>
      <c r="CD768">
        <v>1</v>
      </c>
      <c r="CE768">
        <v>1</v>
      </c>
      <c r="CF768">
        <v>0</v>
      </c>
      <c r="CG768">
        <v>1</v>
      </c>
      <c r="CH768">
        <v>0</v>
      </c>
      <c r="CI768">
        <v>0</v>
      </c>
      <c r="CJ768">
        <v>0</v>
      </c>
      <c r="CK768">
        <v>2</v>
      </c>
      <c r="CL768">
        <v>0</v>
      </c>
      <c r="CM768">
        <v>2</v>
      </c>
      <c r="CN768">
        <v>0</v>
      </c>
      <c r="CO768">
        <v>5</v>
      </c>
      <c r="CP768" t="s">
        <v>119</v>
      </c>
      <c r="CQ768">
        <v>145</v>
      </c>
      <c r="CR768">
        <v>1</v>
      </c>
      <c r="CW768">
        <v>8970672</v>
      </c>
      <c r="CY768">
        <v>0</v>
      </c>
      <c r="CZ768">
        <v>0</v>
      </c>
      <c r="DA768">
        <v>1</v>
      </c>
      <c r="DB768">
        <v>0</v>
      </c>
      <c r="DC768">
        <v>0</v>
      </c>
      <c r="DD768">
        <v>0</v>
      </c>
      <c r="DE768">
        <v>0</v>
      </c>
      <c r="DF768">
        <v>0</v>
      </c>
      <c r="DG768">
        <v>0</v>
      </c>
      <c r="DH768">
        <v>0</v>
      </c>
      <c r="DI768">
        <v>0</v>
      </c>
    </row>
    <row r="769" spans="1:113" x14ac:dyDescent="0.3">
      <c r="A769" t="str">
        <f>"02/13/2022 18:39:43.639"</f>
        <v>02/13/2022 18:39:43.639</v>
      </c>
      <c r="C769" t="str">
        <f t="shared" si="77"/>
        <v>FFDFD7C0</v>
      </c>
      <c r="D769" t="s">
        <v>113</v>
      </c>
      <c r="E769">
        <v>4</v>
      </c>
      <c r="F769">
        <v>1004</v>
      </c>
      <c r="G769" t="s">
        <v>120</v>
      </c>
      <c r="J769" t="s">
        <v>115</v>
      </c>
      <c r="K769">
        <v>0</v>
      </c>
      <c r="L769">
        <v>3</v>
      </c>
      <c r="M769">
        <v>0</v>
      </c>
      <c r="N769">
        <v>2</v>
      </c>
      <c r="O769">
        <v>1</v>
      </c>
      <c r="P769">
        <v>0</v>
      </c>
      <c r="Q769">
        <v>0</v>
      </c>
      <c r="S769" t="str">
        <f>"18:39:43.414"</f>
        <v>18:39:43.414</v>
      </c>
      <c r="T769" t="str">
        <f>"18:39:43.014"</f>
        <v>18:39:43.014</v>
      </c>
      <c r="U769" t="str">
        <f t="shared" si="76"/>
        <v>AAB6EE</v>
      </c>
      <c r="V769">
        <v>0</v>
      </c>
      <c r="W769">
        <v>0</v>
      </c>
      <c r="X769">
        <v>4</v>
      </c>
      <c r="Z769">
        <v>0</v>
      </c>
      <c r="AA769">
        <v>8</v>
      </c>
      <c r="AB769">
        <v>3</v>
      </c>
      <c r="AC769">
        <v>0</v>
      </c>
      <c r="AD769">
        <v>10</v>
      </c>
      <c r="AE769">
        <v>0</v>
      </c>
      <c r="AF769">
        <v>0</v>
      </c>
      <c r="AG769">
        <v>2</v>
      </c>
      <c r="AH769">
        <v>1</v>
      </c>
      <c r="AI769" t="s">
        <v>633</v>
      </c>
      <c r="AJ769">
        <v>35.366664</v>
      </c>
      <c r="AK769" t="s">
        <v>634</v>
      </c>
      <c r="AL769">
        <v>-76.128881000000007</v>
      </c>
      <c r="AM769">
        <v>25</v>
      </c>
      <c r="AN769">
        <v>3425</v>
      </c>
      <c r="AO769" t="s">
        <v>118</v>
      </c>
      <c r="AP769">
        <v>-103</v>
      </c>
      <c r="AQ769">
        <v>-197</v>
      </c>
      <c r="AR769">
        <v>0</v>
      </c>
      <c r="AZ769">
        <v>4516</v>
      </c>
      <c r="BA769">
        <v>1</v>
      </c>
      <c r="BB769" t="str">
        <f t="shared" si="78"/>
        <v xml:space="preserve">N79NX   </v>
      </c>
      <c r="BC769">
        <v>1</v>
      </c>
      <c r="BE769">
        <v>0</v>
      </c>
      <c r="BF769">
        <v>0</v>
      </c>
      <c r="BG769">
        <v>0</v>
      </c>
      <c r="BH769">
        <v>3300</v>
      </c>
      <c r="BI769">
        <v>0</v>
      </c>
      <c r="BJ769">
        <v>0</v>
      </c>
      <c r="BK769">
        <v>0</v>
      </c>
      <c r="BL769">
        <v>0</v>
      </c>
      <c r="BO769">
        <v>0</v>
      </c>
      <c r="BP769">
        <v>0</v>
      </c>
      <c r="BW769" t="str">
        <f>"18:39:43.421"</f>
        <v>18:39:43.421</v>
      </c>
      <c r="BZ769">
        <v>0</v>
      </c>
      <c r="CA769">
        <v>3488</v>
      </c>
      <c r="CB769">
        <v>216</v>
      </c>
      <c r="CC769">
        <v>583.59379999999999</v>
      </c>
      <c r="CD769">
        <v>1</v>
      </c>
      <c r="CE769">
        <v>1</v>
      </c>
      <c r="CF769">
        <v>0</v>
      </c>
      <c r="CG769">
        <v>1</v>
      </c>
      <c r="CH769">
        <v>0</v>
      </c>
      <c r="CI769">
        <v>0</v>
      </c>
      <c r="CJ769">
        <v>0</v>
      </c>
      <c r="CK769">
        <v>2</v>
      </c>
      <c r="CL769">
        <v>0</v>
      </c>
      <c r="CM769">
        <v>2</v>
      </c>
      <c r="CN769">
        <v>0</v>
      </c>
      <c r="CO769">
        <v>5</v>
      </c>
      <c r="CP769" t="s">
        <v>119</v>
      </c>
      <c r="CQ769">
        <v>145</v>
      </c>
      <c r="CR769">
        <v>1</v>
      </c>
      <c r="CW769">
        <v>8970672</v>
      </c>
      <c r="CY769">
        <v>0</v>
      </c>
      <c r="CZ769">
        <v>0</v>
      </c>
      <c r="DA769">
        <v>1</v>
      </c>
      <c r="DB769">
        <v>0</v>
      </c>
      <c r="DC769">
        <v>0</v>
      </c>
      <c r="DD769">
        <v>0</v>
      </c>
      <c r="DE769">
        <v>0</v>
      </c>
      <c r="DF769">
        <v>0</v>
      </c>
      <c r="DG769">
        <v>0</v>
      </c>
      <c r="DH769">
        <v>0</v>
      </c>
      <c r="DI769">
        <v>0</v>
      </c>
    </row>
    <row r="770" spans="1:113" x14ac:dyDescent="0.3">
      <c r="A770" t="str">
        <f>"02/13/2022 18:39:44.689"</f>
        <v>02/13/2022 18:39:44.689</v>
      </c>
      <c r="C770" t="str">
        <f t="shared" si="77"/>
        <v>FFDFD7C0</v>
      </c>
      <c r="D770" t="s">
        <v>113</v>
      </c>
      <c r="E770">
        <v>3</v>
      </c>
      <c r="F770">
        <v>1003</v>
      </c>
      <c r="G770" t="s">
        <v>114</v>
      </c>
      <c r="J770" t="s">
        <v>115</v>
      </c>
      <c r="K770">
        <v>0</v>
      </c>
      <c r="L770">
        <v>3</v>
      </c>
      <c r="M770">
        <v>0</v>
      </c>
      <c r="N770">
        <v>2</v>
      </c>
      <c r="O770">
        <v>1</v>
      </c>
      <c r="P770">
        <v>0</v>
      </c>
      <c r="Q770">
        <v>0</v>
      </c>
      <c r="S770" t="str">
        <f>"18:39:44.500"</f>
        <v>18:39:44.500</v>
      </c>
      <c r="T770" t="str">
        <f>"18:39:44.100"</f>
        <v>18:39:44.100</v>
      </c>
      <c r="U770" t="str">
        <f t="shared" ref="U770:U833" si="80">"AAB6EE"</f>
        <v>AAB6EE</v>
      </c>
      <c r="V770">
        <v>0</v>
      </c>
      <c r="W770">
        <v>0</v>
      </c>
      <c r="X770">
        <v>4</v>
      </c>
      <c r="Z770">
        <v>0</v>
      </c>
      <c r="AA770">
        <v>8</v>
      </c>
      <c r="AB770">
        <v>3</v>
      </c>
      <c r="AC770">
        <v>0</v>
      </c>
      <c r="AD770">
        <v>10</v>
      </c>
      <c r="AE770">
        <v>0</v>
      </c>
      <c r="AF770">
        <v>0</v>
      </c>
      <c r="AG770">
        <v>2</v>
      </c>
      <c r="AH770">
        <v>1</v>
      </c>
      <c r="AI770" t="s">
        <v>635</v>
      </c>
      <c r="AJ770">
        <v>35.365783999999998</v>
      </c>
      <c r="AK770" t="s">
        <v>636</v>
      </c>
      <c r="AL770">
        <v>-76.129417000000004</v>
      </c>
      <c r="AM770">
        <v>25</v>
      </c>
      <c r="AN770">
        <v>3425</v>
      </c>
      <c r="AO770" t="s">
        <v>118</v>
      </c>
      <c r="AP770">
        <v>-103</v>
      </c>
      <c r="AQ770">
        <v>-197</v>
      </c>
      <c r="AR770">
        <v>0</v>
      </c>
      <c r="AZ770">
        <v>4516</v>
      </c>
      <c r="BA770">
        <v>1</v>
      </c>
      <c r="BB770" t="str">
        <f t="shared" si="78"/>
        <v xml:space="preserve">N79NX   </v>
      </c>
      <c r="BC770">
        <v>1</v>
      </c>
      <c r="BE770">
        <v>0</v>
      </c>
      <c r="BF770">
        <v>0</v>
      </c>
      <c r="BG770">
        <v>0</v>
      </c>
      <c r="BH770">
        <v>3275</v>
      </c>
      <c r="BI770">
        <v>0</v>
      </c>
      <c r="BJ770">
        <v>0</v>
      </c>
      <c r="BK770">
        <v>0</v>
      </c>
      <c r="BL770">
        <v>0</v>
      </c>
      <c r="BO770">
        <v>0</v>
      </c>
      <c r="BP770">
        <v>0</v>
      </c>
      <c r="BW770" t="str">
        <f>"18:39:44.501"</f>
        <v>18:39:44.501</v>
      </c>
      <c r="BZ770">
        <v>0</v>
      </c>
      <c r="CA770">
        <v>3488</v>
      </c>
      <c r="CB770">
        <v>216</v>
      </c>
      <c r="CC770">
        <v>583.59379999999999</v>
      </c>
      <c r="CD770">
        <v>1</v>
      </c>
      <c r="CE770">
        <v>1</v>
      </c>
      <c r="CF770">
        <v>0</v>
      </c>
      <c r="CG770">
        <v>1</v>
      </c>
      <c r="CH770">
        <v>0</v>
      </c>
      <c r="CI770">
        <v>0</v>
      </c>
      <c r="CJ770">
        <v>0</v>
      </c>
      <c r="CK770">
        <v>2</v>
      </c>
      <c r="CL770">
        <v>0</v>
      </c>
      <c r="CM770">
        <v>2</v>
      </c>
      <c r="CN770">
        <v>0</v>
      </c>
      <c r="CO770">
        <v>5</v>
      </c>
      <c r="CP770" t="s">
        <v>119</v>
      </c>
      <c r="CQ770">
        <v>145</v>
      </c>
      <c r="CR770">
        <v>1</v>
      </c>
      <c r="CW770">
        <v>8971221</v>
      </c>
      <c r="CY770">
        <v>0</v>
      </c>
      <c r="CZ770">
        <v>0</v>
      </c>
      <c r="DA770">
        <v>0</v>
      </c>
      <c r="DB770">
        <v>0</v>
      </c>
      <c r="DC770">
        <v>0</v>
      </c>
      <c r="DD770">
        <v>0</v>
      </c>
      <c r="DE770">
        <v>0</v>
      </c>
      <c r="DF770">
        <v>0</v>
      </c>
      <c r="DG770">
        <v>0</v>
      </c>
      <c r="DH770">
        <v>0</v>
      </c>
      <c r="DI770">
        <v>0</v>
      </c>
    </row>
    <row r="771" spans="1:113" x14ac:dyDescent="0.3">
      <c r="A771" t="str">
        <f>"02/13/2022 18:39:44.689"</f>
        <v>02/13/2022 18:39:44.689</v>
      </c>
      <c r="C771" t="str">
        <f t="shared" si="77"/>
        <v>FFDFD7C0</v>
      </c>
      <c r="D771" t="s">
        <v>113</v>
      </c>
      <c r="E771">
        <v>4</v>
      </c>
      <c r="F771">
        <v>1004</v>
      </c>
      <c r="G771" t="s">
        <v>120</v>
      </c>
      <c r="J771" t="s">
        <v>115</v>
      </c>
      <c r="K771">
        <v>0</v>
      </c>
      <c r="L771">
        <v>3</v>
      </c>
      <c r="M771">
        <v>0</v>
      </c>
      <c r="N771">
        <v>2</v>
      </c>
      <c r="O771">
        <v>1</v>
      </c>
      <c r="P771">
        <v>0</v>
      </c>
      <c r="Q771">
        <v>0</v>
      </c>
      <c r="S771" t="str">
        <f>"18:39:44.500"</f>
        <v>18:39:44.500</v>
      </c>
      <c r="T771" t="str">
        <f>"18:39:44.100"</f>
        <v>18:39:44.100</v>
      </c>
      <c r="U771" t="str">
        <f t="shared" si="80"/>
        <v>AAB6EE</v>
      </c>
      <c r="V771">
        <v>0</v>
      </c>
      <c r="W771">
        <v>0</v>
      </c>
      <c r="X771">
        <v>4</v>
      </c>
      <c r="Z771">
        <v>0</v>
      </c>
      <c r="AA771">
        <v>8</v>
      </c>
      <c r="AB771">
        <v>3</v>
      </c>
      <c r="AC771">
        <v>0</v>
      </c>
      <c r="AD771">
        <v>10</v>
      </c>
      <c r="AE771">
        <v>0</v>
      </c>
      <c r="AF771">
        <v>0</v>
      </c>
      <c r="AG771">
        <v>2</v>
      </c>
      <c r="AH771">
        <v>1</v>
      </c>
      <c r="AI771" t="s">
        <v>635</v>
      </c>
      <c r="AJ771">
        <v>35.365783999999998</v>
      </c>
      <c r="AK771" t="s">
        <v>636</v>
      </c>
      <c r="AL771">
        <v>-76.129417000000004</v>
      </c>
      <c r="AM771">
        <v>25</v>
      </c>
      <c r="AN771">
        <v>3425</v>
      </c>
      <c r="AO771" t="s">
        <v>118</v>
      </c>
      <c r="AP771">
        <v>-103</v>
      </c>
      <c r="AQ771">
        <v>-197</v>
      </c>
      <c r="AR771">
        <v>0</v>
      </c>
      <c r="AZ771">
        <v>4516</v>
      </c>
      <c r="BA771">
        <v>1</v>
      </c>
      <c r="BB771" t="str">
        <f t="shared" si="78"/>
        <v xml:space="preserve">N79NX   </v>
      </c>
      <c r="BC771">
        <v>1</v>
      </c>
      <c r="BE771">
        <v>0</v>
      </c>
      <c r="BF771">
        <v>0</v>
      </c>
      <c r="BG771">
        <v>0</v>
      </c>
      <c r="BH771">
        <v>3275</v>
      </c>
      <c r="BI771">
        <v>0</v>
      </c>
      <c r="BJ771">
        <v>0</v>
      </c>
      <c r="BK771">
        <v>0</v>
      </c>
      <c r="BL771">
        <v>0</v>
      </c>
      <c r="BO771">
        <v>0</v>
      </c>
      <c r="BP771">
        <v>0</v>
      </c>
      <c r="BW771" t="str">
        <f>"18:39:44.501"</f>
        <v>18:39:44.501</v>
      </c>
      <c r="BZ771">
        <v>0</v>
      </c>
      <c r="CA771">
        <v>3488</v>
      </c>
      <c r="CB771">
        <v>216</v>
      </c>
      <c r="CC771">
        <v>583.59379999999999</v>
      </c>
      <c r="CD771">
        <v>1</v>
      </c>
      <c r="CE771">
        <v>1</v>
      </c>
      <c r="CF771">
        <v>0</v>
      </c>
      <c r="CG771">
        <v>1</v>
      </c>
      <c r="CH771">
        <v>0</v>
      </c>
      <c r="CI771">
        <v>0</v>
      </c>
      <c r="CJ771">
        <v>0</v>
      </c>
      <c r="CK771">
        <v>2</v>
      </c>
      <c r="CL771">
        <v>0</v>
      </c>
      <c r="CM771">
        <v>2</v>
      </c>
      <c r="CN771">
        <v>0</v>
      </c>
      <c r="CO771">
        <v>5</v>
      </c>
      <c r="CP771" t="s">
        <v>119</v>
      </c>
      <c r="CQ771">
        <v>145</v>
      </c>
      <c r="CR771">
        <v>1</v>
      </c>
      <c r="CW771">
        <v>8971221</v>
      </c>
      <c r="CY771">
        <v>0</v>
      </c>
      <c r="CZ771">
        <v>0</v>
      </c>
      <c r="DA771">
        <v>1</v>
      </c>
      <c r="DB771">
        <v>0</v>
      </c>
      <c r="DC771">
        <v>0</v>
      </c>
      <c r="DD771">
        <v>0</v>
      </c>
      <c r="DE771">
        <v>0</v>
      </c>
      <c r="DF771">
        <v>0</v>
      </c>
      <c r="DG771">
        <v>0</v>
      </c>
      <c r="DH771">
        <v>0</v>
      </c>
      <c r="DI771">
        <v>0</v>
      </c>
    </row>
    <row r="772" spans="1:113" x14ac:dyDescent="0.3">
      <c r="A772" t="str">
        <f>"02/13/2022 18:39:44.735"</f>
        <v>02/13/2022 18:39:44.735</v>
      </c>
      <c r="C772" t="str">
        <f t="shared" si="77"/>
        <v>FFDFD7C0</v>
      </c>
      <c r="D772" t="s">
        <v>121</v>
      </c>
      <c r="E772">
        <v>2</v>
      </c>
      <c r="H772">
        <v>158</v>
      </c>
      <c r="I772" t="s">
        <v>120</v>
      </c>
      <c r="J772" t="s">
        <v>122</v>
      </c>
      <c r="K772">
        <v>0</v>
      </c>
      <c r="L772">
        <v>3</v>
      </c>
      <c r="M772">
        <v>0</v>
      </c>
      <c r="N772">
        <v>2</v>
      </c>
      <c r="O772">
        <v>1</v>
      </c>
      <c r="P772">
        <v>0</v>
      </c>
      <c r="Q772">
        <v>0</v>
      </c>
      <c r="S772" t="str">
        <f>"18:39:44.500"</f>
        <v>18:39:44.500</v>
      </c>
      <c r="T772" t="str">
        <f>"18:39:44.100"</f>
        <v>18:39:44.100</v>
      </c>
      <c r="U772" t="str">
        <f t="shared" si="80"/>
        <v>AAB6EE</v>
      </c>
      <c r="V772">
        <v>0</v>
      </c>
      <c r="W772">
        <v>0</v>
      </c>
      <c r="X772">
        <v>4</v>
      </c>
      <c r="Z772">
        <v>0</v>
      </c>
      <c r="AA772">
        <v>8</v>
      </c>
      <c r="AB772">
        <v>3</v>
      </c>
      <c r="AC772">
        <v>0</v>
      </c>
      <c r="AD772">
        <v>10</v>
      </c>
      <c r="AE772">
        <v>0</v>
      </c>
      <c r="AF772">
        <v>0</v>
      </c>
      <c r="AG772">
        <v>2</v>
      </c>
      <c r="AH772">
        <v>1</v>
      </c>
      <c r="AI772" t="s">
        <v>635</v>
      </c>
      <c r="AJ772">
        <v>35.365783999999998</v>
      </c>
      <c r="AK772" t="s">
        <v>636</v>
      </c>
      <c r="AL772">
        <v>-76.129417000000004</v>
      </c>
      <c r="AM772">
        <v>25</v>
      </c>
      <c r="AN772">
        <v>3425</v>
      </c>
      <c r="AO772" t="s">
        <v>118</v>
      </c>
      <c r="AP772">
        <v>-103</v>
      </c>
      <c r="AQ772">
        <v>-197</v>
      </c>
      <c r="AR772">
        <v>0</v>
      </c>
      <c r="AZ772">
        <v>4516</v>
      </c>
      <c r="BA772">
        <v>1</v>
      </c>
      <c r="BB772" t="str">
        <f t="shared" si="78"/>
        <v xml:space="preserve">N79NX   </v>
      </c>
      <c r="BC772">
        <v>1</v>
      </c>
      <c r="BE772">
        <v>0</v>
      </c>
      <c r="BF772">
        <v>0</v>
      </c>
      <c r="BG772">
        <v>0</v>
      </c>
      <c r="BH772">
        <v>3275</v>
      </c>
      <c r="BI772">
        <v>0</v>
      </c>
      <c r="BJ772">
        <v>0</v>
      </c>
      <c r="BK772">
        <v>0</v>
      </c>
      <c r="BL772">
        <v>0</v>
      </c>
      <c r="BO772">
        <v>0</v>
      </c>
      <c r="BP772">
        <v>0</v>
      </c>
      <c r="BW772" t="str">
        <f>"18:39:44.501"</f>
        <v>18:39:44.501</v>
      </c>
      <c r="BZ772">
        <v>0</v>
      </c>
      <c r="CA772">
        <v>3488</v>
      </c>
      <c r="CB772">
        <v>216</v>
      </c>
      <c r="CC772">
        <v>583.59379999999999</v>
      </c>
      <c r="CD772">
        <v>1</v>
      </c>
      <c r="CE772">
        <v>1</v>
      </c>
      <c r="CF772">
        <v>0</v>
      </c>
      <c r="CG772">
        <v>1</v>
      </c>
      <c r="CH772">
        <v>0</v>
      </c>
      <c r="CI772">
        <v>0</v>
      </c>
      <c r="CJ772">
        <v>0</v>
      </c>
      <c r="CK772">
        <v>2</v>
      </c>
      <c r="CL772">
        <v>0</v>
      </c>
      <c r="CM772">
        <v>2</v>
      </c>
      <c r="CN772">
        <v>0</v>
      </c>
      <c r="CO772">
        <v>5</v>
      </c>
      <c r="CP772" t="s">
        <v>119</v>
      </c>
      <c r="CQ772">
        <v>145</v>
      </c>
      <c r="CR772">
        <v>1</v>
      </c>
      <c r="CW772">
        <v>8971221</v>
      </c>
      <c r="CY772">
        <v>0</v>
      </c>
      <c r="CZ772">
        <v>0</v>
      </c>
      <c r="DA772">
        <v>1</v>
      </c>
      <c r="DB772">
        <v>0</v>
      </c>
      <c r="DC772">
        <v>0</v>
      </c>
      <c r="DD772">
        <v>0</v>
      </c>
      <c r="DE772">
        <v>0</v>
      </c>
      <c r="DF772">
        <v>0</v>
      </c>
      <c r="DG772">
        <v>0</v>
      </c>
      <c r="DH772">
        <v>0</v>
      </c>
      <c r="DI772">
        <v>0</v>
      </c>
    </row>
    <row r="773" spans="1:113" x14ac:dyDescent="0.3">
      <c r="A773" t="str">
        <f>"02/13/2022 18:39:45.643"</f>
        <v>02/13/2022 18:39:45.643</v>
      </c>
      <c r="C773" t="str">
        <f t="shared" ref="C773:C836" si="81">"FFDFD7C0"</f>
        <v>FFDFD7C0</v>
      </c>
      <c r="D773" t="s">
        <v>113</v>
      </c>
      <c r="E773">
        <v>3</v>
      </c>
      <c r="F773">
        <v>1003</v>
      </c>
      <c r="G773" t="s">
        <v>114</v>
      </c>
      <c r="J773" t="s">
        <v>115</v>
      </c>
      <c r="K773">
        <v>0</v>
      </c>
      <c r="L773">
        <v>3</v>
      </c>
      <c r="M773">
        <v>0</v>
      </c>
      <c r="N773">
        <v>2</v>
      </c>
      <c r="O773">
        <v>1</v>
      </c>
      <c r="P773">
        <v>0</v>
      </c>
      <c r="Q773">
        <v>0</v>
      </c>
      <c r="S773" t="str">
        <f>"18:39:45.438"</f>
        <v>18:39:45.438</v>
      </c>
      <c r="T773" t="str">
        <f>"18:39:45.038"</f>
        <v>18:39:45.038</v>
      </c>
      <c r="U773" t="str">
        <f t="shared" si="80"/>
        <v>AAB6EE</v>
      </c>
      <c r="V773">
        <v>0</v>
      </c>
      <c r="W773">
        <v>0</v>
      </c>
      <c r="X773">
        <v>4</v>
      </c>
      <c r="Z773">
        <v>0</v>
      </c>
      <c r="AA773">
        <v>8</v>
      </c>
      <c r="AB773">
        <v>3</v>
      </c>
      <c r="AC773">
        <v>0</v>
      </c>
      <c r="AD773">
        <v>10</v>
      </c>
      <c r="AE773">
        <v>0</v>
      </c>
      <c r="AF773">
        <v>0</v>
      </c>
      <c r="AG773">
        <v>2</v>
      </c>
      <c r="AH773">
        <v>1</v>
      </c>
      <c r="AI773" t="s">
        <v>637</v>
      </c>
      <c r="AJ773">
        <v>35.364840000000001</v>
      </c>
      <c r="AK773" t="s">
        <v>638</v>
      </c>
      <c r="AL773">
        <v>-76.129997000000003</v>
      </c>
      <c r="AM773">
        <v>25</v>
      </c>
      <c r="AN773">
        <v>3425</v>
      </c>
      <c r="AO773" t="s">
        <v>118</v>
      </c>
      <c r="AP773">
        <v>-103</v>
      </c>
      <c r="AQ773">
        <v>-197</v>
      </c>
      <c r="AR773">
        <v>0</v>
      </c>
      <c r="AZ773">
        <v>4516</v>
      </c>
      <c r="BA773">
        <v>1</v>
      </c>
      <c r="BB773" t="str">
        <f t="shared" ref="BB773:BB836" si="82">"N79NX   "</f>
        <v xml:space="preserve">N79NX   </v>
      </c>
      <c r="BC773">
        <v>1</v>
      </c>
      <c r="BE773">
        <v>0</v>
      </c>
      <c r="BF773">
        <v>0</v>
      </c>
      <c r="BG773">
        <v>0</v>
      </c>
      <c r="BH773">
        <v>3275</v>
      </c>
      <c r="BI773">
        <v>0</v>
      </c>
      <c r="BJ773">
        <v>0</v>
      </c>
      <c r="BK773">
        <v>0</v>
      </c>
      <c r="BL773">
        <v>0</v>
      </c>
      <c r="BO773">
        <v>0</v>
      </c>
      <c r="BP773">
        <v>0</v>
      </c>
      <c r="BW773" t="str">
        <f>"18:39:45.441"</f>
        <v>18:39:45.441</v>
      </c>
      <c r="BZ773">
        <v>0</v>
      </c>
      <c r="CA773">
        <v>3488</v>
      </c>
      <c r="CB773">
        <v>216</v>
      </c>
      <c r="CC773">
        <v>583.59379999999999</v>
      </c>
      <c r="CD773">
        <v>1</v>
      </c>
      <c r="CE773">
        <v>1</v>
      </c>
      <c r="CF773">
        <v>0</v>
      </c>
      <c r="CG773">
        <v>1</v>
      </c>
      <c r="CH773">
        <v>0</v>
      </c>
      <c r="CI773">
        <v>0</v>
      </c>
      <c r="CJ773">
        <v>0</v>
      </c>
      <c r="CK773">
        <v>2</v>
      </c>
      <c r="CL773">
        <v>0</v>
      </c>
      <c r="CM773">
        <v>2</v>
      </c>
      <c r="CN773">
        <v>0</v>
      </c>
      <c r="CO773">
        <v>5</v>
      </c>
      <c r="CP773" t="s">
        <v>119</v>
      </c>
      <c r="CQ773">
        <v>145</v>
      </c>
      <c r="CR773">
        <v>1</v>
      </c>
      <c r="CW773">
        <v>8971568</v>
      </c>
      <c r="CY773">
        <v>0</v>
      </c>
      <c r="CZ773">
        <v>0</v>
      </c>
      <c r="DA773">
        <v>0</v>
      </c>
      <c r="DB773">
        <v>0</v>
      </c>
      <c r="DC773">
        <v>0</v>
      </c>
      <c r="DD773">
        <v>0</v>
      </c>
      <c r="DE773">
        <v>0</v>
      </c>
      <c r="DF773">
        <v>0</v>
      </c>
      <c r="DG773">
        <v>0</v>
      </c>
      <c r="DH773">
        <v>0</v>
      </c>
      <c r="DI773">
        <v>0</v>
      </c>
    </row>
    <row r="774" spans="1:113" x14ac:dyDescent="0.3">
      <c r="A774" t="str">
        <f>"02/13/2022 18:39:45.643"</f>
        <v>02/13/2022 18:39:45.643</v>
      </c>
      <c r="C774" t="str">
        <f t="shared" si="81"/>
        <v>FFDFD7C0</v>
      </c>
      <c r="D774" t="s">
        <v>113</v>
      </c>
      <c r="E774">
        <v>4</v>
      </c>
      <c r="F774">
        <v>1004</v>
      </c>
      <c r="G774" t="s">
        <v>120</v>
      </c>
      <c r="J774" t="s">
        <v>115</v>
      </c>
      <c r="K774">
        <v>0</v>
      </c>
      <c r="L774">
        <v>3</v>
      </c>
      <c r="M774">
        <v>0</v>
      </c>
      <c r="N774">
        <v>2</v>
      </c>
      <c r="O774">
        <v>1</v>
      </c>
      <c r="P774">
        <v>0</v>
      </c>
      <c r="Q774">
        <v>0</v>
      </c>
      <c r="S774" t="str">
        <f>"18:39:45.438"</f>
        <v>18:39:45.438</v>
      </c>
      <c r="T774" t="str">
        <f>"18:39:45.038"</f>
        <v>18:39:45.038</v>
      </c>
      <c r="U774" t="str">
        <f t="shared" si="80"/>
        <v>AAB6EE</v>
      </c>
      <c r="V774">
        <v>0</v>
      </c>
      <c r="W774">
        <v>0</v>
      </c>
      <c r="X774">
        <v>4</v>
      </c>
      <c r="Z774">
        <v>0</v>
      </c>
      <c r="AA774">
        <v>8</v>
      </c>
      <c r="AB774">
        <v>3</v>
      </c>
      <c r="AC774">
        <v>0</v>
      </c>
      <c r="AD774">
        <v>10</v>
      </c>
      <c r="AE774">
        <v>0</v>
      </c>
      <c r="AF774">
        <v>0</v>
      </c>
      <c r="AG774">
        <v>2</v>
      </c>
      <c r="AH774">
        <v>1</v>
      </c>
      <c r="AI774" t="s">
        <v>637</v>
      </c>
      <c r="AJ774">
        <v>35.364840000000001</v>
      </c>
      <c r="AK774" t="s">
        <v>638</v>
      </c>
      <c r="AL774">
        <v>-76.129997000000003</v>
      </c>
      <c r="AM774">
        <v>25</v>
      </c>
      <c r="AN774">
        <v>3425</v>
      </c>
      <c r="AO774" t="s">
        <v>118</v>
      </c>
      <c r="AP774">
        <v>-103</v>
      </c>
      <c r="AQ774">
        <v>-197</v>
      </c>
      <c r="AR774">
        <v>0</v>
      </c>
      <c r="AZ774">
        <v>4516</v>
      </c>
      <c r="BA774">
        <v>1</v>
      </c>
      <c r="BB774" t="str">
        <f t="shared" si="82"/>
        <v xml:space="preserve">N79NX   </v>
      </c>
      <c r="BC774">
        <v>1</v>
      </c>
      <c r="BE774">
        <v>0</v>
      </c>
      <c r="BF774">
        <v>0</v>
      </c>
      <c r="BG774">
        <v>0</v>
      </c>
      <c r="BH774">
        <v>3275</v>
      </c>
      <c r="BI774">
        <v>0</v>
      </c>
      <c r="BJ774">
        <v>0</v>
      </c>
      <c r="BK774">
        <v>0</v>
      </c>
      <c r="BL774">
        <v>0</v>
      </c>
      <c r="BO774">
        <v>0</v>
      </c>
      <c r="BP774">
        <v>0</v>
      </c>
      <c r="BW774" t="str">
        <f>"18:39:45.441"</f>
        <v>18:39:45.441</v>
      </c>
      <c r="BZ774">
        <v>0</v>
      </c>
      <c r="CA774">
        <v>3488</v>
      </c>
      <c r="CB774">
        <v>216</v>
      </c>
      <c r="CC774">
        <v>583.59379999999999</v>
      </c>
      <c r="CD774">
        <v>1</v>
      </c>
      <c r="CE774">
        <v>1</v>
      </c>
      <c r="CF774">
        <v>0</v>
      </c>
      <c r="CG774">
        <v>1</v>
      </c>
      <c r="CH774">
        <v>0</v>
      </c>
      <c r="CI774">
        <v>0</v>
      </c>
      <c r="CJ774">
        <v>0</v>
      </c>
      <c r="CK774">
        <v>2</v>
      </c>
      <c r="CL774">
        <v>0</v>
      </c>
      <c r="CM774">
        <v>2</v>
      </c>
      <c r="CN774">
        <v>0</v>
      </c>
      <c r="CO774">
        <v>5</v>
      </c>
      <c r="CP774" t="s">
        <v>119</v>
      </c>
      <c r="CQ774">
        <v>145</v>
      </c>
      <c r="CR774">
        <v>1</v>
      </c>
      <c r="CW774">
        <v>8971568</v>
      </c>
      <c r="CY774">
        <v>0</v>
      </c>
      <c r="CZ774">
        <v>0</v>
      </c>
      <c r="DA774">
        <v>1</v>
      </c>
      <c r="DB774">
        <v>0</v>
      </c>
      <c r="DC774">
        <v>0</v>
      </c>
      <c r="DD774">
        <v>0</v>
      </c>
      <c r="DE774">
        <v>0</v>
      </c>
      <c r="DF774">
        <v>0</v>
      </c>
      <c r="DG774">
        <v>0</v>
      </c>
      <c r="DH774">
        <v>0</v>
      </c>
      <c r="DI774">
        <v>0</v>
      </c>
    </row>
    <row r="775" spans="1:113" x14ac:dyDescent="0.3">
      <c r="A775" t="str">
        <f>"02/13/2022 18:39:45.705"</f>
        <v>02/13/2022 18:39:45.705</v>
      </c>
      <c r="C775" t="str">
        <f t="shared" si="81"/>
        <v>FFDFD7C0</v>
      </c>
      <c r="D775" t="s">
        <v>121</v>
      </c>
      <c r="E775">
        <v>2</v>
      </c>
      <c r="H775">
        <v>158</v>
      </c>
      <c r="I775" t="s">
        <v>120</v>
      </c>
      <c r="J775" t="s">
        <v>122</v>
      </c>
      <c r="K775">
        <v>0</v>
      </c>
      <c r="L775">
        <v>3</v>
      </c>
      <c r="M775">
        <v>0</v>
      </c>
      <c r="N775">
        <v>2</v>
      </c>
      <c r="O775">
        <v>1</v>
      </c>
      <c r="P775">
        <v>0</v>
      </c>
      <c r="Q775">
        <v>0</v>
      </c>
      <c r="S775" t="str">
        <f>"18:39:45.438"</f>
        <v>18:39:45.438</v>
      </c>
      <c r="T775" t="str">
        <f>"18:39:45.038"</f>
        <v>18:39:45.038</v>
      </c>
      <c r="U775" t="str">
        <f t="shared" si="80"/>
        <v>AAB6EE</v>
      </c>
      <c r="V775">
        <v>0</v>
      </c>
      <c r="W775">
        <v>0</v>
      </c>
      <c r="X775">
        <v>4</v>
      </c>
      <c r="Z775">
        <v>0</v>
      </c>
      <c r="AA775">
        <v>8</v>
      </c>
      <c r="AB775">
        <v>3</v>
      </c>
      <c r="AC775">
        <v>0</v>
      </c>
      <c r="AD775">
        <v>10</v>
      </c>
      <c r="AE775">
        <v>0</v>
      </c>
      <c r="AF775">
        <v>0</v>
      </c>
      <c r="AG775">
        <v>2</v>
      </c>
      <c r="AH775">
        <v>1</v>
      </c>
      <c r="AI775" t="s">
        <v>637</v>
      </c>
      <c r="AJ775">
        <v>35.364840000000001</v>
      </c>
      <c r="AK775" t="s">
        <v>638</v>
      </c>
      <c r="AL775">
        <v>-76.129997000000003</v>
      </c>
      <c r="AM775">
        <v>25</v>
      </c>
      <c r="AN775">
        <v>3425</v>
      </c>
      <c r="AO775" t="s">
        <v>118</v>
      </c>
      <c r="AP775">
        <v>-103</v>
      </c>
      <c r="AQ775">
        <v>-197</v>
      </c>
      <c r="AR775">
        <v>0</v>
      </c>
      <c r="AZ775">
        <v>4516</v>
      </c>
      <c r="BA775">
        <v>1</v>
      </c>
      <c r="BB775" t="str">
        <f t="shared" si="82"/>
        <v xml:space="preserve">N79NX   </v>
      </c>
      <c r="BC775">
        <v>1</v>
      </c>
      <c r="BE775">
        <v>0</v>
      </c>
      <c r="BF775">
        <v>0</v>
      </c>
      <c r="BG775">
        <v>0</v>
      </c>
      <c r="BH775">
        <v>3275</v>
      </c>
      <c r="BI775">
        <v>0</v>
      </c>
      <c r="BJ775">
        <v>0</v>
      </c>
      <c r="BK775">
        <v>0</v>
      </c>
      <c r="BL775">
        <v>0</v>
      </c>
      <c r="BO775">
        <v>0</v>
      </c>
      <c r="BP775">
        <v>0</v>
      </c>
      <c r="BW775" t="str">
        <f>"18:39:45.441"</f>
        <v>18:39:45.441</v>
      </c>
      <c r="BZ775">
        <v>0</v>
      </c>
      <c r="CA775">
        <v>3488</v>
      </c>
      <c r="CB775">
        <v>216</v>
      </c>
      <c r="CC775">
        <v>583.59379999999999</v>
      </c>
      <c r="CD775">
        <v>1</v>
      </c>
      <c r="CE775">
        <v>1</v>
      </c>
      <c r="CF775">
        <v>0</v>
      </c>
      <c r="CG775">
        <v>1</v>
      </c>
      <c r="CH775">
        <v>0</v>
      </c>
      <c r="CI775">
        <v>0</v>
      </c>
      <c r="CJ775">
        <v>0</v>
      </c>
      <c r="CK775">
        <v>2</v>
      </c>
      <c r="CL775">
        <v>0</v>
      </c>
      <c r="CM775">
        <v>2</v>
      </c>
      <c r="CN775">
        <v>0</v>
      </c>
      <c r="CO775">
        <v>5</v>
      </c>
      <c r="CP775" t="s">
        <v>119</v>
      </c>
      <c r="CQ775">
        <v>145</v>
      </c>
      <c r="CR775">
        <v>1</v>
      </c>
      <c r="CW775">
        <v>8971568</v>
      </c>
      <c r="CY775">
        <v>0</v>
      </c>
      <c r="CZ775">
        <v>0</v>
      </c>
      <c r="DA775">
        <v>1</v>
      </c>
      <c r="DB775">
        <v>0</v>
      </c>
      <c r="DC775">
        <v>0</v>
      </c>
      <c r="DD775">
        <v>0</v>
      </c>
      <c r="DE775">
        <v>0</v>
      </c>
      <c r="DF775">
        <v>0</v>
      </c>
      <c r="DG775">
        <v>0</v>
      </c>
      <c r="DH775">
        <v>0</v>
      </c>
      <c r="DI775">
        <v>0</v>
      </c>
    </row>
    <row r="776" spans="1:113" x14ac:dyDescent="0.3">
      <c r="A776" t="str">
        <f>"02/13/2022 18:39:46.596"</f>
        <v>02/13/2022 18:39:46.596</v>
      </c>
      <c r="C776" t="str">
        <f t="shared" si="81"/>
        <v>FFDFD7C0</v>
      </c>
      <c r="D776" t="s">
        <v>121</v>
      </c>
      <c r="E776">
        <v>2</v>
      </c>
      <c r="H776">
        <v>158</v>
      </c>
      <c r="I776" t="s">
        <v>120</v>
      </c>
      <c r="J776" t="s">
        <v>122</v>
      </c>
      <c r="K776">
        <v>0</v>
      </c>
      <c r="L776">
        <v>3</v>
      </c>
      <c r="M776">
        <v>0</v>
      </c>
      <c r="N776">
        <v>2</v>
      </c>
      <c r="O776">
        <v>1</v>
      </c>
      <c r="P776">
        <v>0</v>
      </c>
      <c r="Q776">
        <v>0</v>
      </c>
      <c r="S776" t="str">
        <f>"18:39:46.344"</f>
        <v>18:39:46.344</v>
      </c>
      <c r="T776" t="str">
        <f>"18:39:46.044"</f>
        <v>18:39:46.044</v>
      </c>
      <c r="U776" t="str">
        <f t="shared" si="80"/>
        <v>AAB6EE</v>
      </c>
      <c r="V776">
        <v>0</v>
      </c>
      <c r="W776">
        <v>0</v>
      </c>
      <c r="X776">
        <v>4</v>
      </c>
      <c r="Z776">
        <v>0</v>
      </c>
      <c r="AA776">
        <v>8</v>
      </c>
      <c r="AB776">
        <v>3</v>
      </c>
      <c r="AC776">
        <v>0</v>
      </c>
      <c r="AD776">
        <v>10</v>
      </c>
      <c r="AE776">
        <v>0</v>
      </c>
      <c r="AF776">
        <v>0</v>
      </c>
      <c r="AG776">
        <v>2</v>
      </c>
      <c r="AH776">
        <v>1</v>
      </c>
      <c r="AI776" t="s">
        <v>639</v>
      </c>
      <c r="AJ776">
        <v>35.364024999999998</v>
      </c>
      <c r="AK776" t="s">
        <v>640</v>
      </c>
      <c r="AL776">
        <v>-76.130555000000001</v>
      </c>
      <c r="AM776">
        <v>25</v>
      </c>
      <c r="AN776">
        <v>3425</v>
      </c>
      <c r="AO776" t="s">
        <v>118</v>
      </c>
      <c r="AP776">
        <v>-103</v>
      </c>
      <c r="AQ776">
        <v>-197</v>
      </c>
      <c r="AR776">
        <v>64</v>
      </c>
      <c r="AZ776">
        <v>4516</v>
      </c>
      <c r="BA776">
        <v>1</v>
      </c>
      <c r="BB776" t="str">
        <f t="shared" si="82"/>
        <v xml:space="preserve">N79NX   </v>
      </c>
      <c r="BC776">
        <v>1</v>
      </c>
      <c r="BE776">
        <v>0</v>
      </c>
      <c r="BF776">
        <v>0</v>
      </c>
      <c r="BG776">
        <v>0</v>
      </c>
      <c r="BH776">
        <v>3275</v>
      </c>
      <c r="BI776">
        <v>0</v>
      </c>
      <c r="BJ776">
        <v>0</v>
      </c>
      <c r="BK776">
        <v>0</v>
      </c>
      <c r="BL776">
        <v>0</v>
      </c>
      <c r="BO776">
        <v>0</v>
      </c>
      <c r="BP776">
        <v>0</v>
      </c>
      <c r="BW776" t="str">
        <f>"18:39:46.351"</f>
        <v>18:39:46.351</v>
      </c>
      <c r="BZ776">
        <v>0</v>
      </c>
      <c r="CA776">
        <v>3488</v>
      </c>
      <c r="CB776">
        <v>216</v>
      </c>
      <c r="CC776">
        <v>583.59379999999999</v>
      </c>
      <c r="CD776">
        <v>1</v>
      </c>
      <c r="CE776">
        <v>1</v>
      </c>
      <c r="CF776">
        <v>0</v>
      </c>
      <c r="CG776">
        <v>1</v>
      </c>
      <c r="CH776">
        <v>0</v>
      </c>
      <c r="CI776">
        <v>0</v>
      </c>
      <c r="CJ776">
        <v>0</v>
      </c>
      <c r="CK776">
        <v>2</v>
      </c>
      <c r="CL776">
        <v>0</v>
      </c>
      <c r="CM776">
        <v>2</v>
      </c>
      <c r="CN776">
        <v>0</v>
      </c>
      <c r="CO776">
        <v>5</v>
      </c>
      <c r="CP776" t="s">
        <v>119</v>
      </c>
      <c r="CQ776">
        <v>145</v>
      </c>
      <c r="CR776">
        <v>1</v>
      </c>
      <c r="CW776">
        <v>8971925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</row>
    <row r="777" spans="1:113" x14ac:dyDescent="0.3">
      <c r="A777" t="str">
        <f>"02/13/2022 18:39:46.612"</f>
        <v>02/13/2022 18:39:46.612</v>
      </c>
      <c r="C777" t="str">
        <f t="shared" si="81"/>
        <v>FFDFD7C0</v>
      </c>
      <c r="D777" t="s">
        <v>113</v>
      </c>
      <c r="E777">
        <v>3</v>
      </c>
      <c r="F777">
        <v>1003</v>
      </c>
      <c r="G777" t="s">
        <v>114</v>
      </c>
      <c r="J777" t="s">
        <v>115</v>
      </c>
      <c r="K777">
        <v>0</v>
      </c>
      <c r="L777">
        <v>3</v>
      </c>
      <c r="M777">
        <v>0</v>
      </c>
      <c r="N777">
        <v>2</v>
      </c>
      <c r="O777">
        <v>1</v>
      </c>
      <c r="P777">
        <v>0</v>
      </c>
      <c r="Q777">
        <v>0</v>
      </c>
      <c r="S777" t="str">
        <f>"18:39:46.344"</f>
        <v>18:39:46.344</v>
      </c>
      <c r="T777" t="str">
        <f>"18:39:46.044"</f>
        <v>18:39:46.044</v>
      </c>
      <c r="U777" t="str">
        <f t="shared" si="80"/>
        <v>AAB6EE</v>
      </c>
      <c r="V777">
        <v>0</v>
      </c>
      <c r="W777">
        <v>0</v>
      </c>
      <c r="X777">
        <v>4</v>
      </c>
      <c r="Z777">
        <v>0</v>
      </c>
      <c r="AA777">
        <v>8</v>
      </c>
      <c r="AB777">
        <v>3</v>
      </c>
      <c r="AC777">
        <v>0</v>
      </c>
      <c r="AD777">
        <v>10</v>
      </c>
      <c r="AE777">
        <v>0</v>
      </c>
      <c r="AF777">
        <v>0</v>
      </c>
      <c r="AG777">
        <v>2</v>
      </c>
      <c r="AH777">
        <v>1</v>
      </c>
      <c r="AI777" t="s">
        <v>639</v>
      </c>
      <c r="AJ777">
        <v>35.364024999999998</v>
      </c>
      <c r="AK777" t="s">
        <v>640</v>
      </c>
      <c r="AL777">
        <v>-76.130555000000001</v>
      </c>
      <c r="AM777">
        <v>25</v>
      </c>
      <c r="AN777">
        <v>3425</v>
      </c>
      <c r="AO777" t="s">
        <v>118</v>
      </c>
      <c r="AP777">
        <v>-103</v>
      </c>
      <c r="AQ777">
        <v>-197</v>
      </c>
      <c r="AR777">
        <v>64</v>
      </c>
      <c r="AZ777">
        <v>4516</v>
      </c>
      <c r="BA777">
        <v>1</v>
      </c>
      <c r="BB777" t="str">
        <f t="shared" si="82"/>
        <v xml:space="preserve">N79NX   </v>
      </c>
      <c r="BC777">
        <v>1</v>
      </c>
      <c r="BE777">
        <v>0</v>
      </c>
      <c r="BF777">
        <v>0</v>
      </c>
      <c r="BG777">
        <v>0</v>
      </c>
      <c r="BH777">
        <v>3275</v>
      </c>
      <c r="BI777">
        <v>0</v>
      </c>
      <c r="BJ777">
        <v>0</v>
      </c>
      <c r="BK777">
        <v>0</v>
      </c>
      <c r="BL777">
        <v>0</v>
      </c>
      <c r="BO777">
        <v>0</v>
      </c>
      <c r="BP777">
        <v>0</v>
      </c>
      <c r="BW777" t="str">
        <f>"18:39:46.351"</f>
        <v>18:39:46.351</v>
      </c>
      <c r="BZ777">
        <v>0</v>
      </c>
      <c r="CA777">
        <v>3488</v>
      </c>
      <c r="CB777">
        <v>216</v>
      </c>
      <c r="CC777">
        <v>583.59379999999999</v>
      </c>
      <c r="CD777">
        <v>1</v>
      </c>
      <c r="CE777">
        <v>1</v>
      </c>
      <c r="CF777">
        <v>0</v>
      </c>
      <c r="CG777">
        <v>1</v>
      </c>
      <c r="CH777">
        <v>0</v>
      </c>
      <c r="CI777">
        <v>0</v>
      </c>
      <c r="CJ777">
        <v>0</v>
      </c>
      <c r="CK777">
        <v>2</v>
      </c>
      <c r="CL777">
        <v>0</v>
      </c>
      <c r="CM777">
        <v>2</v>
      </c>
      <c r="CN777">
        <v>0</v>
      </c>
      <c r="CO777">
        <v>5</v>
      </c>
      <c r="CP777" t="s">
        <v>119</v>
      </c>
      <c r="CQ777">
        <v>145</v>
      </c>
      <c r="CR777">
        <v>1</v>
      </c>
      <c r="CW777">
        <v>8971925</v>
      </c>
      <c r="CY777">
        <v>0</v>
      </c>
      <c r="CZ777">
        <v>0</v>
      </c>
      <c r="DA777">
        <v>1</v>
      </c>
      <c r="DB777">
        <v>0</v>
      </c>
      <c r="DC777">
        <v>0</v>
      </c>
      <c r="DD777">
        <v>0</v>
      </c>
      <c r="DE777">
        <v>0</v>
      </c>
      <c r="DF777">
        <v>0</v>
      </c>
      <c r="DG777">
        <v>0</v>
      </c>
      <c r="DH777">
        <v>0</v>
      </c>
      <c r="DI777">
        <v>0</v>
      </c>
    </row>
    <row r="778" spans="1:113" x14ac:dyDescent="0.3">
      <c r="A778" t="str">
        <f>"02/13/2022 18:39:46.627"</f>
        <v>02/13/2022 18:39:46.627</v>
      </c>
      <c r="C778" t="str">
        <f t="shared" si="81"/>
        <v>FFDFD7C0</v>
      </c>
      <c r="D778" t="s">
        <v>113</v>
      </c>
      <c r="E778">
        <v>4</v>
      </c>
      <c r="F778">
        <v>1004</v>
      </c>
      <c r="G778" t="s">
        <v>120</v>
      </c>
      <c r="J778" t="s">
        <v>115</v>
      </c>
      <c r="K778">
        <v>0</v>
      </c>
      <c r="L778">
        <v>3</v>
      </c>
      <c r="M778">
        <v>0</v>
      </c>
      <c r="N778">
        <v>2</v>
      </c>
      <c r="O778">
        <v>1</v>
      </c>
      <c r="P778">
        <v>0</v>
      </c>
      <c r="Q778">
        <v>0</v>
      </c>
      <c r="S778" t="str">
        <f>"18:39:46.344"</f>
        <v>18:39:46.344</v>
      </c>
      <c r="T778" t="str">
        <f>"18:39:46.044"</f>
        <v>18:39:46.044</v>
      </c>
      <c r="U778" t="str">
        <f t="shared" si="80"/>
        <v>AAB6EE</v>
      </c>
      <c r="V778">
        <v>0</v>
      </c>
      <c r="W778">
        <v>0</v>
      </c>
      <c r="X778">
        <v>4</v>
      </c>
      <c r="Z778">
        <v>0</v>
      </c>
      <c r="AA778">
        <v>8</v>
      </c>
      <c r="AB778">
        <v>3</v>
      </c>
      <c r="AC778">
        <v>0</v>
      </c>
      <c r="AD778">
        <v>10</v>
      </c>
      <c r="AE778">
        <v>0</v>
      </c>
      <c r="AF778">
        <v>0</v>
      </c>
      <c r="AG778">
        <v>2</v>
      </c>
      <c r="AH778">
        <v>1</v>
      </c>
      <c r="AI778" t="s">
        <v>639</v>
      </c>
      <c r="AJ778">
        <v>35.364024999999998</v>
      </c>
      <c r="AK778" t="s">
        <v>640</v>
      </c>
      <c r="AL778">
        <v>-76.130555000000001</v>
      </c>
      <c r="AM778">
        <v>25</v>
      </c>
      <c r="AN778">
        <v>3425</v>
      </c>
      <c r="AO778" t="s">
        <v>118</v>
      </c>
      <c r="AP778">
        <v>-103</v>
      </c>
      <c r="AQ778">
        <v>-197</v>
      </c>
      <c r="AR778">
        <v>64</v>
      </c>
      <c r="AZ778">
        <v>4516</v>
      </c>
      <c r="BA778">
        <v>1</v>
      </c>
      <c r="BB778" t="str">
        <f t="shared" si="82"/>
        <v xml:space="preserve">N79NX   </v>
      </c>
      <c r="BC778">
        <v>1</v>
      </c>
      <c r="BE778">
        <v>0</v>
      </c>
      <c r="BF778">
        <v>0</v>
      </c>
      <c r="BG778">
        <v>0</v>
      </c>
      <c r="BH778">
        <v>3275</v>
      </c>
      <c r="BI778">
        <v>0</v>
      </c>
      <c r="BJ778">
        <v>0</v>
      </c>
      <c r="BK778">
        <v>0</v>
      </c>
      <c r="BL778">
        <v>0</v>
      </c>
      <c r="BO778">
        <v>0</v>
      </c>
      <c r="BP778">
        <v>0</v>
      </c>
      <c r="BW778" t="str">
        <f>"18:39:46.351"</f>
        <v>18:39:46.351</v>
      </c>
      <c r="BZ778">
        <v>0</v>
      </c>
      <c r="CA778">
        <v>3488</v>
      </c>
      <c r="CB778">
        <v>216</v>
      </c>
      <c r="CC778">
        <v>583.59379999999999</v>
      </c>
      <c r="CD778">
        <v>1</v>
      </c>
      <c r="CE778">
        <v>1</v>
      </c>
      <c r="CF778">
        <v>0</v>
      </c>
      <c r="CG778">
        <v>1</v>
      </c>
      <c r="CH778">
        <v>0</v>
      </c>
      <c r="CI778">
        <v>0</v>
      </c>
      <c r="CJ778">
        <v>0</v>
      </c>
      <c r="CK778">
        <v>2</v>
      </c>
      <c r="CL778">
        <v>0</v>
      </c>
      <c r="CM778">
        <v>2</v>
      </c>
      <c r="CN778">
        <v>0</v>
      </c>
      <c r="CO778">
        <v>5</v>
      </c>
      <c r="CP778" t="s">
        <v>119</v>
      </c>
      <c r="CQ778">
        <v>145</v>
      </c>
      <c r="CR778">
        <v>1</v>
      </c>
      <c r="CW778">
        <v>8971925</v>
      </c>
      <c r="CY778">
        <v>0</v>
      </c>
      <c r="CZ778">
        <v>0</v>
      </c>
      <c r="DA778">
        <v>1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0</v>
      </c>
      <c r="DI778">
        <v>0</v>
      </c>
    </row>
    <row r="779" spans="1:113" x14ac:dyDescent="0.3">
      <c r="A779" t="str">
        <f>"02/13/2022 18:39:47.627"</f>
        <v>02/13/2022 18:39:47.627</v>
      </c>
      <c r="C779" t="str">
        <f t="shared" si="81"/>
        <v>FFDFD7C0</v>
      </c>
      <c r="D779" t="s">
        <v>121</v>
      </c>
      <c r="E779">
        <v>2</v>
      </c>
      <c r="H779">
        <v>158</v>
      </c>
      <c r="I779" t="s">
        <v>120</v>
      </c>
      <c r="J779" t="s">
        <v>122</v>
      </c>
      <c r="K779">
        <v>0</v>
      </c>
      <c r="L779">
        <v>3</v>
      </c>
      <c r="M779">
        <v>0</v>
      </c>
      <c r="N779">
        <v>2</v>
      </c>
      <c r="O779">
        <v>1</v>
      </c>
      <c r="P779">
        <v>0</v>
      </c>
      <c r="Q779">
        <v>0</v>
      </c>
      <c r="S779" t="str">
        <f>"18:39:47.398"</f>
        <v>18:39:47.398</v>
      </c>
      <c r="T779" t="str">
        <f>"18:39:46.998"</f>
        <v>18:39:46.998</v>
      </c>
      <c r="U779" t="str">
        <f t="shared" si="80"/>
        <v>AAB6EE</v>
      </c>
      <c r="V779">
        <v>0</v>
      </c>
      <c r="W779">
        <v>0</v>
      </c>
      <c r="X779">
        <v>4</v>
      </c>
      <c r="Z779">
        <v>0</v>
      </c>
      <c r="AA779">
        <v>8</v>
      </c>
      <c r="AB779">
        <v>3</v>
      </c>
      <c r="AC779">
        <v>0</v>
      </c>
      <c r="AD779">
        <v>10</v>
      </c>
      <c r="AE779">
        <v>0</v>
      </c>
      <c r="AF779">
        <v>0</v>
      </c>
      <c r="AG779">
        <v>2</v>
      </c>
      <c r="AH779">
        <v>1</v>
      </c>
      <c r="AI779" t="s">
        <v>641</v>
      </c>
      <c r="AJ779">
        <v>35.363123000000002</v>
      </c>
      <c r="AK779" t="s">
        <v>642</v>
      </c>
      <c r="AL779">
        <v>-76.131134000000003</v>
      </c>
      <c r="AM779">
        <v>25</v>
      </c>
      <c r="AN779">
        <v>3425</v>
      </c>
      <c r="AO779" t="s">
        <v>118</v>
      </c>
      <c r="AP779">
        <v>-103</v>
      </c>
      <c r="AQ779">
        <v>-197</v>
      </c>
      <c r="AR779">
        <v>0</v>
      </c>
      <c r="AZ779">
        <v>4516</v>
      </c>
      <c r="BA779">
        <v>1</v>
      </c>
      <c r="BB779" t="str">
        <f t="shared" si="82"/>
        <v xml:space="preserve">N79NX   </v>
      </c>
      <c r="BC779">
        <v>1</v>
      </c>
      <c r="BE779">
        <v>0</v>
      </c>
      <c r="BF779">
        <v>0</v>
      </c>
      <c r="BG779">
        <v>0</v>
      </c>
      <c r="BH779">
        <v>3275</v>
      </c>
      <c r="BI779">
        <v>0</v>
      </c>
      <c r="BJ779">
        <v>0</v>
      </c>
      <c r="BK779">
        <v>0</v>
      </c>
      <c r="BL779">
        <v>0</v>
      </c>
      <c r="BO779">
        <v>0</v>
      </c>
      <c r="BP779">
        <v>0</v>
      </c>
      <c r="BW779" t="str">
        <f>"18:39:47.401"</f>
        <v>18:39:47.401</v>
      </c>
      <c r="BZ779">
        <v>0</v>
      </c>
      <c r="CA779">
        <v>3488</v>
      </c>
      <c r="CB779">
        <v>216</v>
      </c>
      <c r="CC779">
        <v>583.59379999999999</v>
      </c>
      <c r="CD779">
        <v>1</v>
      </c>
      <c r="CE779">
        <v>1</v>
      </c>
      <c r="CF779">
        <v>0</v>
      </c>
      <c r="CG779">
        <v>1</v>
      </c>
      <c r="CH779">
        <v>0</v>
      </c>
      <c r="CI779">
        <v>0</v>
      </c>
      <c r="CJ779">
        <v>0</v>
      </c>
      <c r="CK779">
        <v>2</v>
      </c>
      <c r="CL779">
        <v>0</v>
      </c>
      <c r="CM779">
        <v>2</v>
      </c>
      <c r="CN779">
        <v>0</v>
      </c>
      <c r="CO779">
        <v>5</v>
      </c>
      <c r="CP779" t="s">
        <v>119</v>
      </c>
      <c r="CQ779">
        <v>145</v>
      </c>
      <c r="CR779">
        <v>1</v>
      </c>
      <c r="CW779">
        <v>8972367</v>
      </c>
      <c r="CY779">
        <v>0</v>
      </c>
      <c r="CZ779">
        <v>0</v>
      </c>
      <c r="DA779">
        <v>0</v>
      </c>
      <c r="DB779">
        <v>0</v>
      </c>
      <c r="DC779">
        <v>0</v>
      </c>
      <c r="DD779">
        <v>0</v>
      </c>
      <c r="DE779">
        <v>0</v>
      </c>
      <c r="DF779">
        <v>0</v>
      </c>
      <c r="DG779">
        <v>0</v>
      </c>
      <c r="DH779">
        <v>0</v>
      </c>
      <c r="DI779">
        <v>0</v>
      </c>
    </row>
    <row r="780" spans="1:113" x14ac:dyDescent="0.3">
      <c r="A780" t="str">
        <f>"02/13/2022 18:39:47.627"</f>
        <v>02/13/2022 18:39:47.627</v>
      </c>
      <c r="C780" t="str">
        <f t="shared" si="81"/>
        <v>FFDFD7C0</v>
      </c>
      <c r="D780" t="s">
        <v>113</v>
      </c>
      <c r="E780">
        <v>4</v>
      </c>
      <c r="F780">
        <v>1004</v>
      </c>
      <c r="G780" t="s">
        <v>120</v>
      </c>
      <c r="J780" t="s">
        <v>115</v>
      </c>
      <c r="K780">
        <v>0</v>
      </c>
      <c r="L780">
        <v>3</v>
      </c>
      <c r="M780">
        <v>0</v>
      </c>
      <c r="N780">
        <v>2</v>
      </c>
      <c r="O780">
        <v>1</v>
      </c>
      <c r="P780">
        <v>0</v>
      </c>
      <c r="Q780">
        <v>0</v>
      </c>
      <c r="S780" t="str">
        <f>"18:39:47.398"</f>
        <v>18:39:47.398</v>
      </c>
      <c r="T780" t="str">
        <f>"18:39:46.998"</f>
        <v>18:39:46.998</v>
      </c>
      <c r="U780" t="str">
        <f t="shared" si="80"/>
        <v>AAB6EE</v>
      </c>
      <c r="V780">
        <v>0</v>
      </c>
      <c r="W780">
        <v>0</v>
      </c>
      <c r="X780">
        <v>4</v>
      </c>
      <c r="Z780">
        <v>0</v>
      </c>
      <c r="AA780">
        <v>8</v>
      </c>
      <c r="AB780">
        <v>3</v>
      </c>
      <c r="AC780">
        <v>0</v>
      </c>
      <c r="AD780">
        <v>10</v>
      </c>
      <c r="AE780">
        <v>0</v>
      </c>
      <c r="AF780">
        <v>0</v>
      </c>
      <c r="AG780">
        <v>2</v>
      </c>
      <c r="AH780">
        <v>1</v>
      </c>
      <c r="AI780" t="s">
        <v>641</v>
      </c>
      <c r="AJ780">
        <v>35.363123000000002</v>
      </c>
      <c r="AK780" t="s">
        <v>642</v>
      </c>
      <c r="AL780">
        <v>-76.131134000000003</v>
      </c>
      <c r="AM780">
        <v>25</v>
      </c>
      <c r="AN780">
        <v>3425</v>
      </c>
      <c r="AO780" t="s">
        <v>118</v>
      </c>
      <c r="AP780">
        <v>-103</v>
      </c>
      <c r="AQ780">
        <v>-197</v>
      </c>
      <c r="AR780">
        <v>0</v>
      </c>
      <c r="AZ780">
        <v>4516</v>
      </c>
      <c r="BA780">
        <v>1</v>
      </c>
      <c r="BB780" t="str">
        <f t="shared" si="82"/>
        <v xml:space="preserve">N79NX   </v>
      </c>
      <c r="BC780">
        <v>1</v>
      </c>
      <c r="BE780">
        <v>0</v>
      </c>
      <c r="BF780">
        <v>0</v>
      </c>
      <c r="BG780">
        <v>0</v>
      </c>
      <c r="BH780">
        <v>3275</v>
      </c>
      <c r="BI780">
        <v>0</v>
      </c>
      <c r="BJ780">
        <v>0</v>
      </c>
      <c r="BK780">
        <v>0</v>
      </c>
      <c r="BL780">
        <v>0</v>
      </c>
      <c r="BO780">
        <v>0</v>
      </c>
      <c r="BP780">
        <v>0</v>
      </c>
      <c r="BW780" t="str">
        <f>"18:39:47.401"</f>
        <v>18:39:47.401</v>
      </c>
      <c r="BZ780">
        <v>0</v>
      </c>
      <c r="CA780">
        <v>3488</v>
      </c>
      <c r="CB780">
        <v>216</v>
      </c>
      <c r="CC780">
        <v>583.59379999999999</v>
      </c>
      <c r="CD780">
        <v>1</v>
      </c>
      <c r="CE780">
        <v>1</v>
      </c>
      <c r="CF780">
        <v>0</v>
      </c>
      <c r="CG780">
        <v>1</v>
      </c>
      <c r="CH780">
        <v>0</v>
      </c>
      <c r="CI780">
        <v>0</v>
      </c>
      <c r="CJ780">
        <v>0</v>
      </c>
      <c r="CK780">
        <v>2</v>
      </c>
      <c r="CL780">
        <v>0</v>
      </c>
      <c r="CM780">
        <v>2</v>
      </c>
      <c r="CN780">
        <v>0</v>
      </c>
      <c r="CO780">
        <v>5</v>
      </c>
      <c r="CP780" t="s">
        <v>119</v>
      </c>
      <c r="CQ780">
        <v>145</v>
      </c>
      <c r="CR780">
        <v>1</v>
      </c>
      <c r="CW780">
        <v>8972367</v>
      </c>
      <c r="CY780">
        <v>0</v>
      </c>
      <c r="CZ780">
        <v>0</v>
      </c>
      <c r="DA780">
        <v>1</v>
      </c>
      <c r="DB780">
        <v>0</v>
      </c>
      <c r="DC780">
        <v>0</v>
      </c>
      <c r="DD780">
        <v>0</v>
      </c>
      <c r="DE780">
        <v>0</v>
      </c>
      <c r="DF780">
        <v>0</v>
      </c>
      <c r="DG780">
        <v>0</v>
      </c>
      <c r="DH780">
        <v>0</v>
      </c>
      <c r="DI780">
        <v>0</v>
      </c>
    </row>
    <row r="781" spans="1:113" x14ac:dyDescent="0.3">
      <c r="A781" t="str">
        <f>"02/13/2022 18:39:47.627"</f>
        <v>02/13/2022 18:39:47.627</v>
      </c>
      <c r="C781" t="str">
        <f t="shared" si="81"/>
        <v>FFDFD7C0</v>
      </c>
      <c r="D781" t="s">
        <v>113</v>
      </c>
      <c r="E781">
        <v>3</v>
      </c>
      <c r="F781">
        <v>1003</v>
      </c>
      <c r="G781" t="s">
        <v>114</v>
      </c>
      <c r="J781" t="s">
        <v>115</v>
      </c>
      <c r="K781">
        <v>0</v>
      </c>
      <c r="L781">
        <v>3</v>
      </c>
      <c r="M781">
        <v>0</v>
      </c>
      <c r="N781">
        <v>2</v>
      </c>
      <c r="O781">
        <v>1</v>
      </c>
      <c r="P781">
        <v>0</v>
      </c>
      <c r="Q781">
        <v>0</v>
      </c>
      <c r="S781" t="str">
        <f>"18:39:47.398"</f>
        <v>18:39:47.398</v>
      </c>
      <c r="T781" t="str">
        <f>"18:39:46.998"</f>
        <v>18:39:46.998</v>
      </c>
      <c r="U781" t="str">
        <f t="shared" si="80"/>
        <v>AAB6EE</v>
      </c>
      <c r="V781">
        <v>0</v>
      </c>
      <c r="W781">
        <v>0</v>
      </c>
      <c r="X781">
        <v>4</v>
      </c>
      <c r="Z781">
        <v>0</v>
      </c>
      <c r="AA781">
        <v>8</v>
      </c>
      <c r="AB781">
        <v>3</v>
      </c>
      <c r="AC781">
        <v>0</v>
      </c>
      <c r="AD781">
        <v>10</v>
      </c>
      <c r="AE781">
        <v>0</v>
      </c>
      <c r="AF781">
        <v>0</v>
      </c>
      <c r="AG781">
        <v>2</v>
      </c>
      <c r="AH781">
        <v>1</v>
      </c>
      <c r="AI781" t="s">
        <v>641</v>
      </c>
      <c r="AJ781">
        <v>35.363123000000002</v>
      </c>
      <c r="AK781" t="s">
        <v>642</v>
      </c>
      <c r="AL781">
        <v>-76.131134000000003</v>
      </c>
      <c r="AM781">
        <v>25</v>
      </c>
      <c r="AN781">
        <v>3425</v>
      </c>
      <c r="AO781" t="s">
        <v>118</v>
      </c>
      <c r="AP781">
        <v>-103</v>
      </c>
      <c r="AQ781">
        <v>-197</v>
      </c>
      <c r="AR781">
        <v>0</v>
      </c>
      <c r="AZ781">
        <v>4516</v>
      </c>
      <c r="BA781">
        <v>1</v>
      </c>
      <c r="BB781" t="str">
        <f t="shared" si="82"/>
        <v xml:space="preserve">N79NX   </v>
      </c>
      <c r="BC781">
        <v>1</v>
      </c>
      <c r="BE781">
        <v>0</v>
      </c>
      <c r="BF781">
        <v>0</v>
      </c>
      <c r="BG781">
        <v>0</v>
      </c>
      <c r="BH781">
        <v>3275</v>
      </c>
      <c r="BI781">
        <v>0</v>
      </c>
      <c r="BJ781">
        <v>0</v>
      </c>
      <c r="BK781">
        <v>0</v>
      </c>
      <c r="BL781">
        <v>0</v>
      </c>
      <c r="BO781">
        <v>0</v>
      </c>
      <c r="BP781">
        <v>0</v>
      </c>
      <c r="BW781" t="str">
        <f>"18:39:47.401"</f>
        <v>18:39:47.401</v>
      </c>
      <c r="BZ781">
        <v>0</v>
      </c>
      <c r="CA781">
        <v>3488</v>
      </c>
      <c r="CB781">
        <v>216</v>
      </c>
      <c r="CC781">
        <v>583.59379999999999</v>
      </c>
      <c r="CD781">
        <v>1</v>
      </c>
      <c r="CE781">
        <v>1</v>
      </c>
      <c r="CF781">
        <v>0</v>
      </c>
      <c r="CG781">
        <v>1</v>
      </c>
      <c r="CH781">
        <v>0</v>
      </c>
      <c r="CI781">
        <v>0</v>
      </c>
      <c r="CJ781">
        <v>0</v>
      </c>
      <c r="CK781">
        <v>2</v>
      </c>
      <c r="CL781">
        <v>0</v>
      </c>
      <c r="CM781">
        <v>2</v>
      </c>
      <c r="CN781">
        <v>0</v>
      </c>
      <c r="CO781">
        <v>5</v>
      </c>
      <c r="CP781" t="s">
        <v>119</v>
      </c>
      <c r="CQ781">
        <v>145</v>
      </c>
      <c r="CR781">
        <v>1</v>
      </c>
      <c r="CW781">
        <v>8972367</v>
      </c>
      <c r="CY781">
        <v>0</v>
      </c>
      <c r="CZ781">
        <v>0</v>
      </c>
      <c r="DA781">
        <v>1</v>
      </c>
      <c r="DB781">
        <v>0</v>
      </c>
      <c r="DC781">
        <v>0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</row>
    <row r="782" spans="1:113" x14ac:dyDescent="0.3">
      <c r="A782" t="str">
        <f>"02/13/2022 18:39:48.581"</f>
        <v>02/13/2022 18:39:48.581</v>
      </c>
      <c r="C782" t="str">
        <f t="shared" si="81"/>
        <v>FFDFD7C0</v>
      </c>
      <c r="D782" t="s">
        <v>121</v>
      </c>
      <c r="E782">
        <v>2</v>
      </c>
      <c r="H782">
        <v>158</v>
      </c>
      <c r="I782" t="s">
        <v>120</v>
      </c>
      <c r="J782" t="s">
        <v>122</v>
      </c>
      <c r="K782">
        <v>0</v>
      </c>
      <c r="L782">
        <v>3</v>
      </c>
      <c r="M782">
        <v>0</v>
      </c>
      <c r="N782">
        <v>2</v>
      </c>
      <c r="O782">
        <v>1</v>
      </c>
      <c r="P782">
        <v>0</v>
      </c>
      <c r="Q782">
        <v>0</v>
      </c>
      <c r="S782" t="str">
        <f>"18:39:48.328"</f>
        <v>18:39:48.328</v>
      </c>
      <c r="T782" t="str">
        <f>"18:39:48.028"</f>
        <v>18:39:48.028</v>
      </c>
      <c r="U782" t="str">
        <f t="shared" si="80"/>
        <v>AAB6EE</v>
      </c>
      <c r="V782">
        <v>0</v>
      </c>
      <c r="W782">
        <v>0</v>
      </c>
      <c r="X782">
        <v>4</v>
      </c>
      <c r="Z782">
        <v>0</v>
      </c>
      <c r="AA782">
        <v>8</v>
      </c>
      <c r="AB782">
        <v>3</v>
      </c>
      <c r="AC782">
        <v>0</v>
      </c>
      <c r="AD782">
        <v>10</v>
      </c>
      <c r="AE782">
        <v>0</v>
      </c>
      <c r="AF782">
        <v>0</v>
      </c>
      <c r="AG782">
        <v>2</v>
      </c>
      <c r="AH782">
        <v>1</v>
      </c>
      <c r="AI782" t="s">
        <v>643</v>
      </c>
      <c r="AJ782">
        <v>35.362200999999999</v>
      </c>
      <c r="AK782" t="s">
        <v>644</v>
      </c>
      <c r="AL782">
        <v>-76.131713000000005</v>
      </c>
      <c r="AM782">
        <v>25</v>
      </c>
      <c r="AN782">
        <v>3425</v>
      </c>
      <c r="AO782" t="s">
        <v>118</v>
      </c>
      <c r="AP782">
        <v>-103</v>
      </c>
      <c r="AQ782">
        <v>-197</v>
      </c>
      <c r="AR782">
        <v>-64</v>
      </c>
      <c r="AZ782">
        <v>4516</v>
      </c>
      <c r="BA782">
        <v>1</v>
      </c>
      <c r="BB782" t="str">
        <f t="shared" si="82"/>
        <v xml:space="preserve">N79NX   </v>
      </c>
      <c r="BC782">
        <v>1</v>
      </c>
      <c r="BE782">
        <v>0</v>
      </c>
      <c r="BF782">
        <v>0</v>
      </c>
      <c r="BG782">
        <v>0</v>
      </c>
      <c r="BH782">
        <v>3300</v>
      </c>
      <c r="BI782">
        <v>0</v>
      </c>
      <c r="BJ782">
        <v>0</v>
      </c>
      <c r="BK782">
        <v>0</v>
      </c>
      <c r="BL782">
        <v>0</v>
      </c>
      <c r="BO782">
        <v>0</v>
      </c>
      <c r="BP782">
        <v>0</v>
      </c>
      <c r="BW782" t="str">
        <f>"18:39:48.331"</f>
        <v>18:39:48.331</v>
      </c>
      <c r="BZ782">
        <v>0</v>
      </c>
      <c r="CA782">
        <v>3488</v>
      </c>
      <c r="CB782">
        <v>216</v>
      </c>
      <c r="CC782">
        <v>583.59379999999999</v>
      </c>
      <c r="CD782">
        <v>1</v>
      </c>
      <c r="CE782">
        <v>1</v>
      </c>
      <c r="CF782">
        <v>0</v>
      </c>
      <c r="CG782">
        <v>1</v>
      </c>
      <c r="CH782">
        <v>0</v>
      </c>
      <c r="CI782">
        <v>0</v>
      </c>
      <c r="CJ782">
        <v>0</v>
      </c>
      <c r="CK782">
        <v>2</v>
      </c>
      <c r="CL782">
        <v>0</v>
      </c>
      <c r="CM782">
        <v>2</v>
      </c>
      <c r="CN782">
        <v>0</v>
      </c>
      <c r="CO782">
        <v>5</v>
      </c>
      <c r="CP782" t="s">
        <v>119</v>
      </c>
      <c r="CQ782">
        <v>145</v>
      </c>
      <c r="CR782">
        <v>1</v>
      </c>
      <c r="CW782">
        <v>8972822</v>
      </c>
      <c r="CY782">
        <v>0</v>
      </c>
      <c r="CZ782">
        <v>0</v>
      </c>
      <c r="DA782">
        <v>0</v>
      </c>
      <c r="DB782">
        <v>0</v>
      </c>
      <c r="DC782">
        <v>0</v>
      </c>
      <c r="DD782">
        <v>0</v>
      </c>
      <c r="DE782">
        <v>0</v>
      </c>
      <c r="DF782">
        <v>0</v>
      </c>
      <c r="DG782">
        <v>0</v>
      </c>
      <c r="DH782">
        <v>0</v>
      </c>
      <c r="DI782">
        <v>0</v>
      </c>
    </row>
    <row r="783" spans="1:113" x14ac:dyDescent="0.3">
      <c r="A783" t="str">
        <f>"02/13/2022 18:39:48.581"</f>
        <v>02/13/2022 18:39:48.581</v>
      </c>
      <c r="C783" t="str">
        <f t="shared" si="81"/>
        <v>FFDFD7C0</v>
      </c>
      <c r="D783" t="s">
        <v>113</v>
      </c>
      <c r="E783">
        <v>3</v>
      </c>
      <c r="F783">
        <v>1003</v>
      </c>
      <c r="G783" t="s">
        <v>114</v>
      </c>
      <c r="J783" t="s">
        <v>115</v>
      </c>
      <c r="K783">
        <v>0</v>
      </c>
      <c r="L783">
        <v>3</v>
      </c>
      <c r="M783">
        <v>0</v>
      </c>
      <c r="N783">
        <v>2</v>
      </c>
      <c r="O783">
        <v>1</v>
      </c>
      <c r="P783">
        <v>0</v>
      </c>
      <c r="Q783">
        <v>0</v>
      </c>
      <c r="S783" t="str">
        <f>"18:39:48.328"</f>
        <v>18:39:48.328</v>
      </c>
      <c r="T783" t="str">
        <f>"18:39:48.028"</f>
        <v>18:39:48.028</v>
      </c>
      <c r="U783" t="str">
        <f t="shared" si="80"/>
        <v>AAB6EE</v>
      </c>
      <c r="V783">
        <v>0</v>
      </c>
      <c r="W783">
        <v>0</v>
      </c>
      <c r="X783">
        <v>4</v>
      </c>
      <c r="Z783">
        <v>0</v>
      </c>
      <c r="AA783">
        <v>8</v>
      </c>
      <c r="AB783">
        <v>3</v>
      </c>
      <c r="AC783">
        <v>0</v>
      </c>
      <c r="AD783">
        <v>10</v>
      </c>
      <c r="AE783">
        <v>0</v>
      </c>
      <c r="AF783">
        <v>0</v>
      </c>
      <c r="AG783">
        <v>2</v>
      </c>
      <c r="AH783">
        <v>1</v>
      </c>
      <c r="AI783" t="s">
        <v>643</v>
      </c>
      <c r="AJ783">
        <v>35.362200999999999</v>
      </c>
      <c r="AK783" t="s">
        <v>644</v>
      </c>
      <c r="AL783">
        <v>-76.131713000000005</v>
      </c>
      <c r="AM783">
        <v>25</v>
      </c>
      <c r="AN783">
        <v>3425</v>
      </c>
      <c r="AO783" t="s">
        <v>118</v>
      </c>
      <c r="AP783">
        <v>-103</v>
      </c>
      <c r="AQ783">
        <v>-197</v>
      </c>
      <c r="AR783">
        <v>-64</v>
      </c>
      <c r="AZ783">
        <v>4516</v>
      </c>
      <c r="BA783">
        <v>1</v>
      </c>
      <c r="BB783" t="str">
        <f t="shared" si="82"/>
        <v xml:space="preserve">N79NX   </v>
      </c>
      <c r="BC783">
        <v>1</v>
      </c>
      <c r="BE783">
        <v>0</v>
      </c>
      <c r="BF783">
        <v>0</v>
      </c>
      <c r="BG783">
        <v>0</v>
      </c>
      <c r="BH783">
        <v>3300</v>
      </c>
      <c r="BI783">
        <v>0</v>
      </c>
      <c r="BJ783">
        <v>0</v>
      </c>
      <c r="BK783">
        <v>0</v>
      </c>
      <c r="BL783">
        <v>0</v>
      </c>
      <c r="BO783">
        <v>0</v>
      </c>
      <c r="BP783">
        <v>0</v>
      </c>
      <c r="BW783" t="str">
        <f>"18:39:48.331"</f>
        <v>18:39:48.331</v>
      </c>
      <c r="BZ783">
        <v>0</v>
      </c>
      <c r="CA783">
        <v>3488</v>
      </c>
      <c r="CB783">
        <v>216</v>
      </c>
      <c r="CC783">
        <v>583.59379999999999</v>
      </c>
      <c r="CD783">
        <v>1</v>
      </c>
      <c r="CE783">
        <v>1</v>
      </c>
      <c r="CF783">
        <v>0</v>
      </c>
      <c r="CG783">
        <v>1</v>
      </c>
      <c r="CH783">
        <v>0</v>
      </c>
      <c r="CI783">
        <v>0</v>
      </c>
      <c r="CJ783">
        <v>0</v>
      </c>
      <c r="CK783">
        <v>2</v>
      </c>
      <c r="CL783">
        <v>0</v>
      </c>
      <c r="CM783">
        <v>2</v>
      </c>
      <c r="CN783">
        <v>0</v>
      </c>
      <c r="CO783">
        <v>5</v>
      </c>
      <c r="CP783" t="s">
        <v>119</v>
      </c>
      <c r="CQ783">
        <v>145</v>
      </c>
      <c r="CR783">
        <v>1</v>
      </c>
      <c r="CW783">
        <v>8972822</v>
      </c>
      <c r="CY783">
        <v>0</v>
      </c>
      <c r="CZ783">
        <v>0</v>
      </c>
      <c r="DA783">
        <v>1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</row>
    <row r="784" spans="1:113" x14ac:dyDescent="0.3">
      <c r="A784" t="str">
        <f>"02/13/2022 18:39:48.581"</f>
        <v>02/13/2022 18:39:48.581</v>
      </c>
      <c r="C784" t="str">
        <f t="shared" si="81"/>
        <v>FFDFD7C0</v>
      </c>
      <c r="D784" t="s">
        <v>113</v>
      </c>
      <c r="E784">
        <v>4</v>
      </c>
      <c r="F784">
        <v>1004</v>
      </c>
      <c r="G784" t="s">
        <v>120</v>
      </c>
      <c r="J784" t="s">
        <v>115</v>
      </c>
      <c r="K784">
        <v>0</v>
      </c>
      <c r="L784">
        <v>3</v>
      </c>
      <c r="M784">
        <v>0</v>
      </c>
      <c r="N784">
        <v>2</v>
      </c>
      <c r="O784">
        <v>1</v>
      </c>
      <c r="P784">
        <v>0</v>
      </c>
      <c r="Q784">
        <v>0</v>
      </c>
      <c r="S784" t="str">
        <f>"18:39:48.328"</f>
        <v>18:39:48.328</v>
      </c>
      <c r="T784" t="str">
        <f>"18:39:48.028"</f>
        <v>18:39:48.028</v>
      </c>
      <c r="U784" t="str">
        <f t="shared" si="80"/>
        <v>AAB6EE</v>
      </c>
      <c r="V784">
        <v>0</v>
      </c>
      <c r="W784">
        <v>0</v>
      </c>
      <c r="X784">
        <v>4</v>
      </c>
      <c r="Z784">
        <v>0</v>
      </c>
      <c r="AA784">
        <v>8</v>
      </c>
      <c r="AB784">
        <v>3</v>
      </c>
      <c r="AC784">
        <v>0</v>
      </c>
      <c r="AD784">
        <v>10</v>
      </c>
      <c r="AE784">
        <v>0</v>
      </c>
      <c r="AF784">
        <v>0</v>
      </c>
      <c r="AG784">
        <v>2</v>
      </c>
      <c r="AH784">
        <v>1</v>
      </c>
      <c r="AI784" t="s">
        <v>643</v>
      </c>
      <c r="AJ784">
        <v>35.362200999999999</v>
      </c>
      <c r="AK784" t="s">
        <v>644</v>
      </c>
      <c r="AL784">
        <v>-76.131713000000005</v>
      </c>
      <c r="AM784">
        <v>25</v>
      </c>
      <c r="AN784">
        <v>3425</v>
      </c>
      <c r="AO784" t="s">
        <v>118</v>
      </c>
      <c r="AP784">
        <v>-103</v>
      </c>
      <c r="AQ784">
        <v>-197</v>
      </c>
      <c r="AR784">
        <v>-64</v>
      </c>
      <c r="AZ784">
        <v>4516</v>
      </c>
      <c r="BA784">
        <v>1</v>
      </c>
      <c r="BB784" t="str">
        <f t="shared" si="82"/>
        <v xml:space="preserve">N79NX   </v>
      </c>
      <c r="BC784">
        <v>1</v>
      </c>
      <c r="BE784">
        <v>0</v>
      </c>
      <c r="BF784">
        <v>0</v>
      </c>
      <c r="BG784">
        <v>0</v>
      </c>
      <c r="BH784">
        <v>3300</v>
      </c>
      <c r="BI784">
        <v>0</v>
      </c>
      <c r="BJ784">
        <v>0</v>
      </c>
      <c r="BK784">
        <v>0</v>
      </c>
      <c r="BL784">
        <v>0</v>
      </c>
      <c r="BO784">
        <v>0</v>
      </c>
      <c r="BP784">
        <v>0</v>
      </c>
      <c r="BW784" t="str">
        <f>"18:39:48.331"</f>
        <v>18:39:48.331</v>
      </c>
      <c r="BZ784">
        <v>0</v>
      </c>
      <c r="CA784">
        <v>3488</v>
      </c>
      <c r="CB784">
        <v>216</v>
      </c>
      <c r="CC784">
        <v>583.59379999999999</v>
      </c>
      <c r="CD784">
        <v>1</v>
      </c>
      <c r="CE784">
        <v>1</v>
      </c>
      <c r="CF784">
        <v>0</v>
      </c>
      <c r="CG784">
        <v>1</v>
      </c>
      <c r="CH784">
        <v>0</v>
      </c>
      <c r="CI784">
        <v>0</v>
      </c>
      <c r="CJ784">
        <v>0</v>
      </c>
      <c r="CK784">
        <v>2</v>
      </c>
      <c r="CL784">
        <v>0</v>
      </c>
      <c r="CM784">
        <v>2</v>
      </c>
      <c r="CN784">
        <v>0</v>
      </c>
      <c r="CO784">
        <v>5</v>
      </c>
      <c r="CP784" t="s">
        <v>119</v>
      </c>
      <c r="CQ784">
        <v>145</v>
      </c>
      <c r="CR784">
        <v>1</v>
      </c>
      <c r="CW784">
        <v>8972822</v>
      </c>
      <c r="CY784">
        <v>0</v>
      </c>
      <c r="CZ784">
        <v>0</v>
      </c>
      <c r="DA784">
        <v>1</v>
      </c>
      <c r="DB784">
        <v>0</v>
      </c>
      <c r="DC784">
        <v>0</v>
      </c>
      <c r="DD784">
        <v>0</v>
      </c>
      <c r="DE784">
        <v>0</v>
      </c>
      <c r="DF784">
        <v>0</v>
      </c>
      <c r="DG784">
        <v>0</v>
      </c>
      <c r="DH784">
        <v>0</v>
      </c>
      <c r="DI784">
        <v>0</v>
      </c>
    </row>
    <row r="785" spans="1:113" x14ac:dyDescent="0.3">
      <c r="A785" t="str">
        <f>"02/13/2022 18:39:49.488"</f>
        <v>02/13/2022 18:39:49.488</v>
      </c>
      <c r="C785" t="str">
        <f t="shared" si="81"/>
        <v>FFDFD7C0</v>
      </c>
      <c r="D785" t="s">
        <v>113</v>
      </c>
      <c r="E785">
        <v>3</v>
      </c>
      <c r="F785">
        <v>1003</v>
      </c>
      <c r="G785" t="s">
        <v>114</v>
      </c>
      <c r="J785" t="s">
        <v>115</v>
      </c>
      <c r="K785">
        <v>0</v>
      </c>
      <c r="L785">
        <v>3</v>
      </c>
      <c r="M785">
        <v>0</v>
      </c>
      <c r="N785">
        <v>2</v>
      </c>
      <c r="O785">
        <v>1</v>
      </c>
      <c r="P785">
        <v>0</v>
      </c>
      <c r="Q785">
        <v>0</v>
      </c>
      <c r="S785" t="str">
        <f>"18:39:49.266"</f>
        <v>18:39:49.266</v>
      </c>
      <c r="T785" t="str">
        <f>"18:39:48.966"</f>
        <v>18:39:48.966</v>
      </c>
      <c r="U785" t="str">
        <f t="shared" si="80"/>
        <v>AAB6EE</v>
      </c>
      <c r="V785">
        <v>0</v>
      </c>
      <c r="W785">
        <v>0</v>
      </c>
      <c r="X785">
        <v>4</v>
      </c>
      <c r="Z785">
        <v>0</v>
      </c>
      <c r="AA785">
        <v>8</v>
      </c>
      <c r="AB785">
        <v>3</v>
      </c>
      <c r="AC785">
        <v>0</v>
      </c>
      <c r="AD785">
        <v>10</v>
      </c>
      <c r="AE785">
        <v>0</v>
      </c>
      <c r="AF785">
        <v>0</v>
      </c>
      <c r="AG785">
        <v>2</v>
      </c>
      <c r="AH785">
        <v>1</v>
      </c>
      <c r="AI785" t="s">
        <v>645</v>
      </c>
      <c r="AJ785">
        <v>35.361364000000002</v>
      </c>
      <c r="AK785" t="s">
        <v>646</v>
      </c>
      <c r="AL785">
        <v>-76.132206999999994</v>
      </c>
      <c r="AM785">
        <v>25</v>
      </c>
      <c r="AN785">
        <v>3425</v>
      </c>
      <c r="AO785" t="s">
        <v>118</v>
      </c>
      <c r="AP785">
        <v>-103</v>
      </c>
      <c r="AQ785">
        <v>-197</v>
      </c>
      <c r="AR785">
        <v>-64</v>
      </c>
      <c r="AZ785">
        <v>4516</v>
      </c>
      <c r="BA785">
        <v>1</v>
      </c>
      <c r="BB785" t="str">
        <f t="shared" si="82"/>
        <v xml:space="preserve">N79NX   </v>
      </c>
      <c r="BC785">
        <v>1</v>
      </c>
      <c r="BE785">
        <v>0</v>
      </c>
      <c r="BF785">
        <v>0</v>
      </c>
      <c r="BG785">
        <v>0</v>
      </c>
      <c r="BH785">
        <v>3275</v>
      </c>
      <c r="BI785">
        <v>0</v>
      </c>
      <c r="BJ785">
        <v>0</v>
      </c>
      <c r="BK785">
        <v>0</v>
      </c>
      <c r="BL785">
        <v>0</v>
      </c>
      <c r="BO785">
        <v>0</v>
      </c>
      <c r="BP785">
        <v>0</v>
      </c>
      <c r="BW785" t="str">
        <f>"18:39:49.271"</f>
        <v>18:39:49.271</v>
      </c>
      <c r="BZ785">
        <v>0</v>
      </c>
      <c r="CA785">
        <v>3488</v>
      </c>
      <c r="CB785">
        <v>216</v>
      </c>
      <c r="CC785">
        <v>583.59379999999999</v>
      </c>
      <c r="CD785">
        <v>1</v>
      </c>
      <c r="CE785">
        <v>1</v>
      </c>
      <c r="CF785">
        <v>0</v>
      </c>
      <c r="CG785">
        <v>1</v>
      </c>
      <c r="CH785">
        <v>0</v>
      </c>
      <c r="CI785">
        <v>0</v>
      </c>
      <c r="CJ785">
        <v>0</v>
      </c>
      <c r="CK785">
        <v>2</v>
      </c>
      <c r="CL785">
        <v>0</v>
      </c>
      <c r="CM785">
        <v>2</v>
      </c>
      <c r="CN785">
        <v>0</v>
      </c>
      <c r="CO785">
        <v>5</v>
      </c>
      <c r="CP785" t="s">
        <v>119</v>
      </c>
      <c r="CQ785">
        <v>145</v>
      </c>
      <c r="CR785">
        <v>1</v>
      </c>
      <c r="CW785">
        <v>8973279</v>
      </c>
      <c r="CY785">
        <v>0</v>
      </c>
      <c r="CZ785">
        <v>0</v>
      </c>
      <c r="DA785">
        <v>0</v>
      </c>
      <c r="DB785">
        <v>0</v>
      </c>
      <c r="DC785">
        <v>0</v>
      </c>
      <c r="DD785">
        <v>0</v>
      </c>
      <c r="DE785">
        <v>0</v>
      </c>
      <c r="DF785">
        <v>0</v>
      </c>
      <c r="DG785">
        <v>0</v>
      </c>
      <c r="DH785">
        <v>0</v>
      </c>
      <c r="DI785">
        <v>0</v>
      </c>
    </row>
    <row r="786" spans="1:113" x14ac:dyDescent="0.3">
      <c r="A786" t="str">
        <f>"02/13/2022 18:39:49.488"</f>
        <v>02/13/2022 18:39:49.488</v>
      </c>
      <c r="C786" t="str">
        <f t="shared" si="81"/>
        <v>FFDFD7C0</v>
      </c>
      <c r="D786" t="s">
        <v>113</v>
      </c>
      <c r="E786">
        <v>4</v>
      </c>
      <c r="F786">
        <v>1004</v>
      </c>
      <c r="G786" t="s">
        <v>120</v>
      </c>
      <c r="J786" t="s">
        <v>115</v>
      </c>
      <c r="K786">
        <v>0</v>
      </c>
      <c r="L786">
        <v>3</v>
      </c>
      <c r="M786">
        <v>0</v>
      </c>
      <c r="N786">
        <v>2</v>
      </c>
      <c r="O786">
        <v>1</v>
      </c>
      <c r="P786">
        <v>0</v>
      </c>
      <c r="Q786">
        <v>0</v>
      </c>
      <c r="S786" t="str">
        <f>"18:39:49.266"</f>
        <v>18:39:49.266</v>
      </c>
      <c r="T786" t="str">
        <f>"18:39:48.966"</f>
        <v>18:39:48.966</v>
      </c>
      <c r="U786" t="str">
        <f t="shared" si="80"/>
        <v>AAB6EE</v>
      </c>
      <c r="V786">
        <v>0</v>
      </c>
      <c r="W786">
        <v>0</v>
      </c>
      <c r="X786">
        <v>4</v>
      </c>
      <c r="Z786">
        <v>0</v>
      </c>
      <c r="AA786">
        <v>8</v>
      </c>
      <c r="AB786">
        <v>3</v>
      </c>
      <c r="AC786">
        <v>0</v>
      </c>
      <c r="AD786">
        <v>10</v>
      </c>
      <c r="AE786">
        <v>0</v>
      </c>
      <c r="AF786">
        <v>0</v>
      </c>
      <c r="AG786">
        <v>2</v>
      </c>
      <c r="AH786">
        <v>1</v>
      </c>
      <c r="AI786" t="s">
        <v>645</v>
      </c>
      <c r="AJ786">
        <v>35.361364000000002</v>
      </c>
      <c r="AK786" t="s">
        <v>646</v>
      </c>
      <c r="AL786">
        <v>-76.132206999999994</v>
      </c>
      <c r="AM786">
        <v>25</v>
      </c>
      <c r="AN786">
        <v>3425</v>
      </c>
      <c r="AO786" t="s">
        <v>118</v>
      </c>
      <c r="AP786">
        <v>-103</v>
      </c>
      <c r="AQ786">
        <v>-197</v>
      </c>
      <c r="AR786">
        <v>-64</v>
      </c>
      <c r="AZ786">
        <v>4516</v>
      </c>
      <c r="BA786">
        <v>1</v>
      </c>
      <c r="BB786" t="str">
        <f t="shared" si="82"/>
        <v xml:space="preserve">N79NX   </v>
      </c>
      <c r="BC786">
        <v>1</v>
      </c>
      <c r="BE786">
        <v>0</v>
      </c>
      <c r="BF786">
        <v>0</v>
      </c>
      <c r="BG786">
        <v>0</v>
      </c>
      <c r="BH786">
        <v>3275</v>
      </c>
      <c r="BI786">
        <v>0</v>
      </c>
      <c r="BJ786">
        <v>0</v>
      </c>
      <c r="BK786">
        <v>0</v>
      </c>
      <c r="BL786">
        <v>0</v>
      </c>
      <c r="BO786">
        <v>0</v>
      </c>
      <c r="BP786">
        <v>0</v>
      </c>
      <c r="BW786" t="str">
        <f>"18:39:49.271"</f>
        <v>18:39:49.271</v>
      </c>
      <c r="BZ786">
        <v>0</v>
      </c>
      <c r="CA786">
        <v>3488</v>
      </c>
      <c r="CB786">
        <v>216</v>
      </c>
      <c r="CC786">
        <v>583.59379999999999</v>
      </c>
      <c r="CD786">
        <v>1</v>
      </c>
      <c r="CE786">
        <v>1</v>
      </c>
      <c r="CF786">
        <v>0</v>
      </c>
      <c r="CG786">
        <v>1</v>
      </c>
      <c r="CH786">
        <v>0</v>
      </c>
      <c r="CI786">
        <v>0</v>
      </c>
      <c r="CJ786">
        <v>0</v>
      </c>
      <c r="CK786">
        <v>2</v>
      </c>
      <c r="CL786">
        <v>0</v>
      </c>
      <c r="CM786">
        <v>2</v>
      </c>
      <c r="CN786">
        <v>0</v>
      </c>
      <c r="CO786">
        <v>5</v>
      </c>
      <c r="CP786" t="s">
        <v>119</v>
      </c>
      <c r="CQ786">
        <v>145</v>
      </c>
      <c r="CR786">
        <v>1</v>
      </c>
      <c r="CW786">
        <v>8973279</v>
      </c>
      <c r="CY786">
        <v>0</v>
      </c>
      <c r="CZ786">
        <v>0</v>
      </c>
      <c r="DA786">
        <v>1</v>
      </c>
      <c r="DB786">
        <v>0</v>
      </c>
      <c r="DC786">
        <v>0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</row>
    <row r="787" spans="1:113" x14ac:dyDescent="0.3">
      <c r="A787" t="str">
        <f>"02/13/2022 18:39:49.552"</f>
        <v>02/13/2022 18:39:49.552</v>
      </c>
      <c r="C787" t="str">
        <f t="shared" si="81"/>
        <v>FFDFD7C0</v>
      </c>
      <c r="D787" t="s">
        <v>121</v>
      </c>
      <c r="E787">
        <v>2</v>
      </c>
      <c r="H787">
        <v>158</v>
      </c>
      <c r="I787" t="s">
        <v>120</v>
      </c>
      <c r="J787" t="s">
        <v>122</v>
      </c>
      <c r="K787">
        <v>0</v>
      </c>
      <c r="L787">
        <v>3</v>
      </c>
      <c r="M787">
        <v>0</v>
      </c>
      <c r="N787">
        <v>2</v>
      </c>
      <c r="O787">
        <v>1</v>
      </c>
      <c r="P787">
        <v>0</v>
      </c>
      <c r="Q787">
        <v>0</v>
      </c>
      <c r="S787" t="str">
        <f>"18:39:49.266"</f>
        <v>18:39:49.266</v>
      </c>
      <c r="T787" t="str">
        <f>"18:39:48.966"</f>
        <v>18:39:48.966</v>
      </c>
      <c r="U787" t="str">
        <f t="shared" si="80"/>
        <v>AAB6EE</v>
      </c>
      <c r="V787">
        <v>0</v>
      </c>
      <c r="W787">
        <v>0</v>
      </c>
      <c r="X787">
        <v>4</v>
      </c>
      <c r="Z787">
        <v>0</v>
      </c>
      <c r="AA787">
        <v>8</v>
      </c>
      <c r="AB787">
        <v>3</v>
      </c>
      <c r="AC787">
        <v>0</v>
      </c>
      <c r="AD787">
        <v>10</v>
      </c>
      <c r="AE787">
        <v>0</v>
      </c>
      <c r="AF787">
        <v>0</v>
      </c>
      <c r="AG787">
        <v>2</v>
      </c>
      <c r="AH787">
        <v>1</v>
      </c>
      <c r="AI787" t="s">
        <v>645</v>
      </c>
      <c r="AJ787">
        <v>35.361364000000002</v>
      </c>
      <c r="AK787" t="s">
        <v>646</v>
      </c>
      <c r="AL787">
        <v>-76.132206999999994</v>
      </c>
      <c r="AM787">
        <v>25</v>
      </c>
      <c r="AN787">
        <v>3425</v>
      </c>
      <c r="AO787" t="s">
        <v>118</v>
      </c>
      <c r="AP787">
        <v>-103</v>
      </c>
      <c r="AQ787">
        <v>-197</v>
      </c>
      <c r="AR787">
        <v>-64</v>
      </c>
      <c r="AZ787">
        <v>4516</v>
      </c>
      <c r="BA787">
        <v>1</v>
      </c>
      <c r="BB787" t="str">
        <f t="shared" si="82"/>
        <v xml:space="preserve">N79NX   </v>
      </c>
      <c r="BC787">
        <v>1</v>
      </c>
      <c r="BE787">
        <v>0</v>
      </c>
      <c r="BF787">
        <v>0</v>
      </c>
      <c r="BG787">
        <v>0</v>
      </c>
      <c r="BH787">
        <v>3275</v>
      </c>
      <c r="BI787">
        <v>0</v>
      </c>
      <c r="BJ787">
        <v>0</v>
      </c>
      <c r="BK787">
        <v>0</v>
      </c>
      <c r="BL787">
        <v>0</v>
      </c>
      <c r="BO787">
        <v>0</v>
      </c>
      <c r="BP787">
        <v>0</v>
      </c>
      <c r="BW787" t="str">
        <f>"18:39:49.271"</f>
        <v>18:39:49.271</v>
      </c>
      <c r="BZ787">
        <v>0</v>
      </c>
      <c r="CA787">
        <v>3488</v>
      </c>
      <c r="CB787">
        <v>216</v>
      </c>
      <c r="CC787">
        <v>583.59379999999999</v>
      </c>
      <c r="CD787">
        <v>1</v>
      </c>
      <c r="CE787">
        <v>1</v>
      </c>
      <c r="CF787">
        <v>0</v>
      </c>
      <c r="CG787">
        <v>1</v>
      </c>
      <c r="CH787">
        <v>0</v>
      </c>
      <c r="CI787">
        <v>0</v>
      </c>
      <c r="CJ787">
        <v>0</v>
      </c>
      <c r="CK787">
        <v>2</v>
      </c>
      <c r="CL787">
        <v>0</v>
      </c>
      <c r="CM787">
        <v>2</v>
      </c>
      <c r="CN787">
        <v>0</v>
      </c>
      <c r="CO787">
        <v>5</v>
      </c>
      <c r="CP787" t="s">
        <v>119</v>
      </c>
      <c r="CQ787">
        <v>145</v>
      </c>
      <c r="CR787">
        <v>1</v>
      </c>
      <c r="CW787">
        <v>8973279</v>
      </c>
      <c r="CY787">
        <v>0</v>
      </c>
      <c r="CZ787">
        <v>0</v>
      </c>
      <c r="DA787">
        <v>1</v>
      </c>
      <c r="DB787">
        <v>0</v>
      </c>
      <c r="DC787">
        <v>0</v>
      </c>
      <c r="DD787">
        <v>0</v>
      </c>
      <c r="DE787">
        <v>0</v>
      </c>
      <c r="DF787">
        <v>0</v>
      </c>
      <c r="DG787">
        <v>0</v>
      </c>
      <c r="DH787">
        <v>0</v>
      </c>
      <c r="DI787">
        <v>0</v>
      </c>
    </row>
    <row r="788" spans="1:113" x14ac:dyDescent="0.3">
      <c r="A788" t="str">
        <f>"02/13/2022 18:39:50.317"</f>
        <v>02/13/2022 18:39:50.317</v>
      </c>
      <c r="C788" t="str">
        <f t="shared" si="81"/>
        <v>FFDFD7C0</v>
      </c>
      <c r="D788" t="s">
        <v>121</v>
      </c>
      <c r="E788">
        <v>2</v>
      </c>
      <c r="H788">
        <v>158</v>
      </c>
      <c r="I788" t="s">
        <v>120</v>
      </c>
      <c r="J788" t="s">
        <v>122</v>
      </c>
      <c r="K788">
        <v>0</v>
      </c>
      <c r="L788">
        <v>3</v>
      </c>
      <c r="M788">
        <v>0</v>
      </c>
      <c r="N788">
        <v>2</v>
      </c>
      <c r="O788">
        <v>1</v>
      </c>
      <c r="P788">
        <v>0</v>
      </c>
      <c r="Q788">
        <v>0</v>
      </c>
      <c r="S788" t="str">
        <f>"18:39:50.094"</f>
        <v>18:39:50.094</v>
      </c>
      <c r="T788" t="str">
        <f>"18:39:49.894"</f>
        <v>18:39:49.894</v>
      </c>
      <c r="U788" t="str">
        <f t="shared" si="80"/>
        <v>AAB6EE</v>
      </c>
      <c r="V788">
        <v>0</v>
      </c>
      <c r="W788">
        <v>0</v>
      </c>
      <c r="X788">
        <v>4</v>
      </c>
      <c r="Z788">
        <v>0</v>
      </c>
      <c r="AA788">
        <v>8</v>
      </c>
      <c r="AB788">
        <v>3</v>
      </c>
      <c r="AC788">
        <v>0</v>
      </c>
      <c r="AD788">
        <v>10</v>
      </c>
      <c r="AE788">
        <v>0</v>
      </c>
      <c r="AF788">
        <v>0</v>
      </c>
      <c r="AG788">
        <v>2</v>
      </c>
      <c r="AH788">
        <v>1</v>
      </c>
      <c r="AI788" t="s">
        <v>647</v>
      </c>
      <c r="AJ788">
        <v>35.360655999999999</v>
      </c>
      <c r="AK788" t="s">
        <v>648</v>
      </c>
      <c r="AL788">
        <v>-76.132678999999996</v>
      </c>
      <c r="AM788">
        <v>25</v>
      </c>
      <c r="AN788">
        <v>3425</v>
      </c>
      <c r="AO788" t="s">
        <v>118</v>
      </c>
      <c r="AP788">
        <v>-103</v>
      </c>
      <c r="AQ788">
        <v>-197</v>
      </c>
      <c r="AR788">
        <v>0</v>
      </c>
      <c r="AZ788">
        <v>4516</v>
      </c>
      <c r="BA788">
        <v>1</v>
      </c>
      <c r="BB788" t="str">
        <f t="shared" si="82"/>
        <v xml:space="preserve">N79NX   </v>
      </c>
      <c r="BC788">
        <v>1</v>
      </c>
      <c r="BE788">
        <v>0</v>
      </c>
      <c r="BF788">
        <v>0</v>
      </c>
      <c r="BG788">
        <v>0</v>
      </c>
      <c r="BH788">
        <v>3275</v>
      </c>
      <c r="BI788">
        <v>0</v>
      </c>
      <c r="BJ788">
        <v>0</v>
      </c>
      <c r="BK788">
        <v>0</v>
      </c>
      <c r="BL788">
        <v>0</v>
      </c>
      <c r="BO788">
        <v>0</v>
      </c>
      <c r="BP788">
        <v>0</v>
      </c>
      <c r="BW788" t="str">
        <f>"18:39:50.101"</f>
        <v>18:39:50.101</v>
      </c>
      <c r="BZ788">
        <v>0</v>
      </c>
      <c r="CA788">
        <v>3488</v>
      </c>
      <c r="CB788">
        <v>216</v>
      </c>
      <c r="CC788">
        <v>583.59379999999999</v>
      </c>
      <c r="CD788">
        <v>1</v>
      </c>
      <c r="CE788">
        <v>1</v>
      </c>
      <c r="CF788">
        <v>0</v>
      </c>
      <c r="CG788">
        <v>1</v>
      </c>
      <c r="CH788">
        <v>0</v>
      </c>
      <c r="CI788">
        <v>0</v>
      </c>
      <c r="CJ788">
        <v>0</v>
      </c>
      <c r="CK788">
        <v>2</v>
      </c>
      <c r="CL788">
        <v>0</v>
      </c>
      <c r="CM788">
        <v>2</v>
      </c>
      <c r="CN788">
        <v>0</v>
      </c>
      <c r="CO788">
        <v>5</v>
      </c>
      <c r="CP788" t="s">
        <v>119</v>
      </c>
      <c r="CQ788">
        <v>145</v>
      </c>
      <c r="CR788">
        <v>1</v>
      </c>
      <c r="CW788">
        <v>8973646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0</v>
      </c>
      <c r="DE788">
        <v>0</v>
      </c>
      <c r="DF788">
        <v>0</v>
      </c>
      <c r="DG788">
        <v>0</v>
      </c>
      <c r="DH788">
        <v>0</v>
      </c>
      <c r="DI788">
        <v>0</v>
      </c>
    </row>
    <row r="789" spans="1:113" x14ac:dyDescent="0.3">
      <c r="A789" t="str">
        <f>"02/13/2022 18:39:50.317"</f>
        <v>02/13/2022 18:39:50.317</v>
      </c>
      <c r="C789" t="str">
        <f t="shared" si="81"/>
        <v>FFDFD7C0</v>
      </c>
      <c r="D789" t="s">
        <v>113</v>
      </c>
      <c r="E789">
        <v>3</v>
      </c>
      <c r="F789">
        <v>1003</v>
      </c>
      <c r="G789" t="s">
        <v>114</v>
      </c>
      <c r="J789" t="s">
        <v>115</v>
      </c>
      <c r="K789">
        <v>0</v>
      </c>
      <c r="L789">
        <v>3</v>
      </c>
      <c r="M789">
        <v>0</v>
      </c>
      <c r="N789">
        <v>2</v>
      </c>
      <c r="O789">
        <v>1</v>
      </c>
      <c r="P789">
        <v>0</v>
      </c>
      <c r="Q789">
        <v>0</v>
      </c>
      <c r="S789" t="str">
        <f>"18:39:50.094"</f>
        <v>18:39:50.094</v>
      </c>
      <c r="T789" t="str">
        <f>"18:39:49.894"</f>
        <v>18:39:49.894</v>
      </c>
      <c r="U789" t="str">
        <f t="shared" si="80"/>
        <v>AAB6EE</v>
      </c>
      <c r="V789">
        <v>0</v>
      </c>
      <c r="W789">
        <v>0</v>
      </c>
      <c r="X789">
        <v>4</v>
      </c>
      <c r="Z789">
        <v>0</v>
      </c>
      <c r="AA789">
        <v>8</v>
      </c>
      <c r="AB789">
        <v>3</v>
      </c>
      <c r="AC789">
        <v>0</v>
      </c>
      <c r="AD789">
        <v>10</v>
      </c>
      <c r="AE789">
        <v>0</v>
      </c>
      <c r="AF789">
        <v>0</v>
      </c>
      <c r="AG789">
        <v>2</v>
      </c>
      <c r="AH789">
        <v>1</v>
      </c>
      <c r="AI789" t="s">
        <v>647</v>
      </c>
      <c r="AJ789">
        <v>35.360655999999999</v>
      </c>
      <c r="AK789" t="s">
        <v>648</v>
      </c>
      <c r="AL789">
        <v>-76.132678999999996</v>
      </c>
      <c r="AM789">
        <v>25</v>
      </c>
      <c r="AN789">
        <v>3425</v>
      </c>
      <c r="AO789" t="s">
        <v>118</v>
      </c>
      <c r="AP789">
        <v>-103</v>
      </c>
      <c r="AQ789">
        <v>-197</v>
      </c>
      <c r="AR789">
        <v>0</v>
      </c>
      <c r="AZ789">
        <v>4516</v>
      </c>
      <c r="BA789">
        <v>1</v>
      </c>
      <c r="BB789" t="str">
        <f t="shared" si="82"/>
        <v xml:space="preserve">N79NX   </v>
      </c>
      <c r="BC789">
        <v>1</v>
      </c>
      <c r="BE789">
        <v>0</v>
      </c>
      <c r="BF789">
        <v>0</v>
      </c>
      <c r="BG789">
        <v>0</v>
      </c>
      <c r="BH789">
        <v>3275</v>
      </c>
      <c r="BI789">
        <v>0</v>
      </c>
      <c r="BJ789">
        <v>0</v>
      </c>
      <c r="BK789">
        <v>0</v>
      </c>
      <c r="BL789">
        <v>0</v>
      </c>
      <c r="BO789">
        <v>0</v>
      </c>
      <c r="BP789">
        <v>0</v>
      </c>
      <c r="BW789" t="str">
        <f>"18:39:50.101"</f>
        <v>18:39:50.101</v>
      </c>
      <c r="BZ789">
        <v>0</v>
      </c>
      <c r="CA789">
        <v>3488</v>
      </c>
      <c r="CB789">
        <v>216</v>
      </c>
      <c r="CC789">
        <v>583.59379999999999</v>
      </c>
      <c r="CD789">
        <v>1</v>
      </c>
      <c r="CE789">
        <v>1</v>
      </c>
      <c r="CF789">
        <v>0</v>
      </c>
      <c r="CG789">
        <v>1</v>
      </c>
      <c r="CH789">
        <v>0</v>
      </c>
      <c r="CI789">
        <v>0</v>
      </c>
      <c r="CJ789">
        <v>0</v>
      </c>
      <c r="CK789">
        <v>2</v>
      </c>
      <c r="CL789">
        <v>0</v>
      </c>
      <c r="CM789">
        <v>2</v>
      </c>
      <c r="CN789">
        <v>0</v>
      </c>
      <c r="CO789">
        <v>5</v>
      </c>
      <c r="CP789" t="s">
        <v>119</v>
      </c>
      <c r="CQ789">
        <v>145</v>
      </c>
      <c r="CR789">
        <v>1</v>
      </c>
      <c r="CW789">
        <v>8973646</v>
      </c>
      <c r="CY789">
        <v>0</v>
      </c>
      <c r="CZ789">
        <v>0</v>
      </c>
      <c r="DA789">
        <v>1</v>
      </c>
      <c r="DB789">
        <v>0</v>
      </c>
      <c r="DC789">
        <v>0</v>
      </c>
      <c r="DD789">
        <v>0</v>
      </c>
      <c r="DE789">
        <v>0</v>
      </c>
      <c r="DF789">
        <v>0</v>
      </c>
      <c r="DG789">
        <v>0</v>
      </c>
      <c r="DH789">
        <v>0</v>
      </c>
      <c r="DI789">
        <v>0</v>
      </c>
    </row>
    <row r="790" spans="1:113" x14ac:dyDescent="0.3">
      <c r="A790" t="str">
        <f>"02/13/2022 18:39:50.333"</f>
        <v>02/13/2022 18:39:50.333</v>
      </c>
      <c r="C790" t="str">
        <f t="shared" si="81"/>
        <v>FFDFD7C0</v>
      </c>
      <c r="D790" t="s">
        <v>113</v>
      </c>
      <c r="E790">
        <v>4</v>
      </c>
      <c r="F790">
        <v>1004</v>
      </c>
      <c r="G790" t="s">
        <v>120</v>
      </c>
      <c r="J790" t="s">
        <v>115</v>
      </c>
      <c r="K790">
        <v>0</v>
      </c>
      <c r="L790">
        <v>3</v>
      </c>
      <c r="M790">
        <v>0</v>
      </c>
      <c r="N790">
        <v>2</v>
      </c>
      <c r="O790">
        <v>1</v>
      </c>
      <c r="P790">
        <v>0</v>
      </c>
      <c r="Q790">
        <v>0</v>
      </c>
      <c r="S790" t="str">
        <f>"18:39:50.094"</f>
        <v>18:39:50.094</v>
      </c>
      <c r="T790" t="str">
        <f>"18:39:49.894"</f>
        <v>18:39:49.894</v>
      </c>
      <c r="U790" t="str">
        <f t="shared" si="80"/>
        <v>AAB6EE</v>
      </c>
      <c r="V790">
        <v>0</v>
      </c>
      <c r="W790">
        <v>0</v>
      </c>
      <c r="X790">
        <v>4</v>
      </c>
      <c r="Z790">
        <v>0</v>
      </c>
      <c r="AA790">
        <v>8</v>
      </c>
      <c r="AB790">
        <v>3</v>
      </c>
      <c r="AC790">
        <v>0</v>
      </c>
      <c r="AD790">
        <v>10</v>
      </c>
      <c r="AE790">
        <v>0</v>
      </c>
      <c r="AF790">
        <v>0</v>
      </c>
      <c r="AG790">
        <v>2</v>
      </c>
      <c r="AH790">
        <v>1</v>
      </c>
      <c r="AI790" t="s">
        <v>647</v>
      </c>
      <c r="AJ790">
        <v>35.360655999999999</v>
      </c>
      <c r="AK790" t="s">
        <v>648</v>
      </c>
      <c r="AL790">
        <v>-76.132678999999996</v>
      </c>
      <c r="AM790">
        <v>25</v>
      </c>
      <c r="AN790">
        <v>3425</v>
      </c>
      <c r="AO790" t="s">
        <v>118</v>
      </c>
      <c r="AP790">
        <v>-103</v>
      </c>
      <c r="AQ790">
        <v>-197</v>
      </c>
      <c r="AR790">
        <v>0</v>
      </c>
      <c r="AZ790">
        <v>4516</v>
      </c>
      <c r="BA790">
        <v>1</v>
      </c>
      <c r="BB790" t="str">
        <f t="shared" si="82"/>
        <v xml:space="preserve">N79NX   </v>
      </c>
      <c r="BC790">
        <v>1</v>
      </c>
      <c r="BE790">
        <v>0</v>
      </c>
      <c r="BF790">
        <v>0</v>
      </c>
      <c r="BG790">
        <v>0</v>
      </c>
      <c r="BH790">
        <v>3275</v>
      </c>
      <c r="BI790">
        <v>0</v>
      </c>
      <c r="BJ790">
        <v>0</v>
      </c>
      <c r="BK790">
        <v>0</v>
      </c>
      <c r="BL790">
        <v>0</v>
      </c>
      <c r="BO790">
        <v>0</v>
      </c>
      <c r="BP790">
        <v>0</v>
      </c>
      <c r="BW790" t="str">
        <f>"18:39:50.101"</f>
        <v>18:39:50.101</v>
      </c>
      <c r="BZ790">
        <v>0</v>
      </c>
      <c r="CA790">
        <v>3488</v>
      </c>
      <c r="CB790">
        <v>216</v>
      </c>
      <c r="CC790">
        <v>583.59379999999999</v>
      </c>
      <c r="CD790">
        <v>1</v>
      </c>
      <c r="CE790">
        <v>1</v>
      </c>
      <c r="CF790">
        <v>0</v>
      </c>
      <c r="CG790">
        <v>1</v>
      </c>
      <c r="CH790">
        <v>0</v>
      </c>
      <c r="CI790">
        <v>0</v>
      </c>
      <c r="CJ790">
        <v>0</v>
      </c>
      <c r="CK790">
        <v>2</v>
      </c>
      <c r="CL790">
        <v>0</v>
      </c>
      <c r="CM790">
        <v>2</v>
      </c>
      <c r="CN790">
        <v>0</v>
      </c>
      <c r="CO790">
        <v>5</v>
      </c>
      <c r="CP790" t="s">
        <v>119</v>
      </c>
      <c r="CQ790">
        <v>145</v>
      </c>
      <c r="CR790">
        <v>1</v>
      </c>
      <c r="CW790">
        <v>8973646</v>
      </c>
      <c r="CY790">
        <v>0</v>
      </c>
      <c r="CZ790">
        <v>0</v>
      </c>
      <c r="DA790">
        <v>1</v>
      </c>
      <c r="DB790">
        <v>0</v>
      </c>
      <c r="DC790">
        <v>0</v>
      </c>
      <c r="DD790">
        <v>0</v>
      </c>
      <c r="DE790">
        <v>0</v>
      </c>
      <c r="DF790">
        <v>0</v>
      </c>
      <c r="DG790">
        <v>0</v>
      </c>
      <c r="DH790">
        <v>0</v>
      </c>
      <c r="DI790">
        <v>0</v>
      </c>
    </row>
    <row r="791" spans="1:113" x14ac:dyDescent="0.3">
      <c r="A791" t="str">
        <f>"02/13/2022 18:39:51.334"</f>
        <v>02/13/2022 18:39:51.334</v>
      </c>
      <c r="C791" t="str">
        <f t="shared" si="81"/>
        <v>FFDFD7C0</v>
      </c>
      <c r="D791" t="s">
        <v>113</v>
      </c>
      <c r="E791">
        <v>3</v>
      </c>
      <c r="F791">
        <v>1003</v>
      </c>
      <c r="G791" t="s">
        <v>114</v>
      </c>
      <c r="J791" t="s">
        <v>115</v>
      </c>
      <c r="K791">
        <v>0</v>
      </c>
      <c r="L791">
        <v>3</v>
      </c>
      <c r="M791">
        <v>0</v>
      </c>
      <c r="N791">
        <v>2</v>
      </c>
      <c r="O791">
        <v>1</v>
      </c>
      <c r="P791">
        <v>0</v>
      </c>
      <c r="Q791">
        <v>0</v>
      </c>
      <c r="S791" t="str">
        <f>"18:39:51.148"</f>
        <v>18:39:51.148</v>
      </c>
      <c r="T791" t="str">
        <f>"18:39:50.748"</f>
        <v>18:39:50.748</v>
      </c>
      <c r="U791" t="str">
        <f t="shared" si="80"/>
        <v>AAB6EE</v>
      </c>
      <c r="V791">
        <v>0</v>
      </c>
      <c r="W791">
        <v>0</v>
      </c>
      <c r="X791">
        <v>4</v>
      </c>
      <c r="Z791">
        <v>0</v>
      </c>
      <c r="AA791">
        <v>8</v>
      </c>
      <c r="AB791">
        <v>3</v>
      </c>
      <c r="AC791">
        <v>0</v>
      </c>
      <c r="AD791">
        <v>10</v>
      </c>
      <c r="AE791">
        <v>0</v>
      </c>
      <c r="AF791">
        <v>0</v>
      </c>
      <c r="AG791">
        <v>2</v>
      </c>
      <c r="AH791">
        <v>1</v>
      </c>
      <c r="AI791" t="s">
        <v>649</v>
      </c>
      <c r="AJ791">
        <v>35.359625999999999</v>
      </c>
      <c r="AK791" t="s">
        <v>650</v>
      </c>
      <c r="AL791">
        <v>-76.133365999999995</v>
      </c>
      <c r="AM791">
        <v>25</v>
      </c>
      <c r="AN791">
        <v>3425</v>
      </c>
      <c r="AO791" t="s">
        <v>118</v>
      </c>
      <c r="AP791">
        <v>-103</v>
      </c>
      <c r="AQ791">
        <v>-197</v>
      </c>
      <c r="AR791">
        <v>64</v>
      </c>
      <c r="AZ791">
        <v>4516</v>
      </c>
      <c r="BA791">
        <v>1</v>
      </c>
      <c r="BB791" t="str">
        <f t="shared" si="82"/>
        <v xml:space="preserve">N79NX   </v>
      </c>
      <c r="BC791">
        <v>1</v>
      </c>
      <c r="BE791">
        <v>0</v>
      </c>
      <c r="BF791">
        <v>0</v>
      </c>
      <c r="BG791">
        <v>0</v>
      </c>
      <c r="BH791">
        <v>3275</v>
      </c>
      <c r="BI791">
        <v>0</v>
      </c>
      <c r="BJ791">
        <v>0</v>
      </c>
      <c r="BK791">
        <v>0</v>
      </c>
      <c r="BL791">
        <v>0</v>
      </c>
      <c r="BO791">
        <v>0</v>
      </c>
      <c r="BP791">
        <v>0</v>
      </c>
      <c r="BW791" t="str">
        <f>"18:39:51.151"</f>
        <v>18:39:51.151</v>
      </c>
      <c r="BZ791">
        <v>0</v>
      </c>
      <c r="CA791">
        <v>3488</v>
      </c>
      <c r="CB791">
        <v>216</v>
      </c>
      <c r="CC791">
        <v>583.59379999999999</v>
      </c>
      <c r="CD791">
        <v>1</v>
      </c>
      <c r="CE791">
        <v>1</v>
      </c>
      <c r="CF791">
        <v>0</v>
      </c>
      <c r="CG791">
        <v>1</v>
      </c>
      <c r="CH791">
        <v>0</v>
      </c>
      <c r="CI791">
        <v>0</v>
      </c>
      <c r="CJ791">
        <v>0</v>
      </c>
      <c r="CK791">
        <v>2</v>
      </c>
      <c r="CL791">
        <v>0</v>
      </c>
      <c r="CM791">
        <v>2</v>
      </c>
      <c r="CN791">
        <v>0</v>
      </c>
      <c r="CO791">
        <v>5</v>
      </c>
      <c r="CP791" t="s">
        <v>119</v>
      </c>
      <c r="CQ791">
        <v>145</v>
      </c>
      <c r="CR791">
        <v>1</v>
      </c>
      <c r="CW791">
        <v>8974093</v>
      </c>
      <c r="CY791">
        <v>0</v>
      </c>
      <c r="CZ791">
        <v>0</v>
      </c>
      <c r="DA791">
        <v>0</v>
      </c>
      <c r="DB791">
        <v>0</v>
      </c>
      <c r="DC791">
        <v>0</v>
      </c>
      <c r="DD791">
        <v>0</v>
      </c>
      <c r="DE791">
        <v>0</v>
      </c>
      <c r="DF791">
        <v>0</v>
      </c>
      <c r="DG791">
        <v>0</v>
      </c>
      <c r="DH791">
        <v>0</v>
      </c>
      <c r="DI791">
        <v>0</v>
      </c>
    </row>
    <row r="792" spans="1:113" x14ac:dyDescent="0.3">
      <c r="A792" t="str">
        <f>"02/13/2022 18:39:51.334"</f>
        <v>02/13/2022 18:39:51.334</v>
      </c>
      <c r="C792" t="str">
        <f t="shared" si="81"/>
        <v>FFDFD7C0</v>
      </c>
      <c r="D792" t="s">
        <v>113</v>
      </c>
      <c r="E792">
        <v>4</v>
      </c>
      <c r="F792">
        <v>1004</v>
      </c>
      <c r="G792" t="s">
        <v>120</v>
      </c>
      <c r="J792" t="s">
        <v>115</v>
      </c>
      <c r="K792">
        <v>0</v>
      </c>
      <c r="L792">
        <v>3</v>
      </c>
      <c r="M792">
        <v>0</v>
      </c>
      <c r="N792">
        <v>2</v>
      </c>
      <c r="O792">
        <v>1</v>
      </c>
      <c r="P792">
        <v>0</v>
      </c>
      <c r="Q792">
        <v>0</v>
      </c>
      <c r="S792" t="str">
        <f>"18:39:51.148"</f>
        <v>18:39:51.148</v>
      </c>
      <c r="T792" t="str">
        <f>"18:39:50.748"</f>
        <v>18:39:50.748</v>
      </c>
      <c r="U792" t="str">
        <f t="shared" si="80"/>
        <v>AAB6EE</v>
      </c>
      <c r="V792">
        <v>0</v>
      </c>
      <c r="W792">
        <v>0</v>
      </c>
      <c r="X792">
        <v>4</v>
      </c>
      <c r="Z792">
        <v>0</v>
      </c>
      <c r="AA792">
        <v>8</v>
      </c>
      <c r="AB792">
        <v>3</v>
      </c>
      <c r="AC792">
        <v>0</v>
      </c>
      <c r="AD792">
        <v>10</v>
      </c>
      <c r="AE792">
        <v>0</v>
      </c>
      <c r="AF792">
        <v>0</v>
      </c>
      <c r="AG792">
        <v>2</v>
      </c>
      <c r="AH792">
        <v>1</v>
      </c>
      <c r="AI792" t="s">
        <v>649</v>
      </c>
      <c r="AJ792">
        <v>35.359625999999999</v>
      </c>
      <c r="AK792" t="s">
        <v>650</v>
      </c>
      <c r="AL792">
        <v>-76.133365999999995</v>
      </c>
      <c r="AM792">
        <v>25</v>
      </c>
      <c r="AN792">
        <v>3425</v>
      </c>
      <c r="AO792" t="s">
        <v>118</v>
      </c>
      <c r="AP792">
        <v>-103</v>
      </c>
      <c r="AQ792">
        <v>-197</v>
      </c>
      <c r="AR792">
        <v>64</v>
      </c>
      <c r="AZ792">
        <v>4516</v>
      </c>
      <c r="BA792">
        <v>1</v>
      </c>
      <c r="BB792" t="str">
        <f t="shared" si="82"/>
        <v xml:space="preserve">N79NX   </v>
      </c>
      <c r="BC792">
        <v>1</v>
      </c>
      <c r="BE792">
        <v>0</v>
      </c>
      <c r="BF792">
        <v>0</v>
      </c>
      <c r="BG792">
        <v>0</v>
      </c>
      <c r="BH792">
        <v>3275</v>
      </c>
      <c r="BI792">
        <v>0</v>
      </c>
      <c r="BJ792">
        <v>0</v>
      </c>
      <c r="BK792">
        <v>0</v>
      </c>
      <c r="BL792">
        <v>0</v>
      </c>
      <c r="BO792">
        <v>0</v>
      </c>
      <c r="BP792">
        <v>0</v>
      </c>
      <c r="BW792" t="str">
        <f>"18:39:51.151"</f>
        <v>18:39:51.151</v>
      </c>
      <c r="BZ792">
        <v>0</v>
      </c>
      <c r="CA792">
        <v>3488</v>
      </c>
      <c r="CB792">
        <v>216</v>
      </c>
      <c r="CC792">
        <v>583.59379999999999</v>
      </c>
      <c r="CD792">
        <v>1</v>
      </c>
      <c r="CE792">
        <v>1</v>
      </c>
      <c r="CF792">
        <v>0</v>
      </c>
      <c r="CG792">
        <v>1</v>
      </c>
      <c r="CH792">
        <v>0</v>
      </c>
      <c r="CI792">
        <v>0</v>
      </c>
      <c r="CJ792">
        <v>0</v>
      </c>
      <c r="CK792">
        <v>2</v>
      </c>
      <c r="CL792">
        <v>0</v>
      </c>
      <c r="CM792">
        <v>2</v>
      </c>
      <c r="CN792">
        <v>0</v>
      </c>
      <c r="CO792">
        <v>5</v>
      </c>
      <c r="CP792" t="s">
        <v>119</v>
      </c>
      <c r="CQ792">
        <v>145</v>
      </c>
      <c r="CR792">
        <v>1</v>
      </c>
      <c r="CW792">
        <v>8974093</v>
      </c>
      <c r="CY792">
        <v>0</v>
      </c>
      <c r="CZ792">
        <v>0</v>
      </c>
      <c r="DA792">
        <v>1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</row>
    <row r="793" spans="1:113" x14ac:dyDescent="0.3">
      <c r="A793" t="str">
        <f>"02/13/2022 18:39:51.334"</f>
        <v>02/13/2022 18:39:51.334</v>
      </c>
      <c r="C793" t="str">
        <f t="shared" si="81"/>
        <v>FFDFD7C0</v>
      </c>
      <c r="D793" t="s">
        <v>121</v>
      </c>
      <c r="E793">
        <v>2</v>
      </c>
      <c r="H793">
        <v>158</v>
      </c>
      <c r="I793" t="s">
        <v>120</v>
      </c>
      <c r="J793" t="s">
        <v>122</v>
      </c>
      <c r="K793">
        <v>0</v>
      </c>
      <c r="L793">
        <v>3</v>
      </c>
      <c r="M793">
        <v>0</v>
      </c>
      <c r="N793">
        <v>2</v>
      </c>
      <c r="O793">
        <v>1</v>
      </c>
      <c r="P793">
        <v>0</v>
      </c>
      <c r="Q793">
        <v>0</v>
      </c>
      <c r="S793" t="str">
        <f>"18:39:51.148"</f>
        <v>18:39:51.148</v>
      </c>
      <c r="T793" t="str">
        <f>"18:39:50.748"</f>
        <v>18:39:50.748</v>
      </c>
      <c r="U793" t="str">
        <f t="shared" si="80"/>
        <v>AAB6EE</v>
      </c>
      <c r="V793">
        <v>0</v>
      </c>
      <c r="W793">
        <v>0</v>
      </c>
      <c r="X793">
        <v>4</v>
      </c>
      <c r="Z793">
        <v>0</v>
      </c>
      <c r="AA793">
        <v>8</v>
      </c>
      <c r="AB793">
        <v>3</v>
      </c>
      <c r="AC793">
        <v>0</v>
      </c>
      <c r="AD793">
        <v>10</v>
      </c>
      <c r="AE793">
        <v>0</v>
      </c>
      <c r="AF793">
        <v>0</v>
      </c>
      <c r="AG793">
        <v>2</v>
      </c>
      <c r="AH793">
        <v>1</v>
      </c>
      <c r="AI793" t="s">
        <v>649</v>
      </c>
      <c r="AJ793">
        <v>35.359625999999999</v>
      </c>
      <c r="AK793" t="s">
        <v>650</v>
      </c>
      <c r="AL793">
        <v>-76.133365999999995</v>
      </c>
      <c r="AM793">
        <v>25</v>
      </c>
      <c r="AN793">
        <v>3425</v>
      </c>
      <c r="AO793" t="s">
        <v>118</v>
      </c>
      <c r="AP793">
        <v>-103</v>
      </c>
      <c r="AQ793">
        <v>-197</v>
      </c>
      <c r="AR793">
        <v>64</v>
      </c>
      <c r="AZ793">
        <v>4516</v>
      </c>
      <c r="BA793">
        <v>1</v>
      </c>
      <c r="BB793" t="str">
        <f t="shared" si="82"/>
        <v xml:space="preserve">N79NX   </v>
      </c>
      <c r="BC793">
        <v>1</v>
      </c>
      <c r="BE793">
        <v>0</v>
      </c>
      <c r="BF793">
        <v>0</v>
      </c>
      <c r="BG793">
        <v>0</v>
      </c>
      <c r="BH793">
        <v>3275</v>
      </c>
      <c r="BI793">
        <v>0</v>
      </c>
      <c r="BJ793">
        <v>0</v>
      </c>
      <c r="BK793">
        <v>0</v>
      </c>
      <c r="BL793">
        <v>0</v>
      </c>
      <c r="BO793">
        <v>0</v>
      </c>
      <c r="BP793">
        <v>0</v>
      </c>
      <c r="BW793" t="str">
        <f>"18:39:51.151"</f>
        <v>18:39:51.151</v>
      </c>
      <c r="BZ793">
        <v>0</v>
      </c>
      <c r="CA793">
        <v>3488</v>
      </c>
      <c r="CB793">
        <v>216</v>
      </c>
      <c r="CC793">
        <v>583.59379999999999</v>
      </c>
      <c r="CD793">
        <v>1</v>
      </c>
      <c r="CE793">
        <v>1</v>
      </c>
      <c r="CF793">
        <v>0</v>
      </c>
      <c r="CG793">
        <v>1</v>
      </c>
      <c r="CH793">
        <v>0</v>
      </c>
      <c r="CI793">
        <v>0</v>
      </c>
      <c r="CJ793">
        <v>0</v>
      </c>
      <c r="CK793">
        <v>2</v>
      </c>
      <c r="CL793">
        <v>0</v>
      </c>
      <c r="CM793">
        <v>2</v>
      </c>
      <c r="CN793">
        <v>0</v>
      </c>
      <c r="CO793">
        <v>5</v>
      </c>
      <c r="CP793" t="s">
        <v>119</v>
      </c>
      <c r="CQ793">
        <v>145</v>
      </c>
      <c r="CR793">
        <v>1</v>
      </c>
      <c r="CW793">
        <v>8974093</v>
      </c>
      <c r="CY793">
        <v>0</v>
      </c>
      <c r="CZ793">
        <v>0</v>
      </c>
      <c r="DA793">
        <v>1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</row>
    <row r="794" spans="1:113" x14ac:dyDescent="0.3">
      <c r="A794" t="str">
        <f>"02/13/2022 18:39:52.475"</f>
        <v>02/13/2022 18:39:52.475</v>
      </c>
      <c r="C794" t="str">
        <f t="shared" si="81"/>
        <v>FFDFD7C0</v>
      </c>
      <c r="D794" t="s">
        <v>113</v>
      </c>
      <c r="E794">
        <v>3</v>
      </c>
      <c r="F794">
        <v>1003</v>
      </c>
      <c r="G794" t="s">
        <v>114</v>
      </c>
      <c r="J794" t="s">
        <v>115</v>
      </c>
      <c r="K794">
        <v>0</v>
      </c>
      <c r="L794">
        <v>3</v>
      </c>
      <c r="M794">
        <v>0</v>
      </c>
      <c r="N794">
        <v>2</v>
      </c>
      <c r="O794">
        <v>1</v>
      </c>
      <c r="P794">
        <v>0</v>
      </c>
      <c r="Q794">
        <v>0</v>
      </c>
      <c r="S794" t="str">
        <f>"18:39:52.227"</f>
        <v>18:39:52.227</v>
      </c>
      <c r="T794" t="str">
        <f>"18:39:51.927"</f>
        <v>18:39:51.927</v>
      </c>
      <c r="U794" t="str">
        <f t="shared" si="80"/>
        <v>AAB6EE</v>
      </c>
      <c r="V794">
        <v>0</v>
      </c>
      <c r="W794">
        <v>0</v>
      </c>
      <c r="X794">
        <v>4</v>
      </c>
      <c r="Z794">
        <v>0</v>
      </c>
      <c r="AA794">
        <v>8</v>
      </c>
      <c r="AB794">
        <v>3</v>
      </c>
      <c r="AC794">
        <v>0</v>
      </c>
      <c r="AD794">
        <v>10</v>
      </c>
      <c r="AE794">
        <v>0</v>
      </c>
      <c r="AF794">
        <v>0</v>
      </c>
      <c r="AG794">
        <v>2</v>
      </c>
      <c r="AH794">
        <v>1</v>
      </c>
      <c r="AI794" t="s">
        <v>651</v>
      </c>
      <c r="AJ794">
        <v>35.35866</v>
      </c>
      <c r="AK794" t="s">
        <v>652</v>
      </c>
      <c r="AL794">
        <v>-76.133966000000001</v>
      </c>
      <c r="AM794">
        <v>25</v>
      </c>
      <c r="AN794">
        <v>3425</v>
      </c>
      <c r="AO794" t="s">
        <v>118</v>
      </c>
      <c r="AP794">
        <v>-103</v>
      </c>
      <c r="AQ794">
        <v>-197</v>
      </c>
      <c r="AR794">
        <v>0</v>
      </c>
      <c r="AZ794">
        <v>4516</v>
      </c>
      <c r="BA794">
        <v>1</v>
      </c>
      <c r="BB794" t="str">
        <f t="shared" si="82"/>
        <v xml:space="preserve">N79NX   </v>
      </c>
      <c r="BC794">
        <v>1</v>
      </c>
      <c r="BE794">
        <v>0</v>
      </c>
      <c r="BF794">
        <v>0</v>
      </c>
      <c r="BG794">
        <v>0</v>
      </c>
      <c r="BH794">
        <v>3300</v>
      </c>
      <c r="BI794">
        <v>0</v>
      </c>
      <c r="BJ794">
        <v>0</v>
      </c>
      <c r="BK794">
        <v>0</v>
      </c>
      <c r="BL794">
        <v>0</v>
      </c>
      <c r="BO794">
        <v>0</v>
      </c>
      <c r="BP794">
        <v>0</v>
      </c>
      <c r="BW794" t="str">
        <f>"18:39:52.231"</f>
        <v>18:39:52.231</v>
      </c>
      <c r="BZ794">
        <v>0</v>
      </c>
      <c r="CA794">
        <v>3488</v>
      </c>
      <c r="CB794">
        <v>216</v>
      </c>
      <c r="CC794">
        <v>583.59379999999999</v>
      </c>
      <c r="CD794">
        <v>1</v>
      </c>
      <c r="CE794">
        <v>1</v>
      </c>
      <c r="CF794">
        <v>0</v>
      </c>
      <c r="CG794">
        <v>1</v>
      </c>
      <c r="CH794">
        <v>0</v>
      </c>
      <c r="CI794">
        <v>0</v>
      </c>
      <c r="CJ794">
        <v>0</v>
      </c>
      <c r="CK794">
        <v>2</v>
      </c>
      <c r="CL794">
        <v>0</v>
      </c>
      <c r="CM794">
        <v>2</v>
      </c>
      <c r="CN794">
        <v>0</v>
      </c>
      <c r="CO794">
        <v>5</v>
      </c>
      <c r="CP794" t="s">
        <v>119</v>
      </c>
      <c r="CQ794">
        <v>145</v>
      </c>
      <c r="CR794">
        <v>1</v>
      </c>
      <c r="CW794">
        <v>8974609</v>
      </c>
      <c r="CY794">
        <v>0</v>
      </c>
      <c r="CZ794">
        <v>0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0</v>
      </c>
      <c r="DG794">
        <v>0</v>
      </c>
      <c r="DH794">
        <v>0</v>
      </c>
      <c r="DI794">
        <v>0</v>
      </c>
    </row>
    <row r="795" spans="1:113" x14ac:dyDescent="0.3">
      <c r="A795" t="str">
        <f>"02/13/2022 18:39:52.475"</f>
        <v>02/13/2022 18:39:52.475</v>
      </c>
      <c r="C795" t="str">
        <f t="shared" si="81"/>
        <v>FFDFD7C0</v>
      </c>
      <c r="D795" t="s">
        <v>113</v>
      </c>
      <c r="E795">
        <v>4</v>
      </c>
      <c r="F795">
        <v>1004</v>
      </c>
      <c r="G795" t="s">
        <v>120</v>
      </c>
      <c r="J795" t="s">
        <v>115</v>
      </c>
      <c r="K795">
        <v>0</v>
      </c>
      <c r="L795">
        <v>3</v>
      </c>
      <c r="M795">
        <v>0</v>
      </c>
      <c r="N795">
        <v>2</v>
      </c>
      <c r="O795">
        <v>1</v>
      </c>
      <c r="P795">
        <v>0</v>
      </c>
      <c r="Q795">
        <v>0</v>
      </c>
      <c r="S795" t="str">
        <f>"18:39:52.227"</f>
        <v>18:39:52.227</v>
      </c>
      <c r="T795" t="str">
        <f>"18:39:51.927"</f>
        <v>18:39:51.927</v>
      </c>
      <c r="U795" t="str">
        <f t="shared" si="80"/>
        <v>AAB6EE</v>
      </c>
      <c r="V795">
        <v>0</v>
      </c>
      <c r="W795">
        <v>0</v>
      </c>
      <c r="X795">
        <v>4</v>
      </c>
      <c r="Z795">
        <v>0</v>
      </c>
      <c r="AA795">
        <v>8</v>
      </c>
      <c r="AB795">
        <v>3</v>
      </c>
      <c r="AC795">
        <v>0</v>
      </c>
      <c r="AD795">
        <v>10</v>
      </c>
      <c r="AE795">
        <v>0</v>
      </c>
      <c r="AF795">
        <v>0</v>
      </c>
      <c r="AG795">
        <v>2</v>
      </c>
      <c r="AH795">
        <v>1</v>
      </c>
      <c r="AI795" t="s">
        <v>651</v>
      </c>
      <c r="AJ795">
        <v>35.35866</v>
      </c>
      <c r="AK795" t="s">
        <v>652</v>
      </c>
      <c r="AL795">
        <v>-76.133966000000001</v>
      </c>
      <c r="AM795">
        <v>25</v>
      </c>
      <c r="AN795">
        <v>3425</v>
      </c>
      <c r="AO795" t="s">
        <v>118</v>
      </c>
      <c r="AP795">
        <v>-103</v>
      </c>
      <c r="AQ795">
        <v>-197</v>
      </c>
      <c r="AR795">
        <v>0</v>
      </c>
      <c r="AZ795">
        <v>4516</v>
      </c>
      <c r="BA795">
        <v>1</v>
      </c>
      <c r="BB795" t="str">
        <f t="shared" si="82"/>
        <v xml:space="preserve">N79NX   </v>
      </c>
      <c r="BC795">
        <v>1</v>
      </c>
      <c r="BE795">
        <v>0</v>
      </c>
      <c r="BF795">
        <v>0</v>
      </c>
      <c r="BG795">
        <v>0</v>
      </c>
      <c r="BH795">
        <v>3300</v>
      </c>
      <c r="BI795">
        <v>0</v>
      </c>
      <c r="BJ795">
        <v>0</v>
      </c>
      <c r="BK795">
        <v>0</v>
      </c>
      <c r="BL795">
        <v>0</v>
      </c>
      <c r="BO795">
        <v>0</v>
      </c>
      <c r="BP795">
        <v>0</v>
      </c>
      <c r="BW795" t="str">
        <f>"18:39:52.231"</f>
        <v>18:39:52.231</v>
      </c>
      <c r="BZ795">
        <v>0</v>
      </c>
      <c r="CA795">
        <v>3488</v>
      </c>
      <c r="CB795">
        <v>216</v>
      </c>
      <c r="CC795">
        <v>583.59379999999999</v>
      </c>
      <c r="CD795">
        <v>1</v>
      </c>
      <c r="CE795">
        <v>1</v>
      </c>
      <c r="CF795">
        <v>0</v>
      </c>
      <c r="CG795">
        <v>1</v>
      </c>
      <c r="CH795">
        <v>0</v>
      </c>
      <c r="CI795">
        <v>0</v>
      </c>
      <c r="CJ795">
        <v>0</v>
      </c>
      <c r="CK795">
        <v>2</v>
      </c>
      <c r="CL795">
        <v>0</v>
      </c>
      <c r="CM795">
        <v>2</v>
      </c>
      <c r="CN795">
        <v>0</v>
      </c>
      <c r="CO795">
        <v>5</v>
      </c>
      <c r="CP795" t="s">
        <v>119</v>
      </c>
      <c r="CQ795">
        <v>145</v>
      </c>
      <c r="CR795">
        <v>1</v>
      </c>
      <c r="CW795">
        <v>8974609</v>
      </c>
      <c r="CY795">
        <v>0</v>
      </c>
      <c r="CZ795">
        <v>0</v>
      </c>
      <c r="DA795">
        <v>1</v>
      </c>
      <c r="DB795">
        <v>0</v>
      </c>
      <c r="DC795">
        <v>0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</row>
    <row r="796" spans="1:113" x14ac:dyDescent="0.3">
      <c r="A796" t="str">
        <f>"02/13/2022 18:39:52.475"</f>
        <v>02/13/2022 18:39:52.475</v>
      </c>
      <c r="C796" t="str">
        <f t="shared" si="81"/>
        <v>FFDFD7C0</v>
      </c>
      <c r="D796" t="s">
        <v>121</v>
      </c>
      <c r="E796">
        <v>2</v>
      </c>
      <c r="H796">
        <v>158</v>
      </c>
      <c r="I796" t="s">
        <v>120</v>
      </c>
      <c r="J796" t="s">
        <v>122</v>
      </c>
      <c r="K796">
        <v>0</v>
      </c>
      <c r="L796">
        <v>3</v>
      </c>
      <c r="M796">
        <v>0</v>
      </c>
      <c r="N796">
        <v>2</v>
      </c>
      <c r="O796">
        <v>1</v>
      </c>
      <c r="P796">
        <v>0</v>
      </c>
      <c r="Q796">
        <v>0</v>
      </c>
      <c r="S796" t="str">
        <f>"18:39:52.227"</f>
        <v>18:39:52.227</v>
      </c>
      <c r="T796" t="str">
        <f>"18:39:51.927"</f>
        <v>18:39:51.927</v>
      </c>
      <c r="U796" t="str">
        <f t="shared" si="80"/>
        <v>AAB6EE</v>
      </c>
      <c r="V796">
        <v>0</v>
      </c>
      <c r="W796">
        <v>0</v>
      </c>
      <c r="X796">
        <v>4</v>
      </c>
      <c r="Z796">
        <v>0</v>
      </c>
      <c r="AA796">
        <v>8</v>
      </c>
      <c r="AB796">
        <v>3</v>
      </c>
      <c r="AC796">
        <v>0</v>
      </c>
      <c r="AD796">
        <v>10</v>
      </c>
      <c r="AE796">
        <v>0</v>
      </c>
      <c r="AF796">
        <v>0</v>
      </c>
      <c r="AG796">
        <v>2</v>
      </c>
      <c r="AH796">
        <v>1</v>
      </c>
      <c r="AI796" t="s">
        <v>651</v>
      </c>
      <c r="AJ796">
        <v>35.35866</v>
      </c>
      <c r="AK796" t="s">
        <v>652</v>
      </c>
      <c r="AL796">
        <v>-76.133966000000001</v>
      </c>
      <c r="AM796">
        <v>25</v>
      </c>
      <c r="AN796">
        <v>3425</v>
      </c>
      <c r="AO796" t="s">
        <v>118</v>
      </c>
      <c r="AP796">
        <v>-103</v>
      </c>
      <c r="AQ796">
        <v>-197</v>
      </c>
      <c r="AR796">
        <v>0</v>
      </c>
      <c r="AZ796">
        <v>4516</v>
      </c>
      <c r="BA796">
        <v>1</v>
      </c>
      <c r="BB796" t="str">
        <f t="shared" si="82"/>
        <v xml:space="preserve">N79NX   </v>
      </c>
      <c r="BC796">
        <v>1</v>
      </c>
      <c r="BE796">
        <v>0</v>
      </c>
      <c r="BF796">
        <v>0</v>
      </c>
      <c r="BG796">
        <v>0</v>
      </c>
      <c r="BH796">
        <v>3300</v>
      </c>
      <c r="BI796">
        <v>0</v>
      </c>
      <c r="BJ796">
        <v>0</v>
      </c>
      <c r="BK796">
        <v>0</v>
      </c>
      <c r="BL796">
        <v>0</v>
      </c>
      <c r="BO796">
        <v>0</v>
      </c>
      <c r="BP796">
        <v>0</v>
      </c>
      <c r="BW796" t="str">
        <f>"18:39:52.231"</f>
        <v>18:39:52.231</v>
      </c>
      <c r="BZ796">
        <v>0</v>
      </c>
      <c r="CA796">
        <v>3488</v>
      </c>
      <c r="CB796">
        <v>216</v>
      </c>
      <c r="CC796">
        <v>583.59379999999999</v>
      </c>
      <c r="CD796">
        <v>1</v>
      </c>
      <c r="CE796">
        <v>1</v>
      </c>
      <c r="CF796">
        <v>0</v>
      </c>
      <c r="CG796">
        <v>1</v>
      </c>
      <c r="CH796">
        <v>0</v>
      </c>
      <c r="CI796">
        <v>0</v>
      </c>
      <c r="CJ796">
        <v>0</v>
      </c>
      <c r="CK796">
        <v>2</v>
      </c>
      <c r="CL796">
        <v>0</v>
      </c>
      <c r="CM796">
        <v>2</v>
      </c>
      <c r="CN796">
        <v>0</v>
      </c>
      <c r="CO796">
        <v>5</v>
      </c>
      <c r="CP796" t="s">
        <v>119</v>
      </c>
      <c r="CQ796">
        <v>145</v>
      </c>
      <c r="CR796">
        <v>1</v>
      </c>
      <c r="CW796">
        <v>8974609</v>
      </c>
      <c r="CY796">
        <v>0</v>
      </c>
      <c r="CZ796">
        <v>0</v>
      </c>
      <c r="DA796">
        <v>1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</row>
    <row r="797" spans="1:113" x14ac:dyDescent="0.3">
      <c r="A797" t="str">
        <f>"02/13/2022 18:39:53.459"</f>
        <v>02/13/2022 18:39:53.459</v>
      </c>
      <c r="C797" t="str">
        <f t="shared" si="81"/>
        <v>FFDFD7C0</v>
      </c>
      <c r="D797" t="s">
        <v>113</v>
      </c>
      <c r="E797">
        <v>4</v>
      </c>
      <c r="F797">
        <v>1004</v>
      </c>
      <c r="G797" t="s">
        <v>120</v>
      </c>
      <c r="J797" t="s">
        <v>115</v>
      </c>
      <c r="K797">
        <v>0</v>
      </c>
      <c r="L797">
        <v>3</v>
      </c>
      <c r="M797">
        <v>0</v>
      </c>
      <c r="N797">
        <v>2</v>
      </c>
      <c r="O797">
        <v>1</v>
      </c>
      <c r="P797">
        <v>0</v>
      </c>
      <c r="Q797">
        <v>0</v>
      </c>
      <c r="S797" t="str">
        <f>"18:39:53.258"</f>
        <v>18:39:53.258</v>
      </c>
      <c r="T797" t="str">
        <f>"18:39:52.858"</f>
        <v>18:39:52.858</v>
      </c>
      <c r="U797" t="str">
        <f t="shared" si="80"/>
        <v>AAB6EE</v>
      </c>
      <c r="V797">
        <v>0</v>
      </c>
      <c r="W797">
        <v>0</v>
      </c>
      <c r="X797">
        <v>4</v>
      </c>
      <c r="Z797">
        <v>0</v>
      </c>
      <c r="AA797">
        <v>8</v>
      </c>
      <c r="AB797">
        <v>3</v>
      </c>
      <c r="AC797">
        <v>0</v>
      </c>
      <c r="AD797">
        <v>10</v>
      </c>
      <c r="AE797">
        <v>0</v>
      </c>
      <c r="AF797">
        <v>0</v>
      </c>
      <c r="AG797">
        <v>2</v>
      </c>
      <c r="AH797">
        <v>1</v>
      </c>
      <c r="AI797" t="s">
        <v>653</v>
      </c>
      <c r="AJ797">
        <v>35.357737999999998</v>
      </c>
      <c r="AK797" t="s">
        <v>654</v>
      </c>
      <c r="AL797">
        <v>-76.134546</v>
      </c>
      <c r="AM797">
        <v>25</v>
      </c>
      <c r="AN797">
        <v>3425</v>
      </c>
      <c r="AO797" t="s">
        <v>118</v>
      </c>
      <c r="AP797">
        <v>-103</v>
      </c>
      <c r="AQ797">
        <v>-197</v>
      </c>
      <c r="AR797">
        <v>0</v>
      </c>
      <c r="AZ797">
        <v>4516</v>
      </c>
      <c r="BA797">
        <v>1</v>
      </c>
      <c r="BB797" t="str">
        <f t="shared" si="82"/>
        <v xml:space="preserve">N79NX   </v>
      </c>
      <c r="BC797">
        <v>1</v>
      </c>
      <c r="BE797">
        <v>0</v>
      </c>
      <c r="BF797">
        <v>0</v>
      </c>
      <c r="BG797">
        <v>0</v>
      </c>
      <c r="BH797">
        <v>3300</v>
      </c>
      <c r="BI797">
        <v>0</v>
      </c>
      <c r="BJ797">
        <v>0</v>
      </c>
      <c r="BK797">
        <v>0</v>
      </c>
      <c r="BL797">
        <v>0</v>
      </c>
      <c r="BO797">
        <v>0</v>
      </c>
      <c r="BP797">
        <v>0</v>
      </c>
      <c r="BW797" t="str">
        <f>"18:39:53.261"</f>
        <v>18:39:53.261</v>
      </c>
      <c r="BZ797">
        <v>0</v>
      </c>
      <c r="CA797">
        <v>3488</v>
      </c>
      <c r="CB797">
        <v>216</v>
      </c>
      <c r="CC797">
        <v>583.59379999999999</v>
      </c>
      <c r="CD797">
        <v>1</v>
      </c>
      <c r="CE797">
        <v>1</v>
      </c>
      <c r="CF797">
        <v>0</v>
      </c>
      <c r="CG797">
        <v>1</v>
      </c>
      <c r="CH797">
        <v>0</v>
      </c>
      <c r="CI797">
        <v>0</v>
      </c>
      <c r="CJ797">
        <v>0</v>
      </c>
      <c r="CK797">
        <v>2</v>
      </c>
      <c r="CL797">
        <v>0</v>
      </c>
      <c r="CM797">
        <v>2</v>
      </c>
      <c r="CN797">
        <v>0</v>
      </c>
      <c r="CO797">
        <v>5</v>
      </c>
      <c r="CP797" t="s">
        <v>119</v>
      </c>
      <c r="CQ797">
        <v>145</v>
      </c>
      <c r="CR797">
        <v>1</v>
      </c>
      <c r="CW797">
        <v>8975133</v>
      </c>
      <c r="CY797">
        <v>0</v>
      </c>
      <c r="CZ797">
        <v>0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</row>
    <row r="798" spans="1:113" x14ac:dyDescent="0.3">
      <c r="A798" t="str">
        <f>"02/13/2022 18:39:53.459"</f>
        <v>02/13/2022 18:39:53.459</v>
      </c>
      <c r="C798" t="str">
        <f t="shared" si="81"/>
        <v>FFDFD7C0</v>
      </c>
      <c r="D798" t="s">
        <v>113</v>
      </c>
      <c r="E798">
        <v>3</v>
      </c>
      <c r="F798">
        <v>1003</v>
      </c>
      <c r="G798" t="s">
        <v>114</v>
      </c>
      <c r="J798" t="s">
        <v>115</v>
      </c>
      <c r="K798">
        <v>0</v>
      </c>
      <c r="L798">
        <v>3</v>
      </c>
      <c r="M798">
        <v>0</v>
      </c>
      <c r="N798">
        <v>2</v>
      </c>
      <c r="O798">
        <v>1</v>
      </c>
      <c r="P798">
        <v>0</v>
      </c>
      <c r="Q798">
        <v>0</v>
      </c>
      <c r="S798" t="str">
        <f>"18:39:53.258"</f>
        <v>18:39:53.258</v>
      </c>
      <c r="T798" t="str">
        <f>"18:39:52.858"</f>
        <v>18:39:52.858</v>
      </c>
      <c r="U798" t="str">
        <f t="shared" si="80"/>
        <v>AAB6EE</v>
      </c>
      <c r="V798">
        <v>0</v>
      </c>
      <c r="W798">
        <v>0</v>
      </c>
      <c r="X798">
        <v>4</v>
      </c>
      <c r="Z798">
        <v>0</v>
      </c>
      <c r="AA798">
        <v>8</v>
      </c>
      <c r="AB798">
        <v>3</v>
      </c>
      <c r="AC798">
        <v>0</v>
      </c>
      <c r="AD798">
        <v>10</v>
      </c>
      <c r="AE798">
        <v>0</v>
      </c>
      <c r="AF798">
        <v>0</v>
      </c>
      <c r="AG798">
        <v>2</v>
      </c>
      <c r="AH798">
        <v>1</v>
      </c>
      <c r="AI798" t="s">
        <v>653</v>
      </c>
      <c r="AJ798">
        <v>35.357737999999998</v>
      </c>
      <c r="AK798" t="s">
        <v>654</v>
      </c>
      <c r="AL798">
        <v>-76.134546</v>
      </c>
      <c r="AM798">
        <v>25</v>
      </c>
      <c r="AN798">
        <v>3425</v>
      </c>
      <c r="AO798" t="s">
        <v>118</v>
      </c>
      <c r="AP798">
        <v>-103</v>
      </c>
      <c r="AQ798">
        <v>-197</v>
      </c>
      <c r="AR798">
        <v>0</v>
      </c>
      <c r="AZ798">
        <v>4516</v>
      </c>
      <c r="BA798">
        <v>1</v>
      </c>
      <c r="BB798" t="str">
        <f t="shared" si="82"/>
        <v xml:space="preserve">N79NX   </v>
      </c>
      <c r="BC798">
        <v>1</v>
      </c>
      <c r="BE798">
        <v>0</v>
      </c>
      <c r="BF798">
        <v>0</v>
      </c>
      <c r="BG798">
        <v>0</v>
      </c>
      <c r="BH798">
        <v>3300</v>
      </c>
      <c r="BI798">
        <v>0</v>
      </c>
      <c r="BJ798">
        <v>0</v>
      </c>
      <c r="BK798">
        <v>0</v>
      </c>
      <c r="BL798">
        <v>0</v>
      </c>
      <c r="BO798">
        <v>0</v>
      </c>
      <c r="BP798">
        <v>0</v>
      </c>
      <c r="BW798" t="str">
        <f>"18:39:53.261"</f>
        <v>18:39:53.261</v>
      </c>
      <c r="BZ798">
        <v>0</v>
      </c>
      <c r="CA798">
        <v>3488</v>
      </c>
      <c r="CB798">
        <v>216</v>
      </c>
      <c r="CC798">
        <v>583.59379999999999</v>
      </c>
      <c r="CD798">
        <v>1</v>
      </c>
      <c r="CE798">
        <v>1</v>
      </c>
      <c r="CF798">
        <v>0</v>
      </c>
      <c r="CG798">
        <v>1</v>
      </c>
      <c r="CH798">
        <v>0</v>
      </c>
      <c r="CI798">
        <v>0</v>
      </c>
      <c r="CJ798">
        <v>0</v>
      </c>
      <c r="CK798">
        <v>2</v>
      </c>
      <c r="CL798">
        <v>0</v>
      </c>
      <c r="CM798">
        <v>2</v>
      </c>
      <c r="CN798">
        <v>0</v>
      </c>
      <c r="CO798">
        <v>5</v>
      </c>
      <c r="CP798" t="s">
        <v>119</v>
      </c>
      <c r="CQ798">
        <v>145</v>
      </c>
      <c r="CR798">
        <v>1</v>
      </c>
      <c r="CW798">
        <v>8975133</v>
      </c>
      <c r="CY798">
        <v>0</v>
      </c>
      <c r="CZ798">
        <v>0</v>
      </c>
      <c r="DA798">
        <v>1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</row>
    <row r="799" spans="1:113" x14ac:dyDescent="0.3">
      <c r="A799" t="str">
        <f>"02/13/2022 18:39:53.506"</f>
        <v>02/13/2022 18:39:53.506</v>
      </c>
      <c r="C799" t="str">
        <f t="shared" si="81"/>
        <v>FFDFD7C0</v>
      </c>
      <c r="D799" t="s">
        <v>121</v>
      </c>
      <c r="E799">
        <v>2</v>
      </c>
      <c r="H799">
        <v>158</v>
      </c>
      <c r="I799" t="s">
        <v>120</v>
      </c>
      <c r="J799" t="s">
        <v>122</v>
      </c>
      <c r="K799">
        <v>0</v>
      </c>
      <c r="L799">
        <v>3</v>
      </c>
      <c r="M799">
        <v>0</v>
      </c>
      <c r="N799">
        <v>2</v>
      </c>
      <c r="O799">
        <v>1</v>
      </c>
      <c r="P799">
        <v>0</v>
      </c>
      <c r="Q799">
        <v>0</v>
      </c>
      <c r="S799" t="str">
        <f>"18:39:53.258"</f>
        <v>18:39:53.258</v>
      </c>
      <c r="T799" t="str">
        <f>"18:39:52.858"</f>
        <v>18:39:52.858</v>
      </c>
      <c r="U799" t="str">
        <f t="shared" si="80"/>
        <v>AAB6EE</v>
      </c>
      <c r="V799">
        <v>0</v>
      </c>
      <c r="W799">
        <v>0</v>
      </c>
      <c r="X799">
        <v>4</v>
      </c>
      <c r="Z799">
        <v>0</v>
      </c>
      <c r="AA799">
        <v>8</v>
      </c>
      <c r="AB799">
        <v>3</v>
      </c>
      <c r="AC799">
        <v>0</v>
      </c>
      <c r="AD799">
        <v>10</v>
      </c>
      <c r="AE799">
        <v>0</v>
      </c>
      <c r="AF799">
        <v>0</v>
      </c>
      <c r="AG799">
        <v>2</v>
      </c>
      <c r="AH799">
        <v>1</v>
      </c>
      <c r="AI799" t="s">
        <v>653</v>
      </c>
      <c r="AJ799">
        <v>35.357737999999998</v>
      </c>
      <c r="AK799" t="s">
        <v>654</v>
      </c>
      <c r="AL799">
        <v>-76.134546</v>
      </c>
      <c r="AM799">
        <v>25</v>
      </c>
      <c r="AN799">
        <v>3425</v>
      </c>
      <c r="AO799" t="s">
        <v>118</v>
      </c>
      <c r="AP799">
        <v>-103</v>
      </c>
      <c r="AQ799">
        <v>-197</v>
      </c>
      <c r="AR799">
        <v>0</v>
      </c>
      <c r="AZ799">
        <v>4516</v>
      </c>
      <c r="BA799">
        <v>1</v>
      </c>
      <c r="BB799" t="str">
        <f t="shared" si="82"/>
        <v xml:space="preserve">N79NX   </v>
      </c>
      <c r="BC799">
        <v>1</v>
      </c>
      <c r="BE799">
        <v>0</v>
      </c>
      <c r="BF799">
        <v>0</v>
      </c>
      <c r="BG799">
        <v>0</v>
      </c>
      <c r="BH799">
        <v>3300</v>
      </c>
      <c r="BI799">
        <v>0</v>
      </c>
      <c r="BJ799">
        <v>0</v>
      </c>
      <c r="BK799">
        <v>0</v>
      </c>
      <c r="BL799">
        <v>0</v>
      </c>
      <c r="BO799">
        <v>0</v>
      </c>
      <c r="BP799">
        <v>0</v>
      </c>
      <c r="BW799" t="str">
        <f>"18:39:53.261"</f>
        <v>18:39:53.261</v>
      </c>
      <c r="BZ799">
        <v>0</v>
      </c>
      <c r="CA799">
        <v>3488</v>
      </c>
      <c r="CB799">
        <v>216</v>
      </c>
      <c r="CC799">
        <v>583.59379999999999</v>
      </c>
      <c r="CD799">
        <v>1</v>
      </c>
      <c r="CE799">
        <v>1</v>
      </c>
      <c r="CF799">
        <v>0</v>
      </c>
      <c r="CG799">
        <v>1</v>
      </c>
      <c r="CH799">
        <v>0</v>
      </c>
      <c r="CI799">
        <v>0</v>
      </c>
      <c r="CJ799">
        <v>0</v>
      </c>
      <c r="CK799">
        <v>2</v>
      </c>
      <c r="CL799">
        <v>0</v>
      </c>
      <c r="CM799">
        <v>2</v>
      </c>
      <c r="CN799">
        <v>0</v>
      </c>
      <c r="CO799">
        <v>5</v>
      </c>
      <c r="CP799" t="s">
        <v>119</v>
      </c>
      <c r="CQ799">
        <v>145</v>
      </c>
      <c r="CR799">
        <v>1</v>
      </c>
      <c r="CW799">
        <v>8975133</v>
      </c>
      <c r="CY799">
        <v>0</v>
      </c>
      <c r="CZ799">
        <v>0</v>
      </c>
      <c r="DA799">
        <v>1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</row>
    <row r="800" spans="1:113" x14ac:dyDescent="0.3">
      <c r="A800" t="str">
        <f>"02/13/2022 18:39:54.398"</f>
        <v>02/13/2022 18:39:54.398</v>
      </c>
      <c r="C800" t="str">
        <f t="shared" si="81"/>
        <v>FFDFD7C0</v>
      </c>
      <c r="D800" t="s">
        <v>113</v>
      </c>
      <c r="E800">
        <v>3</v>
      </c>
      <c r="F800">
        <v>1003</v>
      </c>
      <c r="G800" t="s">
        <v>114</v>
      </c>
      <c r="J800" t="s">
        <v>115</v>
      </c>
      <c r="K800">
        <v>0</v>
      </c>
      <c r="L800">
        <v>3</v>
      </c>
      <c r="M800">
        <v>0</v>
      </c>
      <c r="N800">
        <v>2</v>
      </c>
      <c r="O800">
        <v>1</v>
      </c>
      <c r="P800">
        <v>0</v>
      </c>
      <c r="Q800">
        <v>0</v>
      </c>
      <c r="S800" t="str">
        <f>"18:39:54.195"</f>
        <v>18:39:54.195</v>
      </c>
      <c r="T800" t="str">
        <f>"18:39:53.395"</f>
        <v>18:39:53.395</v>
      </c>
      <c r="U800" t="str">
        <f t="shared" si="80"/>
        <v>AAB6EE</v>
      </c>
      <c r="V800">
        <v>0</v>
      </c>
      <c r="W800">
        <v>0</v>
      </c>
      <c r="X800">
        <v>4</v>
      </c>
      <c r="Z800">
        <v>0</v>
      </c>
      <c r="AA800">
        <v>8</v>
      </c>
      <c r="AB800">
        <v>3</v>
      </c>
      <c r="AC800">
        <v>0</v>
      </c>
      <c r="AD800">
        <v>10</v>
      </c>
      <c r="AE800">
        <v>0</v>
      </c>
      <c r="AF800">
        <v>0</v>
      </c>
      <c r="AG800">
        <v>2</v>
      </c>
      <c r="AH800">
        <v>1</v>
      </c>
      <c r="AI800" t="s">
        <v>655</v>
      </c>
      <c r="AJ800">
        <v>35.356878999999999</v>
      </c>
      <c r="AK800" t="s">
        <v>656</v>
      </c>
      <c r="AL800">
        <v>-76.135081999999997</v>
      </c>
      <c r="AM800">
        <v>25</v>
      </c>
      <c r="AN800">
        <v>3425</v>
      </c>
      <c r="AO800" t="s">
        <v>118</v>
      </c>
      <c r="AP800">
        <v>-103</v>
      </c>
      <c r="AQ800">
        <v>-197</v>
      </c>
      <c r="AR800">
        <v>-64</v>
      </c>
      <c r="AZ800">
        <v>4516</v>
      </c>
      <c r="BA800">
        <v>1</v>
      </c>
      <c r="BB800" t="str">
        <f t="shared" si="82"/>
        <v xml:space="preserve">N79NX   </v>
      </c>
      <c r="BC800">
        <v>1</v>
      </c>
      <c r="BE800">
        <v>0</v>
      </c>
      <c r="BF800">
        <v>0</v>
      </c>
      <c r="BG800">
        <v>0</v>
      </c>
      <c r="BH800">
        <v>3300</v>
      </c>
      <c r="BI800">
        <v>0</v>
      </c>
      <c r="BJ800">
        <v>0</v>
      </c>
      <c r="BK800">
        <v>0</v>
      </c>
      <c r="BL800">
        <v>0</v>
      </c>
      <c r="BO800">
        <v>0</v>
      </c>
      <c r="BP800">
        <v>0</v>
      </c>
      <c r="BW800" t="str">
        <f>"18:39:54.201"</f>
        <v>18:39:54.201</v>
      </c>
      <c r="BZ800">
        <v>0</v>
      </c>
      <c r="CA800">
        <v>3488</v>
      </c>
      <c r="CB800">
        <v>216</v>
      </c>
      <c r="CC800">
        <v>583.59379999999999</v>
      </c>
      <c r="CD800">
        <v>1</v>
      </c>
      <c r="CE800">
        <v>1</v>
      </c>
      <c r="CF800">
        <v>0</v>
      </c>
      <c r="CG800">
        <v>1</v>
      </c>
      <c r="CH800">
        <v>0</v>
      </c>
      <c r="CI800">
        <v>0</v>
      </c>
      <c r="CJ800">
        <v>0</v>
      </c>
      <c r="CK800">
        <v>2</v>
      </c>
      <c r="CL800">
        <v>0</v>
      </c>
      <c r="CM800">
        <v>2</v>
      </c>
      <c r="CN800">
        <v>0</v>
      </c>
      <c r="CO800">
        <v>5</v>
      </c>
      <c r="CP800" t="s">
        <v>119</v>
      </c>
      <c r="CQ800">
        <v>145</v>
      </c>
      <c r="CR800">
        <v>1</v>
      </c>
      <c r="CW800">
        <v>8975569</v>
      </c>
      <c r="CY800">
        <v>0</v>
      </c>
      <c r="CZ800">
        <v>0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0</v>
      </c>
      <c r="DG800">
        <v>0</v>
      </c>
      <c r="DH800">
        <v>0</v>
      </c>
      <c r="DI800">
        <v>0</v>
      </c>
    </row>
    <row r="801" spans="1:113" x14ac:dyDescent="0.3">
      <c r="A801" t="str">
        <f>"02/13/2022 18:39:54.398"</f>
        <v>02/13/2022 18:39:54.398</v>
      </c>
      <c r="C801" t="str">
        <f t="shared" si="81"/>
        <v>FFDFD7C0</v>
      </c>
      <c r="D801" t="s">
        <v>113</v>
      </c>
      <c r="E801">
        <v>4</v>
      </c>
      <c r="F801">
        <v>1004</v>
      </c>
      <c r="G801" t="s">
        <v>120</v>
      </c>
      <c r="J801" t="s">
        <v>115</v>
      </c>
      <c r="K801">
        <v>0</v>
      </c>
      <c r="L801">
        <v>3</v>
      </c>
      <c r="M801">
        <v>0</v>
      </c>
      <c r="N801">
        <v>2</v>
      </c>
      <c r="O801">
        <v>1</v>
      </c>
      <c r="P801">
        <v>0</v>
      </c>
      <c r="Q801">
        <v>0</v>
      </c>
      <c r="S801" t="str">
        <f>"18:39:54.195"</f>
        <v>18:39:54.195</v>
      </c>
      <c r="T801" t="str">
        <f>"18:39:53.395"</f>
        <v>18:39:53.395</v>
      </c>
      <c r="U801" t="str">
        <f t="shared" si="80"/>
        <v>AAB6EE</v>
      </c>
      <c r="V801">
        <v>0</v>
      </c>
      <c r="W801">
        <v>0</v>
      </c>
      <c r="X801">
        <v>4</v>
      </c>
      <c r="Z801">
        <v>0</v>
      </c>
      <c r="AA801">
        <v>8</v>
      </c>
      <c r="AB801">
        <v>3</v>
      </c>
      <c r="AC801">
        <v>0</v>
      </c>
      <c r="AD801">
        <v>10</v>
      </c>
      <c r="AE801">
        <v>0</v>
      </c>
      <c r="AF801">
        <v>0</v>
      </c>
      <c r="AG801">
        <v>2</v>
      </c>
      <c r="AH801">
        <v>1</v>
      </c>
      <c r="AI801" t="s">
        <v>655</v>
      </c>
      <c r="AJ801">
        <v>35.356878999999999</v>
      </c>
      <c r="AK801" t="s">
        <v>656</v>
      </c>
      <c r="AL801">
        <v>-76.135081999999997</v>
      </c>
      <c r="AM801">
        <v>25</v>
      </c>
      <c r="AN801">
        <v>3425</v>
      </c>
      <c r="AO801" t="s">
        <v>118</v>
      </c>
      <c r="AP801">
        <v>-103</v>
      </c>
      <c r="AQ801">
        <v>-197</v>
      </c>
      <c r="AR801">
        <v>-64</v>
      </c>
      <c r="AZ801">
        <v>4516</v>
      </c>
      <c r="BA801">
        <v>1</v>
      </c>
      <c r="BB801" t="str">
        <f t="shared" si="82"/>
        <v xml:space="preserve">N79NX   </v>
      </c>
      <c r="BC801">
        <v>1</v>
      </c>
      <c r="BE801">
        <v>0</v>
      </c>
      <c r="BF801">
        <v>0</v>
      </c>
      <c r="BG801">
        <v>0</v>
      </c>
      <c r="BH801">
        <v>3300</v>
      </c>
      <c r="BI801">
        <v>0</v>
      </c>
      <c r="BJ801">
        <v>0</v>
      </c>
      <c r="BK801">
        <v>0</v>
      </c>
      <c r="BL801">
        <v>0</v>
      </c>
      <c r="BO801">
        <v>0</v>
      </c>
      <c r="BP801">
        <v>0</v>
      </c>
      <c r="BW801" t="str">
        <f>"18:39:54.201"</f>
        <v>18:39:54.201</v>
      </c>
      <c r="BZ801">
        <v>0</v>
      </c>
      <c r="CA801">
        <v>3488</v>
      </c>
      <c r="CB801">
        <v>216</v>
      </c>
      <c r="CC801">
        <v>583.59379999999999</v>
      </c>
      <c r="CD801">
        <v>1</v>
      </c>
      <c r="CE801">
        <v>1</v>
      </c>
      <c r="CF801">
        <v>0</v>
      </c>
      <c r="CG801">
        <v>1</v>
      </c>
      <c r="CH801">
        <v>0</v>
      </c>
      <c r="CI801">
        <v>0</v>
      </c>
      <c r="CJ801">
        <v>0</v>
      </c>
      <c r="CK801">
        <v>2</v>
      </c>
      <c r="CL801">
        <v>0</v>
      </c>
      <c r="CM801">
        <v>2</v>
      </c>
      <c r="CN801">
        <v>0</v>
      </c>
      <c r="CO801">
        <v>5</v>
      </c>
      <c r="CP801" t="s">
        <v>119</v>
      </c>
      <c r="CQ801">
        <v>145</v>
      </c>
      <c r="CR801">
        <v>1</v>
      </c>
      <c r="CW801">
        <v>8975569</v>
      </c>
      <c r="CY801">
        <v>0</v>
      </c>
      <c r="CZ801">
        <v>0</v>
      </c>
      <c r="DA801">
        <v>1</v>
      </c>
      <c r="DB801">
        <v>0</v>
      </c>
      <c r="DC801">
        <v>0</v>
      </c>
      <c r="DD801">
        <v>0</v>
      </c>
      <c r="DE801">
        <v>0</v>
      </c>
      <c r="DF801">
        <v>0</v>
      </c>
      <c r="DG801">
        <v>0</v>
      </c>
      <c r="DH801">
        <v>0</v>
      </c>
      <c r="DI801">
        <v>0</v>
      </c>
    </row>
    <row r="802" spans="1:113" x14ac:dyDescent="0.3">
      <c r="A802" t="str">
        <f>"02/13/2022 18:39:54.398"</f>
        <v>02/13/2022 18:39:54.398</v>
      </c>
      <c r="C802" t="str">
        <f t="shared" si="81"/>
        <v>FFDFD7C0</v>
      </c>
      <c r="D802" t="s">
        <v>121</v>
      </c>
      <c r="E802">
        <v>2</v>
      </c>
      <c r="H802">
        <v>158</v>
      </c>
      <c r="I802" t="s">
        <v>120</v>
      </c>
      <c r="J802" t="s">
        <v>122</v>
      </c>
      <c r="K802">
        <v>0</v>
      </c>
      <c r="L802">
        <v>3</v>
      </c>
      <c r="M802">
        <v>0</v>
      </c>
      <c r="N802">
        <v>2</v>
      </c>
      <c r="O802">
        <v>1</v>
      </c>
      <c r="P802">
        <v>0</v>
      </c>
      <c r="Q802">
        <v>0</v>
      </c>
      <c r="S802" t="str">
        <f>"18:39:54.195"</f>
        <v>18:39:54.195</v>
      </c>
      <c r="T802" t="str">
        <f>"18:39:53.395"</f>
        <v>18:39:53.395</v>
      </c>
      <c r="U802" t="str">
        <f t="shared" si="80"/>
        <v>AAB6EE</v>
      </c>
      <c r="V802">
        <v>0</v>
      </c>
      <c r="W802">
        <v>0</v>
      </c>
      <c r="X802">
        <v>4</v>
      </c>
      <c r="Z802">
        <v>0</v>
      </c>
      <c r="AA802">
        <v>8</v>
      </c>
      <c r="AB802">
        <v>3</v>
      </c>
      <c r="AC802">
        <v>0</v>
      </c>
      <c r="AD802">
        <v>10</v>
      </c>
      <c r="AE802">
        <v>0</v>
      </c>
      <c r="AF802">
        <v>0</v>
      </c>
      <c r="AG802">
        <v>2</v>
      </c>
      <c r="AH802">
        <v>1</v>
      </c>
      <c r="AI802" t="s">
        <v>655</v>
      </c>
      <c r="AJ802">
        <v>35.356878999999999</v>
      </c>
      <c r="AK802" t="s">
        <v>656</v>
      </c>
      <c r="AL802">
        <v>-76.135081999999997</v>
      </c>
      <c r="AM802">
        <v>25</v>
      </c>
      <c r="AN802">
        <v>3425</v>
      </c>
      <c r="AO802" t="s">
        <v>118</v>
      </c>
      <c r="AP802">
        <v>-103</v>
      </c>
      <c r="AQ802">
        <v>-197</v>
      </c>
      <c r="AR802">
        <v>-64</v>
      </c>
      <c r="AZ802">
        <v>4516</v>
      </c>
      <c r="BA802">
        <v>1</v>
      </c>
      <c r="BB802" t="str">
        <f t="shared" si="82"/>
        <v xml:space="preserve">N79NX   </v>
      </c>
      <c r="BC802">
        <v>1</v>
      </c>
      <c r="BE802">
        <v>0</v>
      </c>
      <c r="BF802">
        <v>0</v>
      </c>
      <c r="BG802">
        <v>0</v>
      </c>
      <c r="BH802">
        <v>3300</v>
      </c>
      <c r="BI802">
        <v>0</v>
      </c>
      <c r="BJ802">
        <v>0</v>
      </c>
      <c r="BK802">
        <v>0</v>
      </c>
      <c r="BL802">
        <v>0</v>
      </c>
      <c r="BO802">
        <v>0</v>
      </c>
      <c r="BP802">
        <v>0</v>
      </c>
      <c r="BW802" t="str">
        <f>"18:39:54.201"</f>
        <v>18:39:54.201</v>
      </c>
      <c r="BZ802">
        <v>0</v>
      </c>
      <c r="CA802">
        <v>3488</v>
      </c>
      <c r="CB802">
        <v>216</v>
      </c>
      <c r="CC802">
        <v>583.59379999999999</v>
      </c>
      <c r="CD802">
        <v>1</v>
      </c>
      <c r="CE802">
        <v>1</v>
      </c>
      <c r="CF802">
        <v>0</v>
      </c>
      <c r="CG802">
        <v>1</v>
      </c>
      <c r="CH802">
        <v>0</v>
      </c>
      <c r="CI802">
        <v>0</v>
      </c>
      <c r="CJ802">
        <v>0</v>
      </c>
      <c r="CK802">
        <v>2</v>
      </c>
      <c r="CL802">
        <v>0</v>
      </c>
      <c r="CM802">
        <v>2</v>
      </c>
      <c r="CN802">
        <v>0</v>
      </c>
      <c r="CO802">
        <v>5</v>
      </c>
      <c r="CP802" t="s">
        <v>119</v>
      </c>
      <c r="CQ802">
        <v>145</v>
      </c>
      <c r="CR802">
        <v>1</v>
      </c>
      <c r="CW802">
        <v>8975569</v>
      </c>
      <c r="CY802">
        <v>0</v>
      </c>
      <c r="CZ802">
        <v>0</v>
      </c>
      <c r="DA802">
        <v>1</v>
      </c>
      <c r="DB802">
        <v>0</v>
      </c>
      <c r="DC802">
        <v>0</v>
      </c>
      <c r="DD802">
        <v>0</v>
      </c>
      <c r="DE802">
        <v>0</v>
      </c>
      <c r="DF802">
        <v>0</v>
      </c>
      <c r="DG802">
        <v>0</v>
      </c>
      <c r="DH802">
        <v>0</v>
      </c>
      <c r="DI802">
        <v>0</v>
      </c>
    </row>
    <row r="803" spans="1:113" x14ac:dyDescent="0.3">
      <c r="A803" t="str">
        <f>"02/13/2022 18:39:55.305"</f>
        <v>02/13/2022 18:39:55.305</v>
      </c>
      <c r="C803" t="str">
        <f t="shared" si="81"/>
        <v>FFDFD7C0</v>
      </c>
      <c r="D803" t="s">
        <v>121</v>
      </c>
      <c r="E803">
        <v>2</v>
      </c>
      <c r="H803">
        <v>158</v>
      </c>
      <c r="I803" t="s">
        <v>120</v>
      </c>
      <c r="J803" t="s">
        <v>122</v>
      </c>
      <c r="K803">
        <v>0</v>
      </c>
      <c r="L803">
        <v>3</v>
      </c>
      <c r="M803">
        <v>0</v>
      </c>
      <c r="N803">
        <v>2</v>
      </c>
      <c r="O803">
        <v>1</v>
      </c>
      <c r="P803">
        <v>0</v>
      </c>
      <c r="Q803">
        <v>0</v>
      </c>
      <c r="S803" t="str">
        <f>"18:39:55.023"</f>
        <v>18:39:55.023</v>
      </c>
      <c r="T803" t="str">
        <f>"18:39:54.723"</f>
        <v>18:39:54.723</v>
      </c>
      <c r="U803" t="str">
        <f t="shared" si="80"/>
        <v>AAB6EE</v>
      </c>
      <c r="V803">
        <v>0</v>
      </c>
      <c r="W803">
        <v>0</v>
      </c>
      <c r="X803">
        <v>4</v>
      </c>
      <c r="Z803">
        <v>0</v>
      </c>
      <c r="AA803">
        <v>8</v>
      </c>
      <c r="AB803">
        <v>3</v>
      </c>
      <c r="AC803">
        <v>0</v>
      </c>
      <c r="AD803">
        <v>10</v>
      </c>
      <c r="AE803">
        <v>0</v>
      </c>
      <c r="AF803">
        <v>0</v>
      </c>
      <c r="AG803">
        <v>2</v>
      </c>
      <c r="AH803">
        <v>1</v>
      </c>
      <c r="AI803" t="s">
        <v>657</v>
      </c>
      <c r="AJ803">
        <v>35.356107000000002</v>
      </c>
      <c r="AK803" t="s">
        <v>658</v>
      </c>
      <c r="AL803">
        <v>-76.135597000000004</v>
      </c>
      <c r="AM803">
        <v>25</v>
      </c>
      <c r="AN803">
        <v>3425</v>
      </c>
      <c r="AO803" t="s">
        <v>118</v>
      </c>
      <c r="AP803">
        <v>-103</v>
      </c>
      <c r="AQ803">
        <v>-197</v>
      </c>
      <c r="AR803">
        <v>0</v>
      </c>
      <c r="AZ803">
        <v>4516</v>
      </c>
      <c r="BA803">
        <v>1</v>
      </c>
      <c r="BB803" t="str">
        <f t="shared" si="82"/>
        <v xml:space="preserve">N79NX   </v>
      </c>
      <c r="BC803">
        <v>1</v>
      </c>
      <c r="BE803">
        <v>0</v>
      </c>
      <c r="BF803">
        <v>0</v>
      </c>
      <c r="BG803">
        <v>0</v>
      </c>
      <c r="BH803">
        <v>3300</v>
      </c>
      <c r="BI803">
        <v>0</v>
      </c>
      <c r="BJ803">
        <v>0</v>
      </c>
      <c r="BK803">
        <v>0</v>
      </c>
      <c r="BL803">
        <v>0</v>
      </c>
      <c r="BO803">
        <v>0</v>
      </c>
      <c r="BP803">
        <v>0</v>
      </c>
      <c r="BW803" t="str">
        <f>"18:39:55.031"</f>
        <v>18:39:55.031</v>
      </c>
      <c r="BZ803">
        <v>0</v>
      </c>
      <c r="CA803">
        <v>3488</v>
      </c>
      <c r="CB803">
        <v>216</v>
      </c>
      <c r="CC803">
        <v>583.59379999999999</v>
      </c>
      <c r="CD803">
        <v>1</v>
      </c>
      <c r="CE803">
        <v>1</v>
      </c>
      <c r="CF803">
        <v>0</v>
      </c>
      <c r="CG803">
        <v>1</v>
      </c>
      <c r="CH803">
        <v>0</v>
      </c>
      <c r="CI803">
        <v>0</v>
      </c>
      <c r="CJ803">
        <v>0</v>
      </c>
      <c r="CK803">
        <v>2</v>
      </c>
      <c r="CL803">
        <v>0</v>
      </c>
      <c r="CM803">
        <v>2</v>
      </c>
      <c r="CN803">
        <v>0</v>
      </c>
      <c r="CO803">
        <v>5</v>
      </c>
      <c r="CP803" t="s">
        <v>119</v>
      </c>
      <c r="CQ803">
        <v>145</v>
      </c>
      <c r="CR803">
        <v>1</v>
      </c>
      <c r="CW803">
        <v>8975918</v>
      </c>
      <c r="CY803">
        <v>0</v>
      </c>
      <c r="CZ803">
        <v>0</v>
      </c>
      <c r="DA803">
        <v>0</v>
      </c>
      <c r="DB803">
        <v>0</v>
      </c>
      <c r="DC803">
        <v>0</v>
      </c>
      <c r="DD803">
        <v>0</v>
      </c>
      <c r="DE803">
        <v>0</v>
      </c>
      <c r="DF803">
        <v>0</v>
      </c>
      <c r="DG803">
        <v>0</v>
      </c>
      <c r="DH803">
        <v>0</v>
      </c>
      <c r="DI803">
        <v>0</v>
      </c>
    </row>
    <row r="804" spans="1:113" x14ac:dyDescent="0.3">
      <c r="A804" t="str">
        <f>"02/13/2022 18:39:55.337"</f>
        <v>02/13/2022 18:39:55.337</v>
      </c>
      <c r="C804" t="str">
        <f t="shared" si="81"/>
        <v>FFDFD7C0</v>
      </c>
      <c r="D804" t="s">
        <v>113</v>
      </c>
      <c r="E804">
        <v>3</v>
      </c>
      <c r="F804">
        <v>1003</v>
      </c>
      <c r="G804" t="s">
        <v>114</v>
      </c>
      <c r="J804" t="s">
        <v>115</v>
      </c>
      <c r="K804">
        <v>0</v>
      </c>
      <c r="L804">
        <v>3</v>
      </c>
      <c r="M804">
        <v>0</v>
      </c>
      <c r="N804">
        <v>2</v>
      </c>
      <c r="O804">
        <v>1</v>
      </c>
      <c r="P804">
        <v>0</v>
      </c>
      <c r="Q804">
        <v>0</v>
      </c>
      <c r="S804" t="str">
        <f>"18:39:55.023"</f>
        <v>18:39:55.023</v>
      </c>
      <c r="T804" t="str">
        <f>"18:39:54.723"</f>
        <v>18:39:54.723</v>
      </c>
      <c r="U804" t="str">
        <f t="shared" si="80"/>
        <v>AAB6EE</v>
      </c>
      <c r="V804">
        <v>0</v>
      </c>
      <c r="W804">
        <v>0</v>
      </c>
      <c r="X804">
        <v>4</v>
      </c>
      <c r="Z804">
        <v>0</v>
      </c>
      <c r="AA804">
        <v>8</v>
      </c>
      <c r="AB804">
        <v>3</v>
      </c>
      <c r="AC804">
        <v>0</v>
      </c>
      <c r="AD804">
        <v>10</v>
      </c>
      <c r="AE804">
        <v>0</v>
      </c>
      <c r="AF804">
        <v>0</v>
      </c>
      <c r="AG804">
        <v>2</v>
      </c>
      <c r="AH804">
        <v>1</v>
      </c>
      <c r="AI804" t="s">
        <v>657</v>
      </c>
      <c r="AJ804">
        <v>35.356107000000002</v>
      </c>
      <c r="AK804" t="s">
        <v>658</v>
      </c>
      <c r="AL804">
        <v>-76.135597000000004</v>
      </c>
      <c r="AM804">
        <v>25</v>
      </c>
      <c r="AN804">
        <v>3425</v>
      </c>
      <c r="AO804" t="s">
        <v>118</v>
      </c>
      <c r="AP804">
        <v>-103</v>
      </c>
      <c r="AQ804">
        <v>-197</v>
      </c>
      <c r="AR804">
        <v>0</v>
      </c>
      <c r="AZ804">
        <v>4516</v>
      </c>
      <c r="BA804">
        <v>1</v>
      </c>
      <c r="BB804" t="str">
        <f t="shared" si="82"/>
        <v xml:space="preserve">N79NX   </v>
      </c>
      <c r="BC804">
        <v>1</v>
      </c>
      <c r="BE804">
        <v>0</v>
      </c>
      <c r="BF804">
        <v>0</v>
      </c>
      <c r="BG804">
        <v>0</v>
      </c>
      <c r="BH804">
        <v>3300</v>
      </c>
      <c r="BI804">
        <v>0</v>
      </c>
      <c r="BJ804">
        <v>0</v>
      </c>
      <c r="BK804">
        <v>0</v>
      </c>
      <c r="BL804">
        <v>0</v>
      </c>
      <c r="BO804">
        <v>0</v>
      </c>
      <c r="BP804">
        <v>0</v>
      </c>
      <c r="BW804" t="str">
        <f>"18:39:55.031"</f>
        <v>18:39:55.031</v>
      </c>
      <c r="BZ804">
        <v>0</v>
      </c>
      <c r="CA804">
        <v>3488</v>
      </c>
      <c r="CB804">
        <v>216</v>
      </c>
      <c r="CC804">
        <v>583.59379999999999</v>
      </c>
      <c r="CD804">
        <v>1</v>
      </c>
      <c r="CE804">
        <v>1</v>
      </c>
      <c r="CF804">
        <v>0</v>
      </c>
      <c r="CG804">
        <v>1</v>
      </c>
      <c r="CH804">
        <v>0</v>
      </c>
      <c r="CI804">
        <v>0</v>
      </c>
      <c r="CJ804">
        <v>0</v>
      </c>
      <c r="CK804">
        <v>2</v>
      </c>
      <c r="CL804">
        <v>0</v>
      </c>
      <c r="CM804">
        <v>2</v>
      </c>
      <c r="CN804">
        <v>0</v>
      </c>
      <c r="CO804">
        <v>5</v>
      </c>
      <c r="CP804" t="s">
        <v>119</v>
      </c>
      <c r="CQ804">
        <v>145</v>
      </c>
      <c r="CR804">
        <v>1</v>
      </c>
      <c r="CW804">
        <v>8975918</v>
      </c>
      <c r="CY804">
        <v>0</v>
      </c>
      <c r="CZ804">
        <v>0</v>
      </c>
      <c r="DA804">
        <v>1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0</v>
      </c>
      <c r="DH804">
        <v>0</v>
      </c>
      <c r="DI804">
        <v>0</v>
      </c>
    </row>
    <row r="805" spans="1:113" x14ac:dyDescent="0.3">
      <c r="A805" t="str">
        <f>"02/13/2022 18:39:55.337"</f>
        <v>02/13/2022 18:39:55.337</v>
      </c>
      <c r="C805" t="str">
        <f t="shared" si="81"/>
        <v>FFDFD7C0</v>
      </c>
      <c r="D805" t="s">
        <v>113</v>
      </c>
      <c r="E805">
        <v>4</v>
      </c>
      <c r="F805">
        <v>1004</v>
      </c>
      <c r="G805" t="s">
        <v>120</v>
      </c>
      <c r="J805" t="s">
        <v>115</v>
      </c>
      <c r="K805">
        <v>0</v>
      </c>
      <c r="L805">
        <v>3</v>
      </c>
      <c r="M805">
        <v>0</v>
      </c>
      <c r="N805">
        <v>2</v>
      </c>
      <c r="O805">
        <v>1</v>
      </c>
      <c r="P805">
        <v>0</v>
      </c>
      <c r="Q805">
        <v>0</v>
      </c>
      <c r="S805" t="str">
        <f>"18:39:55.023"</f>
        <v>18:39:55.023</v>
      </c>
      <c r="T805" t="str">
        <f>"18:39:54.723"</f>
        <v>18:39:54.723</v>
      </c>
      <c r="U805" t="str">
        <f t="shared" si="80"/>
        <v>AAB6EE</v>
      </c>
      <c r="V805">
        <v>0</v>
      </c>
      <c r="W805">
        <v>0</v>
      </c>
      <c r="X805">
        <v>4</v>
      </c>
      <c r="Z805">
        <v>0</v>
      </c>
      <c r="AA805">
        <v>8</v>
      </c>
      <c r="AB805">
        <v>3</v>
      </c>
      <c r="AC805">
        <v>0</v>
      </c>
      <c r="AD805">
        <v>10</v>
      </c>
      <c r="AE805">
        <v>0</v>
      </c>
      <c r="AF805">
        <v>0</v>
      </c>
      <c r="AG805">
        <v>2</v>
      </c>
      <c r="AH805">
        <v>1</v>
      </c>
      <c r="AI805" t="s">
        <v>657</v>
      </c>
      <c r="AJ805">
        <v>35.356107000000002</v>
      </c>
      <c r="AK805" t="s">
        <v>658</v>
      </c>
      <c r="AL805">
        <v>-76.135597000000004</v>
      </c>
      <c r="AM805">
        <v>25</v>
      </c>
      <c r="AN805">
        <v>3425</v>
      </c>
      <c r="AO805" t="s">
        <v>118</v>
      </c>
      <c r="AP805">
        <v>-103</v>
      </c>
      <c r="AQ805">
        <v>-197</v>
      </c>
      <c r="AR805">
        <v>0</v>
      </c>
      <c r="AZ805">
        <v>4516</v>
      </c>
      <c r="BA805">
        <v>1</v>
      </c>
      <c r="BB805" t="str">
        <f t="shared" si="82"/>
        <v xml:space="preserve">N79NX   </v>
      </c>
      <c r="BC805">
        <v>1</v>
      </c>
      <c r="BE805">
        <v>0</v>
      </c>
      <c r="BF805">
        <v>0</v>
      </c>
      <c r="BG805">
        <v>0</v>
      </c>
      <c r="BH805">
        <v>3300</v>
      </c>
      <c r="BI805">
        <v>0</v>
      </c>
      <c r="BJ805">
        <v>0</v>
      </c>
      <c r="BK805">
        <v>0</v>
      </c>
      <c r="BL805">
        <v>0</v>
      </c>
      <c r="BO805">
        <v>0</v>
      </c>
      <c r="BP805">
        <v>0</v>
      </c>
      <c r="BW805" t="str">
        <f>"18:39:55.031"</f>
        <v>18:39:55.031</v>
      </c>
      <c r="BZ805">
        <v>0</v>
      </c>
      <c r="CA805">
        <v>3488</v>
      </c>
      <c r="CB805">
        <v>216</v>
      </c>
      <c r="CC805">
        <v>583.59379999999999</v>
      </c>
      <c r="CD805">
        <v>1</v>
      </c>
      <c r="CE805">
        <v>1</v>
      </c>
      <c r="CF805">
        <v>0</v>
      </c>
      <c r="CG805">
        <v>1</v>
      </c>
      <c r="CH805">
        <v>0</v>
      </c>
      <c r="CI805">
        <v>0</v>
      </c>
      <c r="CJ805">
        <v>0</v>
      </c>
      <c r="CK805">
        <v>2</v>
      </c>
      <c r="CL805">
        <v>0</v>
      </c>
      <c r="CM805">
        <v>2</v>
      </c>
      <c r="CN805">
        <v>0</v>
      </c>
      <c r="CO805">
        <v>5</v>
      </c>
      <c r="CP805" t="s">
        <v>119</v>
      </c>
      <c r="CQ805">
        <v>145</v>
      </c>
      <c r="CR805">
        <v>1</v>
      </c>
      <c r="CW805">
        <v>8975918</v>
      </c>
      <c r="CY805">
        <v>0</v>
      </c>
      <c r="CZ805">
        <v>0</v>
      </c>
      <c r="DA805">
        <v>1</v>
      </c>
      <c r="DB805">
        <v>0</v>
      </c>
      <c r="DC805">
        <v>0</v>
      </c>
      <c r="DD805">
        <v>0</v>
      </c>
      <c r="DE805">
        <v>0</v>
      </c>
      <c r="DF805">
        <v>0</v>
      </c>
      <c r="DG805">
        <v>0</v>
      </c>
      <c r="DH805">
        <v>0</v>
      </c>
      <c r="DI805">
        <v>0</v>
      </c>
    </row>
    <row r="806" spans="1:113" x14ac:dyDescent="0.3">
      <c r="A806" t="str">
        <f>"02/13/2022 18:39:56.338"</f>
        <v>02/13/2022 18:39:56.338</v>
      </c>
      <c r="C806" t="str">
        <f t="shared" si="81"/>
        <v>FFDFD7C0</v>
      </c>
      <c r="D806" t="s">
        <v>121</v>
      </c>
      <c r="E806">
        <v>2</v>
      </c>
      <c r="H806">
        <v>158</v>
      </c>
      <c r="I806" t="s">
        <v>120</v>
      </c>
      <c r="J806" t="s">
        <v>122</v>
      </c>
      <c r="K806">
        <v>0</v>
      </c>
      <c r="L806">
        <v>3</v>
      </c>
      <c r="M806">
        <v>0</v>
      </c>
      <c r="N806">
        <v>2</v>
      </c>
      <c r="O806">
        <v>1</v>
      </c>
      <c r="P806">
        <v>0</v>
      </c>
      <c r="Q806">
        <v>0</v>
      </c>
      <c r="S806" t="str">
        <f>"18:39:56.078"</f>
        <v>18:39:56.078</v>
      </c>
      <c r="T806" t="str">
        <f>"18:39:55.778"</f>
        <v>18:39:55.778</v>
      </c>
      <c r="U806" t="str">
        <f t="shared" si="80"/>
        <v>AAB6EE</v>
      </c>
      <c r="V806">
        <v>0</v>
      </c>
      <c r="W806">
        <v>0</v>
      </c>
      <c r="X806">
        <v>4</v>
      </c>
      <c r="Z806">
        <v>0</v>
      </c>
      <c r="AA806">
        <v>8</v>
      </c>
      <c r="AB806">
        <v>3</v>
      </c>
      <c r="AC806">
        <v>0</v>
      </c>
      <c r="AD806">
        <v>10</v>
      </c>
      <c r="AE806">
        <v>0</v>
      </c>
      <c r="AF806">
        <v>0</v>
      </c>
      <c r="AG806">
        <v>2</v>
      </c>
      <c r="AH806">
        <v>1</v>
      </c>
      <c r="AI806" t="s">
        <v>659</v>
      </c>
      <c r="AJ806">
        <v>35.355162999999997</v>
      </c>
      <c r="AK806" t="s">
        <v>660</v>
      </c>
      <c r="AL806">
        <v>-76.136197999999993</v>
      </c>
      <c r="AM806">
        <v>25</v>
      </c>
      <c r="AN806">
        <v>3425</v>
      </c>
      <c r="AO806" t="s">
        <v>118</v>
      </c>
      <c r="AP806">
        <v>-103</v>
      </c>
      <c r="AQ806">
        <v>-197</v>
      </c>
      <c r="AR806">
        <v>-64</v>
      </c>
      <c r="AZ806">
        <v>4516</v>
      </c>
      <c r="BA806">
        <v>1</v>
      </c>
      <c r="BB806" t="str">
        <f t="shared" si="82"/>
        <v xml:space="preserve">N79NX   </v>
      </c>
      <c r="BC806">
        <v>1</v>
      </c>
      <c r="BE806">
        <v>0</v>
      </c>
      <c r="BF806">
        <v>0</v>
      </c>
      <c r="BG806">
        <v>0</v>
      </c>
      <c r="BH806">
        <v>3275</v>
      </c>
      <c r="BI806">
        <v>0</v>
      </c>
      <c r="BJ806">
        <v>0</v>
      </c>
      <c r="BK806">
        <v>0</v>
      </c>
      <c r="BL806">
        <v>0</v>
      </c>
      <c r="BO806">
        <v>0</v>
      </c>
      <c r="BP806">
        <v>0</v>
      </c>
      <c r="BW806" t="str">
        <f>"18:39:56.081"</f>
        <v>18:39:56.081</v>
      </c>
      <c r="BZ806">
        <v>0</v>
      </c>
      <c r="CA806">
        <v>3488</v>
      </c>
      <c r="CB806">
        <v>216</v>
      </c>
      <c r="CC806">
        <v>583.59379999999999</v>
      </c>
      <c r="CD806">
        <v>1</v>
      </c>
      <c r="CE806">
        <v>1</v>
      </c>
      <c r="CF806">
        <v>0</v>
      </c>
      <c r="CG806">
        <v>1</v>
      </c>
      <c r="CH806">
        <v>0</v>
      </c>
      <c r="CI806">
        <v>0</v>
      </c>
      <c r="CJ806">
        <v>0</v>
      </c>
      <c r="CK806">
        <v>2</v>
      </c>
      <c r="CL806">
        <v>0</v>
      </c>
      <c r="CM806">
        <v>2</v>
      </c>
      <c r="CN806">
        <v>0</v>
      </c>
      <c r="CO806">
        <v>5</v>
      </c>
      <c r="CP806" t="s">
        <v>119</v>
      </c>
      <c r="CQ806">
        <v>145</v>
      </c>
      <c r="CR806">
        <v>1</v>
      </c>
      <c r="CW806">
        <v>8976383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0</v>
      </c>
      <c r="DG806">
        <v>0</v>
      </c>
      <c r="DH806">
        <v>0</v>
      </c>
      <c r="DI806">
        <v>0</v>
      </c>
    </row>
    <row r="807" spans="1:113" x14ac:dyDescent="0.3">
      <c r="A807" t="str">
        <f>"02/13/2022 18:39:56.432"</f>
        <v>02/13/2022 18:39:56.432</v>
      </c>
      <c r="C807" t="str">
        <f t="shared" si="81"/>
        <v>FFDFD7C0</v>
      </c>
      <c r="D807" t="s">
        <v>113</v>
      </c>
      <c r="E807">
        <v>3</v>
      </c>
      <c r="F807">
        <v>1003</v>
      </c>
      <c r="G807" t="s">
        <v>114</v>
      </c>
      <c r="J807" t="s">
        <v>115</v>
      </c>
      <c r="K807">
        <v>0</v>
      </c>
      <c r="L807">
        <v>3</v>
      </c>
      <c r="M807">
        <v>0</v>
      </c>
      <c r="N807">
        <v>2</v>
      </c>
      <c r="O807">
        <v>1</v>
      </c>
      <c r="P807">
        <v>0</v>
      </c>
      <c r="Q807">
        <v>0</v>
      </c>
      <c r="S807" t="str">
        <f>"18:39:56.078"</f>
        <v>18:39:56.078</v>
      </c>
      <c r="T807" t="str">
        <f>"18:39:55.778"</f>
        <v>18:39:55.778</v>
      </c>
      <c r="U807" t="str">
        <f t="shared" si="80"/>
        <v>AAB6EE</v>
      </c>
      <c r="V807">
        <v>0</v>
      </c>
      <c r="W807">
        <v>0</v>
      </c>
      <c r="X807">
        <v>4</v>
      </c>
      <c r="Z807">
        <v>0</v>
      </c>
      <c r="AA807">
        <v>8</v>
      </c>
      <c r="AB807">
        <v>3</v>
      </c>
      <c r="AC807">
        <v>0</v>
      </c>
      <c r="AD807">
        <v>10</v>
      </c>
      <c r="AE807">
        <v>0</v>
      </c>
      <c r="AF807">
        <v>0</v>
      </c>
      <c r="AG807">
        <v>2</v>
      </c>
      <c r="AH807">
        <v>1</v>
      </c>
      <c r="AI807" t="s">
        <v>659</v>
      </c>
      <c r="AJ807">
        <v>35.355162999999997</v>
      </c>
      <c r="AK807" t="s">
        <v>660</v>
      </c>
      <c r="AL807">
        <v>-76.136197999999993</v>
      </c>
      <c r="AM807">
        <v>25</v>
      </c>
      <c r="AN807">
        <v>3425</v>
      </c>
      <c r="AO807" t="s">
        <v>118</v>
      </c>
      <c r="AP807">
        <v>-103</v>
      </c>
      <c r="AQ807">
        <v>-197</v>
      </c>
      <c r="AR807">
        <v>-64</v>
      </c>
      <c r="AZ807">
        <v>4516</v>
      </c>
      <c r="BA807">
        <v>1</v>
      </c>
      <c r="BB807" t="str">
        <f t="shared" si="82"/>
        <v xml:space="preserve">N79NX   </v>
      </c>
      <c r="BC807">
        <v>1</v>
      </c>
      <c r="BE807">
        <v>0</v>
      </c>
      <c r="BF807">
        <v>0</v>
      </c>
      <c r="BG807">
        <v>0</v>
      </c>
      <c r="BH807">
        <v>3275</v>
      </c>
      <c r="BI807">
        <v>0</v>
      </c>
      <c r="BJ807">
        <v>0</v>
      </c>
      <c r="BK807">
        <v>0</v>
      </c>
      <c r="BL807">
        <v>0</v>
      </c>
      <c r="BO807">
        <v>0</v>
      </c>
      <c r="BP807">
        <v>0</v>
      </c>
      <c r="BW807" t="str">
        <f>"18:39:56.081"</f>
        <v>18:39:56.081</v>
      </c>
      <c r="BZ807">
        <v>0</v>
      </c>
      <c r="CA807">
        <v>3488</v>
      </c>
      <c r="CB807">
        <v>216</v>
      </c>
      <c r="CC807">
        <v>583.59379999999999</v>
      </c>
      <c r="CD807">
        <v>1</v>
      </c>
      <c r="CE807">
        <v>1</v>
      </c>
      <c r="CF807">
        <v>0</v>
      </c>
      <c r="CG807">
        <v>1</v>
      </c>
      <c r="CH807">
        <v>0</v>
      </c>
      <c r="CI807">
        <v>0</v>
      </c>
      <c r="CJ807">
        <v>0</v>
      </c>
      <c r="CK807">
        <v>2</v>
      </c>
      <c r="CL807">
        <v>0</v>
      </c>
      <c r="CM807">
        <v>2</v>
      </c>
      <c r="CN807">
        <v>0</v>
      </c>
      <c r="CO807">
        <v>5</v>
      </c>
      <c r="CP807" t="s">
        <v>119</v>
      </c>
      <c r="CQ807">
        <v>145</v>
      </c>
      <c r="CR807">
        <v>1</v>
      </c>
      <c r="CW807">
        <v>8976383</v>
      </c>
      <c r="CY807">
        <v>0</v>
      </c>
      <c r="CZ807">
        <v>0</v>
      </c>
      <c r="DA807">
        <v>1</v>
      </c>
      <c r="DB807">
        <v>0</v>
      </c>
      <c r="DC807">
        <v>0</v>
      </c>
      <c r="DD807">
        <v>0</v>
      </c>
      <c r="DE807">
        <v>0</v>
      </c>
      <c r="DF807">
        <v>0</v>
      </c>
      <c r="DG807">
        <v>0</v>
      </c>
      <c r="DH807">
        <v>0</v>
      </c>
      <c r="DI807">
        <v>0</v>
      </c>
    </row>
    <row r="808" spans="1:113" x14ac:dyDescent="0.3">
      <c r="A808" t="str">
        <f>"02/13/2022 18:39:56.432"</f>
        <v>02/13/2022 18:39:56.432</v>
      </c>
      <c r="C808" t="str">
        <f t="shared" si="81"/>
        <v>FFDFD7C0</v>
      </c>
      <c r="D808" t="s">
        <v>113</v>
      </c>
      <c r="E808">
        <v>4</v>
      </c>
      <c r="F808">
        <v>1004</v>
      </c>
      <c r="G808" t="s">
        <v>120</v>
      </c>
      <c r="J808" t="s">
        <v>115</v>
      </c>
      <c r="K808">
        <v>0</v>
      </c>
      <c r="L808">
        <v>3</v>
      </c>
      <c r="M808">
        <v>0</v>
      </c>
      <c r="N808">
        <v>2</v>
      </c>
      <c r="O808">
        <v>1</v>
      </c>
      <c r="P808">
        <v>0</v>
      </c>
      <c r="Q808">
        <v>0</v>
      </c>
      <c r="S808" t="str">
        <f>"18:39:56.078"</f>
        <v>18:39:56.078</v>
      </c>
      <c r="T808" t="str">
        <f>"18:39:55.778"</f>
        <v>18:39:55.778</v>
      </c>
      <c r="U808" t="str">
        <f t="shared" si="80"/>
        <v>AAB6EE</v>
      </c>
      <c r="V808">
        <v>0</v>
      </c>
      <c r="W808">
        <v>0</v>
      </c>
      <c r="X808">
        <v>4</v>
      </c>
      <c r="Z808">
        <v>0</v>
      </c>
      <c r="AA808">
        <v>8</v>
      </c>
      <c r="AB808">
        <v>3</v>
      </c>
      <c r="AC808">
        <v>0</v>
      </c>
      <c r="AD808">
        <v>10</v>
      </c>
      <c r="AE808">
        <v>0</v>
      </c>
      <c r="AF808">
        <v>0</v>
      </c>
      <c r="AG808">
        <v>2</v>
      </c>
      <c r="AH808">
        <v>1</v>
      </c>
      <c r="AI808" t="s">
        <v>659</v>
      </c>
      <c r="AJ808">
        <v>35.355162999999997</v>
      </c>
      <c r="AK808" t="s">
        <v>660</v>
      </c>
      <c r="AL808">
        <v>-76.136197999999993</v>
      </c>
      <c r="AM808">
        <v>25</v>
      </c>
      <c r="AN808">
        <v>3425</v>
      </c>
      <c r="AO808" t="s">
        <v>118</v>
      </c>
      <c r="AP808">
        <v>-103</v>
      </c>
      <c r="AQ808">
        <v>-197</v>
      </c>
      <c r="AR808">
        <v>-64</v>
      </c>
      <c r="AZ808">
        <v>4516</v>
      </c>
      <c r="BA808">
        <v>1</v>
      </c>
      <c r="BB808" t="str">
        <f t="shared" si="82"/>
        <v xml:space="preserve">N79NX   </v>
      </c>
      <c r="BC808">
        <v>1</v>
      </c>
      <c r="BE808">
        <v>0</v>
      </c>
      <c r="BF808">
        <v>0</v>
      </c>
      <c r="BG808">
        <v>0</v>
      </c>
      <c r="BH808">
        <v>3275</v>
      </c>
      <c r="BI808">
        <v>0</v>
      </c>
      <c r="BJ808">
        <v>0</v>
      </c>
      <c r="BK808">
        <v>0</v>
      </c>
      <c r="BL808">
        <v>0</v>
      </c>
      <c r="BO808">
        <v>0</v>
      </c>
      <c r="BP808">
        <v>0</v>
      </c>
      <c r="BW808" t="str">
        <f>"18:39:56.081"</f>
        <v>18:39:56.081</v>
      </c>
      <c r="BZ808">
        <v>0</v>
      </c>
      <c r="CA808">
        <v>3488</v>
      </c>
      <c r="CB808">
        <v>216</v>
      </c>
      <c r="CC808">
        <v>583.59379999999999</v>
      </c>
      <c r="CD808">
        <v>1</v>
      </c>
      <c r="CE808">
        <v>1</v>
      </c>
      <c r="CF808">
        <v>0</v>
      </c>
      <c r="CG808">
        <v>1</v>
      </c>
      <c r="CH808">
        <v>0</v>
      </c>
      <c r="CI808">
        <v>0</v>
      </c>
      <c r="CJ808">
        <v>0</v>
      </c>
      <c r="CK808">
        <v>2</v>
      </c>
      <c r="CL808">
        <v>0</v>
      </c>
      <c r="CM808">
        <v>2</v>
      </c>
      <c r="CN808">
        <v>0</v>
      </c>
      <c r="CO808">
        <v>5</v>
      </c>
      <c r="CP808" t="s">
        <v>119</v>
      </c>
      <c r="CQ808">
        <v>145</v>
      </c>
      <c r="CR808">
        <v>1</v>
      </c>
      <c r="CW808">
        <v>8976383</v>
      </c>
      <c r="CY808">
        <v>0</v>
      </c>
      <c r="CZ808">
        <v>0</v>
      </c>
      <c r="DA808">
        <v>1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</row>
    <row r="809" spans="1:113" x14ac:dyDescent="0.3">
      <c r="A809" t="str">
        <f>"02/13/2022 18:39:57.432"</f>
        <v>02/13/2022 18:39:57.432</v>
      </c>
      <c r="C809" t="str">
        <f t="shared" si="81"/>
        <v>FFDFD7C0</v>
      </c>
      <c r="D809" t="s">
        <v>113</v>
      </c>
      <c r="E809">
        <v>3</v>
      </c>
      <c r="F809">
        <v>1003</v>
      </c>
      <c r="G809" t="s">
        <v>114</v>
      </c>
      <c r="J809" t="s">
        <v>115</v>
      </c>
      <c r="K809">
        <v>0</v>
      </c>
      <c r="L809">
        <v>3</v>
      </c>
      <c r="M809">
        <v>0</v>
      </c>
      <c r="N809">
        <v>2</v>
      </c>
      <c r="O809">
        <v>1</v>
      </c>
      <c r="P809">
        <v>0</v>
      </c>
      <c r="Q809">
        <v>0</v>
      </c>
      <c r="S809" t="str">
        <f t="shared" ref="S809:T811" si="83">"18:39:57.156"</f>
        <v>18:39:57.156</v>
      </c>
      <c r="T809" t="str">
        <f t="shared" si="83"/>
        <v>18:39:57.156</v>
      </c>
      <c r="U809" t="str">
        <f t="shared" si="80"/>
        <v>AAB6EE</v>
      </c>
      <c r="V809">
        <v>0</v>
      </c>
      <c r="W809">
        <v>0</v>
      </c>
      <c r="X809">
        <v>4</v>
      </c>
      <c r="Z809">
        <v>0</v>
      </c>
      <c r="AA809">
        <v>8</v>
      </c>
      <c r="AB809">
        <v>3</v>
      </c>
      <c r="AC809">
        <v>0</v>
      </c>
      <c r="AD809">
        <v>10</v>
      </c>
      <c r="AE809">
        <v>0</v>
      </c>
      <c r="AF809">
        <v>0</v>
      </c>
      <c r="AG809">
        <v>2</v>
      </c>
      <c r="AH809">
        <v>1</v>
      </c>
      <c r="AI809" t="s">
        <v>661</v>
      </c>
      <c r="AJ809">
        <v>35.354132999999997</v>
      </c>
      <c r="AK809" t="s">
        <v>662</v>
      </c>
      <c r="AL809">
        <v>-76.136863000000005</v>
      </c>
      <c r="AM809">
        <v>25</v>
      </c>
      <c r="AN809">
        <v>3425</v>
      </c>
      <c r="AO809" t="s">
        <v>118</v>
      </c>
      <c r="AP809">
        <v>-103</v>
      </c>
      <c r="AQ809">
        <v>-197</v>
      </c>
      <c r="AR809">
        <v>0</v>
      </c>
      <c r="AZ809">
        <v>4516</v>
      </c>
      <c r="BA809">
        <v>1</v>
      </c>
      <c r="BB809" t="str">
        <f t="shared" si="82"/>
        <v xml:space="preserve">N79NX   </v>
      </c>
      <c r="BC809">
        <v>1</v>
      </c>
      <c r="BE809">
        <v>0</v>
      </c>
      <c r="BF809">
        <v>0</v>
      </c>
      <c r="BG809">
        <v>0</v>
      </c>
      <c r="BH809">
        <v>3300</v>
      </c>
      <c r="BI809">
        <v>0</v>
      </c>
      <c r="BJ809">
        <v>0</v>
      </c>
      <c r="BK809">
        <v>0</v>
      </c>
      <c r="BL809">
        <v>0</v>
      </c>
      <c r="BO809">
        <v>0</v>
      </c>
      <c r="BP809">
        <v>0</v>
      </c>
      <c r="BW809" t="str">
        <f>"18:39:57.161"</f>
        <v>18:39:57.161</v>
      </c>
      <c r="BZ809">
        <v>0</v>
      </c>
      <c r="CA809">
        <v>3488</v>
      </c>
      <c r="CB809">
        <v>216</v>
      </c>
      <c r="CC809">
        <v>583.59379999999999</v>
      </c>
      <c r="CD809">
        <v>1</v>
      </c>
      <c r="CE809">
        <v>1</v>
      </c>
      <c r="CF809">
        <v>0</v>
      </c>
      <c r="CG809">
        <v>1</v>
      </c>
      <c r="CH809">
        <v>0</v>
      </c>
      <c r="CI809">
        <v>0</v>
      </c>
      <c r="CJ809">
        <v>0</v>
      </c>
      <c r="CK809">
        <v>2</v>
      </c>
      <c r="CL809">
        <v>0</v>
      </c>
      <c r="CM809">
        <v>2</v>
      </c>
      <c r="CN809">
        <v>0</v>
      </c>
      <c r="CO809">
        <v>5</v>
      </c>
      <c r="CP809" t="s">
        <v>119</v>
      </c>
      <c r="CQ809">
        <v>145</v>
      </c>
      <c r="CR809">
        <v>1</v>
      </c>
      <c r="CW809">
        <v>8976892</v>
      </c>
      <c r="CY809">
        <v>0</v>
      </c>
      <c r="CZ809">
        <v>0</v>
      </c>
      <c r="DA809">
        <v>0</v>
      </c>
      <c r="DB809">
        <v>0</v>
      </c>
      <c r="DC809">
        <v>0</v>
      </c>
      <c r="DD809">
        <v>0</v>
      </c>
      <c r="DE809">
        <v>0</v>
      </c>
      <c r="DF809">
        <v>0</v>
      </c>
      <c r="DG809">
        <v>0</v>
      </c>
      <c r="DH809">
        <v>0</v>
      </c>
      <c r="DI809">
        <v>0</v>
      </c>
    </row>
    <row r="810" spans="1:113" x14ac:dyDescent="0.3">
      <c r="A810" t="str">
        <f>"02/13/2022 18:39:57.432"</f>
        <v>02/13/2022 18:39:57.432</v>
      </c>
      <c r="C810" t="str">
        <f t="shared" si="81"/>
        <v>FFDFD7C0</v>
      </c>
      <c r="D810" t="s">
        <v>113</v>
      </c>
      <c r="E810">
        <v>4</v>
      </c>
      <c r="F810">
        <v>1004</v>
      </c>
      <c r="G810" t="s">
        <v>120</v>
      </c>
      <c r="J810" t="s">
        <v>115</v>
      </c>
      <c r="K810">
        <v>0</v>
      </c>
      <c r="L810">
        <v>3</v>
      </c>
      <c r="M810">
        <v>0</v>
      </c>
      <c r="N810">
        <v>2</v>
      </c>
      <c r="O810">
        <v>1</v>
      </c>
      <c r="P810">
        <v>0</v>
      </c>
      <c r="Q810">
        <v>0</v>
      </c>
      <c r="S810" t="str">
        <f t="shared" si="83"/>
        <v>18:39:57.156</v>
      </c>
      <c r="T810" t="str">
        <f t="shared" si="83"/>
        <v>18:39:57.156</v>
      </c>
      <c r="U810" t="str">
        <f t="shared" si="80"/>
        <v>AAB6EE</v>
      </c>
      <c r="V810">
        <v>0</v>
      </c>
      <c r="W810">
        <v>0</v>
      </c>
      <c r="X810">
        <v>4</v>
      </c>
      <c r="Z810">
        <v>0</v>
      </c>
      <c r="AA810">
        <v>8</v>
      </c>
      <c r="AB810">
        <v>3</v>
      </c>
      <c r="AC810">
        <v>0</v>
      </c>
      <c r="AD810">
        <v>10</v>
      </c>
      <c r="AE810">
        <v>0</v>
      </c>
      <c r="AF810">
        <v>0</v>
      </c>
      <c r="AG810">
        <v>2</v>
      </c>
      <c r="AH810">
        <v>1</v>
      </c>
      <c r="AI810" t="s">
        <v>661</v>
      </c>
      <c r="AJ810">
        <v>35.354132999999997</v>
      </c>
      <c r="AK810" t="s">
        <v>662</v>
      </c>
      <c r="AL810">
        <v>-76.136863000000005</v>
      </c>
      <c r="AM810">
        <v>25</v>
      </c>
      <c r="AN810">
        <v>3425</v>
      </c>
      <c r="AO810" t="s">
        <v>118</v>
      </c>
      <c r="AP810">
        <v>-103</v>
      </c>
      <c r="AQ810">
        <v>-197</v>
      </c>
      <c r="AR810">
        <v>0</v>
      </c>
      <c r="AZ810">
        <v>4516</v>
      </c>
      <c r="BA810">
        <v>1</v>
      </c>
      <c r="BB810" t="str">
        <f t="shared" si="82"/>
        <v xml:space="preserve">N79NX   </v>
      </c>
      <c r="BC810">
        <v>1</v>
      </c>
      <c r="BE810">
        <v>0</v>
      </c>
      <c r="BF810">
        <v>0</v>
      </c>
      <c r="BG810">
        <v>0</v>
      </c>
      <c r="BH810">
        <v>3300</v>
      </c>
      <c r="BI810">
        <v>0</v>
      </c>
      <c r="BJ810">
        <v>0</v>
      </c>
      <c r="BK810">
        <v>0</v>
      </c>
      <c r="BL810">
        <v>0</v>
      </c>
      <c r="BO810">
        <v>0</v>
      </c>
      <c r="BP810">
        <v>0</v>
      </c>
      <c r="BW810" t="str">
        <f>"18:39:57.161"</f>
        <v>18:39:57.161</v>
      </c>
      <c r="BZ810">
        <v>0</v>
      </c>
      <c r="CA810">
        <v>3488</v>
      </c>
      <c r="CB810">
        <v>216</v>
      </c>
      <c r="CC810">
        <v>583.59379999999999</v>
      </c>
      <c r="CD810">
        <v>1</v>
      </c>
      <c r="CE810">
        <v>1</v>
      </c>
      <c r="CF810">
        <v>0</v>
      </c>
      <c r="CG810">
        <v>1</v>
      </c>
      <c r="CH810">
        <v>0</v>
      </c>
      <c r="CI810">
        <v>0</v>
      </c>
      <c r="CJ810">
        <v>0</v>
      </c>
      <c r="CK810">
        <v>2</v>
      </c>
      <c r="CL810">
        <v>0</v>
      </c>
      <c r="CM810">
        <v>2</v>
      </c>
      <c r="CN810">
        <v>0</v>
      </c>
      <c r="CO810">
        <v>5</v>
      </c>
      <c r="CP810" t="s">
        <v>119</v>
      </c>
      <c r="CQ810">
        <v>145</v>
      </c>
      <c r="CR810">
        <v>1</v>
      </c>
      <c r="CW810">
        <v>8976892</v>
      </c>
      <c r="CY810">
        <v>0</v>
      </c>
      <c r="CZ810">
        <v>0</v>
      </c>
      <c r="DA810">
        <v>1</v>
      </c>
      <c r="DB810">
        <v>0</v>
      </c>
      <c r="DC810">
        <v>0</v>
      </c>
      <c r="DD810">
        <v>0</v>
      </c>
      <c r="DE810">
        <v>0</v>
      </c>
      <c r="DF810">
        <v>0</v>
      </c>
      <c r="DG810">
        <v>0</v>
      </c>
      <c r="DH810">
        <v>0</v>
      </c>
      <c r="DI810">
        <v>0</v>
      </c>
    </row>
    <row r="811" spans="1:113" x14ac:dyDescent="0.3">
      <c r="A811" t="str">
        <f>"02/13/2022 18:39:57.432"</f>
        <v>02/13/2022 18:39:57.432</v>
      </c>
      <c r="C811" t="str">
        <f t="shared" si="81"/>
        <v>FFDFD7C0</v>
      </c>
      <c r="D811" t="s">
        <v>121</v>
      </c>
      <c r="E811">
        <v>2</v>
      </c>
      <c r="H811">
        <v>158</v>
      </c>
      <c r="I811" t="s">
        <v>120</v>
      </c>
      <c r="J811" t="s">
        <v>122</v>
      </c>
      <c r="K811">
        <v>0</v>
      </c>
      <c r="L811">
        <v>3</v>
      </c>
      <c r="M811">
        <v>0</v>
      </c>
      <c r="N811">
        <v>2</v>
      </c>
      <c r="O811">
        <v>1</v>
      </c>
      <c r="P811">
        <v>0</v>
      </c>
      <c r="Q811">
        <v>0</v>
      </c>
      <c r="S811" t="str">
        <f t="shared" si="83"/>
        <v>18:39:57.156</v>
      </c>
      <c r="T811" t="str">
        <f t="shared" si="83"/>
        <v>18:39:57.156</v>
      </c>
      <c r="U811" t="str">
        <f t="shared" si="80"/>
        <v>AAB6EE</v>
      </c>
      <c r="V811">
        <v>0</v>
      </c>
      <c r="W811">
        <v>0</v>
      </c>
      <c r="X811">
        <v>4</v>
      </c>
      <c r="Z811">
        <v>0</v>
      </c>
      <c r="AA811">
        <v>8</v>
      </c>
      <c r="AB811">
        <v>3</v>
      </c>
      <c r="AC811">
        <v>0</v>
      </c>
      <c r="AD811">
        <v>10</v>
      </c>
      <c r="AE811">
        <v>0</v>
      </c>
      <c r="AF811">
        <v>0</v>
      </c>
      <c r="AG811">
        <v>2</v>
      </c>
      <c r="AH811">
        <v>1</v>
      </c>
      <c r="AI811" t="s">
        <v>661</v>
      </c>
      <c r="AJ811">
        <v>35.354132999999997</v>
      </c>
      <c r="AK811" t="s">
        <v>662</v>
      </c>
      <c r="AL811">
        <v>-76.136863000000005</v>
      </c>
      <c r="AM811">
        <v>25</v>
      </c>
      <c r="AN811">
        <v>3425</v>
      </c>
      <c r="AO811" t="s">
        <v>118</v>
      </c>
      <c r="AP811">
        <v>-103</v>
      </c>
      <c r="AQ811">
        <v>-197</v>
      </c>
      <c r="AR811">
        <v>0</v>
      </c>
      <c r="AZ811">
        <v>4516</v>
      </c>
      <c r="BA811">
        <v>1</v>
      </c>
      <c r="BB811" t="str">
        <f t="shared" si="82"/>
        <v xml:space="preserve">N79NX   </v>
      </c>
      <c r="BC811">
        <v>1</v>
      </c>
      <c r="BE811">
        <v>0</v>
      </c>
      <c r="BF811">
        <v>0</v>
      </c>
      <c r="BG811">
        <v>0</v>
      </c>
      <c r="BH811">
        <v>3300</v>
      </c>
      <c r="BI811">
        <v>0</v>
      </c>
      <c r="BJ811">
        <v>0</v>
      </c>
      <c r="BK811">
        <v>0</v>
      </c>
      <c r="BL811">
        <v>0</v>
      </c>
      <c r="BO811">
        <v>0</v>
      </c>
      <c r="BP811">
        <v>0</v>
      </c>
      <c r="BW811" t="str">
        <f>"18:39:57.161"</f>
        <v>18:39:57.161</v>
      </c>
      <c r="BZ811">
        <v>0</v>
      </c>
      <c r="CA811">
        <v>3488</v>
      </c>
      <c r="CB811">
        <v>216</v>
      </c>
      <c r="CC811">
        <v>583.59379999999999</v>
      </c>
      <c r="CD811">
        <v>1</v>
      </c>
      <c r="CE811">
        <v>1</v>
      </c>
      <c r="CF811">
        <v>0</v>
      </c>
      <c r="CG811">
        <v>1</v>
      </c>
      <c r="CH811">
        <v>0</v>
      </c>
      <c r="CI811">
        <v>0</v>
      </c>
      <c r="CJ811">
        <v>0</v>
      </c>
      <c r="CK811">
        <v>2</v>
      </c>
      <c r="CL811">
        <v>0</v>
      </c>
      <c r="CM811">
        <v>2</v>
      </c>
      <c r="CN811">
        <v>0</v>
      </c>
      <c r="CO811">
        <v>5</v>
      </c>
      <c r="CP811" t="s">
        <v>119</v>
      </c>
      <c r="CQ811">
        <v>145</v>
      </c>
      <c r="CR811">
        <v>1</v>
      </c>
      <c r="CW811">
        <v>8976892</v>
      </c>
      <c r="CY811">
        <v>0</v>
      </c>
      <c r="CZ811">
        <v>0</v>
      </c>
      <c r="DA811">
        <v>1</v>
      </c>
      <c r="DB811">
        <v>0</v>
      </c>
      <c r="DC811">
        <v>0</v>
      </c>
      <c r="DD811">
        <v>0</v>
      </c>
      <c r="DE811">
        <v>0</v>
      </c>
      <c r="DF811">
        <v>0</v>
      </c>
      <c r="DG811">
        <v>0</v>
      </c>
      <c r="DH811">
        <v>0</v>
      </c>
      <c r="DI811">
        <v>0</v>
      </c>
    </row>
    <row r="812" spans="1:113" x14ac:dyDescent="0.3">
      <c r="A812" t="str">
        <f>"02/13/2022 18:39:58.447"</f>
        <v>02/13/2022 18:39:58.447</v>
      </c>
      <c r="C812" t="str">
        <f t="shared" si="81"/>
        <v>FFDFD7C0</v>
      </c>
      <c r="D812" t="s">
        <v>113</v>
      </c>
      <c r="E812">
        <v>4</v>
      </c>
      <c r="F812">
        <v>1004</v>
      </c>
      <c r="G812" t="s">
        <v>120</v>
      </c>
      <c r="J812" t="s">
        <v>115</v>
      </c>
      <c r="K812">
        <v>0</v>
      </c>
      <c r="L812">
        <v>3</v>
      </c>
      <c r="M812">
        <v>0</v>
      </c>
      <c r="N812">
        <v>2</v>
      </c>
      <c r="O812">
        <v>1</v>
      </c>
      <c r="P812">
        <v>0</v>
      </c>
      <c r="Q812">
        <v>0</v>
      </c>
      <c r="S812" t="str">
        <f>"18:39:58.273"</f>
        <v>18:39:58.273</v>
      </c>
      <c r="T812" t="str">
        <f>"18:39:58.073"</f>
        <v>18:39:58.073</v>
      </c>
      <c r="U812" t="str">
        <f t="shared" si="80"/>
        <v>AAB6EE</v>
      </c>
      <c r="V812">
        <v>0</v>
      </c>
      <c r="W812">
        <v>0</v>
      </c>
      <c r="X812">
        <v>4</v>
      </c>
      <c r="Z812">
        <v>0</v>
      </c>
      <c r="AA812">
        <v>8</v>
      </c>
      <c r="AB812">
        <v>3</v>
      </c>
      <c r="AC812">
        <v>0</v>
      </c>
      <c r="AD812">
        <v>10</v>
      </c>
      <c r="AE812">
        <v>0</v>
      </c>
      <c r="AF812">
        <v>0</v>
      </c>
      <c r="AG812">
        <v>2</v>
      </c>
      <c r="AH812">
        <v>1</v>
      </c>
      <c r="AI812" t="s">
        <v>663</v>
      </c>
      <c r="AJ812">
        <v>35.353166999999999</v>
      </c>
      <c r="AK812" t="s">
        <v>664</v>
      </c>
      <c r="AL812">
        <v>-76.137463999999994</v>
      </c>
      <c r="AM812">
        <v>25</v>
      </c>
      <c r="AN812">
        <v>3425</v>
      </c>
      <c r="AO812" t="s">
        <v>118</v>
      </c>
      <c r="AP812">
        <v>-102</v>
      </c>
      <c r="AQ812">
        <v>-198</v>
      </c>
      <c r="AR812">
        <v>0</v>
      </c>
      <c r="AZ812">
        <v>4516</v>
      </c>
      <c r="BA812">
        <v>1</v>
      </c>
      <c r="BB812" t="str">
        <f t="shared" si="82"/>
        <v xml:space="preserve">N79NX   </v>
      </c>
      <c r="BC812">
        <v>1</v>
      </c>
      <c r="BE812">
        <v>0</v>
      </c>
      <c r="BF812">
        <v>0</v>
      </c>
      <c r="BG812">
        <v>0</v>
      </c>
      <c r="BH812">
        <v>3300</v>
      </c>
      <c r="BI812">
        <v>0</v>
      </c>
      <c r="BJ812">
        <v>0</v>
      </c>
      <c r="BK812">
        <v>0</v>
      </c>
      <c r="BL812">
        <v>0</v>
      </c>
      <c r="BO812">
        <v>0</v>
      </c>
      <c r="BP812">
        <v>0</v>
      </c>
      <c r="BW812" t="str">
        <f>"18:39:58.281"</f>
        <v>18:39:58.281</v>
      </c>
      <c r="BZ812">
        <v>0</v>
      </c>
      <c r="CA812">
        <v>3488</v>
      </c>
      <c r="CB812">
        <v>216</v>
      </c>
      <c r="CC812">
        <v>583.59379999999999</v>
      </c>
      <c r="CD812">
        <v>1</v>
      </c>
      <c r="CE812">
        <v>1</v>
      </c>
      <c r="CF812">
        <v>0</v>
      </c>
      <c r="CG812">
        <v>1</v>
      </c>
      <c r="CH812">
        <v>0</v>
      </c>
      <c r="CI812">
        <v>0</v>
      </c>
      <c r="CJ812">
        <v>0</v>
      </c>
      <c r="CK812">
        <v>2</v>
      </c>
      <c r="CL812">
        <v>0</v>
      </c>
      <c r="CM812">
        <v>2</v>
      </c>
      <c r="CN812">
        <v>0</v>
      </c>
      <c r="CO812">
        <v>5</v>
      </c>
      <c r="CP812" t="s">
        <v>119</v>
      </c>
      <c r="CQ812">
        <v>145</v>
      </c>
      <c r="CR812">
        <v>1</v>
      </c>
      <c r="CW812">
        <v>8977437</v>
      </c>
      <c r="CY812">
        <v>0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0</v>
      </c>
      <c r="DF812">
        <v>0</v>
      </c>
      <c r="DG812">
        <v>0</v>
      </c>
      <c r="DH812">
        <v>0</v>
      </c>
      <c r="DI812">
        <v>0</v>
      </c>
    </row>
    <row r="813" spans="1:113" x14ac:dyDescent="0.3">
      <c r="A813" t="str">
        <f>"02/13/2022 18:39:58.447"</f>
        <v>02/13/2022 18:39:58.447</v>
      </c>
      <c r="C813" t="str">
        <f t="shared" si="81"/>
        <v>FFDFD7C0</v>
      </c>
      <c r="D813" t="s">
        <v>113</v>
      </c>
      <c r="E813">
        <v>3</v>
      </c>
      <c r="F813">
        <v>1003</v>
      </c>
      <c r="G813" t="s">
        <v>114</v>
      </c>
      <c r="J813" t="s">
        <v>115</v>
      </c>
      <c r="K813">
        <v>0</v>
      </c>
      <c r="L813">
        <v>3</v>
      </c>
      <c r="M813">
        <v>0</v>
      </c>
      <c r="N813">
        <v>2</v>
      </c>
      <c r="O813">
        <v>1</v>
      </c>
      <c r="P813">
        <v>0</v>
      </c>
      <c r="Q813">
        <v>0</v>
      </c>
      <c r="S813" t="str">
        <f>"18:39:58.273"</f>
        <v>18:39:58.273</v>
      </c>
      <c r="T813" t="str">
        <f>"18:39:58.073"</f>
        <v>18:39:58.073</v>
      </c>
      <c r="U813" t="str">
        <f t="shared" si="80"/>
        <v>AAB6EE</v>
      </c>
      <c r="V813">
        <v>0</v>
      </c>
      <c r="W813">
        <v>0</v>
      </c>
      <c r="X813">
        <v>4</v>
      </c>
      <c r="Z813">
        <v>0</v>
      </c>
      <c r="AA813">
        <v>8</v>
      </c>
      <c r="AB813">
        <v>3</v>
      </c>
      <c r="AC813">
        <v>0</v>
      </c>
      <c r="AD813">
        <v>10</v>
      </c>
      <c r="AE813">
        <v>0</v>
      </c>
      <c r="AF813">
        <v>0</v>
      </c>
      <c r="AG813">
        <v>2</v>
      </c>
      <c r="AH813">
        <v>1</v>
      </c>
      <c r="AI813" t="s">
        <v>663</v>
      </c>
      <c r="AJ813">
        <v>35.353166999999999</v>
      </c>
      <c r="AK813" t="s">
        <v>664</v>
      </c>
      <c r="AL813">
        <v>-76.137463999999994</v>
      </c>
      <c r="AM813">
        <v>25</v>
      </c>
      <c r="AN813">
        <v>3425</v>
      </c>
      <c r="AO813" t="s">
        <v>118</v>
      </c>
      <c r="AP813">
        <v>-102</v>
      </c>
      <c r="AQ813">
        <v>-198</v>
      </c>
      <c r="AR813">
        <v>0</v>
      </c>
      <c r="AZ813">
        <v>4516</v>
      </c>
      <c r="BA813">
        <v>1</v>
      </c>
      <c r="BB813" t="str">
        <f t="shared" si="82"/>
        <v xml:space="preserve">N79NX   </v>
      </c>
      <c r="BC813">
        <v>1</v>
      </c>
      <c r="BE813">
        <v>0</v>
      </c>
      <c r="BF813">
        <v>0</v>
      </c>
      <c r="BG813">
        <v>0</v>
      </c>
      <c r="BH813">
        <v>3300</v>
      </c>
      <c r="BI813">
        <v>0</v>
      </c>
      <c r="BJ813">
        <v>0</v>
      </c>
      <c r="BK813">
        <v>0</v>
      </c>
      <c r="BL813">
        <v>0</v>
      </c>
      <c r="BO813">
        <v>0</v>
      </c>
      <c r="BP813">
        <v>0</v>
      </c>
      <c r="BW813" t="str">
        <f>"18:39:58.281"</f>
        <v>18:39:58.281</v>
      </c>
      <c r="BZ813">
        <v>0</v>
      </c>
      <c r="CA813">
        <v>3488</v>
      </c>
      <c r="CB813">
        <v>216</v>
      </c>
      <c r="CC813">
        <v>583.59379999999999</v>
      </c>
      <c r="CD813">
        <v>1</v>
      </c>
      <c r="CE813">
        <v>1</v>
      </c>
      <c r="CF813">
        <v>0</v>
      </c>
      <c r="CG813">
        <v>1</v>
      </c>
      <c r="CH813">
        <v>0</v>
      </c>
      <c r="CI813">
        <v>0</v>
      </c>
      <c r="CJ813">
        <v>0</v>
      </c>
      <c r="CK813">
        <v>2</v>
      </c>
      <c r="CL813">
        <v>0</v>
      </c>
      <c r="CM813">
        <v>2</v>
      </c>
      <c r="CN813">
        <v>0</v>
      </c>
      <c r="CO813">
        <v>5</v>
      </c>
      <c r="CP813" t="s">
        <v>119</v>
      </c>
      <c r="CQ813">
        <v>145</v>
      </c>
      <c r="CR813">
        <v>1</v>
      </c>
      <c r="CW813">
        <v>8977437</v>
      </c>
      <c r="CY813">
        <v>0</v>
      </c>
      <c r="CZ813">
        <v>0</v>
      </c>
      <c r="DA813">
        <v>1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</row>
    <row r="814" spans="1:113" x14ac:dyDescent="0.3">
      <c r="A814" t="str">
        <f>"02/13/2022 18:39:58.479"</f>
        <v>02/13/2022 18:39:58.479</v>
      </c>
      <c r="C814" t="str">
        <f t="shared" si="81"/>
        <v>FFDFD7C0</v>
      </c>
      <c r="D814" t="s">
        <v>121</v>
      </c>
      <c r="E814">
        <v>2</v>
      </c>
      <c r="H814">
        <v>158</v>
      </c>
      <c r="I814" t="s">
        <v>120</v>
      </c>
      <c r="J814" t="s">
        <v>122</v>
      </c>
      <c r="K814">
        <v>0</v>
      </c>
      <c r="L814">
        <v>3</v>
      </c>
      <c r="M814">
        <v>0</v>
      </c>
      <c r="N814">
        <v>2</v>
      </c>
      <c r="O814">
        <v>1</v>
      </c>
      <c r="P814">
        <v>0</v>
      </c>
      <c r="Q814">
        <v>0</v>
      </c>
      <c r="S814" t="str">
        <f>"18:39:58.273"</f>
        <v>18:39:58.273</v>
      </c>
      <c r="T814" t="str">
        <f>"18:39:58.073"</f>
        <v>18:39:58.073</v>
      </c>
      <c r="U814" t="str">
        <f t="shared" si="80"/>
        <v>AAB6EE</v>
      </c>
      <c r="V814">
        <v>0</v>
      </c>
      <c r="W814">
        <v>0</v>
      </c>
      <c r="X814">
        <v>4</v>
      </c>
      <c r="Z814">
        <v>0</v>
      </c>
      <c r="AA814">
        <v>8</v>
      </c>
      <c r="AB814">
        <v>3</v>
      </c>
      <c r="AC814">
        <v>0</v>
      </c>
      <c r="AD814">
        <v>10</v>
      </c>
      <c r="AE814">
        <v>0</v>
      </c>
      <c r="AF814">
        <v>0</v>
      </c>
      <c r="AG814">
        <v>2</v>
      </c>
      <c r="AH814">
        <v>1</v>
      </c>
      <c r="AI814" t="s">
        <v>663</v>
      </c>
      <c r="AJ814">
        <v>35.353166999999999</v>
      </c>
      <c r="AK814" t="s">
        <v>664</v>
      </c>
      <c r="AL814">
        <v>-76.137463999999994</v>
      </c>
      <c r="AM814">
        <v>25</v>
      </c>
      <c r="AN814">
        <v>3425</v>
      </c>
      <c r="AO814" t="s">
        <v>118</v>
      </c>
      <c r="AP814">
        <v>-102</v>
      </c>
      <c r="AQ814">
        <v>-198</v>
      </c>
      <c r="AR814">
        <v>0</v>
      </c>
      <c r="AZ814">
        <v>4516</v>
      </c>
      <c r="BA814">
        <v>1</v>
      </c>
      <c r="BB814" t="str">
        <f t="shared" si="82"/>
        <v xml:space="preserve">N79NX   </v>
      </c>
      <c r="BC814">
        <v>1</v>
      </c>
      <c r="BE814">
        <v>0</v>
      </c>
      <c r="BF814">
        <v>0</v>
      </c>
      <c r="BG814">
        <v>0</v>
      </c>
      <c r="BH814">
        <v>3300</v>
      </c>
      <c r="BI814">
        <v>0</v>
      </c>
      <c r="BJ814">
        <v>0</v>
      </c>
      <c r="BK814">
        <v>0</v>
      </c>
      <c r="BL814">
        <v>0</v>
      </c>
      <c r="BO814">
        <v>0</v>
      </c>
      <c r="BP814">
        <v>0</v>
      </c>
      <c r="BW814" t="str">
        <f>"18:39:58.281"</f>
        <v>18:39:58.281</v>
      </c>
      <c r="BZ814">
        <v>0</v>
      </c>
      <c r="CA814">
        <v>3488</v>
      </c>
      <c r="CB814">
        <v>216</v>
      </c>
      <c r="CC814">
        <v>583.59379999999999</v>
      </c>
      <c r="CD814">
        <v>1</v>
      </c>
      <c r="CE814">
        <v>1</v>
      </c>
      <c r="CF814">
        <v>0</v>
      </c>
      <c r="CG814">
        <v>1</v>
      </c>
      <c r="CH814">
        <v>0</v>
      </c>
      <c r="CI814">
        <v>0</v>
      </c>
      <c r="CJ814">
        <v>0</v>
      </c>
      <c r="CK814">
        <v>2</v>
      </c>
      <c r="CL814">
        <v>0</v>
      </c>
      <c r="CM814">
        <v>2</v>
      </c>
      <c r="CN814">
        <v>0</v>
      </c>
      <c r="CO814">
        <v>5</v>
      </c>
      <c r="CP814" t="s">
        <v>119</v>
      </c>
      <c r="CQ814">
        <v>145</v>
      </c>
      <c r="CR814">
        <v>1</v>
      </c>
      <c r="CW814">
        <v>8977437</v>
      </c>
      <c r="CY814">
        <v>0</v>
      </c>
      <c r="CZ814">
        <v>0</v>
      </c>
      <c r="DA814">
        <v>1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0</v>
      </c>
      <c r="DH814">
        <v>0</v>
      </c>
      <c r="DI814">
        <v>0</v>
      </c>
    </row>
    <row r="815" spans="1:113" x14ac:dyDescent="0.3">
      <c r="A815" t="str">
        <f>"02/13/2022 18:39:59.637"</f>
        <v>02/13/2022 18:39:59.637</v>
      </c>
      <c r="C815" t="str">
        <f t="shared" si="81"/>
        <v>FFDFD7C0</v>
      </c>
      <c r="D815" t="s">
        <v>121</v>
      </c>
      <c r="E815">
        <v>2</v>
      </c>
      <c r="H815">
        <v>158</v>
      </c>
      <c r="I815" t="s">
        <v>120</v>
      </c>
      <c r="J815" t="s">
        <v>122</v>
      </c>
      <c r="K815">
        <v>0</v>
      </c>
      <c r="L815">
        <v>3</v>
      </c>
      <c r="M815">
        <v>0</v>
      </c>
      <c r="N815">
        <v>2</v>
      </c>
      <c r="O815">
        <v>1</v>
      </c>
      <c r="P815">
        <v>0</v>
      </c>
      <c r="Q815">
        <v>0</v>
      </c>
      <c r="S815" t="str">
        <f>"18:39:59.406"</f>
        <v>18:39:59.406</v>
      </c>
      <c r="T815" t="str">
        <f>"18:39:59.106"</f>
        <v>18:39:59.106</v>
      </c>
      <c r="U815" t="str">
        <f t="shared" si="80"/>
        <v>AAB6EE</v>
      </c>
      <c r="V815">
        <v>0</v>
      </c>
      <c r="W815">
        <v>0</v>
      </c>
      <c r="X815">
        <v>4</v>
      </c>
      <c r="Z815">
        <v>0</v>
      </c>
      <c r="AA815">
        <v>8</v>
      </c>
      <c r="AB815">
        <v>3</v>
      </c>
      <c r="AC815">
        <v>0</v>
      </c>
      <c r="AD815">
        <v>10</v>
      </c>
      <c r="AE815">
        <v>0</v>
      </c>
      <c r="AF815">
        <v>0</v>
      </c>
      <c r="AG815">
        <v>2</v>
      </c>
      <c r="AH815">
        <v>1</v>
      </c>
      <c r="AI815" t="s">
        <v>665</v>
      </c>
      <c r="AJ815">
        <v>35.352051000000003</v>
      </c>
      <c r="AK815" t="s">
        <v>666</v>
      </c>
      <c r="AL815">
        <v>-76.138171999999997</v>
      </c>
      <c r="AM815">
        <v>25</v>
      </c>
      <c r="AN815">
        <v>3425</v>
      </c>
      <c r="AO815" t="s">
        <v>118</v>
      </c>
      <c r="AP815">
        <v>-103</v>
      </c>
      <c r="AQ815">
        <v>-197</v>
      </c>
      <c r="AR815">
        <v>0</v>
      </c>
      <c r="AZ815">
        <v>4516</v>
      </c>
      <c r="BA815">
        <v>1</v>
      </c>
      <c r="BB815" t="str">
        <f t="shared" si="82"/>
        <v xml:space="preserve">N79NX   </v>
      </c>
      <c r="BC815">
        <v>1</v>
      </c>
      <c r="BE815">
        <v>0</v>
      </c>
      <c r="BF815">
        <v>0</v>
      </c>
      <c r="BG815">
        <v>0</v>
      </c>
      <c r="BH815">
        <v>3300</v>
      </c>
      <c r="BI815">
        <v>0</v>
      </c>
      <c r="BJ815">
        <v>0</v>
      </c>
      <c r="BK815">
        <v>0</v>
      </c>
      <c r="BL815">
        <v>0</v>
      </c>
      <c r="BO815">
        <v>0</v>
      </c>
      <c r="BP815">
        <v>0</v>
      </c>
      <c r="BW815" t="str">
        <f>"18:39:59.411"</f>
        <v>18:39:59.411</v>
      </c>
      <c r="BZ815">
        <v>0</v>
      </c>
      <c r="CA815">
        <v>3488</v>
      </c>
      <c r="CB815">
        <v>216</v>
      </c>
      <c r="CC815">
        <v>583.59379999999999</v>
      </c>
      <c r="CD815">
        <v>1</v>
      </c>
      <c r="CE815">
        <v>1</v>
      </c>
      <c r="CF815">
        <v>0</v>
      </c>
      <c r="CG815">
        <v>1</v>
      </c>
      <c r="CH815">
        <v>0</v>
      </c>
      <c r="CI815">
        <v>0</v>
      </c>
      <c r="CJ815">
        <v>0</v>
      </c>
      <c r="CK815">
        <v>2</v>
      </c>
      <c r="CL815">
        <v>0</v>
      </c>
      <c r="CM815">
        <v>2</v>
      </c>
      <c r="CN815">
        <v>0</v>
      </c>
      <c r="CO815">
        <v>5</v>
      </c>
      <c r="CP815" t="s">
        <v>119</v>
      </c>
      <c r="CQ815">
        <v>145</v>
      </c>
      <c r="CR815">
        <v>1</v>
      </c>
      <c r="CW815">
        <v>8977910</v>
      </c>
      <c r="CY815">
        <v>0</v>
      </c>
      <c r="CZ815">
        <v>0</v>
      </c>
      <c r="DA815">
        <v>0</v>
      </c>
      <c r="DB815">
        <v>0</v>
      </c>
      <c r="DC815">
        <v>0</v>
      </c>
      <c r="DD815">
        <v>0</v>
      </c>
      <c r="DE815">
        <v>0</v>
      </c>
      <c r="DF815">
        <v>0</v>
      </c>
      <c r="DG815">
        <v>0</v>
      </c>
      <c r="DH815">
        <v>0</v>
      </c>
      <c r="DI815">
        <v>0</v>
      </c>
    </row>
    <row r="816" spans="1:113" x14ac:dyDescent="0.3">
      <c r="A816" t="str">
        <f>"02/13/2022 18:39:59.637"</f>
        <v>02/13/2022 18:39:59.637</v>
      </c>
      <c r="C816" t="str">
        <f t="shared" si="81"/>
        <v>FFDFD7C0</v>
      </c>
      <c r="D816" t="s">
        <v>113</v>
      </c>
      <c r="E816">
        <v>3</v>
      </c>
      <c r="F816">
        <v>1003</v>
      </c>
      <c r="G816" t="s">
        <v>114</v>
      </c>
      <c r="J816" t="s">
        <v>115</v>
      </c>
      <c r="K816">
        <v>0</v>
      </c>
      <c r="L816">
        <v>3</v>
      </c>
      <c r="M816">
        <v>0</v>
      </c>
      <c r="N816">
        <v>2</v>
      </c>
      <c r="O816">
        <v>1</v>
      </c>
      <c r="P816">
        <v>0</v>
      </c>
      <c r="Q816">
        <v>0</v>
      </c>
      <c r="S816" t="str">
        <f>"18:39:59.406"</f>
        <v>18:39:59.406</v>
      </c>
      <c r="T816" t="str">
        <f>"18:39:59.106"</f>
        <v>18:39:59.106</v>
      </c>
      <c r="U816" t="str">
        <f t="shared" si="80"/>
        <v>AAB6EE</v>
      </c>
      <c r="V816">
        <v>0</v>
      </c>
      <c r="W816">
        <v>0</v>
      </c>
      <c r="X816">
        <v>4</v>
      </c>
      <c r="Z816">
        <v>0</v>
      </c>
      <c r="AA816">
        <v>8</v>
      </c>
      <c r="AB816">
        <v>3</v>
      </c>
      <c r="AC816">
        <v>0</v>
      </c>
      <c r="AD816">
        <v>10</v>
      </c>
      <c r="AE816">
        <v>0</v>
      </c>
      <c r="AF816">
        <v>0</v>
      </c>
      <c r="AG816">
        <v>2</v>
      </c>
      <c r="AH816">
        <v>1</v>
      </c>
      <c r="AI816" t="s">
        <v>665</v>
      </c>
      <c r="AJ816">
        <v>35.352051000000003</v>
      </c>
      <c r="AK816" t="s">
        <v>666</v>
      </c>
      <c r="AL816">
        <v>-76.138171999999997</v>
      </c>
      <c r="AM816">
        <v>25</v>
      </c>
      <c r="AN816">
        <v>3425</v>
      </c>
      <c r="AO816" t="s">
        <v>118</v>
      </c>
      <c r="AP816">
        <v>-103</v>
      </c>
      <c r="AQ816">
        <v>-197</v>
      </c>
      <c r="AR816">
        <v>0</v>
      </c>
      <c r="AZ816">
        <v>4516</v>
      </c>
      <c r="BA816">
        <v>1</v>
      </c>
      <c r="BB816" t="str">
        <f t="shared" si="82"/>
        <v xml:space="preserve">N79NX   </v>
      </c>
      <c r="BC816">
        <v>1</v>
      </c>
      <c r="BE816">
        <v>0</v>
      </c>
      <c r="BF816">
        <v>0</v>
      </c>
      <c r="BG816">
        <v>0</v>
      </c>
      <c r="BH816">
        <v>3300</v>
      </c>
      <c r="BI816">
        <v>0</v>
      </c>
      <c r="BJ816">
        <v>0</v>
      </c>
      <c r="BK816">
        <v>0</v>
      </c>
      <c r="BL816">
        <v>0</v>
      </c>
      <c r="BO816">
        <v>0</v>
      </c>
      <c r="BP816">
        <v>0</v>
      </c>
      <c r="BW816" t="str">
        <f>"18:39:59.411"</f>
        <v>18:39:59.411</v>
      </c>
      <c r="BZ816">
        <v>0</v>
      </c>
      <c r="CA816">
        <v>3488</v>
      </c>
      <c r="CB816">
        <v>216</v>
      </c>
      <c r="CC816">
        <v>583.59379999999999</v>
      </c>
      <c r="CD816">
        <v>1</v>
      </c>
      <c r="CE816">
        <v>1</v>
      </c>
      <c r="CF816">
        <v>0</v>
      </c>
      <c r="CG816">
        <v>1</v>
      </c>
      <c r="CH816">
        <v>0</v>
      </c>
      <c r="CI816">
        <v>0</v>
      </c>
      <c r="CJ816">
        <v>0</v>
      </c>
      <c r="CK816">
        <v>2</v>
      </c>
      <c r="CL816">
        <v>0</v>
      </c>
      <c r="CM816">
        <v>2</v>
      </c>
      <c r="CN816">
        <v>0</v>
      </c>
      <c r="CO816">
        <v>5</v>
      </c>
      <c r="CP816" t="s">
        <v>119</v>
      </c>
      <c r="CQ816">
        <v>145</v>
      </c>
      <c r="CR816">
        <v>1</v>
      </c>
      <c r="CW816">
        <v>8977910</v>
      </c>
      <c r="CY816">
        <v>0</v>
      </c>
      <c r="CZ816">
        <v>0</v>
      </c>
      <c r="DA816">
        <v>1</v>
      </c>
      <c r="DB816">
        <v>0</v>
      </c>
      <c r="DC816">
        <v>0</v>
      </c>
      <c r="DD816">
        <v>0</v>
      </c>
      <c r="DE816">
        <v>0</v>
      </c>
      <c r="DF816">
        <v>0</v>
      </c>
      <c r="DG816">
        <v>0</v>
      </c>
      <c r="DH816">
        <v>0</v>
      </c>
      <c r="DI816">
        <v>0</v>
      </c>
    </row>
    <row r="817" spans="1:113" x14ac:dyDescent="0.3">
      <c r="A817" t="str">
        <f>"02/13/2022 18:39:59.637"</f>
        <v>02/13/2022 18:39:59.637</v>
      </c>
      <c r="C817" t="str">
        <f t="shared" si="81"/>
        <v>FFDFD7C0</v>
      </c>
      <c r="D817" t="s">
        <v>113</v>
      </c>
      <c r="E817">
        <v>4</v>
      </c>
      <c r="F817">
        <v>1004</v>
      </c>
      <c r="G817" t="s">
        <v>120</v>
      </c>
      <c r="J817" t="s">
        <v>115</v>
      </c>
      <c r="K817">
        <v>0</v>
      </c>
      <c r="L817">
        <v>3</v>
      </c>
      <c r="M817">
        <v>0</v>
      </c>
      <c r="N817">
        <v>2</v>
      </c>
      <c r="O817">
        <v>1</v>
      </c>
      <c r="P817">
        <v>0</v>
      </c>
      <c r="Q817">
        <v>0</v>
      </c>
      <c r="S817" t="str">
        <f>"18:39:59.406"</f>
        <v>18:39:59.406</v>
      </c>
      <c r="T817" t="str">
        <f>"18:39:59.106"</f>
        <v>18:39:59.106</v>
      </c>
      <c r="U817" t="str">
        <f t="shared" si="80"/>
        <v>AAB6EE</v>
      </c>
      <c r="V817">
        <v>0</v>
      </c>
      <c r="W817">
        <v>0</v>
      </c>
      <c r="X817">
        <v>4</v>
      </c>
      <c r="Z817">
        <v>0</v>
      </c>
      <c r="AA817">
        <v>8</v>
      </c>
      <c r="AB817">
        <v>3</v>
      </c>
      <c r="AC817">
        <v>0</v>
      </c>
      <c r="AD817">
        <v>10</v>
      </c>
      <c r="AE817">
        <v>0</v>
      </c>
      <c r="AF817">
        <v>0</v>
      </c>
      <c r="AG817">
        <v>2</v>
      </c>
      <c r="AH817">
        <v>1</v>
      </c>
      <c r="AI817" t="s">
        <v>665</v>
      </c>
      <c r="AJ817">
        <v>35.352051000000003</v>
      </c>
      <c r="AK817" t="s">
        <v>666</v>
      </c>
      <c r="AL817">
        <v>-76.138171999999997</v>
      </c>
      <c r="AM817">
        <v>25</v>
      </c>
      <c r="AN817">
        <v>3425</v>
      </c>
      <c r="AO817" t="s">
        <v>118</v>
      </c>
      <c r="AP817">
        <v>-103</v>
      </c>
      <c r="AQ817">
        <v>-197</v>
      </c>
      <c r="AR817">
        <v>0</v>
      </c>
      <c r="AZ817">
        <v>4516</v>
      </c>
      <c r="BA817">
        <v>1</v>
      </c>
      <c r="BB817" t="str">
        <f t="shared" si="82"/>
        <v xml:space="preserve">N79NX   </v>
      </c>
      <c r="BC817">
        <v>1</v>
      </c>
      <c r="BE817">
        <v>0</v>
      </c>
      <c r="BF817">
        <v>0</v>
      </c>
      <c r="BG817">
        <v>0</v>
      </c>
      <c r="BH817">
        <v>3300</v>
      </c>
      <c r="BI817">
        <v>0</v>
      </c>
      <c r="BJ817">
        <v>0</v>
      </c>
      <c r="BK817">
        <v>0</v>
      </c>
      <c r="BL817">
        <v>0</v>
      </c>
      <c r="BO817">
        <v>0</v>
      </c>
      <c r="BP817">
        <v>0</v>
      </c>
      <c r="BW817" t="str">
        <f>"18:39:59.411"</f>
        <v>18:39:59.411</v>
      </c>
      <c r="BZ817">
        <v>0</v>
      </c>
      <c r="CA817">
        <v>3488</v>
      </c>
      <c r="CB817">
        <v>216</v>
      </c>
      <c r="CC817">
        <v>583.59379999999999</v>
      </c>
      <c r="CD817">
        <v>1</v>
      </c>
      <c r="CE817">
        <v>1</v>
      </c>
      <c r="CF817">
        <v>0</v>
      </c>
      <c r="CG817">
        <v>1</v>
      </c>
      <c r="CH817">
        <v>0</v>
      </c>
      <c r="CI817">
        <v>0</v>
      </c>
      <c r="CJ817">
        <v>0</v>
      </c>
      <c r="CK817">
        <v>2</v>
      </c>
      <c r="CL817">
        <v>0</v>
      </c>
      <c r="CM817">
        <v>2</v>
      </c>
      <c r="CN817">
        <v>0</v>
      </c>
      <c r="CO817">
        <v>5</v>
      </c>
      <c r="CP817" t="s">
        <v>119</v>
      </c>
      <c r="CQ817">
        <v>145</v>
      </c>
      <c r="CR817">
        <v>1</v>
      </c>
      <c r="CW817">
        <v>8977910</v>
      </c>
      <c r="CY817">
        <v>0</v>
      </c>
      <c r="CZ817">
        <v>0</v>
      </c>
      <c r="DA817">
        <v>1</v>
      </c>
      <c r="DB817">
        <v>0</v>
      </c>
      <c r="DC817">
        <v>0</v>
      </c>
      <c r="DD817">
        <v>0</v>
      </c>
      <c r="DE817">
        <v>0</v>
      </c>
      <c r="DF817">
        <v>0</v>
      </c>
      <c r="DG817">
        <v>0</v>
      </c>
      <c r="DH817">
        <v>0</v>
      </c>
      <c r="DI817">
        <v>0</v>
      </c>
    </row>
    <row r="818" spans="1:113" x14ac:dyDescent="0.3">
      <c r="A818" t="str">
        <f>"02/13/2022 18:40:00.785"</f>
        <v>02/13/2022 18:40:00.785</v>
      </c>
      <c r="C818" t="str">
        <f t="shared" si="81"/>
        <v>FFDFD7C0</v>
      </c>
      <c r="D818" t="s">
        <v>121</v>
      </c>
      <c r="E818">
        <v>2</v>
      </c>
      <c r="H818">
        <v>158</v>
      </c>
      <c r="I818" t="s">
        <v>120</v>
      </c>
      <c r="J818" t="s">
        <v>122</v>
      </c>
      <c r="K818">
        <v>0</v>
      </c>
      <c r="L818">
        <v>3</v>
      </c>
      <c r="M818">
        <v>0</v>
      </c>
      <c r="N818">
        <v>2</v>
      </c>
      <c r="O818">
        <v>1</v>
      </c>
      <c r="P818">
        <v>0</v>
      </c>
      <c r="Q818">
        <v>0</v>
      </c>
      <c r="S818" t="str">
        <f>"18:40:00.328"</f>
        <v>18:40:00.328</v>
      </c>
      <c r="T818" t="str">
        <f>"18:40:00.128"</f>
        <v>18:40:00.128</v>
      </c>
      <c r="U818" t="str">
        <f t="shared" si="80"/>
        <v>AAB6EE</v>
      </c>
      <c r="V818">
        <v>0</v>
      </c>
      <c r="W818">
        <v>0</v>
      </c>
      <c r="X818">
        <v>4</v>
      </c>
      <c r="Z818">
        <v>0</v>
      </c>
      <c r="AA818">
        <v>8</v>
      </c>
      <c r="AB818">
        <v>3</v>
      </c>
      <c r="AC818">
        <v>0</v>
      </c>
      <c r="AD818">
        <v>10</v>
      </c>
      <c r="AE818">
        <v>0</v>
      </c>
      <c r="AF818">
        <v>0</v>
      </c>
      <c r="AG818">
        <v>2</v>
      </c>
      <c r="AH818">
        <v>1</v>
      </c>
      <c r="AI818" t="s">
        <v>667</v>
      </c>
      <c r="AJ818">
        <v>35.351256999999997</v>
      </c>
      <c r="AK818" t="s">
        <v>668</v>
      </c>
      <c r="AL818">
        <v>-76.138687000000004</v>
      </c>
      <c r="AM818">
        <v>25</v>
      </c>
      <c r="AN818">
        <v>3425</v>
      </c>
      <c r="AO818" t="s">
        <v>118</v>
      </c>
      <c r="AP818">
        <v>-103</v>
      </c>
      <c r="AQ818">
        <v>-197</v>
      </c>
      <c r="AR818">
        <v>0</v>
      </c>
      <c r="AZ818">
        <v>4516</v>
      </c>
      <c r="BA818">
        <v>1</v>
      </c>
      <c r="BB818" t="str">
        <f t="shared" si="82"/>
        <v xml:space="preserve">N79NX   </v>
      </c>
      <c r="BC818">
        <v>1</v>
      </c>
      <c r="BE818">
        <v>0</v>
      </c>
      <c r="BF818">
        <v>0</v>
      </c>
      <c r="BG818">
        <v>0</v>
      </c>
      <c r="BH818">
        <v>3300</v>
      </c>
      <c r="BI818">
        <v>0</v>
      </c>
      <c r="BJ818">
        <v>0</v>
      </c>
      <c r="BK818">
        <v>0</v>
      </c>
      <c r="BL818">
        <v>0</v>
      </c>
      <c r="BO818">
        <v>0</v>
      </c>
      <c r="BP818">
        <v>0</v>
      </c>
      <c r="BW818" t="str">
        <f>"18:40:00.331"</f>
        <v>18:40:00.331</v>
      </c>
      <c r="BZ818">
        <v>0</v>
      </c>
      <c r="CA818">
        <v>3488</v>
      </c>
      <c r="CB818">
        <v>216</v>
      </c>
      <c r="CC818">
        <v>583.59379999999999</v>
      </c>
      <c r="CD818">
        <v>1</v>
      </c>
      <c r="CE818">
        <v>1</v>
      </c>
      <c r="CF818">
        <v>0</v>
      </c>
      <c r="CG818">
        <v>1</v>
      </c>
      <c r="CH818">
        <v>0</v>
      </c>
      <c r="CI818">
        <v>0</v>
      </c>
      <c r="CJ818">
        <v>0</v>
      </c>
      <c r="CK818">
        <v>2</v>
      </c>
      <c r="CL818">
        <v>0</v>
      </c>
      <c r="CM818">
        <v>2</v>
      </c>
      <c r="CN818">
        <v>0</v>
      </c>
      <c r="CO818">
        <v>5</v>
      </c>
      <c r="CP818" t="s">
        <v>119</v>
      </c>
      <c r="CQ818">
        <v>145</v>
      </c>
      <c r="CR818">
        <v>1</v>
      </c>
      <c r="CW818">
        <v>8978293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0</v>
      </c>
      <c r="DH818">
        <v>0</v>
      </c>
      <c r="DI818">
        <v>0</v>
      </c>
    </row>
    <row r="819" spans="1:113" x14ac:dyDescent="0.3">
      <c r="A819" t="str">
        <f>"02/13/2022 18:40:00.785"</f>
        <v>02/13/2022 18:40:00.785</v>
      </c>
      <c r="C819" t="str">
        <f t="shared" si="81"/>
        <v>FFDFD7C0</v>
      </c>
      <c r="D819" t="s">
        <v>113</v>
      </c>
      <c r="E819">
        <v>3</v>
      </c>
      <c r="F819">
        <v>1003</v>
      </c>
      <c r="G819" t="s">
        <v>114</v>
      </c>
      <c r="J819" t="s">
        <v>115</v>
      </c>
      <c r="K819">
        <v>0</v>
      </c>
      <c r="L819">
        <v>3</v>
      </c>
      <c r="M819">
        <v>0</v>
      </c>
      <c r="N819">
        <v>2</v>
      </c>
      <c r="O819">
        <v>1</v>
      </c>
      <c r="P819">
        <v>0</v>
      </c>
      <c r="Q819">
        <v>0</v>
      </c>
      <c r="S819" t="str">
        <f>"18:40:00.328"</f>
        <v>18:40:00.328</v>
      </c>
      <c r="T819" t="str">
        <f>"18:40:00.128"</f>
        <v>18:40:00.128</v>
      </c>
      <c r="U819" t="str">
        <f t="shared" si="80"/>
        <v>AAB6EE</v>
      </c>
      <c r="V819">
        <v>0</v>
      </c>
      <c r="W819">
        <v>0</v>
      </c>
      <c r="X819">
        <v>4</v>
      </c>
      <c r="Z819">
        <v>0</v>
      </c>
      <c r="AA819">
        <v>8</v>
      </c>
      <c r="AB819">
        <v>3</v>
      </c>
      <c r="AC819">
        <v>0</v>
      </c>
      <c r="AD819">
        <v>10</v>
      </c>
      <c r="AE819">
        <v>0</v>
      </c>
      <c r="AF819">
        <v>0</v>
      </c>
      <c r="AG819">
        <v>2</v>
      </c>
      <c r="AH819">
        <v>1</v>
      </c>
      <c r="AI819" t="s">
        <v>667</v>
      </c>
      <c r="AJ819">
        <v>35.351256999999997</v>
      </c>
      <c r="AK819" t="s">
        <v>668</v>
      </c>
      <c r="AL819">
        <v>-76.138687000000004</v>
      </c>
      <c r="AM819">
        <v>25</v>
      </c>
      <c r="AN819">
        <v>3425</v>
      </c>
      <c r="AO819" t="s">
        <v>118</v>
      </c>
      <c r="AP819">
        <v>-103</v>
      </c>
      <c r="AQ819">
        <v>-197</v>
      </c>
      <c r="AR819">
        <v>0</v>
      </c>
      <c r="AZ819">
        <v>4516</v>
      </c>
      <c r="BA819">
        <v>1</v>
      </c>
      <c r="BB819" t="str">
        <f t="shared" si="82"/>
        <v xml:space="preserve">N79NX   </v>
      </c>
      <c r="BC819">
        <v>1</v>
      </c>
      <c r="BE819">
        <v>0</v>
      </c>
      <c r="BF819">
        <v>0</v>
      </c>
      <c r="BG819">
        <v>0</v>
      </c>
      <c r="BH819">
        <v>3300</v>
      </c>
      <c r="BI819">
        <v>0</v>
      </c>
      <c r="BJ819">
        <v>0</v>
      </c>
      <c r="BK819">
        <v>0</v>
      </c>
      <c r="BL819">
        <v>0</v>
      </c>
      <c r="BO819">
        <v>0</v>
      </c>
      <c r="BP819">
        <v>0</v>
      </c>
      <c r="BW819" t="str">
        <f>"18:40:00.331"</f>
        <v>18:40:00.331</v>
      </c>
      <c r="BZ819">
        <v>0</v>
      </c>
      <c r="CA819">
        <v>3488</v>
      </c>
      <c r="CB819">
        <v>216</v>
      </c>
      <c r="CC819">
        <v>583.59379999999999</v>
      </c>
      <c r="CD819">
        <v>1</v>
      </c>
      <c r="CE819">
        <v>1</v>
      </c>
      <c r="CF819">
        <v>0</v>
      </c>
      <c r="CG819">
        <v>1</v>
      </c>
      <c r="CH819">
        <v>0</v>
      </c>
      <c r="CI819">
        <v>0</v>
      </c>
      <c r="CJ819">
        <v>0</v>
      </c>
      <c r="CK819">
        <v>2</v>
      </c>
      <c r="CL819">
        <v>0</v>
      </c>
      <c r="CM819">
        <v>2</v>
      </c>
      <c r="CN819">
        <v>0</v>
      </c>
      <c r="CO819">
        <v>5</v>
      </c>
      <c r="CP819" t="s">
        <v>119</v>
      </c>
      <c r="CQ819">
        <v>145</v>
      </c>
      <c r="CR819">
        <v>1</v>
      </c>
      <c r="CW819">
        <v>8978293</v>
      </c>
      <c r="CY819">
        <v>0</v>
      </c>
      <c r="CZ819">
        <v>0</v>
      </c>
      <c r="DA819">
        <v>1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0</v>
      </c>
    </row>
    <row r="820" spans="1:113" x14ac:dyDescent="0.3">
      <c r="A820" t="str">
        <f>"02/13/2022 18:40:00.785"</f>
        <v>02/13/2022 18:40:00.785</v>
      </c>
      <c r="C820" t="str">
        <f t="shared" si="81"/>
        <v>FFDFD7C0</v>
      </c>
      <c r="D820" t="s">
        <v>113</v>
      </c>
      <c r="E820">
        <v>4</v>
      </c>
      <c r="F820">
        <v>1004</v>
      </c>
      <c r="G820" t="s">
        <v>120</v>
      </c>
      <c r="J820" t="s">
        <v>115</v>
      </c>
      <c r="K820">
        <v>0</v>
      </c>
      <c r="L820">
        <v>3</v>
      </c>
      <c r="M820">
        <v>0</v>
      </c>
      <c r="N820">
        <v>2</v>
      </c>
      <c r="O820">
        <v>1</v>
      </c>
      <c r="P820">
        <v>0</v>
      </c>
      <c r="Q820">
        <v>0</v>
      </c>
      <c r="S820" t="str">
        <f>"18:40:00.328"</f>
        <v>18:40:00.328</v>
      </c>
      <c r="T820" t="str">
        <f>"18:40:00.128"</f>
        <v>18:40:00.128</v>
      </c>
      <c r="U820" t="str">
        <f t="shared" si="80"/>
        <v>AAB6EE</v>
      </c>
      <c r="V820">
        <v>0</v>
      </c>
      <c r="W820">
        <v>0</v>
      </c>
      <c r="X820">
        <v>4</v>
      </c>
      <c r="Z820">
        <v>0</v>
      </c>
      <c r="AA820">
        <v>8</v>
      </c>
      <c r="AB820">
        <v>3</v>
      </c>
      <c r="AC820">
        <v>0</v>
      </c>
      <c r="AD820">
        <v>10</v>
      </c>
      <c r="AE820">
        <v>0</v>
      </c>
      <c r="AF820">
        <v>0</v>
      </c>
      <c r="AG820">
        <v>2</v>
      </c>
      <c r="AH820">
        <v>1</v>
      </c>
      <c r="AI820" t="s">
        <v>667</v>
      </c>
      <c r="AJ820">
        <v>35.351256999999997</v>
      </c>
      <c r="AK820" t="s">
        <v>668</v>
      </c>
      <c r="AL820">
        <v>-76.138687000000004</v>
      </c>
      <c r="AM820">
        <v>25</v>
      </c>
      <c r="AN820">
        <v>3425</v>
      </c>
      <c r="AO820" t="s">
        <v>118</v>
      </c>
      <c r="AP820">
        <v>-103</v>
      </c>
      <c r="AQ820">
        <v>-197</v>
      </c>
      <c r="AR820">
        <v>0</v>
      </c>
      <c r="AZ820">
        <v>4516</v>
      </c>
      <c r="BA820">
        <v>1</v>
      </c>
      <c r="BB820" t="str">
        <f t="shared" si="82"/>
        <v xml:space="preserve">N79NX   </v>
      </c>
      <c r="BC820">
        <v>1</v>
      </c>
      <c r="BE820">
        <v>0</v>
      </c>
      <c r="BF820">
        <v>0</v>
      </c>
      <c r="BG820">
        <v>0</v>
      </c>
      <c r="BH820">
        <v>3300</v>
      </c>
      <c r="BI820">
        <v>0</v>
      </c>
      <c r="BJ820">
        <v>0</v>
      </c>
      <c r="BK820">
        <v>0</v>
      </c>
      <c r="BL820">
        <v>0</v>
      </c>
      <c r="BO820">
        <v>0</v>
      </c>
      <c r="BP820">
        <v>0</v>
      </c>
      <c r="BW820" t="str">
        <f>"18:40:00.331"</f>
        <v>18:40:00.331</v>
      </c>
      <c r="BZ820">
        <v>0</v>
      </c>
      <c r="CA820">
        <v>3488</v>
      </c>
      <c r="CB820">
        <v>216</v>
      </c>
      <c r="CC820">
        <v>583.59379999999999</v>
      </c>
      <c r="CD820">
        <v>1</v>
      </c>
      <c r="CE820">
        <v>1</v>
      </c>
      <c r="CF820">
        <v>0</v>
      </c>
      <c r="CG820">
        <v>1</v>
      </c>
      <c r="CH820">
        <v>0</v>
      </c>
      <c r="CI820">
        <v>0</v>
      </c>
      <c r="CJ820">
        <v>0</v>
      </c>
      <c r="CK820">
        <v>2</v>
      </c>
      <c r="CL820">
        <v>0</v>
      </c>
      <c r="CM820">
        <v>2</v>
      </c>
      <c r="CN820">
        <v>0</v>
      </c>
      <c r="CO820">
        <v>5</v>
      </c>
      <c r="CP820" t="s">
        <v>119</v>
      </c>
      <c r="CQ820">
        <v>145</v>
      </c>
      <c r="CR820">
        <v>1</v>
      </c>
      <c r="CW820">
        <v>8978293</v>
      </c>
      <c r="CY820">
        <v>0</v>
      </c>
      <c r="CZ820">
        <v>0</v>
      </c>
      <c r="DA820">
        <v>1</v>
      </c>
      <c r="DB820">
        <v>0</v>
      </c>
      <c r="DC820">
        <v>0</v>
      </c>
      <c r="DD820">
        <v>0</v>
      </c>
      <c r="DE820">
        <v>0</v>
      </c>
      <c r="DF820">
        <v>0</v>
      </c>
      <c r="DG820">
        <v>0</v>
      </c>
      <c r="DH820">
        <v>0</v>
      </c>
      <c r="DI820">
        <v>0</v>
      </c>
    </row>
    <row r="821" spans="1:113" x14ac:dyDescent="0.3">
      <c r="A821" t="str">
        <f>"02/13/2022 18:40:01.535"</f>
        <v>02/13/2022 18:40:01.535</v>
      </c>
      <c r="C821" t="str">
        <f t="shared" si="81"/>
        <v>FFDFD7C0</v>
      </c>
      <c r="D821" t="s">
        <v>113</v>
      </c>
      <c r="E821">
        <v>3</v>
      </c>
      <c r="F821">
        <v>1003</v>
      </c>
      <c r="G821" t="s">
        <v>114</v>
      </c>
      <c r="J821" t="s">
        <v>115</v>
      </c>
      <c r="K821">
        <v>0</v>
      </c>
      <c r="L821">
        <v>3</v>
      </c>
      <c r="M821">
        <v>0</v>
      </c>
      <c r="N821">
        <v>2</v>
      </c>
      <c r="O821">
        <v>1</v>
      </c>
      <c r="P821">
        <v>0</v>
      </c>
      <c r="Q821">
        <v>0</v>
      </c>
      <c r="S821" t="str">
        <f t="shared" ref="S821:T823" si="84">"18:40:01.320"</f>
        <v>18:40:01.320</v>
      </c>
      <c r="T821" t="str">
        <f t="shared" si="84"/>
        <v>18:40:01.320</v>
      </c>
      <c r="U821" t="str">
        <f t="shared" si="80"/>
        <v>AAB6EE</v>
      </c>
      <c r="V821">
        <v>0</v>
      </c>
      <c r="W821">
        <v>0</v>
      </c>
      <c r="X821">
        <v>4</v>
      </c>
      <c r="Z821">
        <v>0</v>
      </c>
      <c r="AA821">
        <v>8</v>
      </c>
      <c r="AB821">
        <v>3</v>
      </c>
      <c r="AC821">
        <v>0</v>
      </c>
      <c r="AD821">
        <v>10</v>
      </c>
      <c r="AE821">
        <v>0</v>
      </c>
      <c r="AF821">
        <v>0</v>
      </c>
      <c r="AG821">
        <v>2</v>
      </c>
      <c r="AH821">
        <v>1</v>
      </c>
      <c r="AI821" t="s">
        <v>669</v>
      </c>
      <c r="AJ821">
        <v>35.350335000000001</v>
      </c>
      <c r="AK821" t="s">
        <v>670</v>
      </c>
      <c r="AL821">
        <v>-76.139308999999997</v>
      </c>
      <c r="AM821">
        <v>25</v>
      </c>
      <c r="AN821">
        <v>3425</v>
      </c>
      <c r="AO821" t="s">
        <v>118</v>
      </c>
      <c r="AP821">
        <v>-103</v>
      </c>
      <c r="AQ821">
        <v>-197</v>
      </c>
      <c r="AR821">
        <v>0</v>
      </c>
      <c r="AZ821">
        <v>4516</v>
      </c>
      <c r="BA821">
        <v>1</v>
      </c>
      <c r="BB821" t="str">
        <f t="shared" si="82"/>
        <v xml:space="preserve">N79NX   </v>
      </c>
      <c r="BC821">
        <v>1</v>
      </c>
      <c r="BE821">
        <v>0</v>
      </c>
      <c r="BF821">
        <v>0</v>
      </c>
      <c r="BG821">
        <v>0</v>
      </c>
      <c r="BH821">
        <v>3275</v>
      </c>
      <c r="BI821">
        <v>0</v>
      </c>
      <c r="BJ821">
        <v>0</v>
      </c>
      <c r="BK821">
        <v>0</v>
      </c>
      <c r="BL821">
        <v>0</v>
      </c>
      <c r="BO821">
        <v>0</v>
      </c>
      <c r="BP821">
        <v>0</v>
      </c>
      <c r="BW821" t="str">
        <f>"18:40:01.321"</f>
        <v>18:40:01.321</v>
      </c>
      <c r="BZ821">
        <v>0</v>
      </c>
      <c r="CA821">
        <v>3488</v>
      </c>
      <c r="CB821">
        <v>216</v>
      </c>
      <c r="CC821">
        <v>583.59379999999999</v>
      </c>
      <c r="CD821">
        <v>1</v>
      </c>
      <c r="CE821">
        <v>1</v>
      </c>
      <c r="CF821">
        <v>0</v>
      </c>
      <c r="CG821">
        <v>1</v>
      </c>
      <c r="CH821">
        <v>0</v>
      </c>
      <c r="CI821">
        <v>0</v>
      </c>
      <c r="CJ821">
        <v>0</v>
      </c>
      <c r="CK821">
        <v>2</v>
      </c>
      <c r="CL821">
        <v>0</v>
      </c>
      <c r="CM821">
        <v>2</v>
      </c>
      <c r="CN821">
        <v>0</v>
      </c>
      <c r="CO821">
        <v>5</v>
      </c>
      <c r="CP821" t="s">
        <v>119</v>
      </c>
      <c r="CQ821">
        <v>145</v>
      </c>
      <c r="CR821">
        <v>1</v>
      </c>
      <c r="CW821">
        <v>8978802</v>
      </c>
      <c r="CY821">
        <v>0</v>
      </c>
      <c r="CZ821">
        <v>0</v>
      </c>
      <c r="DA821">
        <v>0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0</v>
      </c>
      <c r="DI821">
        <v>0</v>
      </c>
    </row>
    <row r="822" spans="1:113" x14ac:dyDescent="0.3">
      <c r="A822" t="str">
        <f>"02/13/2022 18:40:01.535"</f>
        <v>02/13/2022 18:40:01.535</v>
      </c>
      <c r="C822" t="str">
        <f t="shared" si="81"/>
        <v>FFDFD7C0</v>
      </c>
      <c r="D822" t="s">
        <v>113</v>
      </c>
      <c r="E822">
        <v>4</v>
      </c>
      <c r="F822">
        <v>1004</v>
      </c>
      <c r="G822" t="s">
        <v>120</v>
      </c>
      <c r="J822" t="s">
        <v>115</v>
      </c>
      <c r="K822">
        <v>0</v>
      </c>
      <c r="L822">
        <v>3</v>
      </c>
      <c r="M822">
        <v>0</v>
      </c>
      <c r="N822">
        <v>2</v>
      </c>
      <c r="O822">
        <v>1</v>
      </c>
      <c r="P822">
        <v>0</v>
      </c>
      <c r="Q822">
        <v>0</v>
      </c>
      <c r="S822" t="str">
        <f t="shared" si="84"/>
        <v>18:40:01.320</v>
      </c>
      <c r="T822" t="str">
        <f t="shared" si="84"/>
        <v>18:40:01.320</v>
      </c>
      <c r="U822" t="str">
        <f t="shared" si="80"/>
        <v>AAB6EE</v>
      </c>
      <c r="V822">
        <v>0</v>
      </c>
      <c r="W822">
        <v>0</v>
      </c>
      <c r="X822">
        <v>4</v>
      </c>
      <c r="Z822">
        <v>0</v>
      </c>
      <c r="AA822">
        <v>8</v>
      </c>
      <c r="AB822">
        <v>3</v>
      </c>
      <c r="AC822">
        <v>0</v>
      </c>
      <c r="AD822">
        <v>10</v>
      </c>
      <c r="AE822">
        <v>0</v>
      </c>
      <c r="AF822">
        <v>0</v>
      </c>
      <c r="AG822">
        <v>2</v>
      </c>
      <c r="AH822">
        <v>1</v>
      </c>
      <c r="AI822" t="s">
        <v>669</v>
      </c>
      <c r="AJ822">
        <v>35.350335000000001</v>
      </c>
      <c r="AK822" t="s">
        <v>670</v>
      </c>
      <c r="AL822">
        <v>-76.139308999999997</v>
      </c>
      <c r="AM822">
        <v>25</v>
      </c>
      <c r="AN822">
        <v>3425</v>
      </c>
      <c r="AO822" t="s">
        <v>118</v>
      </c>
      <c r="AP822">
        <v>-103</v>
      </c>
      <c r="AQ822">
        <v>-197</v>
      </c>
      <c r="AR822">
        <v>0</v>
      </c>
      <c r="AZ822">
        <v>4516</v>
      </c>
      <c r="BA822">
        <v>1</v>
      </c>
      <c r="BB822" t="str">
        <f t="shared" si="82"/>
        <v xml:space="preserve">N79NX   </v>
      </c>
      <c r="BC822">
        <v>1</v>
      </c>
      <c r="BE822">
        <v>0</v>
      </c>
      <c r="BF822">
        <v>0</v>
      </c>
      <c r="BG822">
        <v>0</v>
      </c>
      <c r="BH822">
        <v>3275</v>
      </c>
      <c r="BI822">
        <v>0</v>
      </c>
      <c r="BJ822">
        <v>0</v>
      </c>
      <c r="BK822">
        <v>0</v>
      </c>
      <c r="BL822">
        <v>0</v>
      </c>
      <c r="BO822">
        <v>0</v>
      </c>
      <c r="BP822">
        <v>0</v>
      </c>
      <c r="BW822" t="str">
        <f>"18:40:01.321"</f>
        <v>18:40:01.321</v>
      </c>
      <c r="BZ822">
        <v>0</v>
      </c>
      <c r="CA822">
        <v>3488</v>
      </c>
      <c r="CB822">
        <v>216</v>
      </c>
      <c r="CC822">
        <v>583.59379999999999</v>
      </c>
      <c r="CD822">
        <v>1</v>
      </c>
      <c r="CE822">
        <v>1</v>
      </c>
      <c r="CF822">
        <v>0</v>
      </c>
      <c r="CG822">
        <v>1</v>
      </c>
      <c r="CH822">
        <v>0</v>
      </c>
      <c r="CI822">
        <v>0</v>
      </c>
      <c r="CJ822">
        <v>0</v>
      </c>
      <c r="CK822">
        <v>2</v>
      </c>
      <c r="CL822">
        <v>0</v>
      </c>
      <c r="CM822">
        <v>2</v>
      </c>
      <c r="CN822">
        <v>0</v>
      </c>
      <c r="CO822">
        <v>5</v>
      </c>
      <c r="CP822" t="s">
        <v>119</v>
      </c>
      <c r="CQ822">
        <v>145</v>
      </c>
      <c r="CR822">
        <v>1</v>
      </c>
      <c r="CW822">
        <v>8978802</v>
      </c>
      <c r="CY822">
        <v>0</v>
      </c>
      <c r="CZ822">
        <v>0</v>
      </c>
      <c r="DA822">
        <v>1</v>
      </c>
      <c r="DB822">
        <v>0</v>
      </c>
      <c r="DC822">
        <v>0</v>
      </c>
      <c r="DD822">
        <v>0</v>
      </c>
      <c r="DE822">
        <v>0</v>
      </c>
      <c r="DF822">
        <v>0</v>
      </c>
      <c r="DG822">
        <v>0</v>
      </c>
      <c r="DH822">
        <v>0</v>
      </c>
      <c r="DI822">
        <v>0</v>
      </c>
    </row>
    <row r="823" spans="1:113" x14ac:dyDescent="0.3">
      <c r="A823" t="str">
        <f>"02/13/2022 18:40:01.535"</f>
        <v>02/13/2022 18:40:01.535</v>
      </c>
      <c r="C823" t="str">
        <f t="shared" si="81"/>
        <v>FFDFD7C0</v>
      </c>
      <c r="D823" t="s">
        <v>121</v>
      </c>
      <c r="E823">
        <v>2</v>
      </c>
      <c r="H823">
        <v>158</v>
      </c>
      <c r="I823" t="s">
        <v>120</v>
      </c>
      <c r="J823" t="s">
        <v>122</v>
      </c>
      <c r="K823">
        <v>0</v>
      </c>
      <c r="L823">
        <v>3</v>
      </c>
      <c r="M823">
        <v>0</v>
      </c>
      <c r="N823">
        <v>2</v>
      </c>
      <c r="O823">
        <v>1</v>
      </c>
      <c r="P823">
        <v>0</v>
      </c>
      <c r="Q823">
        <v>0</v>
      </c>
      <c r="S823" t="str">
        <f t="shared" si="84"/>
        <v>18:40:01.320</v>
      </c>
      <c r="T823" t="str">
        <f t="shared" si="84"/>
        <v>18:40:01.320</v>
      </c>
      <c r="U823" t="str">
        <f t="shared" si="80"/>
        <v>AAB6EE</v>
      </c>
      <c r="V823">
        <v>0</v>
      </c>
      <c r="W823">
        <v>0</v>
      </c>
      <c r="X823">
        <v>4</v>
      </c>
      <c r="Z823">
        <v>0</v>
      </c>
      <c r="AA823">
        <v>8</v>
      </c>
      <c r="AB823">
        <v>3</v>
      </c>
      <c r="AC823">
        <v>0</v>
      </c>
      <c r="AD823">
        <v>10</v>
      </c>
      <c r="AE823">
        <v>0</v>
      </c>
      <c r="AF823">
        <v>0</v>
      </c>
      <c r="AG823">
        <v>2</v>
      </c>
      <c r="AH823">
        <v>1</v>
      </c>
      <c r="AI823" t="s">
        <v>669</v>
      </c>
      <c r="AJ823">
        <v>35.350335000000001</v>
      </c>
      <c r="AK823" t="s">
        <v>670</v>
      </c>
      <c r="AL823">
        <v>-76.139308999999997</v>
      </c>
      <c r="AM823">
        <v>25</v>
      </c>
      <c r="AN823">
        <v>3425</v>
      </c>
      <c r="AO823" t="s">
        <v>118</v>
      </c>
      <c r="AP823">
        <v>-103</v>
      </c>
      <c r="AQ823">
        <v>-197</v>
      </c>
      <c r="AR823">
        <v>0</v>
      </c>
      <c r="AZ823">
        <v>4516</v>
      </c>
      <c r="BA823">
        <v>1</v>
      </c>
      <c r="BB823" t="str">
        <f t="shared" si="82"/>
        <v xml:space="preserve">N79NX   </v>
      </c>
      <c r="BC823">
        <v>1</v>
      </c>
      <c r="BE823">
        <v>0</v>
      </c>
      <c r="BF823">
        <v>0</v>
      </c>
      <c r="BG823">
        <v>0</v>
      </c>
      <c r="BH823">
        <v>3275</v>
      </c>
      <c r="BI823">
        <v>0</v>
      </c>
      <c r="BJ823">
        <v>0</v>
      </c>
      <c r="BK823">
        <v>0</v>
      </c>
      <c r="BL823">
        <v>0</v>
      </c>
      <c r="BO823">
        <v>0</v>
      </c>
      <c r="BP823">
        <v>0</v>
      </c>
      <c r="BW823" t="str">
        <f>"18:40:01.321"</f>
        <v>18:40:01.321</v>
      </c>
      <c r="BZ823">
        <v>0</v>
      </c>
      <c r="CA823">
        <v>3488</v>
      </c>
      <c r="CB823">
        <v>216</v>
      </c>
      <c r="CC823">
        <v>583.59379999999999</v>
      </c>
      <c r="CD823">
        <v>1</v>
      </c>
      <c r="CE823">
        <v>1</v>
      </c>
      <c r="CF823">
        <v>0</v>
      </c>
      <c r="CG823">
        <v>1</v>
      </c>
      <c r="CH823">
        <v>0</v>
      </c>
      <c r="CI823">
        <v>0</v>
      </c>
      <c r="CJ823">
        <v>0</v>
      </c>
      <c r="CK823">
        <v>2</v>
      </c>
      <c r="CL823">
        <v>0</v>
      </c>
      <c r="CM823">
        <v>2</v>
      </c>
      <c r="CN823">
        <v>0</v>
      </c>
      <c r="CO823">
        <v>5</v>
      </c>
      <c r="CP823" t="s">
        <v>119</v>
      </c>
      <c r="CQ823">
        <v>145</v>
      </c>
      <c r="CR823">
        <v>1</v>
      </c>
      <c r="CW823">
        <v>8978802</v>
      </c>
      <c r="CY823">
        <v>0</v>
      </c>
      <c r="CZ823">
        <v>0</v>
      </c>
      <c r="DA823">
        <v>1</v>
      </c>
      <c r="DB823">
        <v>0</v>
      </c>
      <c r="DC823">
        <v>0</v>
      </c>
      <c r="DD823">
        <v>0</v>
      </c>
      <c r="DE823">
        <v>0</v>
      </c>
      <c r="DF823">
        <v>0</v>
      </c>
      <c r="DG823">
        <v>0</v>
      </c>
      <c r="DH823">
        <v>0</v>
      </c>
      <c r="DI823">
        <v>0</v>
      </c>
    </row>
    <row r="824" spans="1:113" x14ac:dyDescent="0.3">
      <c r="A824" t="str">
        <f>"02/13/2022 18:40:02.508"</f>
        <v>02/13/2022 18:40:02.508</v>
      </c>
      <c r="C824" t="str">
        <f t="shared" si="81"/>
        <v>FFDFD7C0</v>
      </c>
      <c r="D824" t="s">
        <v>113</v>
      </c>
      <c r="E824">
        <v>4</v>
      </c>
      <c r="F824">
        <v>1004</v>
      </c>
      <c r="G824" t="s">
        <v>120</v>
      </c>
      <c r="J824" t="s">
        <v>115</v>
      </c>
      <c r="K824">
        <v>0</v>
      </c>
      <c r="L824">
        <v>3</v>
      </c>
      <c r="M824">
        <v>0</v>
      </c>
      <c r="N824">
        <v>2</v>
      </c>
      <c r="O824">
        <v>1</v>
      </c>
      <c r="P824">
        <v>0</v>
      </c>
      <c r="Q824">
        <v>0</v>
      </c>
      <c r="S824" t="str">
        <f>"18:40:02.250"</f>
        <v>18:40:02.250</v>
      </c>
      <c r="T824" t="str">
        <f>"18:40:01.850"</f>
        <v>18:40:01.850</v>
      </c>
      <c r="U824" t="str">
        <f t="shared" si="80"/>
        <v>AAB6EE</v>
      </c>
      <c r="V824">
        <v>0</v>
      </c>
      <c r="W824">
        <v>0</v>
      </c>
      <c r="X824">
        <v>4</v>
      </c>
      <c r="Z824">
        <v>0</v>
      </c>
      <c r="AA824">
        <v>8</v>
      </c>
      <c r="AB824">
        <v>3</v>
      </c>
      <c r="AC824">
        <v>0</v>
      </c>
      <c r="AD824">
        <v>10</v>
      </c>
      <c r="AE824">
        <v>0</v>
      </c>
      <c r="AF824">
        <v>0</v>
      </c>
      <c r="AG824">
        <v>2</v>
      </c>
      <c r="AH824">
        <v>1</v>
      </c>
      <c r="AI824" t="s">
        <v>671</v>
      </c>
      <c r="AJ824">
        <v>35.349497999999997</v>
      </c>
      <c r="AK824" t="s">
        <v>672</v>
      </c>
      <c r="AL824">
        <v>-76.139803000000001</v>
      </c>
      <c r="AM824">
        <v>25</v>
      </c>
      <c r="AN824">
        <v>3450</v>
      </c>
      <c r="AO824" t="s">
        <v>118</v>
      </c>
      <c r="AP824">
        <v>-103</v>
      </c>
      <c r="AQ824">
        <v>-197</v>
      </c>
      <c r="AR824">
        <v>0</v>
      </c>
      <c r="AZ824">
        <v>4516</v>
      </c>
      <c r="BA824">
        <v>1</v>
      </c>
      <c r="BB824" t="str">
        <f t="shared" si="82"/>
        <v xml:space="preserve">N79NX   </v>
      </c>
      <c r="BC824">
        <v>1</v>
      </c>
      <c r="BE824">
        <v>0</v>
      </c>
      <c r="BF824">
        <v>0</v>
      </c>
      <c r="BG824">
        <v>0</v>
      </c>
      <c r="BH824">
        <v>3300</v>
      </c>
      <c r="BI824">
        <v>0</v>
      </c>
      <c r="BJ824">
        <v>0</v>
      </c>
      <c r="BK824">
        <v>0</v>
      </c>
      <c r="BL824">
        <v>0</v>
      </c>
      <c r="BO824">
        <v>0</v>
      </c>
      <c r="BP824">
        <v>0</v>
      </c>
      <c r="BW824" t="str">
        <f>"18:40:02.251"</f>
        <v>18:40:02.251</v>
      </c>
      <c r="BZ824">
        <v>0</v>
      </c>
      <c r="CA824">
        <v>3488</v>
      </c>
      <c r="CB824">
        <v>216</v>
      </c>
      <c r="CC824">
        <v>583.59379999999999</v>
      </c>
      <c r="CD824">
        <v>1</v>
      </c>
      <c r="CE824">
        <v>1</v>
      </c>
      <c r="CF824">
        <v>0</v>
      </c>
      <c r="CG824">
        <v>1</v>
      </c>
      <c r="CH824">
        <v>0</v>
      </c>
      <c r="CI824">
        <v>0</v>
      </c>
      <c r="CJ824">
        <v>0</v>
      </c>
      <c r="CK824">
        <v>2</v>
      </c>
      <c r="CL824">
        <v>0</v>
      </c>
      <c r="CM824">
        <v>2</v>
      </c>
      <c r="CN824">
        <v>0</v>
      </c>
      <c r="CO824">
        <v>5</v>
      </c>
      <c r="CP824" t="s">
        <v>119</v>
      </c>
      <c r="CQ824">
        <v>145</v>
      </c>
      <c r="CR824">
        <v>1</v>
      </c>
      <c r="CW824">
        <v>8979261</v>
      </c>
      <c r="CY824">
        <v>0</v>
      </c>
      <c r="CZ824">
        <v>0</v>
      </c>
      <c r="DA824">
        <v>0</v>
      </c>
      <c r="DB824">
        <v>0</v>
      </c>
      <c r="DC824">
        <v>0</v>
      </c>
      <c r="DD824">
        <v>0</v>
      </c>
      <c r="DE824">
        <v>0</v>
      </c>
      <c r="DF824">
        <v>0</v>
      </c>
      <c r="DG824">
        <v>0</v>
      </c>
      <c r="DH824">
        <v>0</v>
      </c>
      <c r="DI824">
        <v>0</v>
      </c>
    </row>
    <row r="825" spans="1:113" x14ac:dyDescent="0.3">
      <c r="A825" t="str">
        <f>"02/13/2022 18:40:02.570"</f>
        <v>02/13/2022 18:40:02.570</v>
      </c>
      <c r="C825" t="str">
        <f t="shared" si="81"/>
        <v>FFDFD7C0</v>
      </c>
      <c r="D825" t="s">
        <v>121</v>
      </c>
      <c r="E825">
        <v>2</v>
      </c>
      <c r="H825">
        <v>158</v>
      </c>
      <c r="I825" t="s">
        <v>120</v>
      </c>
      <c r="J825" t="s">
        <v>122</v>
      </c>
      <c r="K825">
        <v>0</v>
      </c>
      <c r="L825">
        <v>3</v>
      </c>
      <c r="M825">
        <v>0</v>
      </c>
      <c r="N825">
        <v>2</v>
      </c>
      <c r="O825">
        <v>1</v>
      </c>
      <c r="P825">
        <v>0</v>
      </c>
      <c r="Q825">
        <v>0</v>
      </c>
      <c r="S825" t="str">
        <f>"18:40:02.250"</f>
        <v>18:40:02.250</v>
      </c>
      <c r="T825" t="str">
        <f>"18:40:01.850"</f>
        <v>18:40:01.850</v>
      </c>
      <c r="U825" t="str">
        <f t="shared" si="80"/>
        <v>AAB6EE</v>
      </c>
      <c r="V825">
        <v>0</v>
      </c>
      <c r="W825">
        <v>0</v>
      </c>
      <c r="X825">
        <v>4</v>
      </c>
      <c r="Z825">
        <v>0</v>
      </c>
      <c r="AA825">
        <v>8</v>
      </c>
      <c r="AB825">
        <v>3</v>
      </c>
      <c r="AC825">
        <v>0</v>
      </c>
      <c r="AD825">
        <v>10</v>
      </c>
      <c r="AE825">
        <v>0</v>
      </c>
      <c r="AF825">
        <v>0</v>
      </c>
      <c r="AG825">
        <v>2</v>
      </c>
      <c r="AH825">
        <v>1</v>
      </c>
      <c r="AI825" t="s">
        <v>671</v>
      </c>
      <c r="AJ825">
        <v>35.349497999999997</v>
      </c>
      <c r="AK825" t="s">
        <v>672</v>
      </c>
      <c r="AL825">
        <v>-76.139803000000001</v>
      </c>
      <c r="AM825">
        <v>25</v>
      </c>
      <c r="AN825">
        <v>3450</v>
      </c>
      <c r="AO825" t="s">
        <v>118</v>
      </c>
      <c r="AP825">
        <v>-103</v>
      </c>
      <c r="AQ825">
        <v>-197</v>
      </c>
      <c r="AR825">
        <v>0</v>
      </c>
      <c r="AZ825">
        <v>4516</v>
      </c>
      <c r="BA825">
        <v>1</v>
      </c>
      <c r="BB825" t="str">
        <f t="shared" si="82"/>
        <v xml:space="preserve">N79NX   </v>
      </c>
      <c r="BC825">
        <v>1</v>
      </c>
      <c r="BE825">
        <v>0</v>
      </c>
      <c r="BF825">
        <v>0</v>
      </c>
      <c r="BG825">
        <v>0</v>
      </c>
      <c r="BH825">
        <v>3300</v>
      </c>
      <c r="BI825">
        <v>0</v>
      </c>
      <c r="BJ825">
        <v>0</v>
      </c>
      <c r="BK825">
        <v>0</v>
      </c>
      <c r="BL825">
        <v>0</v>
      </c>
      <c r="BO825">
        <v>0</v>
      </c>
      <c r="BP825">
        <v>0</v>
      </c>
      <c r="BW825" t="str">
        <f>"18:40:02.251"</f>
        <v>18:40:02.251</v>
      </c>
      <c r="BZ825">
        <v>0</v>
      </c>
      <c r="CA825">
        <v>3488</v>
      </c>
      <c r="CB825">
        <v>216</v>
      </c>
      <c r="CC825">
        <v>583.59379999999999</v>
      </c>
      <c r="CD825">
        <v>1</v>
      </c>
      <c r="CE825">
        <v>1</v>
      </c>
      <c r="CF825">
        <v>0</v>
      </c>
      <c r="CG825">
        <v>1</v>
      </c>
      <c r="CH825">
        <v>0</v>
      </c>
      <c r="CI825">
        <v>0</v>
      </c>
      <c r="CJ825">
        <v>0</v>
      </c>
      <c r="CK825">
        <v>2</v>
      </c>
      <c r="CL825">
        <v>0</v>
      </c>
      <c r="CM825">
        <v>2</v>
      </c>
      <c r="CN825">
        <v>0</v>
      </c>
      <c r="CO825">
        <v>5</v>
      </c>
      <c r="CP825" t="s">
        <v>119</v>
      </c>
      <c r="CQ825">
        <v>145</v>
      </c>
      <c r="CR825">
        <v>1</v>
      </c>
      <c r="CW825">
        <v>8979261</v>
      </c>
      <c r="CY825">
        <v>0</v>
      </c>
      <c r="CZ825">
        <v>0</v>
      </c>
      <c r="DA825">
        <v>1</v>
      </c>
      <c r="DB825">
        <v>0</v>
      </c>
      <c r="DC825">
        <v>0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</row>
    <row r="826" spans="1:113" x14ac:dyDescent="0.3">
      <c r="A826" t="str">
        <f>"02/13/2022 18:40:02.508"</f>
        <v>02/13/2022 18:40:02.508</v>
      </c>
      <c r="C826" t="str">
        <f t="shared" si="81"/>
        <v>FFDFD7C0</v>
      </c>
      <c r="D826" t="s">
        <v>113</v>
      </c>
      <c r="E826">
        <v>3</v>
      </c>
      <c r="F826">
        <v>1003</v>
      </c>
      <c r="G826" t="s">
        <v>114</v>
      </c>
      <c r="J826" t="s">
        <v>115</v>
      </c>
      <c r="K826">
        <v>0</v>
      </c>
      <c r="L826">
        <v>3</v>
      </c>
      <c r="M826">
        <v>0</v>
      </c>
      <c r="N826">
        <v>2</v>
      </c>
      <c r="O826">
        <v>1</v>
      </c>
      <c r="P826">
        <v>0</v>
      </c>
      <c r="Q826">
        <v>0</v>
      </c>
      <c r="S826" t="str">
        <f>"18:40:02.250"</f>
        <v>18:40:02.250</v>
      </c>
      <c r="T826" t="str">
        <f>"18:40:01.850"</f>
        <v>18:40:01.850</v>
      </c>
      <c r="U826" t="str">
        <f t="shared" si="80"/>
        <v>AAB6EE</v>
      </c>
      <c r="V826">
        <v>0</v>
      </c>
      <c r="W826">
        <v>0</v>
      </c>
      <c r="X826">
        <v>4</v>
      </c>
      <c r="Z826">
        <v>0</v>
      </c>
      <c r="AA826">
        <v>8</v>
      </c>
      <c r="AB826">
        <v>3</v>
      </c>
      <c r="AC826">
        <v>0</v>
      </c>
      <c r="AD826">
        <v>10</v>
      </c>
      <c r="AE826">
        <v>0</v>
      </c>
      <c r="AF826">
        <v>0</v>
      </c>
      <c r="AG826">
        <v>2</v>
      </c>
      <c r="AH826">
        <v>1</v>
      </c>
      <c r="AI826" t="s">
        <v>671</v>
      </c>
      <c r="AJ826">
        <v>35.349497999999997</v>
      </c>
      <c r="AK826" t="s">
        <v>672</v>
      </c>
      <c r="AL826">
        <v>-76.139803000000001</v>
      </c>
      <c r="AM826">
        <v>25</v>
      </c>
      <c r="AN826">
        <v>3450</v>
      </c>
      <c r="AO826" t="s">
        <v>118</v>
      </c>
      <c r="AP826">
        <v>-103</v>
      </c>
      <c r="AQ826">
        <v>-197</v>
      </c>
      <c r="AR826">
        <v>0</v>
      </c>
      <c r="AZ826">
        <v>4516</v>
      </c>
      <c r="BA826">
        <v>1</v>
      </c>
      <c r="BB826" t="str">
        <f t="shared" si="82"/>
        <v xml:space="preserve">N79NX   </v>
      </c>
      <c r="BC826">
        <v>1</v>
      </c>
      <c r="BE826">
        <v>0</v>
      </c>
      <c r="BF826">
        <v>0</v>
      </c>
      <c r="BG826">
        <v>0</v>
      </c>
      <c r="BH826">
        <v>3300</v>
      </c>
      <c r="BI826">
        <v>0</v>
      </c>
      <c r="BJ826">
        <v>0</v>
      </c>
      <c r="BK826">
        <v>0</v>
      </c>
      <c r="BL826">
        <v>0</v>
      </c>
      <c r="BO826">
        <v>0</v>
      </c>
      <c r="BP826">
        <v>0</v>
      </c>
      <c r="BW826" t="str">
        <f>"18:40:02.251"</f>
        <v>18:40:02.251</v>
      </c>
      <c r="BZ826">
        <v>0</v>
      </c>
      <c r="CA826">
        <v>3488</v>
      </c>
      <c r="CB826">
        <v>216</v>
      </c>
      <c r="CC826">
        <v>583.59379999999999</v>
      </c>
      <c r="CD826">
        <v>1</v>
      </c>
      <c r="CE826">
        <v>1</v>
      </c>
      <c r="CF826">
        <v>0</v>
      </c>
      <c r="CG826">
        <v>1</v>
      </c>
      <c r="CH826">
        <v>0</v>
      </c>
      <c r="CI826">
        <v>0</v>
      </c>
      <c r="CJ826">
        <v>0</v>
      </c>
      <c r="CK826">
        <v>2</v>
      </c>
      <c r="CL826">
        <v>0</v>
      </c>
      <c r="CM826">
        <v>2</v>
      </c>
      <c r="CN826">
        <v>0</v>
      </c>
      <c r="CO826">
        <v>5</v>
      </c>
      <c r="CP826" t="s">
        <v>119</v>
      </c>
      <c r="CQ826">
        <v>145</v>
      </c>
      <c r="CR826">
        <v>1</v>
      </c>
      <c r="CW826">
        <v>8979261</v>
      </c>
      <c r="CY826">
        <v>0</v>
      </c>
      <c r="CZ826">
        <v>0</v>
      </c>
      <c r="DA826">
        <v>1</v>
      </c>
      <c r="DB826">
        <v>0</v>
      </c>
      <c r="DC826">
        <v>0</v>
      </c>
      <c r="DD826">
        <v>0</v>
      </c>
      <c r="DE826">
        <v>0</v>
      </c>
      <c r="DF826">
        <v>0</v>
      </c>
      <c r="DG826">
        <v>0</v>
      </c>
      <c r="DH826">
        <v>0</v>
      </c>
      <c r="DI826">
        <v>0</v>
      </c>
    </row>
    <row r="827" spans="1:113" x14ac:dyDescent="0.3">
      <c r="A827" t="str">
        <f>"02/13/2022 18:40:03.336"</f>
        <v>02/13/2022 18:40:03.336</v>
      </c>
      <c r="C827" t="str">
        <f t="shared" si="81"/>
        <v>FFDFD7C0</v>
      </c>
      <c r="D827" t="s">
        <v>113</v>
      </c>
      <c r="E827">
        <v>3</v>
      </c>
      <c r="F827">
        <v>1003</v>
      </c>
      <c r="G827" t="s">
        <v>114</v>
      </c>
      <c r="J827" t="s">
        <v>115</v>
      </c>
      <c r="K827">
        <v>0</v>
      </c>
      <c r="L827">
        <v>3</v>
      </c>
      <c r="M827">
        <v>0</v>
      </c>
      <c r="N827">
        <v>2</v>
      </c>
      <c r="O827">
        <v>1</v>
      </c>
      <c r="P827">
        <v>0</v>
      </c>
      <c r="Q827">
        <v>0</v>
      </c>
      <c r="S827" t="str">
        <f>"18:40:03.117"</f>
        <v>18:40:03.117</v>
      </c>
      <c r="T827" t="str">
        <f>"18:40:02.917"</f>
        <v>18:40:02.917</v>
      </c>
      <c r="U827" t="str">
        <f t="shared" si="80"/>
        <v>AAB6EE</v>
      </c>
      <c r="V827">
        <v>0</v>
      </c>
      <c r="W827">
        <v>0</v>
      </c>
      <c r="X827">
        <v>4</v>
      </c>
      <c r="Z827">
        <v>0</v>
      </c>
      <c r="AA827">
        <v>8</v>
      </c>
      <c r="AB827">
        <v>3</v>
      </c>
      <c r="AC827">
        <v>0</v>
      </c>
      <c r="AD827">
        <v>10</v>
      </c>
      <c r="AE827">
        <v>0</v>
      </c>
      <c r="AF827">
        <v>0</v>
      </c>
      <c r="AG827">
        <v>2</v>
      </c>
      <c r="AH827">
        <v>1</v>
      </c>
      <c r="AI827" t="s">
        <v>673</v>
      </c>
      <c r="AJ827">
        <v>35.348703999999998</v>
      </c>
      <c r="AK827" t="s">
        <v>674</v>
      </c>
      <c r="AL827">
        <v>-76.140338999999997</v>
      </c>
      <c r="AM827">
        <v>25</v>
      </c>
      <c r="AN827">
        <v>3425</v>
      </c>
      <c r="AO827" t="s">
        <v>118</v>
      </c>
      <c r="AP827">
        <v>-104</v>
      </c>
      <c r="AQ827">
        <v>-197</v>
      </c>
      <c r="AR827">
        <v>0</v>
      </c>
      <c r="AZ827">
        <v>4516</v>
      </c>
      <c r="BA827">
        <v>1</v>
      </c>
      <c r="BB827" t="str">
        <f t="shared" si="82"/>
        <v xml:space="preserve">N79NX   </v>
      </c>
      <c r="BC827">
        <v>1</v>
      </c>
      <c r="BE827">
        <v>0</v>
      </c>
      <c r="BF827">
        <v>0</v>
      </c>
      <c r="BG827">
        <v>0</v>
      </c>
      <c r="BH827">
        <v>3275</v>
      </c>
      <c r="BI827">
        <v>0</v>
      </c>
      <c r="BJ827">
        <v>0</v>
      </c>
      <c r="BK827">
        <v>0</v>
      </c>
      <c r="BL827">
        <v>0</v>
      </c>
      <c r="BO827">
        <v>0</v>
      </c>
      <c r="BP827">
        <v>0</v>
      </c>
      <c r="BW827" t="str">
        <f>"18:40:03.121"</f>
        <v>18:40:03.121</v>
      </c>
      <c r="BZ827">
        <v>0</v>
      </c>
      <c r="CA827">
        <v>3488</v>
      </c>
      <c r="CB827">
        <v>216</v>
      </c>
      <c r="CC827">
        <v>583.59379999999999</v>
      </c>
      <c r="CD827">
        <v>1</v>
      </c>
      <c r="CE827">
        <v>1</v>
      </c>
      <c r="CF827">
        <v>0</v>
      </c>
      <c r="CG827">
        <v>1</v>
      </c>
      <c r="CH827">
        <v>0</v>
      </c>
      <c r="CI827">
        <v>0</v>
      </c>
      <c r="CJ827">
        <v>0</v>
      </c>
      <c r="CK827">
        <v>2</v>
      </c>
      <c r="CL827">
        <v>0</v>
      </c>
      <c r="CM827">
        <v>2</v>
      </c>
      <c r="CN827">
        <v>0</v>
      </c>
      <c r="CO827">
        <v>5</v>
      </c>
      <c r="CP827" t="s">
        <v>119</v>
      </c>
      <c r="CQ827">
        <v>145</v>
      </c>
      <c r="CR827">
        <v>1</v>
      </c>
      <c r="CW827">
        <v>8979686</v>
      </c>
      <c r="CY827">
        <v>0</v>
      </c>
      <c r="CZ827">
        <v>0</v>
      </c>
      <c r="DA827">
        <v>0</v>
      </c>
      <c r="DB827">
        <v>0</v>
      </c>
      <c r="DC827">
        <v>0</v>
      </c>
      <c r="DD827">
        <v>0</v>
      </c>
      <c r="DE827">
        <v>0</v>
      </c>
      <c r="DF827">
        <v>0</v>
      </c>
      <c r="DG827">
        <v>0</v>
      </c>
      <c r="DH827">
        <v>0</v>
      </c>
      <c r="DI827">
        <v>0</v>
      </c>
    </row>
    <row r="828" spans="1:113" x14ac:dyDescent="0.3">
      <c r="A828" t="str">
        <f>"02/13/2022 18:40:03.336"</f>
        <v>02/13/2022 18:40:03.336</v>
      </c>
      <c r="C828" t="str">
        <f t="shared" si="81"/>
        <v>FFDFD7C0</v>
      </c>
      <c r="D828" t="s">
        <v>113</v>
      </c>
      <c r="E828">
        <v>4</v>
      </c>
      <c r="F828">
        <v>1004</v>
      </c>
      <c r="G828" t="s">
        <v>120</v>
      </c>
      <c r="J828" t="s">
        <v>115</v>
      </c>
      <c r="K828">
        <v>0</v>
      </c>
      <c r="L828">
        <v>3</v>
      </c>
      <c r="M828">
        <v>0</v>
      </c>
      <c r="N828">
        <v>2</v>
      </c>
      <c r="O828">
        <v>1</v>
      </c>
      <c r="P828">
        <v>0</v>
      </c>
      <c r="Q828">
        <v>0</v>
      </c>
      <c r="S828" t="str">
        <f>"18:40:03.117"</f>
        <v>18:40:03.117</v>
      </c>
      <c r="T828" t="str">
        <f>"18:40:02.917"</f>
        <v>18:40:02.917</v>
      </c>
      <c r="U828" t="str">
        <f t="shared" si="80"/>
        <v>AAB6EE</v>
      </c>
      <c r="V828">
        <v>0</v>
      </c>
      <c r="W828">
        <v>0</v>
      </c>
      <c r="X828">
        <v>4</v>
      </c>
      <c r="Z828">
        <v>0</v>
      </c>
      <c r="AA828">
        <v>8</v>
      </c>
      <c r="AB828">
        <v>3</v>
      </c>
      <c r="AC828">
        <v>0</v>
      </c>
      <c r="AD828">
        <v>10</v>
      </c>
      <c r="AE828">
        <v>0</v>
      </c>
      <c r="AF828">
        <v>0</v>
      </c>
      <c r="AG828">
        <v>2</v>
      </c>
      <c r="AH828">
        <v>1</v>
      </c>
      <c r="AI828" t="s">
        <v>673</v>
      </c>
      <c r="AJ828">
        <v>35.348703999999998</v>
      </c>
      <c r="AK828" t="s">
        <v>674</v>
      </c>
      <c r="AL828">
        <v>-76.140338999999997</v>
      </c>
      <c r="AM828">
        <v>25</v>
      </c>
      <c r="AN828">
        <v>3425</v>
      </c>
      <c r="AO828" t="s">
        <v>118</v>
      </c>
      <c r="AP828">
        <v>-104</v>
      </c>
      <c r="AQ828">
        <v>-197</v>
      </c>
      <c r="AR828">
        <v>0</v>
      </c>
      <c r="AZ828">
        <v>4516</v>
      </c>
      <c r="BA828">
        <v>1</v>
      </c>
      <c r="BB828" t="str">
        <f t="shared" si="82"/>
        <v xml:space="preserve">N79NX   </v>
      </c>
      <c r="BC828">
        <v>1</v>
      </c>
      <c r="BE828">
        <v>0</v>
      </c>
      <c r="BF828">
        <v>0</v>
      </c>
      <c r="BG828">
        <v>0</v>
      </c>
      <c r="BH828">
        <v>3275</v>
      </c>
      <c r="BI828">
        <v>0</v>
      </c>
      <c r="BJ828">
        <v>0</v>
      </c>
      <c r="BK828">
        <v>0</v>
      </c>
      <c r="BL828">
        <v>0</v>
      </c>
      <c r="BO828">
        <v>0</v>
      </c>
      <c r="BP828">
        <v>0</v>
      </c>
      <c r="BW828" t="str">
        <f>"18:40:03.121"</f>
        <v>18:40:03.121</v>
      </c>
      <c r="BZ828">
        <v>0</v>
      </c>
      <c r="CA828">
        <v>3488</v>
      </c>
      <c r="CB828">
        <v>216</v>
      </c>
      <c r="CC828">
        <v>583.59379999999999</v>
      </c>
      <c r="CD828">
        <v>1</v>
      </c>
      <c r="CE828">
        <v>1</v>
      </c>
      <c r="CF828">
        <v>0</v>
      </c>
      <c r="CG828">
        <v>1</v>
      </c>
      <c r="CH828">
        <v>0</v>
      </c>
      <c r="CI828">
        <v>0</v>
      </c>
      <c r="CJ828">
        <v>0</v>
      </c>
      <c r="CK828">
        <v>2</v>
      </c>
      <c r="CL828">
        <v>0</v>
      </c>
      <c r="CM828">
        <v>2</v>
      </c>
      <c r="CN828">
        <v>0</v>
      </c>
      <c r="CO828">
        <v>5</v>
      </c>
      <c r="CP828" t="s">
        <v>119</v>
      </c>
      <c r="CQ828">
        <v>145</v>
      </c>
      <c r="CR828">
        <v>1</v>
      </c>
      <c r="CW828">
        <v>8979686</v>
      </c>
      <c r="CY828">
        <v>0</v>
      </c>
      <c r="CZ828">
        <v>0</v>
      </c>
      <c r="DA828">
        <v>1</v>
      </c>
      <c r="DB828">
        <v>0</v>
      </c>
      <c r="DC828">
        <v>0</v>
      </c>
      <c r="DD828">
        <v>0</v>
      </c>
      <c r="DE828">
        <v>0</v>
      </c>
      <c r="DF828">
        <v>0</v>
      </c>
      <c r="DG828">
        <v>0</v>
      </c>
      <c r="DH828">
        <v>0</v>
      </c>
      <c r="DI828">
        <v>0</v>
      </c>
    </row>
    <row r="829" spans="1:113" x14ac:dyDescent="0.3">
      <c r="A829" t="str">
        <f>"02/13/2022 18:40:03.367"</f>
        <v>02/13/2022 18:40:03.367</v>
      </c>
      <c r="C829" t="str">
        <f t="shared" si="81"/>
        <v>FFDFD7C0</v>
      </c>
      <c r="D829" t="s">
        <v>121</v>
      </c>
      <c r="E829">
        <v>2</v>
      </c>
      <c r="H829">
        <v>158</v>
      </c>
      <c r="I829" t="s">
        <v>120</v>
      </c>
      <c r="J829" t="s">
        <v>122</v>
      </c>
      <c r="K829">
        <v>0</v>
      </c>
      <c r="L829">
        <v>3</v>
      </c>
      <c r="M829">
        <v>0</v>
      </c>
      <c r="N829">
        <v>2</v>
      </c>
      <c r="O829">
        <v>1</v>
      </c>
      <c r="P829">
        <v>0</v>
      </c>
      <c r="Q829">
        <v>0</v>
      </c>
      <c r="S829" t="str">
        <f>"18:40:03.117"</f>
        <v>18:40:03.117</v>
      </c>
      <c r="T829" t="str">
        <f>"18:40:02.917"</f>
        <v>18:40:02.917</v>
      </c>
      <c r="U829" t="str">
        <f t="shared" si="80"/>
        <v>AAB6EE</v>
      </c>
      <c r="V829">
        <v>0</v>
      </c>
      <c r="W829">
        <v>0</v>
      </c>
      <c r="X829">
        <v>4</v>
      </c>
      <c r="Z829">
        <v>0</v>
      </c>
      <c r="AA829">
        <v>8</v>
      </c>
      <c r="AB829">
        <v>3</v>
      </c>
      <c r="AC829">
        <v>0</v>
      </c>
      <c r="AD829">
        <v>10</v>
      </c>
      <c r="AE829">
        <v>0</v>
      </c>
      <c r="AF829">
        <v>0</v>
      </c>
      <c r="AG829">
        <v>2</v>
      </c>
      <c r="AH829">
        <v>1</v>
      </c>
      <c r="AI829" t="s">
        <v>673</v>
      </c>
      <c r="AJ829">
        <v>35.348703999999998</v>
      </c>
      <c r="AK829" t="s">
        <v>674</v>
      </c>
      <c r="AL829">
        <v>-76.140338999999997</v>
      </c>
      <c r="AM829">
        <v>25</v>
      </c>
      <c r="AN829">
        <v>3425</v>
      </c>
      <c r="AO829" t="s">
        <v>118</v>
      </c>
      <c r="AP829">
        <v>-104</v>
      </c>
      <c r="AQ829">
        <v>-197</v>
      </c>
      <c r="AR829">
        <v>0</v>
      </c>
      <c r="AZ829">
        <v>4516</v>
      </c>
      <c r="BA829">
        <v>1</v>
      </c>
      <c r="BB829" t="str">
        <f t="shared" si="82"/>
        <v xml:space="preserve">N79NX   </v>
      </c>
      <c r="BC829">
        <v>1</v>
      </c>
      <c r="BE829">
        <v>0</v>
      </c>
      <c r="BF829">
        <v>0</v>
      </c>
      <c r="BG829">
        <v>0</v>
      </c>
      <c r="BH829">
        <v>3275</v>
      </c>
      <c r="BI829">
        <v>0</v>
      </c>
      <c r="BJ829">
        <v>0</v>
      </c>
      <c r="BK829">
        <v>0</v>
      </c>
      <c r="BL829">
        <v>0</v>
      </c>
      <c r="BO829">
        <v>0</v>
      </c>
      <c r="BP829">
        <v>0</v>
      </c>
      <c r="BW829" t="str">
        <f>"18:40:03.121"</f>
        <v>18:40:03.121</v>
      </c>
      <c r="BZ829">
        <v>0</v>
      </c>
      <c r="CA829">
        <v>3488</v>
      </c>
      <c r="CB829">
        <v>216</v>
      </c>
      <c r="CC829">
        <v>583.59379999999999</v>
      </c>
      <c r="CD829">
        <v>1</v>
      </c>
      <c r="CE829">
        <v>1</v>
      </c>
      <c r="CF829">
        <v>0</v>
      </c>
      <c r="CG829">
        <v>1</v>
      </c>
      <c r="CH829">
        <v>0</v>
      </c>
      <c r="CI829">
        <v>0</v>
      </c>
      <c r="CJ829">
        <v>0</v>
      </c>
      <c r="CK829">
        <v>2</v>
      </c>
      <c r="CL829">
        <v>0</v>
      </c>
      <c r="CM829">
        <v>2</v>
      </c>
      <c r="CN829">
        <v>0</v>
      </c>
      <c r="CO829">
        <v>5</v>
      </c>
      <c r="CP829" t="s">
        <v>119</v>
      </c>
      <c r="CQ829">
        <v>145</v>
      </c>
      <c r="CR829">
        <v>1</v>
      </c>
      <c r="CW829">
        <v>8979686</v>
      </c>
      <c r="CY829">
        <v>0</v>
      </c>
      <c r="CZ829">
        <v>0</v>
      </c>
      <c r="DA829">
        <v>1</v>
      </c>
      <c r="DB829">
        <v>0</v>
      </c>
      <c r="DC829">
        <v>0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</row>
    <row r="830" spans="1:113" x14ac:dyDescent="0.3">
      <c r="A830" t="str">
        <f>"02/13/2022 18:40:04.273"</f>
        <v>02/13/2022 18:40:04.273</v>
      </c>
      <c r="C830" t="str">
        <f t="shared" si="81"/>
        <v>FFDFD7C0</v>
      </c>
      <c r="D830" t="s">
        <v>121</v>
      </c>
      <c r="E830">
        <v>2</v>
      </c>
      <c r="H830">
        <v>158</v>
      </c>
      <c r="I830" t="s">
        <v>120</v>
      </c>
      <c r="J830" t="s">
        <v>122</v>
      </c>
      <c r="K830">
        <v>0</v>
      </c>
      <c r="L830">
        <v>3</v>
      </c>
      <c r="M830">
        <v>0</v>
      </c>
      <c r="N830">
        <v>2</v>
      </c>
      <c r="O830">
        <v>1</v>
      </c>
      <c r="P830">
        <v>0</v>
      </c>
      <c r="Q830">
        <v>0</v>
      </c>
      <c r="S830" t="str">
        <f>"18:40:04.047"</f>
        <v>18:40:04.047</v>
      </c>
      <c r="T830" t="str">
        <f>"18:40:03.847"</f>
        <v>18:40:03.847</v>
      </c>
      <c r="U830" t="str">
        <f t="shared" si="80"/>
        <v>AAB6EE</v>
      </c>
      <c r="V830">
        <v>0</v>
      </c>
      <c r="W830">
        <v>0</v>
      </c>
      <c r="X830">
        <v>4</v>
      </c>
      <c r="Z830">
        <v>0</v>
      </c>
      <c r="AA830">
        <v>8</v>
      </c>
      <c r="AB830">
        <v>3</v>
      </c>
      <c r="AC830">
        <v>0</v>
      </c>
      <c r="AD830">
        <v>10</v>
      </c>
      <c r="AE830">
        <v>0</v>
      </c>
      <c r="AF830">
        <v>0</v>
      </c>
      <c r="AG830">
        <v>2</v>
      </c>
      <c r="AH830">
        <v>1</v>
      </c>
      <c r="AI830" t="s">
        <v>675</v>
      </c>
      <c r="AJ830">
        <v>35.347867000000001</v>
      </c>
      <c r="AK830" t="s">
        <v>676</v>
      </c>
      <c r="AL830">
        <v>-76.140854000000004</v>
      </c>
      <c r="AM830">
        <v>25</v>
      </c>
      <c r="AN830">
        <v>3450</v>
      </c>
      <c r="AO830" t="s">
        <v>118</v>
      </c>
      <c r="AP830">
        <v>-104</v>
      </c>
      <c r="AQ830">
        <v>-196</v>
      </c>
      <c r="AR830">
        <v>64</v>
      </c>
      <c r="AZ830">
        <v>4516</v>
      </c>
      <c r="BA830">
        <v>1</v>
      </c>
      <c r="BB830" t="str">
        <f t="shared" si="82"/>
        <v xml:space="preserve">N79NX   </v>
      </c>
      <c r="BC830">
        <v>1</v>
      </c>
      <c r="BE830">
        <v>0</v>
      </c>
      <c r="BF830">
        <v>0</v>
      </c>
      <c r="BG830">
        <v>0</v>
      </c>
      <c r="BH830">
        <v>3325</v>
      </c>
      <c r="BI830">
        <v>0</v>
      </c>
      <c r="BJ830">
        <v>0</v>
      </c>
      <c r="BK830">
        <v>0</v>
      </c>
      <c r="BL830">
        <v>0</v>
      </c>
      <c r="BO830">
        <v>0</v>
      </c>
      <c r="BP830">
        <v>0</v>
      </c>
      <c r="BW830" t="str">
        <f>"18:40:04.051"</f>
        <v>18:40:04.051</v>
      </c>
      <c r="BZ830">
        <v>0</v>
      </c>
      <c r="CA830">
        <v>3488</v>
      </c>
      <c r="CB830">
        <v>216</v>
      </c>
      <c r="CC830">
        <v>583.59379999999999</v>
      </c>
      <c r="CD830">
        <v>1</v>
      </c>
      <c r="CE830">
        <v>1</v>
      </c>
      <c r="CF830">
        <v>0</v>
      </c>
      <c r="CG830">
        <v>1</v>
      </c>
      <c r="CH830">
        <v>0</v>
      </c>
      <c r="CI830">
        <v>0</v>
      </c>
      <c r="CJ830">
        <v>0</v>
      </c>
      <c r="CK830">
        <v>2</v>
      </c>
      <c r="CL830">
        <v>0</v>
      </c>
      <c r="CM830">
        <v>2</v>
      </c>
      <c r="CN830">
        <v>0</v>
      </c>
      <c r="CO830">
        <v>5</v>
      </c>
      <c r="CP830" t="s">
        <v>119</v>
      </c>
      <c r="CQ830">
        <v>145</v>
      </c>
      <c r="CR830">
        <v>1</v>
      </c>
      <c r="CW830">
        <v>8980044</v>
      </c>
      <c r="CY830">
        <v>0</v>
      </c>
      <c r="CZ830">
        <v>0</v>
      </c>
      <c r="DA830">
        <v>0</v>
      </c>
      <c r="DB830">
        <v>0</v>
      </c>
      <c r="DC830">
        <v>0</v>
      </c>
      <c r="DD830">
        <v>0</v>
      </c>
      <c r="DE830">
        <v>0</v>
      </c>
      <c r="DF830">
        <v>0</v>
      </c>
      <c r="DG830">
        <v>0</v>
      </c>
      <c r="DH830">
        <v>0</v>
      </c>
      <c r="DI830">
        <v>0</v>
      </c>
    </row>
    <row r="831" spans="1:113" x14ac:dyDescent="0.3">
      <c r="A831" t="str">
        <f>"02/13/2022 18:40:04.273"</f>
        <v>02/13/2022 18:40:04.273</v>
      </c>
      <c r="C831" t="str">
        <f t="shared" si="81"/>
        <v>FFDFD7C0</v>
      </c>
      <c r="D831" t="s">
        <v>113</v>
      </c>
      <c r="E831">
        <v>3</v>
      </c>
      <c r="F831">
        <v>1003</v>
      </c>
      <c r="G831" t="s">
        <v>114</v>
      </c>
      <c r="J831" t="s">
        <v>115</v>
      </c>
      <c r="K831">
        <v>0</v>
      </c>
      <c r="L831">
        <v>3</v>
      </c>
      <c r="M831">
        <v>0</v>
      </c>
      <c r="N831">
        <v>2</v>
      </c>
      <c r="O831">
        <v>1</v>
      </c>
      <c r="P831">
        <v>0</v>
      </c>
      <c r="Q831">
        <v>0</v>
      </c>
      <c r="S831" t="str">
        <f>"18:40:04.047"</f>
        <v>18:40:04.047</v>
      </c>
      <c r="T831" t="str">
        <f>"18:40:03.847"</f>
        <v>18:40:03.847</v>
      </c>
      <c r="U831" t="str">
        <f t="shared" si="80"/>
        <v>AAB6EE</v>
      </c>
      <c r="V831">
        <v>0</v>
      </c>
      <c r="W831">
        <v>0</v>
      </c>
      <c r="X831">
        <v>4</v>
      </c>
      <c r="Z831">
        <v>0</v>
      </c>
      <c r="AA831">
        <v>8</v>
      </c>
      <c r="AB831">
        <v>3</v>
      </c>
      <c r="AC831">
        <v>0</v>
      </c>
      <c r="AD831">
        <v>10</v>
      </c>
      <c r="AE831">
        <v>0</v>
      </c>
      <c r="AF831">
        <v>0</v>
      </c>
      <c r="AG831">
        <v>2</v>
      </c>
      <c r="AH831">
        <v>1</v>
      </c>
      <c r="AI831" t="s">
        <v>675</v>
      </c>
      <c r="AJ831">
        <v>35.347867000000001</v>
      </c>
      <c r="AK831" t="s">
        <v>676</v>
      </c>
      <c r="AL831">
        <v>-76.140854000000004</v>
      </c>
      <c r="AM831">
        <v>25</v>
      </c>
      <c r="AN831">
        <v>3450</v>
      </c>
      <c r="AO831" t="s">
        <v>118</v>
      </c>
      <c r="AP831">
        <v>-104</v>
      </c>
      <c r="AQ831">
        <v>-196</v>
      </c>
      <c r="AR831">
        <v>64</v>
      </c>
      <c r="AZ831">
        <v>4516</v>
      </c>
      <c r="BA831">
        <v>1</v>
      </c>
      <c r="BB831" t="str">
        <f t="shared" si="82"/>
        <v xml:space="preserve">N79NX   </v>
      </c>
      <c r="BC831">
        <v>1</v>
      </c>
      <c r="BE831">
        <v>0</v>
      </c>
      <c r="BF831">
        <v>0</v>
      </c>
      <c r="BG831">
        <v>0</v>
      </c>
      <c r="BH831">
        <v>3325</v>
      </c>
      <c r="BI831">
        <v>0</v>
      </c>
      <c r="BJ831">
        <v>0</v>
      </c>
      <c r="BK831">
        <v>0</v>
      </c>
      <c r="BL831">
        <v>0</v>
      </c>
      <c r="BO831">
        <v>0</v>
      </c>
      <c r="BP831">
        <v>0</v>
      </c>
      <c r="BW831" t="str">
        <f>"18:40:04.051"</f>
        <v>18:40:04.051</v>
      </c>
      <c r="BZ831">
        <v>0</v>
      </c>
      <c r="CA831">
        <v>3488</v>
      </c>
      <c r="CB831">
        <v>216</v>
      </c>
      <c r="CC831">
        <v>583.59379999999999</v>
      </c>
      <c r="CD831">
        <v>1</v>
      </c>
      <c r="CE831">
        <v>1</v>
      </c>
      <c r="CF831">
        <v>0</v>
      </c>
      <c r="CG831">
        <v>1</v>
      </c>
      <c r="CH831">
        <v>0</v>
      </c>
      <c r="CI831">
        <v>0</v>
      </c>
      <c r="CJ831">
        <v>0</v>
      </c>
      <c r="CK831">
        <v>2</v>
      </c>
      <c r="CL831">
        <v>0</v>
      </c>
      <c r="CM831">
        <v>2</v>
      </c>
      <c r="CN831">
        <v>0</v>
      </c>
      <c r="CO831">
        <v>5</v>
      </c>
      <c r="CP831" t="s">
        <v>119</v>
      </c>
      <c r="CQ831">
        <v>145</v>
      </c>
      <c r="CR831">
        <v>1</v>
      </c>
      <c r="CW831">
        <v>8980044</v>
      </c>
      <c r="CY831">
        <v>0</v>
      </c>
      <c r="CZ831">
        <v>0</v>
      </c>
      <c r="DA831">
        <v>1</v>
      </c>
      <c r="DB831">
        <v>0</v>
      </c>
      <c r="DC831">
        <v>0</v>
      </c>
      <c r="DD831">
        <v>0</v>
      </c>
      <c r="DE831">
        <v>0</v>
      </c>
      <c r="DF831">
        <v>0</v>
      </c>
      <c r="DG831">
        <v>0</v>
      </c>
      <c r="DH831">
        <v>0</v>
      </c>
      <c r="DI831">
        <v>0</v>
      </c>
    </row>
    <row r="832" spans="1:113" x14ac:dyDescent="0.3">
      <c r="A832" t="str">
        <f>"02/13/2022 18:40:04.273"</f>
        <v>02/13/2022 18:40:04.273</v>
      </c>
      <c r="C832" t="str">
        <f t="shared" si="81"/>
        <v>FFDFD7C0</v>
      </c>
      <c r="D832" t="s">
        <v>113</v>
      </c>
      <c r="E832">
        <v>4</v>
      </c>
      <c r="F832">
        <v>1004</v>
      </c>
      <c r="G832" t="s">
        <v>120</v>
      </c>
      <c r="J832" t="s">
        <v>115</v>
      </c>
      <c r="K832">
        <v>0</v>
      </c>
      <c r="L832">
        <v>3</v>
      </c>
      <c r="M832">
        <v>0</v>
      </c>
      <c r="N832">
        <v>2</v>
      </c>
      <c r="O832">
        <v>1</v>
      </c>
      <c r="P832">
        <v>0</v>
      </c>
      <c r="Q832">
        <v>0</v>
      </c>
      <c r="S832" t="str">
        <f>"18:40:04.047"</f>
        <v>18:40:04.047</v>
      </c>
      <c r="T832" t="str">
        <f>"18:40:03.847"</f>
        <v>18:40:03.847</v>
      </c>
      <c r="U832" t="str">
        <f t="shared" si="80"/>
        <v>AAB6EE</v>
      </c>
      <c r="V832">
        <v>0</v>
      </c>
      <c r="W832">
        <v>0</v>
      </c>
      <c r="X832">
        <v>4</v>
      </c>
      <c r="Z832">
        <v>0</v>
      </c>
      <c r="AA832">
        <v>8</v>
      </c>
      <c r="AB832">
        <v>3</v>
      </c>
      <c r="AC832">
        <v>0</v>
      </c>
      <c r="AD832">
        <v>10</v>
      </c>
      <c r="AE832">
        <v>0</v>
      </c>
      <c r="AF832">
        <v>0</v>
      </c>
      <c r="AG832">
        <v>2</v>
      </c>
      <c r="AH832">
        <v>1</v>
      </c>
      <c r="AI832" t="s">
        <v>675</v>
      </c>
      <c r="AJ832">
        <v>35.347867000000001</v>
      </c>
      <c r="AK832" t="s">
        <v>676</v>
      </c>
      <c r="AL832">
        <v>-76.140854000000004</v>
      </c>
      <c r="AM832">
        <v>25</v>
      </c>
      <c r="AN832">
        <v>3450</v>
      </c>
      <c r="AO832" t="s">
        <v>118</v>
      </c>
      <c r="AP832">
        <v>-104</v>
      </c>
      <c r="AQ832">
        <v>-196</v>
      </c>
      <c r="AR832">
        <v>64</v>
      </c>
      <c r="AZ832">
        <v>4516</v>
      </c>
      <c r="BA832">
        <v>1</v>
      </c>
      <c r="BB832" t="str">
        <f t="shared" si="82"/>
        <v xml:space="preserve">N79NX   </v>
      </c>
      <c r="BC832">
        <v>1</v>
      </c>
      <c r="BE832">
        <v>0</v>
      </c>
      <c r="BF832">
        <v>0</v>
      </c>
      <c r="BG832">
        <v>0</v>
      </c>
      <c r="BH832">
        <v>3325</v>
      </c>
      <c r="BI832">
        <v>0</v>
      </c>
      <c r="BJ832">
        <v>0</v>
      </c>
      <c r="BK832">
        <v>0</v>
      </c>
      <c r="BL832">
        <v>0</v>
      </c>
      <c r="BO832">
        <v>0</v>
      </c>
      <c r="BP832">
        <v>0</v>
      </c>
      <c r="BW832" t="str">
        <f>"18:40:04.051"</f>
        <v>18:40:04.051</v>
      </c>
      <c r="BZ832">
        <v>0</v>
      </c>
      <c r="CA832">
        <v>3488</v>
      </c>
      <c r="CB832">
        <v>216</v>
      </c>
      <c r="CC832">
        <v>583.59379999999999</v>
      </c>
      <c r="CD832">
        <v>1</v>
      </c>
      <c r="CE832">
        <v>1</v>
      </c>
      <c r="CF832">
        <v>0</v>
      </c>
      <c r="CG832">
        <v>1</v>
      </c>
      <c r="CH832">
        <v>0</v>
      </c>
      <c r="CI832">
        <v>0</v>
      </c>
      <c r="CJ832">
        <v>0</v>
      </c>
      <c r="CK832">
        <v>2</v>
      </c>
      <c r="CL832">
        <v>0</v>
      </c>
      <c r="CM832">
        <v>2</v>
      </c>
      <c r="CN832">
        <v>0</v>
      </c>
      <c r="CO832">
        <v>5</v>
      </c>
      <c r="CP832" t="s">
        <v>119</v>
      </c>
      <c r="CQ832">
        <v>145</v>
      </c>
      <c r="CR832">
        <v>1</v>
      </c>
      <c r="CW832">
        <v>8980044</v>
      </c>
      <c r="CY832">
        <v>0</v>
      </c>
      <c r="CZ832">
        <v>0</v>
      </c>
      <c r="DA832">
        <v>1</v>
      </c>
      <c r="DB832">
        <v>0</v>
      </c>
      <c r="DC832">
        <v>0</v>
      </c>
      <c r="DD832">
        <v>0</v>
      </c>
      <c r="DE832">
        <v>0</v>
      </c>
      <c r="DF832">
        <v>0</v>
      </c>
      <c r="DG832">
        <v>0</v>
      </c>
      <c r="DH832">
        <v>0</v>
      </c>
      <c r="DI832">
        <v>0</v>
      </c>
    </row>
    <row r="833" spans="1:113" x14ac:dyDescent="0.3">
      <c r="A833" t="str">
        <f>"02/13/2022 18:40:05.166"</f>
        <v>02/13/2022 18:40:05.166</v>
      </c>
      <c r="C833" t="str">
        <f t="shared" si="81"/>
        <v>FFDFD7C0</v>
      </c>
      <c r="D833" t="s">
        <v>121</v>
      </c>
      <c r="E833">
        <v>2</v>
      </c>
      <c r="H833">
        <v>158</v>
      </c>
      <c r="I833" t="s">
        <v>120</v>
      </c>
      <c r="J833" t="s">
        <v>122</v>
      </c>
      <c r="K833">
        <v>0</v>
      </c>
      <c r="L833">
        <v>3</v>
      </c>
      <c r="M833">
        <v>0</v>
      </c>
      <c r="N833">
        <v>2</v>
      </c>
      <c r="O833">
        <v>1</v>
      </c>
      <c r="P833">
        <v>0</v>
      </c>
      <c r="Q833">
        <v>0</v>
      </c>
      <c r="S833" t="str">
        <f t="shared" ref="S833:T835" si="85">"18:40:04.953"</f>
        <v>18:40:04.953</v>
      </c>
      <c r="T833" t="str">
        <f t="shared" si="85"/>
        <v>18:40:04.953</v>
      </c>
      <c r="U833" t="str">
        <f t="shared" si="80"/>
        <v>AAB6EE</v>
      </c>
      <c r="V833">
        <v>0</v>
      </c>
      <c r="W833">
        <v>0</v>
      </c>
      <c r="X833">
        <v>4</v>
      </c>
      <c r="Z833">
        <v>0</v>
      </c>
      <c r="AA833">
        <v>8</v>
      </c>
      <c r="AB833">
        <v>3</v>
      </c>
      <c r="AC833">
        <v>0</v>
      </c>
      <c r="AD833">
        <v>10</v>
      </c>
      <c r="AE833">
        <v>0</v>
      </c>
      <c r="AF833">
        <v>0</v>
      </c>
      <c r="AG833">
        <v>2</v>
      </c>
      <c r="AH833">
        <v>1</v>
      </c>
      <c r="AI833" t="s">
        <v>677</v>
      </c>
      <c r="AJ833">
        <v>35.347051999999998</v>
      </c>
      <c r="AK833" t="s">
        <v>678</v>
      </c>
      <c r="AL833">
        <v>-76.141434000000004</v>
      </c>
      <c r="AM833">
        <v>25</v>
      </c>
      <c r="AN833">
        <v>3450</v>
      </c>
      <c r="AO833" t="s">
        <v>118</v>
      </c>
      <c r="AP833">
        <v>-104</v>
      </c>
      <c r="AQ833">
        <v>-196</v>
      </c>
      <c r="AR833">
        <v>0</v>
      </c>
      <c r="AZ833">
        <v>4516</v>
      </c>
      <c r="BA833">
        <v>1</v>
      </c>
      <c r="BB833" t="str">
        <f t="shared" si="82"/>
        <v xml:space="preserve">N79NX   </v>
      </c>
      <c r="BC833">
        <v>1</v>
      </c>
      <c r="BE833">
        <v>0</v>
      </c>
      <c r="BF833">
        <v>0</v>
      </c>
      <c r="BG833">
        <v>0</v>
      </c>
      <c r="BH833">
        <v>3275</v>
      </c>
      <c r="BI833">
        <v>0</v>
      </c>
      <c r="BJ833">
        <v>0</v>
      </c>
      <c r="BK833">
        <v>0</v>
      </c>
      <c r="BL833">
        <v>0</v>
      </c>
      <c r="BO833">
        <v>0</v>
      </c>
      <c r="BP833">
        <v>0</v>
      </c>
      <c r="BW833" t="str">
        <f>"18:40:04.961"</f>
        <v>18:40:04.961</v>
      </c>
      <c r="BZ833">
        <v>0</v>
      </c>
      <c r="CA833">
        <v>3488</v>
      </c>
      <c r="CB833">
        <v>216</v>
      </c>
      <c r="CC833">
        <v>583.59379999999999</v>
      </c>
      <c r="CD833">
        <v>1</v>
      </c>
      <c r="CE833">
        <v>1</v>
      </c>
      <c r="CF833">
        <v>0</v>
      </c>
      <c r="CG833">
        <v>1</v>
      </c>
      <c r="CH833">
        <v>0</v>
      </c>
      <c r="CI833">
        <v>0</v>
      </c>
      <c r="CJ833">
        <v>0</v>
      </c>
      <c r="CK833">
        <v>2</v>
      </c>
      <c r="CL833">
        <v>0</v>
      </c>
      <c r="CM833">
        <v>2</v>
      </c>
      <c r="CN833">
        <v>0</v>
      </c>
      <c r="CO833">
        <v>5</v>
      </c>
      <c r="CP833" t="s">
        <v>119</v>
      </c>
      <c r="CQ833">
        <v>145</v>
      </c>
      <c r="CR833">
        <v>1</v>
      </c>
      <c r="CW833">
        <v>8980456</v>
      </c>
      <c r="CY833">
        <v>0</v>
      </c>
      <c r="CZ833">
        <v>0</v>
      </c>
      <c r="DA833">
        <v>0</v>
      </c>
      <c r="DB833">
        <v>0</v>
      </c>
      <c r="DC833">
        <v>0</v>
      </c>
      <c r="DD833">
        <v>0</v>
      </c>
      <c r="DE833">
        <v>0</v>
      </c>
      <c r="DF833">
        <v>0</v>
      </c>
      <c r="DG833">
        <v>0</v>
      </c>
      <c r="DH833">
        <v>0</v>
      </c>
      <c r="DI833">
        <v>0</v>
      </c>
    </row>
    <row r="834" spans="1:113" x14ac:dyDescent="0.3">
      <c r="A834" t="str">
        <f>"02/13/2022 18:40:05.166"</f>
        <v>02/13/2022 18:40:05.166</v>
      </c>
      <c r="C834" t="str">
        <f t="shared" si="81"/>
        <v>FFDFD7C0</v>
      </c>
      <c r="D834" t="s">
        <v>113</v>
      </c>
      <c r="E834">
        <v>3</v>
      </c>
      <c r="F834">
        <v>1003</v>
      </c>
      <c r="G834" t="s">
        <v>114</v>
      </c>
      <c r="J834" t="s">
        <v>115</v>
      </c>
      <c r="K834">
        <v>0</v>
      </c>
      <c r="L834">
        <v>3</v>
      </c>
      <c r="M834">
        <v>0</v>
      </c>
      <c r="N834">
        <v>2</v>
      </c>
      <c r="O834">
        <v>1</v>
      </c>
      <c r="P834">
        <v>0</v>
      </c>
      <c r="Q834">
        <v>0</v>
      </c>
      <c r="S834" t="str">
        <f t="shared" si="85"/>
        <v>18:40:04.953</v>
      </c>
      <c r="T834" t="str">
        <f t="shared" si="85"/>
        <v>18:40:04.953</v>
      </c>
      <c r="U834" t="str">
        <f t="shared" ref="U834:U897" si="86">"AAB6EE"</f>
        <v>AAB6EE</v>
      </c>
      <c r="V834">
        <v>0</v>
      </c>
      <c r="W834">
        <v>0</v>
      </c>
      <c r="X834">
        <v>4</v>
      </c>
      <c r="Z834">
        <v>0</v>
      </c>
      <c r="AA834">
        <v>8</v>
      </c>
      <c r="AB834">
        <v>3</v>
      </c>
      <c r="AC834">
        <v>0</v>
      </c>
      <c r="AD834">
        <v>10</v>
      </c>
      <c r="AE834">
        <v>0</v>
      </c>
      <c r="AF834">
        <v>0</v>
      </c>
      <c r="AG834">
        <v>2</v>
      </c>
      <c r="AH834">
        <v>1</v>
      </c>
      <c r="AI834" t="s">
        <v>677</v>
      </c>
      <c r="AJ834">
        <v>35.347051999999998</v>
      </c>
      <c r="AK834" t="s">
        <v>678</v>
      </c>
      <c r="AL834">
        <v>-76.141434000000004</v>
      </c>
      <c r="AM834">
        <v>25</v>
      </c>
      <c r="AN834">
        <v>3450</v>
      </c>
      <c r="AO834" t="s">
        <v>118</v>
      </c>
      <c r="AP834">
        <v>-104</v>
      </c>
      <c r="AQ834">
        <v>-196</v>
      </c>
      <c r="AR834">
        <v>0</v>
      </c>
      <c r="AZ834">
        <v>4516</v>
      </c>
      <c r="BA834">
        <v>1</v>
      </c>
      <c r="BB834" t="str">
        <f t="shared" si="82"/>
        <v xml:space="preserve">N79NX   </v>
      </c>
      <c r="BC834">
        <v>1</v>
      </c>
      <c r="BE834">
        <v>0</v>
      </c>
      <c r="BF834">
        <v>0</v>
      </c>
      <c r="BG834">
        <v>0</v>
      </c>
      <c r="BH834">
        <v>3275</v>
      </c>
      <c r="BI834">
        <v>0</v>
      </c>
      <c r="BJ834">
        <v>0</v>
      </c>
      <c r="BK834">
        <v>0</v>
      </c>
      <c r="BL834">
        <v>0</v>
      </c>
      <c r="BO834">
        <v>0</v>
      </c>
      <c r="BP834">
        <v>0</v>
      </c>
      <c r="BW834" t="str">
        <f>"18:40:04.961"</f>
        <v>18:40:04.961</v>
      </c>
      <c r="BZ834">
        <v>0</v>
      </c>
      <c r="CA834">
        <v>3488</v>
      </c>
      <c r="CB834">
        <v>216</v>
      </c>
      <c r="CC834">
        <v>583.59379999999999</v>
      </c>
      <c r="CD834">
        <v>1</v>
      </c>
      <c r="CE834">
        <v>1</v>
      </c>
      <c r="CF834">
        <v>0</v>
      </c>
      <c r="CG834">
        <v>1</v>
      </c>
      <c r="CH834">
        <v>0</v>
      </c>
      <c r="CI834">
        <v>0</v>
      </c>
      <c r="CJ834">
        <v>0</v>
      </c>
      <c r="CK834">
        <v>2</v>
      </c>
      <c r="CL834">
        <v>0</v>
      </c>
      <c r="CM834">
        <v>2</v>
      </c>
      <c r="CN834">
        <v>0</v>
      </c>
      <c r="CO834">
        <v>5</v>
      </c>
      <c r="CP834" t="s">
        <v>119</v>
      </c>
      <c r="CQ834">
        <v>145</v>
      </c>
      <c r="CR834">
        <v>1</v>
      </c>
      <c r="CW834">
        <v>8980456</v>
      </c>
      <c r="CY834">
        <v>0</v>
      </c>
      <c r="CZ834">
        <v>0</v>
      </c>
      <c r="DA834">
        <v>1</v>
      </c>
      <c r="DB834">
        <v>0</v>
      </c>
      <c r="DC834">
        <v>0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0</v>
      </c>
    </row>
    <row r="835" spans="1:113" x14ac:dyDescent="0.3">
      <c r="A835" t="str">
        <f>"02/13/2022 18:40:05.166"</f>
        <v>02/13/2022 18:40:05.166</v>
      </c>
      <c r="C835" t="str">
        <f t="shared" si="81"/>
        <v>FFDFD7C0</v>
      </c>
      <c r="D835" t="s">
        <v>113</v>
      </c>
      <c r="E835">
        <v>4</v>
      </c>
      <c r="F835">
        <v>1004</v>
      </c>
      <c r="G835" t="s">
        <v>120</v>
      </c>
      <c r="J835" t="s">
        <v>115</v>
      </c>
      <c r="K835">
        <v>0</v>
      </c>
      <c r="L835">
        <v>3</v>
      </c>
      <c r="M835">
        <v>0</v>
      </c>
      <c r="N835">
        <v>2</v>
      </c>
      <c r="O835">
        <v>1</v>
      </c>
      <c r="P835">
        <v>0</v>
      </c>
      <c r="Q835">
        <v>0</v>
      </c>
      <c r="S835" t="str">
        <f t="shared" si="85"/>
        <v>18:40:04.953</v>
      </c>
      <c r="T835" t="str">
        <f t="shared" si="85"/>
        <v>18:40:04.953</v>
      </c>
      <c r="U835" t="str">
        <f t="shared" si="86"/>
        <v>AAB6EE</v>
      </c>
      <c r="V835">
        <v>0</v>
      </c>
      <c r="W835">
        <v>0</v>
      </c>
      <c r="X835">
        <v>4</v>
      </c>
      <c r="Z835">
        <v>0</v>
      </c>
      <c r="AA835">
        <v>8</v>
      </c>
      <c r="AB835">
        <v>3</v>
      </c>
      <c r="AC835">
        <v>0</v>
      </c>
      <c r="AD835">
        <v>10</v>
      </c>
      <c r="AE835">
        <v>0</v>
      </c>
      <c r="AF835">
        <v>0</v>
      </c>
      <c r="AG835">
        <v>2</v>
      </c>
      <c r="AH835">
        <v>1</v>
      </c>
      <c r="AI835" t="s">
        <v>677</v>
      </c>
      <c r="AJ835">
        <v>35.347051999999998</v>
      </c>
      <c r="AK835" t="s">
        <v>678</v>
      </c>
      <c r="AL835">
        <v>-76.141434000000004</v>
      </c>
      <c r="AM835">
        <v>25</v>
      </c>
      <c r="AN835">
        <v>3450</v>
      </c>
      <c r="AO835" t="s">
        <v>118</v>
      </c>
      <c r="AP835">
        <v>-104</v>
      </c>
      <c r="AQ835">
        <v>-196</v>
      </c>
      <c r="AR835">
        <v>0</v>
      </c>
      <c r="AZ835">
        <v>4516</v>
      </c>
      <c r="BA835">
        <v>1</v>
      </c>
      <c r="BB835" t="str">
        <f t="shared" si="82"/>
        <v xml:space="preserve">N79NX   </v>
      </c>
      <c r="BC835">
        <v>1</v>
      </c>
      <c r="BE835">
        <v>0</v>
      </c>
      <c r="BF835">
        <v>0</v>
      </c>
      <c r="BG835">
        <v>0</v>
      </c>
      <c r="BH835">
        <v>3275</v>
      </c>
      <c r="BI835">
        <v>0</v>
      </c>
      <c r="BJ835">
        <v>0</v>
      </c>
      <c r="BK835">
        <v>0</v>
      </c>
      <c r="BL835">
        <v>0</v>
      </c>
      <c r="BO835">
        <v>0</v>
      </c>
      <c r="BP835">
        <v>0</v>
      </c>
      <c r="BW835" t="str">
        <f>"18:40:04.961"</f>
        <v>18:40:04.961</v>
      </c>
      <c r="BZ835">
        <v>0</v>
      </c>
      <c r="CA835">
        <v>3488</v>
      </c>
      <c r="CB835">
        <v>216</v>
      </c>
      <c r="CC835">
        <v>583.59379999999999</v>
      </c>
      <c r="CD835">
        <v>1</v>
      </c>
      <c r="CE835">
        <v>1</v>
      </c>
      <c r="CF835">
        <v>0</v>
      </c>
      <c r="CG835">
        <v>1</v>
      </c>
      <c r="CH835">
        <v>0</v>
      </c>
      <c r="CI835">
        <v>0</v>
      </c>
      <c r="CJ835">
        <v>0</v>
      </c>
      <c r="CK835">
        <v>2</v>
      </c>
      <c r="CL835">
        <v>0</v>
      </c>
      <c r="CM835">
        <v>2</v>
      </c>
      <c r="CN835">
        <v>0</v>
      </c>
      <c r="CO835">
        <v>5</v>
      </c>
      <c r="CP835" t="s">
        <v>119</v>
      </c>
      <c r="CQ835">
        <v>145</v>
      </c>
      <c r="CR835">
        <v>1</v>
      </c>
      <c r="CW835">
        <v>8980456</v>
      </c>
      <c r="CY835">
        <v>0</v>
      </c>
      <c r="CZ835">
        <v>0</v>
      </c>
      <c r="DA835">
        <v>1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</row>
    <row r="836" spans="1:113" x14ac:dyDescent="0.3">
      <c r="A836" t="str">
        <f>"02/13/2022 18:40:06.340"</f>
        <v>02/13/2022 18:40:06.340</v>
      </c>
      <c r="C836" t="str">
        <f t="shared" si="81"/>
        <v>FFDFD7C0</v>
      </c>
      <c r="D836" t="s">
        <v>121</v>
      </c>
      <c r="E836">
        <v>2</v>
      </c>
      <c r="H836">
        <v>158</v>
      </c>
      <c r="I836" t="s">
        <v>120</v>
      </c>
      <c r="J836" t="s">
        <v>122</v>
      </c>
      <c r="K836">
        <v>0</v>
      </c>
      <c r="L836">
        <v>3</v>
      </c>
      <c r="M836">
        <v>0</v>
      </c>
      <c r="N836">
        <v>2</v>
      </c>
      <c r="O836">
        <v>1</v>
      </c>
      <c r="P836">
        <v>0</v>
      </c>
      <c r="Q836">
        <v>0</v>
      </c>
      <c r="S836" t="str">
        <f>"18:40:06.109"</f>
        <v>18:40:06.109</v>
      </c>
      <c r="T836" t="str">
        <f>"18:40:05.809"</f>
        <v>18:40:05.809</v>
      </c>
      <c r="U836" t="str">
        <f t="shared" si="86"/>
        <v>AAB6EE</v>
      </c>
      <c r="V836">
        <v>0</v>
      </c>
      <c r="W836">
        <v>0</v>
      </c>
      <c r="X836">
        <v>4</v>
      </c>
      <c r="Z836">
        <v>0</v>
      </c>
      <c r="AA836">
        <v>8</v>
      </c>
      <c r="AB836">
        <v>3</v>
      </c>
      <c r="AC836">
        <v>0</v>
      </c>
      <c r="AD836">
        <v>10</v>
      </c>
      <c r="AE836">
        <v>0</v>
      </c>
      <c r="AF836">
        <v>0</v>
      </c>
      <c r="AG836">
        <v>2</v>
      </c>
      <c r="AH836">
        <v>1</v>
      </c>
      <c r="AI836" t="s">
        <v>679</v>
      </c>
      <c r="AJ836">
        <v>35.345956999999999</v>
      </c>
      <c r="AK836" t="s">
        <v>680</v>
      </c>
      <c r="AL836">
        <v>-76.142120000000006</v>
      </c>
      <c r="AM836">
        <v>25</v>
      </c>
      <c r="AN836">
        <v>3450</v>
      </c>
      <c r="AO836" t="s">
        <v>118</v>
      </c>
      <c r="AP836">
        <v>-104</v>
      </c>
      <c r="AQ836">
        <v>-196</v>
      </c>
      <c r="AR836">
        <v>0</v>
      </c>
      <c r="AZ836">
        <v>4516</v>
      </c>
      <c r="BA836">
        <v>1</v>
      </c>
      <c r="BB836" t="str">
        <f t="shared" si="82"/>
        <v xml:space="preserve">N79NX   </v>
      </c>
      <c r="BC836">
        <v>1</v>
      </c>
      <c r="BE836">
        <v>0</v>
      </c>
      <c r="BF836">
        <v>0</v>
      </c>
      <c r="BG836">
        <v>0</v>
      </c>
      <c r="BH836">
        <v>3300</v>
      </c>
      <c r="BI836">
        <v>0</v>
      </c>
      <c r="BJ836">
        <v>0</v>
      </c>
      <c r="BK836">
        <v>0</v>
      </c>
      <c r="BL836">
        <v>0</v>
      </c>
      <c r="BO836">
        <v>0</v>
      </c>
      <c r="BP836">
        <v>0</v>
      </c>
      <c r="BW836" t="str">
        <f>"18:40:06.111"</f>
        <v>18:40:06.111</v>
      </c>
      <c r="BZ836">
        <v>0</v>
      </c>
      <c r="CA836">
        <v>3488</v>
      </c>
      <c r="CB836">
        <v>216</v>
      </c>
      <c r="CC836">
        <v>583.59379999999999</v>
      </c>
      <c r="CD836">
        <v>1</v>
      </c>
      <c r="CE836">
        <v>1</v>
      </c>
      <c r="CF836">
        <v>0</v>
      </c>
      <c r="CG836">
        <v>1</v>
      </c>
      <c r="CH836">
        <v>0</v>
      </c>
      <c r="CI836">
        <v>0</v>
      </c>
      <c r="CJ836">
        <v>0</v>
      </c>
      <c r="CK836">
        <v>2</v>
      </c>
      <c r="CL836">
        <v>0</v>
      </c>
      <c r="CM836">
        <v>2</v>
      </c>
      <c r="CN836">
        <v>0</v>
      </c>
      <c r="CO836">
        <v>5</v>
      </c>
      <c r="CP836" t="s">
        <v>119</v>
      </c>
      <c r="CQ836">
        <v>145</v>
      </c>
      <c r="CR836">
        <v>1</v>
      </c>
      <c r="CW836">
        <v>8980998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</row>
    <row r="837" spans="1:113" x14ac:dyDescent="0.3">
      <c r="A837" t="str">
        <f>"02/13/2022 18:40:06.340"</f>
        <v>02/13/2022 18:40:06.340</v>
      </c>
      <c r="C837" t="str">
        <f t="shared" ref="C837:C900" si="87">"FFDFD7C0"</f>
        <v>FFDFD7C0</v>
      </c>
      <c r="D837" t="s">
        <v>113</v>
      </c>
      <c r="E837">
        <v>3</v>
      </c>
      <c r="F837">
        <v>1003</v>
      </c>
      <c r="G837" t="s">
        <v>114</v>
      </c>
      <c r="J837" t="s">
        <v>115</v>
      </c>
      <c r="K837">
        <v>0</v>
      </c>
      <c r="L837">
        <v>3</v>
      </c>
      <c r="M837">
        <v>0</v>
      </c>
      <c r="N837">
        <v>2</v>
      </c>
      <c r="O837">
        <v>1</v>
      </c>
      <c r="P837">
        <v>0</v>
      </c>
      <c r="Q837">
        <v>0</v>
      </c>
      <c r="S837" t="str">
        <f>"18:40:06.109"</f>
        <v>18:40:06.109</v>
      </c>
      <c r="T837" t="str">
        <f>"18:40:05.809"</f>
        <v>18:40:05.809</v>
      </c>
      <c r="U837" t="str">
        <f t="shared" si="86"/>
        <v>AAB6EE</v>
      </c>
      <c r="V837">
        <v>0</v>
      </c>
      <c r="W837">
        <v>0</v>
      </c>
      <c r="X837">
        <v>4</v>
      </c>
      <c r="Z837">
        <v>0</v>
      </c>
      <c r="AA837">
        <v>8</v>
      </c>
      <c r="AB837">
        <v>3</v>
      </c>
      <c r="AC837">
        <v>0</v>
      </c>
      <c r="AD837">
        <v>10</v>
      </c>
      <c r="AE837">
        <v>0</v>
      </c>
      <c r="AF837">
        <v>0</v>
      </c>
      <c r="AG837">
        <v>2</v>
      </c>
      <c r="AH837">
        <v>1</v>
      </c>
      <c r="AI837" t="s">
        <v>679</v>
      </c>
      <c r="AJ837">
        <v>35.345956999999999</v>
      </c>
      <c r="AK837" t="s">
        <v>680</v>
      </c>
      <c r="AL837">
        <v>-76.142120000000006</v>
      </c>
      <c r="AM837">
        <v>25</v>
      </c>
      <c r="AN837">
        <v>3450</v>
      </c>
      <c r="AO837" t="s">
        <v>118</v>
      </c>
      <c r="AP837">
        <v>-104</v>
      </c>
      <c r="AQ837">
        <v>-196</v>
      </c>
      <c r="AR837">
        <v>0</v>
      </c>
      <c r="AZ837">
        <v>4516</v>
      </c>
      <c r="BA837">
        <v>1</v>
      </c>
      <c r="BB837" t="str">
        <f t="shared" ref="BB837:BB900" si="88">"N79NX   "</f>
        <v xml:space="preserve">N79NX   </v>
      </c>
      <c r="BC837">
        <v>1</v>
      </c>
      <c r="BE837">
        <v>0</v>
      </c>
      <c r="BF837">
        <v>0</v>
      </c>
      <c r="BG837">
        <v>0</v>
      </c>
      <c r="BH837">
        <v>3300</v>
      </c>
      <c r="BI837">
        <v>0</v>
      </c>
      <c r="BJ837">
        <v>0</v>
      </c>
      <c r="BK837">
        <v>0</v>
      </c>
      <c r="BL837">
        <v>0</v>
      </c>
      <c r="BO837">
        <v>0</v>
      </c>
      <c r="BP837">
        <v>0</v>
      </c>
      <c r="BW837" t="str">
        <f>"18:40:06.111"</f>
        <v>18:40:06.111</v>
      </c>
      <c r="BZ837">
        <v>0</v>
      </c>
      <c r="CA837">
        <v>3488</v>
      </c>
      <c r="CB837">
        <v>216</v>
      </c>
      <c r="CC837">
        <v>583.59379999999999</v>
      </c>
      <c r="CD837">
        <v>1</v>
      </c>
      <c r="CE837">
        <v>1</v>
      </c>
      <c r="CF837">
        <v>0</v>
      </c>
      <c r="CG837">
        <v>1</v>
      </c>
      <c r="CH837">
        <v>0</v>
      </c>
      <c r="CI837">
        <v>0</v>
      </c>
      <c r="CJ837">
        <v>0</v>
      </c>
      <c r="CK837">
        <v>2</v>
      </c>
      <c r="CL837">
        <v>0</v>
      </c>
      <c r="CM837">
        <v>2</v>
      </c>
      <c r="CN837">
        <v>0</v>
      </c>
      <c r="CO837">
        <v>5</v>
      </c>
      <c r="CP837" t="s">
        <v>119</v>
      </c>
      <c r="CQ837">
        <v>145</v>
      </c>
      <c r="CR837">
        <v>1</v>
      </c>
      <c r="CW837">
        <v>8980998</v>
      </c>
      <c r="CY837">
        <v>0</v>
      </c>
      <c r="CZ837">
        <v>0</v>
      </c>
      <c r="DA837">
        <v>1</v>
      </c>
      <c r="DB837">
        <v>0</v>
      </c>
      <c r="DC837">
        <v>0</v>
      </c>
      <c r="DD837">
        <v>0</v>
      </c>
      <c r="DE837">
        <v>0</v>
      </c>
      <c r="DF837">
        <v>0</v>
      </c>
      <c r="DG837">
        <v>0</v>
      </c>
      <c r="DH837">
        <v>0</v>
      </c>
      <c r="DI837">
        <v>0</v>
      </c>
    </row>
    <row r="838" spans="1:113" x14ac:dyDescent="0.3">
      <c r="A838" t="str">
        <f>"02/13/2022 18:40:06.340"</f>
        <v>02/13/2022 18:40:06.340</v>
      </c>
      <c r="C838" t="str">
        <f t="shared" si="87"/>
        <v>FFDFD7C0</v>
      </c>
      <c r="D838" t="s">
        <v>113</v>
      </c>
      <c r="E838">
        <v>4</v>
      </c>
      <c r="F838">
        <v>1004</v>
      </c>
      <c r="G838" t="s">
        <v>120</v>
      </c>
      <c r="J838" t="s">
        <v>115</v>
      </c>
      <c r="K838">
        <v>0</v>
      </c>
      <c r="L838">
        <v>3</v>
      </c>
      <c r="M838">
        <v>0</v>
      </c>
      <c r="N838">
        <v>2</v>
      </c>
      <c r="O838">
        <v>1</v>
      </c>
      <c r="P838">
        <v>0</v>
      </c>
      <c r="Q838">
        <v>0</v>
      </c>
      <c r="S838" t="str">
        <f>"18:40:06.109"</f>
        <v>18:40:06.109</v>
      </c>
      <c r="T838" t="str">
        <f>"18:40:05.809"</f>
        <v>18:40:05.809</v>
      </c>
      <c r="U838" t="str">
        <f t="shared" si="86"/>
        <v>AAB6EE</v>
      </c>
      <c r="V838">
        <v>0</v>
      </c>
      <c r="W838">
        <v>0</v>
      </c>
      <c r="X838">
        <v>4</v>
      </c>
      <c r="Z838">
        <v>0</v>
      </c>
      <c r="AA838">
        <v>8</v>
      </c>
      <c r="AB838">
        <v>3</v>
      </c>
      <c r="AC838">
        <v>0</v>
      </c>
      <c r="AD838">
        <v>10</v>
      </c>
      <c r="AE838">
        <v>0</v>
      </c>
      <c r="AF838">
        <v>0</v>
      </c>
      <c r="AG838">
        <v>2</v>
      </c>
      <c r="AH838">
        <v>1</v>
      </c>
      <c r="AI838" t="s">
        <v>679</v>
      </c>
      <c r="AJ838">
        <v>35.345956999999999</v>
      </c>
      <c r="AK838" t="s">
        <v>680</v>
      </c>
      <c r="AL838">
        <v>-76.142120000000006</v>
      </c>
      <c r="AM838">
        <v>25</v>
      </c>
      <c r="AN838">
        <v>3450</v>
      </c>
      <c r="AO838" t="s">
        <v>118</v>
      </c>
      <c r="AP838">
        <v>-104</v>
      </c>
      <c r="AQ838">
        <v>-196</v>
      </c>
      <c r="AR838">
        <v>0</v>
      </c>
      <c r="AZ838">
        <v>4516</v>
      </c>
      <c r="BA838">
        <v>1</v>
      </c>
      <c r="BB838" t="str">
        <f t="shared" si="88"/>
        <v xml:space="preserve">N79NX   </v>
      </c>
      <c r="BC838">
        <v>1</v>
      </c>
      <c r="BE838">
        <v>0</v>
      </c>
      <c r="BF838">
        <v>0</v>
      </c>
      <c r="BG838">
        <v>0</v>
      </c>
      <c r="BH838">
        <v>3300</v>
      </c>
      <c r="BI838">
        <v>0</v>
      </c>
      <c r="BJ838">
        <v>0</v>
      </c>
      <c r="BK838">
        <v>0</v>
      </c>
      <c r="BL838">
        <v>0</v>
      </c>
      <c r="BO838">
        <v>0</v>
      </c>
      <c r="BP838">
        <v>0</v>
      </c>
      <c r="BW838" t="str">
        <f>"18:40:06.111"</f>
        <v>18:40:06.111</v>
      </c>
      <c r="BZ838">
        <v>0</v>
      </c>
      <c r="CA838">
        <v>3488</v>
      </c>
      <c r="CB838">
        <v>216</v>
      </c>
      <c r="CC838">
        <v>583.59379999999999</v>
      </c>
      <c r="CD838">
        <v>1</v>
      </c>
      <c r="CE838">
        <v>1</v>
      </c>
      <c r="CF838">
        <v>0</v>
      </c>
      <c r="CG838">
        <v>1</v>
      </c>
      <c r="CH838">
        <v>0</v>
      </c>
      <c r="CI838">
        <v>0</v>
      </c>
      <c r="CJ838">
        <v>0</v>
      </c>
      <c r="CK838">
        <v>2</v>
      </c>
      <c r="CL838">
        <v>0</v>
      </c>
      <c r="CM838">
        <v>2</v>
      </c>
      <c r="CN838">
        <v>0</v>
      </c>
      <c r="CO838">
        <v>5</v>
      </c>
      <c r="CP838" t="s">
        <v>119</v>
      </c>
      <c r="CQ838">
        <v>145</v>
      </c>
      <c r="CR838">
        <v>1</v>
      </c>
      <c r="CW838">
        <v>8980998</v>
      </c>
      <c r="CY838">
        <v>0</v>
      </c>
      <c r="CZ838">
        <v>0</v>
      </c>
      <c r="DA838">
        <v>1</v>
      </c>
      <c r="DB838">
        <v>0</v>
      </c>
      <c r="DC838">
        <v>0</v>
      </c>
      <c r="DD838">
        <v>0</v>
      </c>
      <c r="DE838">
        <v>0</v>
      </c>
      <c r="DF838">
        <v>0</v>
      </c>
      <c r="DG838">
        <v>0</v>
      </c>
      <c r="DH838">
        <v>0</v>
      </c>
      <c r="DI838">
        <v>0</v>
      </c>
    </row>
    <row r="839" spans="1:113" x14ac:dyDescent="0.3">
      <c r="A839" t="str">
        <f>"02/13/2022 18:40:07.356"</f>
        <v>02/13/2022 18:40:07.356</v>
      </c>
      <c r="C839" t="str">
        <f t="shared" si="87"/>
        <v>FFDFD7C0</v>
      </c>
      <c r="D839" t="s">
        <v>121</v>
      </c>
      <c r="E839">
        <v>2</v>
      </c>
      <c r="H839">
        <v>158</v>
      </c>
      <c r="I839" t="s">
        <v>120</v>
      </c>
      <c r="J839" t="s">
        <v>122</v>
      </c>
      <c r="K839">
        <v>0</v>
      </c>
      <c r="L839">
        <v>3</v>
      </c>
      <c r="M839">
        <v>0</v>
      </c>
      <c r="N839">
        <v>2</v>
      </c>
      <c r="O839">
        <v>1</v>
      </c>
      <c r="P839">
        <v>0</v>
      </c>
      <c r="Q839">
        <v>0</v>
      </c>
      <c r="S839" t="str">
        <f>"18:40:07.117"</f>
        <v>18:40:07.117</v>
      </c>
      <c r="T839" t="str">
        <f>"18:40:06.817"</f>
        <v>18:40:06.817</v>
      </c>
      <c r="U839" t="str">
        <f t="shared" si="86"/>
        <v>AAB6EE</v>
      </c>
      <c r="V839">
        <v>0</v>
      </c>
      <c r="W839">
        <v>0</v>
      </c>
      <c r="X839">
        <v>4</v>
      </c>
      <c r="Z839">
        <v>0</v>
      </c>
      <c r="AA839">
        <v>8</v>
      </c>
      <c r="AB839">
        <v>3</v>
      </c>
      <c r="AC839">
        <v>0</v>
      </c>
      <c r="AD839">
        <v>10</v>
      </c>
      <c r="AE839">
        <v>0</v>
      </c>
      <c r="AF839">
        <v>0</v>
      </c>
      <c r="AG839">
        <v>2</v>
      </c>
      <c r="AH839">
        <v>1</v>
      </c>
      <c r="AI839" t="s">
        <v>681</v>
      </c>
      <c r="AJ839">
        <v>35.345035000000003</v>
      </c>
      <c r="AK839" t="s">
        <v>682</v>
      </c>
      <c r="AL839">
        <v>-76.142700000000005</v>
      </c>
      <c r="AM839">
        <v>25</v>
      </c>
      <c r="AN839">
        <v>3450</v>
      </c>
      <c r="AO839" t="s">
        <v>118</v>
      </c>
      <c r="AP839">
        <v>-104</v>
      </c>
      <c r="AQ839">
        <v>-196</v>
      </c>
      <c r="AR839">
        <v>-128</v>
      </c>
      <c r="AZ839">
        <v>4516</v>
      </c>
      <c r="BA839">
        <v>1</v>
      </c>
      <c r="BB839" t="str">
        <f t="shared" si="88"/>
        <v xml:space="preserve">N79NX   </v>
      </c>
      <c r="BC839">
        <v>1</v>
      </c>
      <c r="BE839">
        <v>0</v>
      </c>
      <c r="BF839">
        <v>0</v>
      </c>
      <c r="BG839">
        <v>0</v>
      </c>
      <c r="BH839">
        <v>3300</v>
      </c>
      <c r="BI839">
        <v>0</v>
      </c>
      <c r="BJ839">
        <v>0</v>
      </c>
      <c r="BK839">
        <v>0</v>
      </c>
      <c r="BL839">
        <v>0</v>
      </c>
      <c r="BO839">
        <v>0</v>
      </c>
      <c r="BP839">
        <v>0</v>
      </c>
      <c r="BW839" t="str">
        <f>"18:40:07.121"</f>
        <v>18:40:07.121</v>
      </c>
      <c r="BZ839">
        <v>0</v>
      </c>
      <c r="CA839">
        <v>3488</v>
      </c>
      <c r="CB839">
        <v>216</v>
      </c>
      <c r="CC839">
        <v>583.59379999999999</v>
      </c>
      <c r="CD839">
        <v>1</v>
      </c>
      <c r="CE839">
        <v>1</v>
      </c>
      <c r="CF839">
        <v>0</v>
      </c>
      <c r="CG839">
        <v>1</v>
      </c>
      <c r="CH839">
        <v>0</v>
      </c>
      <c r="CI839">
        <v>0</v>
      </c>
      <c r="CJ839">
        <v>0</v>
      </c>
      <c r="CK839">
        <v>2</v>
      </c>
      <c r="CL839">
        <v>0</v>
      </c>
      <c r="CM839">
        <v>2</v>
      </c>
      <c r="CN839">
        <v>0</v>
      </c>
      <c r="CO839">
        <v>5</v>
      </c>
      <c r="CP839" t="s">
        <v>119</v>
      </c>
      <c r="CQ839">
        <v>145</v>
      </c>
      <c r="CR839">
        <v>1</v>
      </c>
      <c r="CW839">
        <v>8981516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0</v>
      </c>
      <c r="DE839">
        <v>0</v>
      </c>
      <c r="DF839">
        <v>0</v>
      </c>
      <c r="DG839">
        <v>0</v>
      </c>
      <c r="DH839">
        <v>0</v>
      </c>
      <c r="DI839">
        <v>0</v>
      </c>
    </row>
    <row r="840" spans="1:113" x14ac:dyDescent="0.3">
      <c r="A840" t="str">
        <f>"02/13/2022 18:40:07.356"</f>
        <v>02/13/2022 18:40:07.356</v>
      </c>
      <c r="C840" t="str">
        <f t="shared" si="87"/>
        <v>FFDFD7C0</v>
      </c>
      <c r="D840" t="s">
        <v>113</v>
      </c>
      <c r="E840">
        <v>3</v>
      </c>
      <c r="F840">
        <v>1003</v>
      </c>
      <c r="G840" t="s">
        <v>114</v>
      </c>
      <c r="J840" t="s">
        <v>115</v>
      </c>
      <c r="K840">
        <v>0</v>
      </c>
      <c r="L840">
        <v>3</v>
      </c>
      <c r="M840">
        <v>0</v>
      </c>
      <c r="N840">
        <v>2</v>
      </c>
      <c r="O840">
        <v>1</v>
      </c>
      <c r="P840">
        <v>0</v>
      </c>
      <c r="Q840">
        <v>0</v>
      </c>
      <c r="S840" t="str">
        <f>"18:40:07.117"</f>
        <v>18:40:07.117</v>
      </c>
      <c r="T840" t="str">
        <f>"18:40:06.817"</f>
        <v>18:40:06.817</v>
      </c>
      <c r="U840" t="str">
        <f t="shared" si="86"/>
        <v>AAB6EE</v>
      </c>
      <c r="V840">
        <v>0</v>
      </c>
      <c r="W840">
        <v>0</v>
      </c>
      <c r="X840">
        <v>4</v>
      </c>
      <c r="Z840">
        <v>0</v>
      </c>
      <c r="AA840">
        <v>8</v>
      </c>
      <c r="AB840">
        <v>3</v>
      </c>
      <c r="AC840">
        <v>0</v>
      </c>
      <c r="AD840">
        <v>10</v>
      </c>
      <c r="AE840">
        <v>0</v>
      </c>
      <c r="AF840">
        <v>0</v>
      </c>
      <c r="AG840">
        <v>2</v>
      </c>
      <c r="AH840">
        <v>1</v>
      </c>
      <c r="AI840" t="s">
        <v>681</v>
      </c>
      <c r="AJ840">
        <v>35.345035000000003</v>
      </c>
      <c r="AK840" t="s">
        <v>682</v>
      </c>
      <c r="AL840">
        <v>-76.142700000000005</v>
      </c>
      <c r="AM840">
        <v>25</v>
      </c>
      <c r="AN840">
        <v>3450</v>
      </c>
      <c r="AO840" t="s">
        <v>118</v>
      </c>
      <c r="AP840">
        <v>-104</v>
      </c>
      <c r="AQ840">
        <v>-196</v>
      </c>
      <c r="AR840">
        <v>-128</v>
      </c>
      <c r="AZ840">
        <v>4516</v>
      </c>
      <c r="BA840">
        <v>1</v>
      </c>
      <c r="BB840" t="str">
        <f t="shared" si="88"/>
        <v xml:space="preserve">N79NX   </v>
      </c>
      <c r="BC840">
        <v>1</v>
      </c>
      <c r="BE840">
        <v>0</v>
      </c>
      <c r="BF840">
        <v>0</v>
      </c>
      <c r="BG840">
        <v>0</v>
      </c>
      <c r="BH840">
        <v>3300</v>
      </c>
      <c r="BI840">
        <v>0</v>
      </c>
      <c r="BJ840">
        <v>0</v>
      </c>
      <c r="BK840">
        <v>0</v>
      </c>
      <c r="BL840">
        <v>0</v>
      </c>
      <c r="BO840">
        <v>0</v>
      </c>
      <c r="BP840">
        <v>0</v>
      </c>
      <c r="BW840" t="str">
        <f>"18:40:07.121"</f>
        <v>18:40:07.121</v>
      </c>
      <c r="BZ840">
        <v>0</v>
      </c>
      <c r="CA840">
        <v>3488</v>
      </c>
      <c r="CB840">
        <v>216</v>
      </c>
      <c r="CC840">
        <v>583.59379999999999</v>
      </c>
      <c r="CD840">
        <v>1</v>
      </c>
      <c r="CE840">
        <v>1</v>
      </c>
      <c r="CF840">
        <v>0</v>
      </c>
      <c r="CG840">
        <v>1</v>
      </c>
      <c r="CH840">
        <v>0</v>
      </c>
      <c r="CI840">
        <v>0</v>
      </c>
      <c r="CJ840">
        <v>0</v>
      </c>
      <c r="CK840">
        <v>2</v>
      </c>
      <c r="CL840">
        <v>0</v>
      </c>
      <c r="CM840">
        <v>2</v>
      </c>
      <c r="CN840">
        <v>0</v>
      </c>
      <c r="CO840">
        <v>5</v>
      </c>
      <c r="CP840" t="s">
        <v>119</v>
      </c>
      <c r="CQ840">
        <v>145</v>
      </c>
      <c r="CR840">
        <v>1</v>
      </c>
      <c r="CW840">
        <v>8981516</v>
      </c>
      <c r="CY840">
        <v>0</v>
      </c>
      <c r="CZ840">
        <v>0</v>
      </c>
      <c r="DA840">
        <v>1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0</v>
      </c>
      <c r="DH840">
        <v>0</v>
      </c>
      <c r="DI840">
        <v>0</v>
      </c>
    </row>
    <row r="841" spans="1:113" x14ac:dyDescent="0.3">
      <c r="A841" t="str">
        <f>"02/13/2022 18:40:07.356"</f>
        <v>02/13/2022 18:40:07.356</v>
      </c>
      <c r="C841" t="str">
        <f t="shared" si="87"/>
        <v>FFDFD7C0</v>
      </c>
      <c r="D841" t="s">
        <v>113</v>
      </c>
      <c r="E841">
        <v>4</v>
      </c>
      <c r="F841">
        <v>1004</v>
      </c>
      <c r="G841" t="s">
        <v>120</v>
      </c>
      <c r="J841" t="s">
        <v>115</v>
      </c>
      <c r="K841">
        <v>0</v>
      </c>
      <c r="L841">
        <v>3</v>
      </c>
      <c r="M841">
        <v>0</v>
      </c>
      <c r="N841">
        <v>2</v>
      </c>
      <c r="O841">
        <v>1</v>
      </c>
      <c r="P841">
        <v>0</v>
      </c>
      <c r="Q841">
        <v>0</v>
      </c>
      <c r="S841" t="str">
        <f>"18:40:07.117"</f>
        <v>18:40:07.117</v>
      </c>
      <c r="T841" t="str">
        <f>"18:40:06.817"</f>
        <v>18:40:06.817</v>
      </c>
      <c r="U841" t="str">
        <f t="shared" si="86"/>
        <v>AAB6EE</v>
      </c>
      <c r="V841">
        <v>0</v>
      </c>
      <c r="W841">
        <v>0</v>
      </c>
      <c r="X841">
        <v>4</v>
      </c>
      <c r="Z841">
        <v>0</v>
      </c>
      <c r="AA841">
        <v>8</v>
      </c>
      <c r="AB841">
        <v>3</v>
      </c>
      <c r="AC841">
        <v>0</v>
      </c>
      <c r="AD841">
        <v>10</v>
      </c>
      <c r="AE841">
        <v>0</v>
      </c>
      <c r="AF841">
        <v>0</v>
      </c>
      <c r="AG841">
        <v>2</v>
      </c>
      <c r="AH841">
        <v>1</v>
      </c>
      <c r="AI841" t="s">
        <v>681</v>
      </c>
      <c r="AJ841">
        <v>35.345035000000003</v>
      </c>
      <c r="AK841" t="s">
        <v>682</v>
      </c>
      <c r="AL841">
        <v>-76.142700000000005</v>
      </c>
      <c r="AM841">
        <v>25</v>
      </c>
      <c r="AN841">
        <v>3450</v>
      </c>
      <c r="AO841" t="s">
        <v>118</v>
      </c>
      <c r="AP841">
        <v>-104</v>
      </c>
      <c r="AQ841">
        <v>-196</v>
      </c>
      <c r="AR841">
        <v>-128</v>
      </c>
      <c r="AZ841">
        <v>4516</v>
      </c>
      <c r="BA841">
        <v>1</v>
      </c>
      <c r="BB841" t="str">
        <f t="shared" si="88"/>
        <v xml:space="preserve">N79NX   </v>
      </c>
      <c r="BC841">
        <v>1</v>
      </c>
      <c r="BE841">
        <v>0</v>
      </c>
      <c r="BF841">
        <v>0</v>
      </c>
      <c r="BG841">
        <v>0</v>
      </c>
      <c r="BH841">
        <v>3300</v>
      </c>
      <c r="BI841">
        <v>0</v>
      </c>
      <c r="BJ841">
        <v>0</v>
      </c>
      <c r="BK841">
        <v>0</v>
      </c>
      <c r="BL841">
        <v>0</v>
      </c>
      <c r="BO841">
        <v>0</v>
      </c>
      <c r="BP841">
        <v>0</v>
      </c>
      <c r="BW841" t="str">
        <f>"18:40:07.121"</f>
        <v>18:40:07.121</v>
      </c>
      <c r="BZ841">
        <v>0</v>
      </c>
      <c r="CA841">
        <v>3488</v>
      </c>
      <c r="CB841">
        <v>216</v>
      </c>
      <c r="CC841">
        <v>583.59379999999999</v>
      </c>
      <c r="CD841">
        <v>1</v>
      </c>
      <c r="CE841">
        <v>1</v>
      </c>
      <c r="CF841">
        <v>0</v>
      </c>
      <c r="CG841">
        <v>1</v>
      </c>
      <c r="CH841">
        <v>0</v>
      </c>
      <c r="CI841">
        <v>0</v>
      </c>
      <c r="CJ841">
        <v>0</v>
      </c>
      <c r="CK841">
        <v>2</v>
      </c>
      <c r="CL841">
        <v>0</v>
      </c>
      <c r="CM841">
        <v>2</v>
      </c>
      <c r="CN841">
        <v>0</v>
      </c>
      <c r="CO841">
        <v>5</v>
      </c>
      <c r="CP841" t="s">
        <v>119</v>
      </c>
      <c r="CQ841">
        <v>145</v>
      </c>
      <c r="CR841">
        <v>1</v>
      </c>
      <c r="CW841">
        <v>8981516</v>
      </c>
      <c r="CY841">
        <v>0</v>
      </c>
      <c r="CZ841">
        <v>0</v>
      </c>
      <c r="DA841">
        <v>1</v>
      </c>
      <c r="DB841">
        <v>0</v>
      </c>
      <c r="DC841">
        <v>0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</row>
    <row r="842" spans="1:113" x14ac:dyDescent="0.3">
      <c r="A842" t="str">
        <f>"02/13/2022 18:40:08.544"</f>
        <v>02/13/2022 18:40:08.544</v>
      </c>
      <c r="C842" t="str">
        <f t="shared" si="87"/>
        <v>FFDFD7C0</v>
      </c>
      <c r="D842" t="s">
        <v>121</v>
      </c>
      <c r="E842">
        <v>2</v>
      </c>
      <c r="H842">
        <v>158</v>
      </c>
      <c r="I842" t="s">
        <v>120</v>
      </c>
      <c r="J842" t="s">
        <v>122</v>
      </c>
      <c r="K842">
        <v>0</v>
      </c>
      <c r="L842">
        <v>3</v>
      </c>
      <c r="M842">
        <v>0</v>
      </c>
      <c r="N842">
        <v>2</v>
      </c>
      <c r="O842">
        <v>1</v>
      </c>
      <c r="P842">
        <v>0</v>
      </c>
      <c r="Q842">
        <v>0</v>
      </c>
      <c r="S842" t="str">
        <f>"18:40:08.273"</f>
        <v>18:40:08.273</v>
      </c>
      <c r="T842" t="str">
        <f>"18:40:08.073"</f>
        <v>18:40:08.073</v>
      </c>
      <c r="U842" t="str">
        <f t="shared" si="86"/>
        <v>AAB6EE</v>
      </c>
      <c r="V842">
        <v>0</v>
      </c>
      <c r="W842">
        <v>0</v>
      </c>
      <c r="X842">
        <v>4</v>
      </c>
      <c r="Z842">
        <v>0</v>
      </c>
      <c r="AA842">
        <v>8</v>
      </c>
      <c r="AB842">
        <v>3</v>
      </c>
      <c r="AC842">
        <v>0</v>
      </c>
      <c r="AD842">
        <v>10</v>
      </c>
      <c r="AE842">
        <v>0</v>
      </c>
      <c r="AF842">
        <v>0</v>
      </c>
      <c r="AG842">
        <v>2</v>
      </c>
      <c r="AH842">
        <v>1</v>
      </c>
      <c r="AI842" t="s">
        <v>683</v>
      </c>
      <c r="AJ842">
        <v>35.344048000000001</v>
      </c>
      <c r="AK842" t="s">
        <v>684</v>
      </c>
      <c r="AL842">
        <v>-76.143386000000007</v>
      </c>
      <c r="AM842">
        <v>25</v>
      </c>
      <c r="AN842">
        <v>3425</v>
      </c>
      <c r="AO842" t="s">
        <v>118</v>
      </c>
      <c r="AP842">
        <v>-104</v>
      </c>
      <c r="AQ842">
        <v>-196</v>
      </c>
      <c r="AR842">
        <v>0</v>
      </c>
      <c r="AZ842">
        <v>4516</v>
      </c>
      <c r="BA842">
        <v>1</v>
      </c>
      <c r="BB842" t="str">
        <f t="shared" si="88"/>
        <v xml:space="preserve">N79NX   </v>
      </c>
      <c r="BC842">
        <v>1</v>
      </c>
      <c r="BE842">
        <v>0</v>
      </c>
      <c r="BF842">
        <v>0</v>
      </c>
      <c r="BG842">
        <v>0</v>
      </c>
      <c r="BH842">
        <v>3275</v>
      </c>
      <c r="BI842">
        <v>0</v>
      </c>
      <c r="BJ842">
        <v>0</v>
      </c>
      <c r="BK842">
        <v>0</v>
      </c>
      <c r="BL842">
        <v>0</v>
      </c>
      <c r="BO842">
        <v>0</v>
      </c>
      <c r="BP842">
        <v>0</v>
      </c>
      <c r="BW842" t="str">
        <f>"18:40:08.281"</f>
        <v>18:40:08.281</v>
      </c>
      <c r="BZ842">
        <v>0</v>
      </c>
      <c r="CA842">
        <v>3488</v>
      </c>
      <c r="CB842">
        <v>216</v>
      </c>
      <c r="CC842">
        <v>583.59379999999999</v>
      </c>
      <c r="CD842">
        <v>1</v>
      </c>
      <c r="CE842">
        <v>1</v>
      </c>
      <c r="CF842">
        <v>0</v>
      </c>
      <c r="CG842">
        <v>1</v>
      </c>
      <c r="CH842">
        <v>0</v>
      </c>
      <c r="CI842">
        <v>0</v>
      </c>
      <c r="CJ842">
        <v>0</v>
      </c>
      <c r="CK842">
        <v>2</v>
      </c>
      <c r="CL842">
        <v>0</v>
      </c>
      <c r="CM842">
        <v>2</v>
      </c>
      <c r="CN842">
        <v>0</v>
      </c>
      <c r="CO842">
        <v>5</v>
      </c>
      <c r="CP842" t="s">
        <v>119</v>
      </c>
      <c r="CQ842">
        <v>145</v>
      </c>
      <c r="CR842">
        <v>1</v>
      </c>
      <c r="CW842">
        <v>8981990</v>
      </c>
      <c r="CY842">
        <v>0</v>
      </c>
      <c r="CZ842">
        <v>0</v>
      </c>
      <c r="DA842">
        <v>0</v>
      </c>
      <c r="DB842">
        <v>0</v>
      </c>
      <c r="DC842">
        <v>0</v>
      </c>
      <c r="DD842">
        <v>0</v>
      </c>
      <c r="DE842">
        <v>0</v>
      </c>
      <c r="DF842">
        <v>0</v>
      </c>
      <c r="DG842">
        <v>0</v>
      </c>
      <c r="DH842">
        <v>0</v>
      </c>
      <c r="DI842">
        <v>0</v>
      </c>
    </row>
    <row r="843" spans="1:113" x14ac:dyDescent="0.3">
      <c r="A843" t="str">
        <f>"02/13/2022 18:40:08.544"</f>
        <v>02/13/2022 18:40:08.544</v>
      </c>
      <c r="C843" t="str">
        <f t="shared" si="87"/>
        <v>FFDFD7C0</v>
      </c>
      <c r="D843" t="s">
        <v>113</v>
      </c>
      <c r="E843">
        <v>3</v>
      </c>
      <c r="F843">
        <v>1003</v>
      </c>
      <c r="G843" t="s">
        <v>114</v>
      </c>
      <c r="J843" t="s">
        <v>115</v>
      </c>
      <c r="K843">
        <v>0</v>
      </c>
      <c r="L843">
        <v>3</v>
      </c>
      <c r="M843">
        <v>0</v>
      </c>
      <c r="N843">
        <v>2</v>
      </c>
      <c r="O843">
        <v>1</v>
      </c>
      <c r="P843">
        <v>0</v>
      </c>
      <c r="Q843">
        <v>0</v>
      </c>
      <c r="S843" t="str">
        <f>"18:40:08.273"</f>
        <v>18:40:08.273</v>
      </c>
      <c r="T843" t="str">
        <f>"18:40:08.073"</f>
        <v>18:40:08.073</v>
      </c>
      <c r="U843" t="str">
        <f t="shared" si="86"/>
        <v>AAB6EE</v>
      </c>
      <c r="V843">
        <v>0</v>
      </c>
      <c r="W843">
        <v>0</v>
      </c>
      <c r="X843">
        <v>4</v>
      </c>
      <c r="Z843">
        <v>0</v>
      </c>
      <c r="AA843">
        <v>8</v>
      </c>
      <c r="AB843">
        <v>3</v>
      </c>
      <c r="AC843">
        <v>0</v>
      </c>
      <c r="AD843">
        <v>10</v>
      </c>
      <c r="AE843">
        <v>0</v>
      </c>
      <c r="AF843">
        <v>0</v>
      </c>
      <c r="AG843">
        <v>2</v>
      </c>
      <c r="AH843">
        <v>1</v>
      </c>
      <c r="AI843" t="s">
        <v>683</v>
      </c>
      <c r="AJ843">
        <v>35.344048000000001</v>
      </c>
      <c r="AK843" t="s">
        <v>684</v>
      </c>
      <c r="AL843">
        <v>-76.143386000000007</v>
      </c>
      <c r="AM843">
        <v>25</v>
      </c>
      <c r="AN843">
        <v>3425</v>
      </c>
      <c r="AO843" t="s">
        <v>118</v>
      </c>
      <c r="AP843">
        <v>-104</v>
      </c>
      <c r="AQ843">
        <v>-196</v>
      </c>
      <c r="AR843">
        <v>0</v>
      </c>
      <c r="AZ843">
        <v>4516</v>
      </c>
      <c r="BA843">
        <v>1</v>
      </c>
      <c r="BB843" t="str">
        <f t="shared" si="88"/>
        <v xml:space="preserve">N79NX   </v>
      </c>
      <c r="BC843">
        <v>1</v>
      </c>
      <c r="BE843">
        <v>0</v>
      </c>
      <c r="BF843">
        <v>0</v>
      </c>
      <c r="BG843">
        <v>0</v>
      </c>
      <c r="BH843">
        <v>3275</v>
      </c>
      <c r="BI843">
        <v>0</v>
      </c>
      <c r="BJ843">
        <v>0</v>
      </c>
      <c r="BK843">
        <v>0</v>
      </c>
      <c r="BL843">
        <v>0</v>
      </c>
      <c r="BO843">
        <v>0</v>
      </c>
      <c r="BP843">
        <v>0</v>
      </c>
      <c r="BW843" t="str">
        <f>"18:40:08.281"</f>
        <v>18:40:08.281</v>
      </c>
      <c r="BZ843">
        <v>0</v>
      </c>
      <c r="CA843">
        <v>3488</v>
      </c>
      <c r="CB843">
        <v>216</v>
      </c>
      <c r="CC843">
        <v>583.59379999999999</v>
      </c>
      <c r="CD843">
        <v>1</v>
      </c>
      <c r="CE843">
        <v>1</v>
      </c>
      <c r="CF843">
        <v>0</v>
      </c>
      <c r="CG843">
        <v>1</v>
      </c>
      <c r="CH843">
        <v>0</v>
      </c>
      <c r="CI843">
        <v>0</v>
      </c>
      <c r="CJ843">
        <v>0</v>
      </c>
      <c r="CK843">
        <v>2</v>
      </c>
      <c r="CL843">
        <v>0</v>
      </c>
      <c r="CM843">
        <v>2</v>
      </c>
      <c r="CN843">
        <v>0</v>
      </c>
      <c r="CO843">
        <v>5</v>
      </c>
      <c r="CP843" t="s">
        <v>119</v>
      </c>
      <c r="CQ843">
        <v>145</v>
      </c>
      <c r="CR843">
        <v>1</v>
      </c>
      <c r="CW843">
        <v>8981990</v>
      </c>
      <c r="CY843">
        <v>0</v>
      </c>
      <c r="CZ843">
        <v>0</v>
      </c>
      <c r="DA843">
        <v>1</v>
      </c>
      <c r="DB843">
        <v>0</v>
      </c>
      <c r="DC843">
        <v>0</v>
      </c>
      <c r="DD843">
        <v>0</v>
      </c>
      <c r="DE843">
        <v>0</v>
      </c>
      <c r="DF843">
        <v>0</v>
      </c>
      <c r="DG843">
        <v>0</v>
      </c>
      <c r="DH843">
        <v>0</v>
      </c>
      <c r="DI843">
        <v>0</v>
      </c>
    </row>
    <row r="844" spans="1:113" x14ac:dyDescent="0.3">
      <c r="A844" t="str">
        <f>"02/13/2022 18:40:08.544"</f>
        <v>02/13/2022 18:40:08.544</v>
      </c>
      <c r="C844" t="str">
        <f t="shared" si="87"/>
        <v>FFDFD7C0</v>
      </c>
      <c r="D844" t="s">
        <v>113</v>
      </c>
      <c r="E844">
        <v>4</v>
      </c>
      <c r="F844">
        <v>1004</v>
      </c>
      <c r="G844" t="s">
        <v>120</v>
      </c>
      <c r="J844" t="s">
        <v>115</v>
      </c>
      <c r="K844">
        <v>0</v>
      </c>
      <c r="L844">
        <v>3</v>
      </c>
      <c r="M844">
        <v>0</v>
      </c>
      <c r="N844">
        <v>2</v>
      </c>
      <c r="O844">
        <v>1</v>
      </c>
      <c r="P844">
        <v>0</v>
      </c>
      <c r="Q844">
        <v>0</v>
      </c>
      <c r="S844" t="str">
        <f>"18:40:08.273"</f>
        <v>18:40:08.273</v>
      </c>
      <c r="T844" t="str">
        <f>"18:40:08.073"</f>
        <v>18:40:08.073</v>
      </c>
      <c r="U844" t="str">
        <f t="shared" si="86"/>
        <v>AAB6EE</v>
      </c>
      <c r="V844">
        <v>0</v>
      </c>
      <c r="W844">
        <v>0</v>
      </c>
      <c r="X844">
        <v>4</v>
      </c>
      <c r="Z844">
        <v>0</v>
      </c>
      <c r="AA844">
        <v>8</v>
      </c>
      <c r="AB844">
        <v>3</v>
      </c>
      <c r="AC844">
        <v>0</v>
      </c>
      <c r="AD844">
        <v>10</v>
      </c>
      <c r="AE844">
        <v>0</v>
      </c>
      <c r="AF844">
        <v>0</v>
      </c>
      <c r="AG844">
        <v>2</v>
      </c>
      <c r="AH844">
        <v>1</v>
      </c>
      <c r="AI844" t="s">
        <v>683</v>
      </c>
      <c r="AJ844">
        <v>35.344048000000001</v>
      </c>
      <c r="AK844" t="s">
        <v>684</v>
      </c>
      <c r="AL844">
        <v>-76.143386000000007</v>
      </c>
      <c r="AM844">
        <v>25</v>
      </c>
      <c r="AN844">
        <v>3425</v>
      </c>
      <c r="AO844" t="s">
        <v>118</v>
      </c>
      <c r="AP844">
        <v>-104</v>
      </c>
      <c r="AQ844">
        <v>-196</v>
      </c>
      <c r="AR844">
        <v>0</v>
      </c>
      <c r="AZ844">
        <v>4516</v>
      </c>
      <c r="BA844">
        <v>1</v>
      </c>
      <c r="BB844" t="str">
        <f t="shared" si="88"/>
        <v xml:space="preserve">N79NX   </v>
      </c>
      <c r="BC844">
        <v>1</v>
      </c>
      <c r="BE844">
        <v>0</v>
      </c>
      <c r="BF844">
        <v>0</v>
      </c>
      <c r="BG844">
        <v>0</v>
      </c>
      <c r="BH844">
        <v>3275</v>
      </c>
      <c r="BI844">
        <v>0</v>
      </c>
      <c r="BJ844">
        <v>0</v>
      </c>
      <c r="BK844">
        <v>0</v>
      </c>
      <c r="BL844">
        <v>0</v>
      </c>
      <c r="BO844">
        <v>0</v>
      </c>
      <c r="BP844">
        <v>0</v>
      </c>
      <c r="BW844" t="str">
        <f>"18:40:08.281"</f>
        <v>18:40:08.281</v>
      </c>
      <c r="BZ844">
        <v>0</v>
      </c>
      <c r="CA844">
        <v>3488</v>
      </c>
      <c r="CB844">
        <v>216</v>
      </c>
      <c r="CC844">
        <v>583.59379999999999</v>
      </c>
      <c r="CD844">
        <v>1</v>
      </c>
      <c r="CE844">
        <v>1</v>
      </c>
      <c r="CF844">
        <v>0</v>
      </c>
      <c r="CG844">
        <v>1</v>
      </c>
      <c r="CH844">
        <v>0</v>
      </c>
      <c r="CI844">
        <v>0</v>
      </c>
      <c r="CJ844">
        <v>0</v>
      </c>
      <c r="CK844">
        <v>2</v>
      </c>
      <c r="CL844">
        <v>0</v>
      </c>
      <c r="CM844">
        <v>2</v>
      </c>
      <c r="CN844">
        <v>0</v>
      </c>
      <c r="CO844">
        <v>5</v>
      </c>
      <c r="CP844" t="s">
        <v>119</v>
      </c>
      <c r="CQ844">
        <v>145</v>
      </c>
      <c r="CR844">
        <v>1</v>
      </c>
      <c r="CW844">
        <v>8981990</v>
      </c>
      <c r="CY844">
        <v>0</v>
      </c>
      <c r="CZ844">
        <v>0</v>
      </c>
      <c r="DA844">
        <v>1</v>
      </c>
      <c r="DB844">
        <v>0</v>
      </c>
      <c r="DC844">
        <v>0</v>
      </c>
      <c r="DD844">
        <v>0</v>
      </c>
      <c r="DE844">
        <v>0</v>
      </c>
      <c r="DF844">
        <v>0</v>
      </c>
      <c r="DG844">
        <v>0</v>
      </c>
      <c r="DH844">
        <v>0</v>
      </c>
      <c r="DI844">
        <v>0</v>
      </c>
    </row>
    <row r="845" spans="1:113" x14ac:dyDescent="0.3">
      <c r="A845" t="str">
        <f>"02/13/2022 18:40:09.593"</f>
        <v>02/13/2022 18:40:09.593</v>
      </c>
      <c r="C845" t="str">
        <f t="shared" si="87"/>
        <v>FFDFD7C0</v>
      </c>
      <c r="D845" t="s">
        <v>113</v>
      </c>
      <c r="E845">
        <v>3</v>
      </c>
      <c r="F845">
        <v>1003</v>
      </c>
      <c r="G845" t="s">
        <v>114</v>
      </c>
      <c r="J845" t="s">
        <v>115</v>
      </c>
      <c r="K845">
        <v>0</v>
      </c>
      <c r="L845">
        <v>3</v>
      </c>
      <c r="M845">
        <v>0</v>
      </c>
      <c r="N845">
        <v>2</v>
      </c>
      <c r="O845">
        <v>1</v>
      </c>
      <c r="P845">
        <v>0</v>
      </c>
      <c r="Q845">
        <v>0</v>
      </c>
      <c r="S845" t="str">
        <f>"18:40:09.359"</f>
        <v>18:40:09.359</v>
      </c>
      <c r="T845" t="str">
        <f>"18:40:09.259"</f>
        <v>18:40:09.259</v>
      </c>
      <c r="U845" t="str">
        <f t="shared" si="86"/>
        <v>AAB6EE</v>
      </c>
      <c r="V845">
        <v>0</v>
      </c>
      <c r="W845">
        <v>0</v>
      </c>
      <c r="X845">
        <v>4</v>
      </c>
      <c r="Z845">
        <v>0</v>
      </c>
      <c r="AA845">
        <v>8</v>
      </c>
      <c r="AB845">
        <v>3</v>
      </c>
      <c r="AC845">
        <v>0</v>
      </c>
      <c r="AD845">
        <v>10</v>
      </c>
      <c r="AE845">
        <v>0</v>
      </c>
      <c r="AF845">
        <v>0</v>
      </c>
      <c r="AG845">
        <v>2</v>
      </c>
      <c r="AH845">
        <v>1</v>
      </c>
      <c r="AI845" t="s">
        <v>685</v>
      </c>
      <c r="AJ845">
        <v>35.343018000000001</v>
      </c>
      <c r="AK845" t="s">
        <v>686</v>
      </c>
      <c r="AL845">
        <v>-76.144008999999997</v>
      </c>
      <c r="AM845">
        <v>25</v>
      </c>
      <c r="AN845">
        <v>3450</v>
      </c>
      <c r="AO845" t="s">
        <v>118</v>
      </c>
      <c r="AP845">
        <v>-104</v>
      </c>
      <c r="AQ845">
        <v>-197</v>
      </c>
      <c r="AR845">
        <v>-64</v>
      </c>
      <c r="AZ845">
        <v>4516</v>
      </c>
      <c r="BA845">
        <v>1</v>
      </c>
      <c r="BB845" t="str">
        <f t="shared" si="88"/>
        <v xml:space="preserve">N79NX   </v>
      </c>
      <c r="BC845">
        <v>1</v>
      </c>
      <c r="BE845">
        <v>0</v>
      </c>
      <c r="BF845">
        <v>0</v>
      </c>
      <c r="BG845">
        <v>0</v>
      </c>
      <c r="BH845">
        <v>3275</v>
      </c>
      <c r="BI845">
        <v>0</v>
      </c>
      <c r="BJ845">
        <v>0</v>
      </c>
      <c r="BK845">
        <v>0</v>
      </c>
      <c r="BL845">
        <v>0</v>
      </c>
      <c r="BO845">
        <v>0</v>
      </c>
      <c r="BP845">
        <v>0</v>
      </c>
      <c r="BW845" t="str">
        <f>"18:40:09.361"</f>
        <v>18:40:09.361</v>
      </c>
      <c r="BZ845">
        <v>0</v>
      </c>
      <c r="CA845">
        <v>3488</v>
      </c>
      <c r="CB845">
        <v>216</v>
      </c>
      <c r="CC845">
        <v>583.59379999999999</v>
      </c>
      <c r="CD845">
        <v>1</v>
      </c>
      <c r="CE845">
        <v>1</v>
      </c>
      <c r="CF845">
        <v>0</v>
      </c>
      <c r="CG845">
        <v>1</v>
      </c>
      <c r="CH845">
        <v>0</v>
      </c>
      <c r="CI845">
        <v>0</v>
      </c>
      <c r="CJ845">
        <v>0</v>
      </c>
      <c r="CK845">
        <v>2</v>
      </c>
      <c r="CL845">
        <v>0</v>
      </c>
      <c r="CM845">
        <v>2</v>
      </c>
      <c r="CN845">
        <v>0</v>
      </c>
      <c r="CO845">
        <v>5</v>
      </c>
      <c r="CP845" t="s">
        <v>119</v>
      </c>
      <c r="CQ845">
        <v>145</v>
      </c>
      <c r="CR845">
        <v>1</v>
      </c>
      <c r="CW845">
        <v>8982406</v>
      </c>
      <c r="CY845">
        <v>0</v>
      </c>
      <c r="CZ845">
        <v>0</v>
      </c>
      <c r="DA845">
        <v>0</v>
      </c>
      <c r="DB845">
        <v>0</v>
      </c>
      <c r="DC845">
        <v>0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</row>
    <row r="846" spans="1:113" x14ac:dyDescent="0.3">
      <c r="A846" t="str">
        <f>"02/13/2022 18:40:09.593"</f>
        <v>02/13/2022 18:40:09.593</v>
      </c>
      <c r="C846" t="str">
        <f t="shared" si="87"/>
        <v>FFDFD7C0</v>
      </c>
      <c r="D846" t="s">
        <v>113</v>
      </c>
      <c r="E846">
        <v>4</v>
      </c>
      <c r="F846">
        <v>1004</v>
      </c>
      <c r="G846" t="s">
        <v>120</v>
      </c>
      <c r="J846" t="s">
        <v>115</v>
      </c>
      <c r="K846">
        <v>0</v>
      </c>
      <c r="L846">
        <v>3</v>
      </c>
      <c r="M846">
        <v>0</v>
      </c>
      <c r="N846">
        <v>2</v>
      </c>
      <c r="O846">
        <v>1</v>
      </c>
      <c r="P846">
        <v>0</v>
      </c>
      <c r="Q846">
        <v>0</v>
      </c>
      <c r="S846" t="str">
        <f>"18:40:09.359"</f>
        <v>18:40:09.359</v>
      </c>
      <c r="T846" t="str">
        <f>"18:40:09.259"</f>
        <v>18:40:09.259</v>
      </c>
      <c r="U846" t="str">
        <f t="shared" si="86"/>
        <v>AAB6EE</v>
      </c>
      <c r="V846">
        <v>0</v>
      </c>
      <c r="W846">
        <v>0</v>
      </c>
      <c r="X846">
        <v>4</v>
      </c>
      <c r="Z846">
        <v>0</v>
      </c>
      <c r="AA846">
        <v>8</v>
      </c>
      <c r="AB846">
        <v>3</v>
      </c>
      <c r="AC846">
        <v>0</v>
      </c>
      <c r="AD846">
        <v>10</v>
      </c>
      <c r="AE846">
        <v>0</v>
      </c>
      <c r="AF846">
        <v>0</v>
      </c>
      <c r="AG846">
        <v>2</v>
      </c>
      <c r="AH846">
        <v>1</v>
      </c>
      <c r="AI846" t="s">
        <v>685</v>
      </c>
      <c r="AJ846">
        <v>35.343018000000001</v>
      </c>
      <c r="AK846" t="s">
        <v>686</v>
      </c>
      <c r="AL846">
        <v>-76.144008999999997</v>
      </c>
      <c r="AM846">
        <v>25</v>
      </c>
      <c r="AN846">
        <v>3450</v>
      </c>
      <c r="AO846" t="s">
        <v>118</v>
      </c>
      <c r="AP846">
        <v>-104</v>
      </c>
      <c r="AQ846">
        <v>-197</v>
      </c>
      <c r="AR846">
        <v>-64</v>
      </c>
      <c r="AZ846">
        <v>4516</v>
      </c>
      <c r="BA846">
        <v>1</v>
      </c>
      <c r="BB846" t="str">
        <f t="shared" si="88"/>
        <v xml:space="preserve">N79NX   </v>
      </c>
      <c r="BC846">
        <v>1</v>
      </c>
      <c r="BE846">
        <v>0</v>
      </c>
      <c r="BF846">
        <v>0</v>
      </c>
      <c r="BG846">
        <v>0</v>
      </c>
      <c r="BH846">
        <v>3275</v>
      </c>
      <c r="BI846">
        <v>0</v>
      </c>
      <c r="BJ846">
        <v>0</v>
      </c>
      <c r="BK846">
        <v>0</v>
      </c>
      <c r="BL846">
        <v>0</v>
      </c>
      <c r="BO846">
        <v>0</v>
      </c>
      <c r="BP846">
        <v>0</v>
      </c>
      <c r="BW846" t="str">
        <f>"18:40:09.361"</f>
        <v>18:40:09.361</v>
      </c>
      <c r="BZ846">
        <v>0</v>
      </c>
      <c r="CA846">
        <v>3488</v>
      </c>
      <c r="CB846">
        <v>216</v>
      </c>
      <c r="CC846">
        <v>583.59379999999999</v>
      </c>
      <c r="CD846">
        <v>1</v>
      </c>
      <c r="CE846">
        <v>1</v>
      </c>
      <c r="CF846">
        <v>0</v>
      </c>
      <c r="CG846">
        <v>1</v>
      </c>
      <c r="CH846">
        <v>0</v>
      </c>
      <c r="CI846">
        <v>0</v>
      </c>
      <c r="CJ846">
        <v>0</v>
      </c>
      <c r="CK846">
        <v>2</v>
      </c>
      <c r="CL846">
        <v>0</v>
      </c>
      <c r="CM846">
        <v>2</v>
      </c>
      <c r="CN846">
        <v>0</v>
      </c>
      <c r="CO846">
        <v>5</v>
      </c>
      <c r="CP846" t="s">
        <v>119</v>
      </c>
      <c r="CQ846">
        <v>145</v>
      </c>
      <c r="CR846">
        <v>1</v>
      </c>
      <c r="CW846">
        <v>8982406</v>
      </c>
      <c r="CY846">
        <v>0</v>
      </c>
      <c r="CZ846">
        <v>0</v>
      </c>
      <c r="DA846">
        <v>1</v>
      </c>
      <c r="DB846">
        <v>0</v>
      </c>
      <c r="DC846">
        <v>0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</row>
    <row r="847" spans="1:113" x14ac:dyDescent="0.3">
      <c r="A847" t="str">
        <f>"02/13/2022 18:40:09.593"</f>
        <v>02/13/2022 18:40:09.593</v>
      </c>
      <c r="C847" t="str">
        <f t="shared" si="87"/>
        <v>FFDFD7C0</v>
      </c>
      <c r="D847" t="s">
        <v>121</v>
      </c>
      <c r="E847">
        <v>2</v>
      </c>
      <c r="H847">
        <v>158</v>
      </c>
      <c r="I847" t="s">
        <v>120</v>
      </c>
      <c r="J847" t="s">
        <v>122</v>
      </c>
      <c r="K847">
        <v>0</v>
      </c>
      <c r="L847">
        <v>3</v>
      </c>
      <c r="M847">
        <v>0</v>
      </c>
      <c r="N847">
        <v>2</v>
      </c>
      <c r="O847">
        <v>1</v>
      </c>
      <c r="P847">
        <v>0</v>
      </c>
      <c r="Q847">
        <v>0</v>
      </c>
      <c r="S847" t="str">
        <f>"18:40:09.359"</f>
        <v>18:40:09.359</v>
      </c>
      <c r="T847" t="str">
        <f>"18:40:09.259"</f>
        <v>18:40:09.259</v>
      </c>
      <c r="U847" t="str">
        <f t="shared" si="86"/>
        <v>AAB6EE</v>
      </c>
      <c r="V847">
        <v>0</v>
      </c>
      <c r="W847">
        <v>0</v>
      </c>
      <c r="X847">
        <v>4</v>
      </c>
      <c r="Z847">
        <v>0</v>
      </c>
      <c r="AA847">
        <v>8</v>
      </c>
      <c r="AB847">
        <v>3</v>
      </c>
      <c r="AC847">
        <v>0</v>
      </c>
      <c r="AD847">
        <v>10</v>
      </c>
      <c r="AE847">
        <v>0</v>
      </c>
      <c r="AF847">
        <v>0</v>
      </c>
      <c r="AG847">
        <v>2</v>
      </c>
      <c r="AH847">
        <v>1</v>
      </c>
      <c r="AI847" t="s">
        <v>685</v>
      </c>
      <c r="AJ847">
        <v>35.343018000000001</v>
      </c>
      <c r="AK847" t="s">
        <v>686</v>
      </c>
      <c r="AL847">
        <v>-76.144008999999997</v>
      </c>
      <c r="AM847">
        <v>25</v>
      </c>
      <c r="AN847">
        <v>3450</v>
      </c>
      <c r="AO847" t="s">
        <v>118</v>
      </c>
      <c r="AP847">
        <v>-104</v>
      </c>
      <c r="AQ847">
        <v>-197</v>
      </c>
      <c r="AR847">
        <v>-64</v>
      </c>
      <c r="AZ847">
        <v>4516</v>
      </c>
      <c r="BA847">
        <v>1</v>
      </c>
      <c r="BB847" t="str">
        <f t="shared" si="88"/>
        <v xml:space="preserve">N79NX   </v>
      </c>
      <c r="BC847">
        <v>1</v>
      </c>
      <c r="BE847">
        <v>0</v>
      </c>
      <c r="BF847">
        <v>0</v>
      </c>
      <c r="BG847">
        <v>0</v>
      </c>
      <c r="BH847">
        <v>3275</v>
      </c>
      <c r="BI847">
        <v>0</v>
      </c>
      <c r="BJ847">
        <v>0</v>
      </c>
      <c r="BK847">
        <v>0</v>
      </c>
      <c r="BL847">
        <v>0</v>
      </c>
      <c r="BO847">
        <v>0</v>
      </c>
      <c r="BP847">
        <v>0</v>
      </c>
      <c r="BW847" t="str">
        <f>"18:40:09.361"</f>
        <v>18:40:09.361</v>
      </c>
      <c r="BZ847">
        <v>0</v>
      </c>
      <c r="CA847">
        <v>3488</v>
      </c>
      <c r="CB847">
        <v>216</v>
      </c>
      <c r="CC847">
        <v>583.59379999999999</v>
      </c>
      <c r="CD847">
        <v>1</v>
      </c>
      <c r="CE847">
        <v>1</v>
      </c>
      <c r="CF847">
        <v>0</v>
      </c>
      <c r="CG847">
        <v>1</v>
      </c>
      <c r="CH847">
        <v>0</v>
      </c>
      <c r="CI847">
        <v>0</v>
      </c>
      <c r="CJ847">
        <v>0</v>
      </c>
      <c r="CK847">
        <v>2</v>
      </c>
      <c r="CL847">
        <v>0</v>
      </c>
      <c r="CM847">
        <v>2</v>
      </c>
      <c r="CN847">
        <v>0</v>
      </c>
      <c r="CO847">
        <v>5</v>
      </c>
      <c r="CP847" t="s">
        <v>119</v>
      </c>
      <c r="CQ847">
        <v>145</v>
      </c>
      <c r="CR847">
        <v>1</v>
      </c>
      <c r="CW847">
        <v>8982406</v>
      </c>
      <c r="CY847">
        <v>0</v>
      </c>
      <c r="CZ847">
        <v>0</v>
      </c>
      <c r="DA847">
        <v>1</v>
      </c>
      <c r="DB847">
        <v>0</v>
      </c>
      <c r="DC847">
        <v>0</v>
      </c>
      <c r="DD847">
        <v>0</v>
      </c>
      <c r="DE847">
        <v>0</v>
      </c>
      <c r="DF847">
        <v>0</v>
      </c>
      <c r="DG847">
        <v>0</v>
      </c>
      <c r="DH847">
        <v>0</v>
      </c>
      <c r="DI847">
        <v>0</v>
      </c>
    </row>
    <row r="848" spans="1:113" x14ac:dyDescent="0.3">
      <c r="A848" t="str">
        <f>"02/13/2022 18:40:10.468"</f>
        <v>02/13/2022 18:40:10.468</v>
      </c>
      <c r="C848" t="str">
        <f t="shared" si="87"/>
        <v>FFDFD7C0</v>
      </c>
      <c r="D848" t="s">
        <v>113</v>
      </c>
      <c r="E848">
        <v>3</v>
      </c>
      <c r="F848">
        <v>1003</v>
      </c>
      <c r="G848" t="s">
        <v>114</v>
      </c>
      <c r="J848" t="s">
        <v>115</v>
      </c>
      <c r="K848">
        <v>0</v>
      </c>
      <c r="L848">
        <v>3</v>
      </c>
      <c r="M848">
        <v>0</v>
      </c>
      <c r="N848">
        <v>2</v>
      </c>
      <c r="O848">
        <v>1</v>
      </c>
      <c r="P848">
        <v>0</v>
      </c>
      <c r="Q848">
        <v>0</v>
      </c>
      <c r="S848" t="str">
        <f t="shared" ref="S848:T850" si="89">"18:40:10.297"</f>
        <v>18:40:10.297</v>
      </c>
      <c r="T848" t="str">
        <f t="shared" si="89"/>
        <v>18:40:10.297</v>
      </c>
      <c r="U848" t="str">
        <f t="shared" si="86"/>
        <v>AAB6EE</v>
      </c>
      <c r="V848">
        <v>0</v>
      </c>
      <c r="W848">
        <v>0</v>
      </c>
      <c r="X848">
        <v>4</v>
      </c>
      <c r="Z848">
        <v>0</v>
      </c>
      <c r="AA848">
        <v>8</v>
      </c>
      <c r="AB848">
        <v>3</v>
      </c>
      <c r="AC848">
        <v>0</v>
      </c>
      <c r="AD848">
        <v>10</v>
      </c>
      <c r="AE848">
        <v>0</v>
      </c>
      <c r="AF848">
        <v>0</v>
      </c>
      <c r="AG848">
        <v>2</v>
      </c>
      <c r="AH848">
        <v>1</v>
      </c>
      <c r="AI848" t="s">
        <v>687</v>
      </c>
      <c r="AJ848">
        <v>35.342224000000002</v>
      </c>
      <c r="AK848" t="s">
        <v>688</v>
      </c>
      <c r="AL848">
        <v>-76.144544999999994</v>
      </c>
      <c r="AM848">
        <v>25</v>
      </c>
      <c r="AN848">
        <v>3425</v>
      </c>
      <c r="AO848" t="s">
        <v>118</v>
      </c>
      <c r="AP848">
        <v>-104</v>
      </c>
      <c r="AQ848">
        <v>-197</v>
      </c>
      <c r="AR848">
        <v>0</v>
      </c>
      <c r="AZ848">
        <v>4516</v>
      </c>
      <c r="BA848">
        <v>1</v>
      </c>
      <c r="BB848" t="str">
        <f t="shared" si="88"/>
        <v xml:space="preserve">N79NX   </v>
      </c>
      <c r="BC848">
        <v>1</v>
      </c>
      <c r="BE848">
        <v>0</v>
      </c>
      <c r="BF848">
        <v>0</v>
      </c>
      <c r="BG848">
        <v>0</v>
      </c>
      <c r="BH848">
        <v>3300</v>
      </c>
      <c r="BI848">
        <v>0</v>
      </c>
      <c r="BJ848">
        <v>0</v>
      </c>
      <c r="BK848">
        <v>0</v>
      </c>
      <c r="BL848">
        <v>0</v>
      </c>
      <c r="BO848">
        <v>0</v>
      </c>
      <c r="BP848">
        <v>0</v>
      </c>
      <c r="BW848" t="str">
        <f>"18:40:10.301"</f>
        <v>18:40:10.301</v>
      </c>
      <c r="BZ848">
        <v>0</v>
      </c>
      <c r="CA848">
        <v>3488</v>
      </c>
      <c r="CB848">
        <v>216</v>
      </c>
      <c r="CC848">
        <v>583.59379999999999</v>
      </c>
      <c r="CD848">
        <v>1</v>
      </c>
      <c r="CE848">
        <v>1</v>
      </c>
      <c r="CF848">
        <v>0</v>
      </c>
      <c r="CG848">
        <v>1</v>
      </c>
      <c r="CH848">
        <v>0</v>
      </c>
      <c r="CI848">
        <v>0</v>
      </c>
      <c r="CJ848">
        <v>0</v>
      </c>
      <c r="CK848">
        <v>2</v>
      </c>
      <c r="CL848">
        <v>0</v>
      </c>
      <c r="CM848">
        <v>2</v>
      </c>
      <c r="CN848">
        <v>0</v>
      </c>
      <c r="CO848">
        <v>5</v>
      </c>
      <c r="CP848" t="s">
        <v>119</v>
      </c>
      <c r="CQ848">
        <v>145</v>
      </c>
      <c r="CR848">
        <v>1</v>
      </c>
      <c r="CW848">
        <v>8982818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0</v>
      </c>
      <c r="DE848">
        <v>0</v>
      </c>
      <c r="DF848">
        <v>0</v>
      </c>
      <c r="DG848">
        <v>0</v>
      </c>
      <c r="DH848">
        <v>0</v>
      </c>
      <c r="DI848">
        <v>0</v>
      </c>
    </row>
    <row r="849" spans="1:113" x14ac:dyDescent="0.3">
      <c r="A849" t="str">
        <f>"02/13/2022 18:40:10.468"</f>
        <v>02/13/2022 18:40:10.468</v>
      </c>
      <c r="C849" t="str">
        <f t="shared" si="87"/>
        <v>FFDFD7C0</v>
      </c>
      <c r="D849" t="s">
        <v>113</v>
      </c>
      <c r="E849">
        <v>4</v>
      </c>
      <c r="F849">
        <v>1004</v>
      </c>
      <c r="G849" t="s">
        <v>120</v>
      </c>
      <c r="J849" t="s">
        <v>115</v>
      </c>
      <c r="K849">
        <v>0</v>
      </c>
      <c r="L849">
        <v>3</v>
      </c>
      <c r="M849">
        <v>0</v>
      </c>
      <c r="N849">
        <v>2</v>
      </c>
      <c r="O849">
        <v>1</v>
      </c>
      <c r="P849">
        <v>0</v>
      </c>
      <c r="Q849">
        <v>0</v>
      </c>
      <c r="S849" t="str">
        <f t="shared" si="89"/>
        <v>18:40:10.297</v>
      </c>
      <c r="T849" t="str">
        <f t="shared" si="89"/>
        <v>18:40:10.297</v>
      </c>
      <c r="U849" t="str">
        <f t="shared" si="86"/>
        <v>AAB6EE</v>
      </c>
      <c r="V849">
        <v>0</v>
      </c>
      <c r="W849">
        <v>0</v>
      </c>
      <c r="X849">
        <v>4</v>
      </c>
      <c r="Z849">
        <v>0</v>
      </c>
      <c r="AA849">
        <v>8</v>
      </c>
      <c r="AB849">
        <v>3</v>
      </c>
      <c r="AC849">
        <v>0</v>
      </c>
      <c r="AD849">
        <v>10</v>
      </c>
      <c r="AE849">
        <v>0</v>
      </c>
      <c r="AF849">
        <v>0</v>
      </c>
      <c r="AG849">
        <v>2</v>
      </c>
      <c r="AH849">
        <v>1</v>
      </c>
      <c r="AI849" t="s">
        <v>687</v>
      </c>
      <c r="AJ849">
        <v>35.342224000000002</v>
      </c>
      <c r="AK849" t="s">
        <v>688</v>
      </c>
      <c r="AL849">
        <v>-76.144544999999994</v>
      </c>
      <c r="AM849">
        <v>25</v>
      </c>
      <c r="AN849">
        <v>3425</v>
      </c>
      <c r="AO849" t="s">
        <v>118</v>
      </c>
      <c r="AP849">
        <v>-104</v>
      </c>
      <c r="AQ849">
        <v>-197</v>
      </c>
      <c r="AR849">
        <v>0</v>
      </c>
      <c r="AZ849">
        <v>4516</v>
      </c>
      <c r="BA849">
        <v>1</v>
      </c>
      <c r="BB849" t="str">
        <f t="shared" si="88"/>
        <v xml:space="preserve">N79NX   </v>
      </c>
      <c r="BC849">
        <v>1</v>
      </c>
      <c r="BE849">
        <v>0</v>
      </c>
      <c r="BF849">
        <v>0</v>
      </c>
      <c r="BG849">
        <v>0</v>
      </c>
      <c r="BH849">
        <v>3300</v>
      </c>
      <c r="BI849">
        <v>0</v>
      </c>
      <c r="BJ849">
        <v>0</v>
      </c>
      <c r="BK849">
        <v>0</v>
      </c>
      <c r="BL849">
        <v>0</v>
      </c>
      <c r="BO849">
        <v>0</v>
      </c>
      <c r="BP849">
        <v>0</v>
      </c>
      <c r="BW849" t="str">
        <f>"18:40:10.301"</f>
        <v>18:40:10.301</v>
      </c>
      <c r="BZ849">
        <v>0</v>
      </c>
      <c r="CA849">
        <v>3488</v>
      </c>
      <c r="CB849">
        <v>216</v>
      </c>
      <c r="CC849">
        <v>583.59379999999999</v>
      </c>
      <c r="CD849">
        <v>1</v>
      </c>
      <c r="CE849">
        <v>1</v>
      </c>
      <c r="CF849">
        <v>0</v>
      </c>
      <c r="CG849">
        <v>1</v>
      </c>
      <c r="CH849">
        <v>0</v>
      </c>
      <c r="CI849">
        <v>0</v>
      </c>
      <c r="CJ849">
        <v>0</v>
      </c>
      <c r="CK849">
        <v>2</v>
      </c>
      <c r="CL849">
        <v>0</v>
      </c>
      <c r="CM849">
        <v>2</v>
      </c>
      <c r="CN849">
        <v>0</v>
      </c>
      <c r="CO849">
        <v>5</v>
      </c>
      <c r="CP849" t="s">
        <v>119</v>
      </c>
      <c r="CQ849">
        <v>145</v>
      </c>
      <c r="CR849">
        <v>1</v>
      </c>
      <c r="CW849">
        <v>8982818</v>
      </c>
      <c r="CY849">
        <v>0</v>
      </c>
      <c r="CZ849">
        <v>0</v>
      </c>
      <c r="DA849">
        <v>1</v>
      </c>
      <c r="DB849">
        <v>0</v>
      </c>
      <c r="DC849">
        <v>0</v>
      </c>
      <c r="DD849">
        <v>0</v>
      </c>
      <c r="DE849">
        <v>0</v>
      </c>
      <c r="DF849">
        <v>0</v>
      </c>
      <c r="DG849">
        <v>0</v>
      </c>
      <c r="DH849">
        <v>0</v>
      </c>
      <c r="DI849">
        <v>0</v>
      </c>
    </row>
    <row r="850" spans="1:113" x14ac:dyDescent="0.3">
      <c r="A850" t="str">
        <f>"02/13/2022 18:40:10.483"</f>
        <v>02/13/2022 18:40:10.483</v>
      </c>
      <c r="C850" t="str">
        <f t="shared" si="87"/>
        <v>FFDFD7C0</v>
      </c>
      <c r="D850" t="s">
        <v>121</v>
      </c>
      <c r="E850">
        <v>2</v>
      </c>
      <c r="H850">
        <v>158</v>
      </c>
      <c r="I850" t="s">
        <v>120</v>
      </c>
      <c r="J850" t="s">
        <v>122</v>
      </c>
      <c r="K850">
        <v>0</v>
      </c>
      <c r="L850">
        <v>3</v>
      </c>
      <c r="M850">
        <v>0</v>
      </c>
      <c r="N850">
        <v>2</v>
      </c>
      <c r="O850">
        <v>1</v>
      </c>
      <c r="P850">
        <v>0</v>
      </c>
      <c r="Q850">
        <v>0</v>
      </c>
      <c r="S850" t="str">
        <f t="shared" si="89"/>
        <v>18:40:10.297</v>
      </c>
      <c r="T850" t="str">
        <f t="shared" si="89"/>
        <v>18:40:10.297</v>
      </c>
      <c r="U850" t="str">
        <f t="shared" si="86"/>
        <v>AAB6EE</v>
      </c>
      <c r="V850">
        <v>0</v>
      </c>
      <c r="W850">
        <v>0</v>
      </c>
      <c r="X850">
        <v>4</v>
      </c>
      <c r="Z850">
        <v>0</v>
      </c>
      <c r="AA850">
        <v>8</v>
      </c>
      <c r="AB850">
        <v>3</v>
      </c>
      <c r="AC850">
        <v>0</v>
      </c>
      <c r="AD850">
        <v>10</v>
      </c>
      <c r="AE850">
        <v>0</v>
      </c>
      <c r="AF850">
        <v>0</v>
      </c>
      <c r="AG850">
        <v>2</v>
      </c>
      <c r="AH850">
        <v>1</v>
      </c>
      <c r="AI850" t="s">
        <v>687</v>
      </c>
      <c r="AJ850">
        <v>35.342224000000002</v>
      </c>
      <c r="AK850" t="s">
        <v>688</v>
      </c>
      <c r="AL850">
        <v>-76.144544999999994</v>
      </c>
      <c r="AM850">
        <v>25</v>
      </c>
      <c r="AN850">
        <v>3425</v>
      </c>
      <c r="AO850" t="s">
        <v>118</v>
      </c>
      <c r="AP850">
        <v>-104</v>
      </c>
      <c r="AQ850">
        <v>-197</v>
      </c>
      <c r="AR850">
        <v>0</v>
      </c>
      <c r="AZ850">
        <v>4516</v>
      </c>
      <c r="BA850">
        <v>1</v>
      </c>
      <c r="BB850" t="str">
        <f t="shared" si="88"/>
        <v xml:space="preserve">N79NX   </v>
      </c>
      <c r="BC850">
        <v>1</v>
      </c>
      <c r="BE850">
        <v>0</v>
      </c>
      <c r="BF850">
        <v>0</v>
      </c>
      <c r="BG850">
        <v>0</v>
      </c>
      <c r="BH850">
        <v>3300</v>
      </c>
      <c r="BI850">
        <v>0</v>
      </c>
      <c r="BJ850">
        <v>0</v>
      </c>
      <c r="BK850">
        <v>0</v>
      </c>
      <c r="BL850">
        <v>0</v>
      </c>
      <c r="BO850">
        <v>0</v>
      </c>
      <c r="BP850">
        <v>0</v>
      </c>
      <c r="BW850" t="str">
        <f>"18:40:10.301"</f>
        <v>18:40:10.301</v>
      </c>
      <c r="BZ850">
        <v>0</v>
      </c>
      <c r="CA850">
        <v>3488</v>
      </c>
      <c r="CB850">
        <v>216</v>
      </c>
      <c r="CC850">
        <v>583.59379999999999</v>
      </c>
      <c r="CD850">
        <v>1</v>
      </c>
      <c r="CE850">
        <v>1</v>
      </c>
      <c r="CF850">
        <v>0</v>
      </c>
      <c r="CG850">
        <v>1</v>
      </c>
      <c r="CH850">
        <v>0</v>
      </c>
      <c r="CI850">
        <v>0</v>
      </c>
      <c r="CJ850">
        <v>0</v>
      </c>
      <c r="CK850">
        <v>2</v>
      </c>
      <c r="CL850">
        <v>0</v>
      </c>
      <c r="CM850">
        <v>2</v>
      </c>
      <c r="CN850">
        <v>0</v>
      </c>
      <c r="CO850">
        <v>5</v>
      </c>
      <c r="CP850" t="s">
        <v>119</v>
      </c>
      <c r="CQ850">
        <v>145</v>
      </c>
      <c r="CR850">
        <v>1</v>
      </c>
      <c r="CW850">
        <v>8982818</v>
      </c>
      <c r="CY850">
        <v>0</v>
      </c>
      <c r="CZ850">
        <v>0</v>
      </c>
      <c r="DA850">
        <v>1</v>
      </c>
      <c r="DB850">
        <v>0</v>
      </c>
      <c r="DC850">
        <v>0</v>
      </c>
      <c r="DD850">
        <v>0</v>
      </c>
      <c r="DE850">
        <v>0</v>
      </c>
      <c r="DF850">
        <v>0</v>
      </c>
      <c r="DG850">
        <v>0</v>
      </c>
      <c r="DH850">
        <v>0</v>
      </c>
      <c r="DI850">
        <v>0</v>
      </c>
    </row>
    <row r="851" spans="1:113" x14ac:dyDescent="0.3">
      <c r="A851" t="str">
        <f>"02/13/2022 18:40:11.422"</f>
        <v>02/13/2022 18:40:11.422</v>
      </c>
      <c r="C851" t="str">
        <f t="shared" si="87"/>
        <v>FFDFD7C0</v>
      </c>
      <c r="D851" t="s">
        <v>113</v>
      </c>
      <c r="E851">
        <v>3</v>
      </c>
      <c r="F851">
        <v>1003</v>
      </c>
      <c r="G851" t="s">
        <v>114</v>
      </c>
      <c r="J851" t="s">
        <v>115</v>
      </c>
      <c r="K851">
        <v>0</v>
      </c>
      <c r="L851">
        <v>3</v>
      </c>
      <c r="M851">
        <v>0</v>
      </c>
      <c r="N851">
        <v>2</v>
      </c>
      <c r="O851">
        <v>1</v>
      </c>
      <c r="P851">
        <v>0</v>
      </c>
      <c r="Q851">
        <v>0</v>
      </c>
      <c r="S851" t="str">
        <f>"18:40:11.203"</f>
        <v>18:40:11.203</v>
      </c>
      <c r="T851" t="str">
        <f>"18:40:10.903"</f>
        <v>18:40:10.903</v>
      </c>
      <c r="U851" t="str">
        <f t="shared" si="86"/>
        <v>AAB6EE</v>
      </c>
      <c r="V851">
        <v>0</v>
      </c>
      <c r="W851">
        <v>0</v>
      </c>
      <c r="X851">
        <v>4</v>
      </c>
      <c r="Z851">
        <v>0</v>
      </c>
      <c r="AA851">
        <v>8</v>
      </c>
      <c r="AB851">
        <v>3</v>
      </c>
      <c r="AC851">
        <v>0</v>
      </c>
      <c r="AD851">
        <v>10</v>
      </c>
      <c r="AE851">
        <v>0</v>
      </c>
      <c r="AF851">
        <v>0</v>
      </c>
      <c r="AG851">
        <v>2</v>
      </c>
      <c r="AH851">
        <v>1</v>
      </c>
      <c r="AI851" t="s">
        <v>689</v>
      </c>
      <c r="AJ851">
        <v>35.341301000000001</v>
      </c>
      <c r="AK851" t="s">
        <v>690</v>
      </c>
      <c r="AL851">
        <v>-76.145123999999996</v>
      </c>
      <c r="AM851">
        <v>25</v>
      </c>
      <c r="AN851">
        <v>3425</v>
      </c>
      <c r="AO851" t="s">
        <v>118</v>
      </c>
      <c r="AP851">
        <v>-104</v>
      </c>
      <c r="AQ851">
        <v>-197</v>
      </c>
      <c r="AR851">
        <v>0</v>
      </c>
      <c r="AZ851">
        <v>4516</v>
      </c>
      <c r="BA851">
        <v>1</v>
      </c>
      <c r="BB851" t="str">
        <f t="shared" si="88"/>
        <v xml:space="preserve">N79NX   </v>
      </c>
      <c r="BC851">
        <v>1</v>
      </c>
      <c r="BE851">
        <v>0</v>
      </c>
      <c r="BF851">
        <v>0</v>
      </c>
      <c r="BG851">
        <v>0</v>
      </c>
      <c r="BH851">
        <v>3300</v>
      </c>
      <c r="BI851">
        <v>0</v>
      </c>
      <c r="BJ851">
        <v>0</v>
      </c>
      <c r="BK851">
        <v>0</v>
      </c>
      <c r="BL851">
        <v>0</v>
      </c>
      <c r="BO851">
        <v>0</v>
      </c>
      <c r="BP851">
        <v>0</v>
      </c>
      <c r="BW851" t="str">
        <f>"18:40:11.211"</f>
        <v>18:40:11.211</v>
      </c>
      <c r="BZ851">
        <v>0</v>
      </c>
      <c r="CA851">
        <v>3488</v>
      </c>
      <c r="CB851">
        <v>216</v>
      </c>
      <c r="CC851">
        <v>583.59379999999999</v>
      </c>
      <c r="CD851">
        <v>1</v>
      </c>
      <c r="CE851">
        <v>1</v>
      </c>
      <c r="CF851">
        <v>0</v>
      </c>
      <c r="CG851">
        <v>1</v>
      </c>
      <c r="CH851">
        <v>0</v>
      </c>
      <c r="CI851">
        <v>0</v>
      </c>
      <c r="CJ851">
        <v>0</v>
      </c>
      <c r="CK851">
        <v>2</v>
      </c>
      <c r="CL851">
        <v>0</v>
      </c>
      <c r="CM851">
        <v>2</v>
      </c>
      <c r="CN851">
        <v>0</v>
      </c>
      <c r="CO851">
        <v>5</v>
      </c>
      <c r="CP851" t="s">
        <v>119</v>
      </c>
      <c r="CQ851">
        <v>145</v>
      </c>
      <c r="CR851">
        <v>1</v>
      </c>
      <c r="CW851">
        <v>8983252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0</v>
      </c>
    </row>
    <row r="852" spans="1:113" x14ac:dyDescent="0.3">
      <c r="A852" t="str">
        <f>"02/13/2022 18:40:11.422"</f>
        <v>02/13/2022 18:40:11.422</v>
      </c>
      <c r="C852" t="str">
        <f t="shared" si="87"/>
        <v>FFDFD7C0</v>
      </c>
      <c r="D852" t="s">
        <v>113</v>
      </c>
      <c r="E852">
        <v>4</v>
      </c>
      <c r="F852">
        <v>1004</v>
      </c>
      <c r="G852" t="s">
        <v>120</v>
      </c>
      <c r="J852" t="s">
        <v>115</v>
      </c>
      <c r="K852">
        <v>0</v>
      </c>
      <c r="L852">
        <v>3</v>
      </c>
      <c r="M852">
        <v>0</v>
      </c>
      <c r="N852">
        <v>2</v>
      </c>
      <c r="O852">
        <v>1</v>
      </c>
      <c r="P852">
        <v>0</v>
      </c>
      <c r="Q852">
        <v>0</v>
      </c>
      <c r="S852" t="str">
        <f>"18:40:11.203"</f>
        <v>18:40:11.203</v>
      </c>
      <c r="T852" t="str">
        <f>"18:40:10.903"</f>
        <v>18:40:10.903</v>
      </c>
      <c r="U852" t="str">
        <f t="shared" si="86"/>
        <v>AAB6EE</v>
      </c>
      <c r="V852">
        <v>0</v>
      </c>
      <c r="W852">
        <v>0</v>
      </c>
      <c r="X852">
        <v>4</v>
      </c>
      <c r="Z852">
        <v>0</v>
      </c>
      <c r="AA852">
        <v>8</v>
      </c>
      <c r="AB852">
        <v>3</v>
      </c>
      <c r="AC852">
        <v>0</v>
      </c>
      <c r="AD852">
        <v>10</v>
      </c>
      <c r="AE852">
        <v>0</v>
      </c>
      <c r="AF852">
        <v>0</v>
      </c>
      <c r="AG852">
        <v>2</v>
      </c>
      <c r="AH852">
        <v>1</v>
      </c>
      <c r="AI852" t="s">
        <v>689</v>
      </c>
      <c r="AJ852">
        <v>35.341301000000001</v>
      </c>
      <c r="AK852" t="s">
        <v>690</v>
      </c>
      <c r="AL852">
        <v>-76.145123999999996</v>
      </c>
      <c r="AM852">
        <v>25</v>
      </c>
      <c r="AN852">
        <v>3425</v>
      </c>
      <c r="AO852" t="s">
        <v>118</v>
      </c>
      <c r="AP852">
        <v>-104</v>
      </c>
      <c r="AQ852">
        <v>-197</v>
      </c>
      <c r="AR852">
        <v>0</v>
      </c>
      <c r="AZ852">
        <v>4516</v>
      </c>
      <c r="BA852">
        <v>1</v>
      </c>
      <c r="BB852" t="str">
        <f t="shared" si="88"/>
        <v xml:space="preserve">N79NX   </v>
      </c>
      <c r="BC852">
        <v>1</v>
      </c>
      <c r="BE852">
        <v>0</v>
      </c>
      <c r="BF852">
        <v>0</v>
      </c>
      <c r="BG852">
        <v>0</v>
      </c>
      <c r="BH852">
        <v>3300</v>
      </c>
      <c r="BI852">
        <v>0</v>
      </c>
      <c r="BJ852">
        <v>0</v>
      </c>
      <c r="BK852">
        <v>0</v>
      </c>
      <c r="BL852">
        <v>0</v>
      </c>
      <c r="BO852">
        <v>0</v>
      </c>
      <c r="BP852">
        <v>0</v>
      </c>
      <c r="BW852" t="str">
        <f>"18:40:11.211"</f>
        <v>18:40:11.211</v>
      </c>
      <c r="BZ852">
        <v>0</v>
      </c>
      <c r="CA852">
        <v>3488</v>
      </c>
      <c r="CB852">
        <v>216</v>
      </c>
      <c r="CC852">
        <v>583.59379999999999</v>
      </c>
      <c r="CD852">
        <v>1</v>
      </c>
      <c r="CE852">
        <v>1</v>
      </c>
      <c r="CF852">
        <v>0</v>
      </c>
      <c r="CG852">
        <v>1</v>
      </c>
      <c r="CH852">
        <v>0</v>
      </c>
      <c r="CI852">
        <v>0</v>
      </c>
      <c r="CJ852">
        <v>0</v>
      </c>
      <c r="CK852">
        <v>2</v>
      </c>
      <c r="CL852">
        <v>0</v>
      </c>
      <c r="CM852">
        <v>2</v>
      </c>
      <c r="CN852">
        <v>0</v>
      </c>
      <c r="CO852">
        <v>5</v>
      </c>
      <c r="CP852" t="s">
        <v>119</v>
      </c>
      <c r="CQ852">
        <v>145</v>
      </c>
      <c r="CR852">
        <v>1</v>
      </c>
      <c r="CW852">
        <v>8983252</v>
      </c>
      <c r="CY852">
        <v>0</v>
      </c>
      <c r="CZ852">
        <v>0</v>
      </c>
      <c r="DA852">
        <v>1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</row>
    <row r="853" spans="1:113" x14ac:dyDescent="0.3">
      <c r="A853" t="str">
        <f>"02/13/2022 18:40:11.422"</f>
        <v>02/13/2022 18:40:11.422</v>
      </c>
      <c r="C853" t="str">
        <f t="shared" si="87"/>
        <v>FFDFD7C0</v>
      </c>
      <c r="D853" t="s">
        <v>121</v>
      </c>
      <c r="E853">
        <v>2</v>
      </c>
      <c r="H853">
        <v>158</v>
      </c>
      <c r="I853" t="s">
        <v>120</v>
      </c>
      <c r="J853" t="s">
        <v>122</v>
      </c>
      <c r="K853">
        <v>0</v>
      </c>
      <c r="L853">
        <v>3</v>
      </c>
      <c r="M853">
        <v>0</v>
      </c>
      <c r="N853">
        <v>2</v>
      </c>
      <c r="O853">
        <v>1</v>
      </c>
      <c r="P853">
        <v>0</v>
      </c>
      <c r="Q853">
        <v>0</v>
      </c>
      <c r="S853" t="str">
        <f>"18:40:11.203"</f>
        <v>18:40:11.203</v>
      </c>
      <c r="T853" t="str">
        <f>"18:40:10.903"</f>
        <v>18:40:10.903</v>
      </c>
      <c r="U853" t="str">
        <f t="shared" si="86"/>
        <v>AAB6EE</v>
      </c>
      <c r="V853">
        <v>0</v>
      </c>
      <c r="W853">
        <v>0</v>
      </c>
      <c r="X853">
        <v>4</v>
      </c>
      <c r="Z853">
        <v>0</v>
      </c>
      <c r="AA853">
        <v>8</v>
      </c>
      <c r="AB853">
        <v>3</v>
      </c>
      <c r="AC853">
        <v>0</v>
      </c>
      <c r="AD853">
        <v>10</v>
      </c>
      <c r="AE853">
        <v>0</v>
      </c>
      <c r="AF853">
        <v>0</v>
      </c>
      <c r="AG853">
        <v>2</v>
      </c>
      <c r="AH853">
        <v>1</v>
      </c>
      <c r="AI853" t="s">
        <v>689</v>
      </c>
      <c r="AJ853">
        <v>35.341301000000001</v>
      </c>
      <c r="AK853" t="s">
        <v>690</v>
      </c>
      <c r="AL853">
        <v>-76.145123999999996</v>
      </c>
      <c r="AM853">
        <v>25</v>
      </c>
      <c r="AN853">
        <v>3425</v>
      </c>
      <c r="AO853" t="s">
        <v>118</v>
      </c>
      <c r="AP853">
        <v>-104</v>
      </c>
      <c r="AQ853">
        <v>-197</v>
      </c>
      <c r="AR853">
        <v>0</v>
      </c>
      <c r="AZ853">
        <v>4516</v>
      </c>
      <c r="BA853">
        <v>1</v>
      </c>
      <c r="BB853" t="str">
        <f t="shared" si="88"/>
        <v xml:space="preserve">N79NX   </v>
      </c>
      <c r="BC853">
        <v>1</v>
      </c>
      <c r="BE853">
        <v>0</v>
      </c>
      <c r="BF853">
        <v>0</v>
      </c>
      <c r="BG853">
        <v>0</v>
      </c>
      <c r="BH853">
        <v>3300</v>
      </c>
      <c r="BI853">
        <v>0</v>
      </c>
      <c r="BJ853">
        <v>0</v>
      </c>
      <c r="BK853">
        <v>0</v>
      </c>
      <c r="BL853">
        <v>0</v>
      </c>
      <c r="BO853">
        <v>0</v>
      </c>
      <c r="BP853">
        <v>0</v>
      </c>
      <c r="BW853" t="str">
        <f>"18:40:11.211"</f>
        <v>18:40:11.211</v>
      </c>
      <c r="BZ853">
        <v>0</v>
      </c>
      <c r="CA853">
        <v>3488</v>
      </c>
      <c r="CB853">
        <v>216</v>
      </c>
      <c r="CC853">
        <v>583.59379999999999</v>
      </c>
      <c r="CD853">
        <v>1</v>
      </c>
      <c r="CE853">
        <v>1</v>
      </c>
      <c r="CF853">
        <v>0</v>
      </c>
      <c r="CG853">
        <v>1</v>
      </c>
      <c r="CH853">
        <v>0</v>
      </c>
      <c r="CI853">
        <v>0</v>
      </c>
      <c r="CJ853">
        <v>0</v>
      </c>
      <c r="CK853">
        <v>2</v>
      </c>
      <c r="CL853">
        <v>0</v>
      </c>
      <c r="CM853">
        <v>2</v>
      </c>
      <c r="CN853">
        <v>0</v>
      </c>
      <c r="CO853">
        <v>5</v>
      </c>
      <c r="CP853" t="s">
        <v>119</v>
      </c>
      <c r="CQ853">
        <v>145</v>
      </c>
      <c r="CR853">
        <v>1</v>
      </c>
      <c r="CW853">
        <v>8983252</v>
      </c>
      <c r="CY853">
        <v>0</v>
      </c>
      <c r="CZ853">
        <v>0</v>
      </c>
      <c r="DA853">
        <v>1</v>
      </c>
      <c r="DB853">
        <v>0</v>
      </c>
      <c r="DC853">
        <v>0</v>
      </c>
      <c r="DD853">
        <v>0</v>
      </c>
      <c r="DE853">
        <v>0</v>
      </c>
      <c r="DF853">
        <v>0</v>
      </c>
      <c r="DG853">
        <v>0</v>
      </c>
      <c r="DH853">
        <v>0</v>
      </c>
      <c r="DI853">
        <v>0</v>
      </c>
    </row>
    <row r="854" spans="1:113" x14ac:dyDescent="0.3">
      <c r="A854" t="str">
        <f>"02/13/2022 18:40:12.485"</f>
        <v>02/13/2022 18:40:12.485</v>
      </c>
      <c r="C854" t="str">
        <f t="shared" si="87"/>
        <v>FFDFD7C0</v>
      </c>
      <c r="D854" t="s">
        <v>113</v>
      </c>
      <c r="E854">
        <v>3</v>
      </c>
      <c r="F854">
        <v>1003</v>
      </c>
      <c r="G854" t="s">
        <v>114</v>
      </c>
      <c r="J854" t="s">
        <v>115</v>
      </c>
      <c r="K854">
        <v>0</v>
      </c>
      <c r="L854">
        <v>3</v>
      </c>
      <c r="M854">
        <v>0</v>
      </c>
      <c r="N854">
        <v>2</v>
      </c>
      <c r="O854">
        <v>1</v>
      </c>
      <c r="P854">
        <v>0</v>
      </c>
      <c r="Q854">
        <v>0</v>
      </c>
      <c r="S854" t="str">
        <f>"18:40:12.258"</f>
        <v>18:40:12.258</v>
      </c>
      <c r="T854" t="str">
        <f>"18:40:11.958"</f>
        <v>18:40:11.958</v>
      </c>
      <c r="U854" t="str">
        <f t="shared" si="86"/>
        <v>AAB6EE</v>
      </c>
      <c r="V854">
        <v>0</v>
      </c>
      <c r="W854">
        <v>0</v>
      </c>
      <c r="X854">
        <v>4</v>
      </c>
      <c r="Z854">
        <v>0</v>
      </c>
      <c r="AA854">
        <v>8</v>
      </c>
      <c r="AB854">
        <v>3</v>
      </c>
      <c r="AC854">
        <v>0</v>
      </c>
      <c r="AD854">
        <v>10</v>
      </c>
      <c r="AE854">
        <v>0</v>
      </c>
      <c r="AF854">
        <v>0</v>
      </c>
      <c r="AG854">
        <v>2</v>
      </c>
      <c r="AH854">
        <v>1</v>
      </c>
      <c r="AI854" t="s">
        <v>691</v>
      </c>
      <c r="AJ854">
        <v>35.340420999999999</v>
      </c>
      <c r="AK854" t="s">
        <v>692</v>
      </c>
      <c r="AL854">
        <v>-76.145703999999995</v>
      </c>
      <c r="AM854">
        <v>25</v>
      </c>
      <c r="AN854">
        <v>3425</v>
      </c>
      <c r="AO854" t="s">
        <v>118</v>
      </c>
      <c r="AP854">
        <v>-104</v>
      </c>
      <c r="AQ854">
        <v>-197</v>
      </c>
      <c r="AR854">
        <v>0</v>
      </c>
      <c r="AZ854">
        <v>4516</v>
      </c>
      <c r="BA854">
        <v>1</v>
      </c>
      <c r="BB854" t="str">
        <f t="shared" si="88"/>
        <v xml:space="preserve">N79NX   </v>
      </c>
      <c r="BC854">
        <v>1</v>
      </c>
      <c r="BE854">
        <v>0</v>
      </c>
      <c r="BF854">
        <v>0</v>
      </c>
      <c r="BG854">
        <v>0</v>
      </c>
      <c r="BH854">
        <v>3300</v>
      </c>
      <c r="BI854">
        <v>0</v>
      </c>
      <c r="BJ854">
        <v>0</v>
      </c>
      <c r="BK854">
        <v>0</v>
      </c>
      <c r="BL854">
        <v>0</v>
      </c>
      <c r="BO854">
        <v>0</v>
      </c>
      <c r="BP854">
        <v>0</v>
      </c>
      <c r="BW854" t="str">
        <f>"18:40:12.261"</f>
        <v>18:40:12.261</v>
      </c>
      <c r="BZ854">
        <v>0</v>
      </c>
      <c r="CA854">
        <v>3488</v>
      </c>
      <c r="CB854">
        <v>216</v>
      </c>
      <c r="CC854">
        <v>583.59379999999999</v>
      </c>
      <c r="CD854">
        <v>1</v>
      </c>
      <c r="CE854">
        <v>1</v>
      </c>
      <c r="CF854">
        <v>0</v>
      </c>
      <c r="CG854">
        <v>1</v>
      </c>
      <c r="CH854">
        <v>0</v>
      </c>
      <c r="CI854">
        <v>0</v>
      </c>
      <c r="CJ854">
        <v>0</v>
      </c>
      <c r="CK854">
        <v>2</v>
      </c>
      <c r="CL854">
        <v>0</v>
      </c>
      <c r="CM854">
        <v>2</v>
      </c>
      <c r="CN854">
        <v>0</v>
      </c>
      <c r="CO854">
        <v>5</v>
      </c>
      <c r="CP854" t="s">
        <v>119</v>
      </c>
      <c r="CQ854">
        <v>145</v>
      </c>
      <c r="CR854">
        <v>1</v>
      </c>
      <c r="CW854">
        <v>8983722</v>
      </c>
      <c r="CY854">
        <v>0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0</v>
      </c>
      <c r="DG854">
        <v>0</v>
      </c>
      <c r="DH854">
        <v>0</v>
      </c>
      <c r="DI854">
        <v>0</v>
      </c>
    </row>
    <row r="855" spans="1:113" x14ac:dyDescent="0.3">
      <c r="A855" t="str">
        <f>"02/13/2022 18:40:12.485"</f>
        <v>02/13/2022 18:40:12.485</v>
      </c>
      <c r="C855" t="str">
        <f t="shared" si="87"/>
        <v>FFDFD7C0</v>
      </c>
      <c r="D855" t="s">
        <v>113</v>
      </c>
      <c r="E855">
        <v>4</v>
      </c>
      <c r="F855">
        <v>1004</v>
      </c>
      <c r="G855" t="s">
        <v>120</v>
      </c>
      <c r="J855" t="s">
        <v>115</v>
      </c>
      <c r="K855">
        <v>0</v>
      </c>
      <c r="L855">
        <v>3</v>
      </c>
      <c r="M855">
        <v>0</v>
      </c>
      <c r="N855">
        <v>2</v>
      </c>
      <c r="O855">
        <v>1</v>
      </c>
      <c r="P855">
        <v>0</v>
      </c>
      <c r="Q855">
        <v>0</v>
      </c>
      <c r="S855" t="str">
        <f>"18:40:12.258"</f>
        <v>18:40:12.258</v>
      </c>
      <c r="T855" t="str">
        <f>"18:40:11.958"</f>
        <v>18:40:11.958</v>
      </c>
      <c r="U855" t="str">
        <f t="shared" si="86"/>
        <v>AAB6EE</v>
      </c>
      <c r="V855">
        <v>0</v>
      </c>
      <c r="W855">
        <v>0</v>
      </c>
      <c r="X855">
        <v>4</v>
      </c>
      <c r="Z855">
        <v>0</v>
      </c>
      <c r="AA855">
        <v>8</v>
      </c>
      <c r="AB855">
        <v>3</v>
      </c>
      <c r="AC855">
        <v>0</v>
      </c>
      <c r="AD855">
        <v>10</v>
      </c>
      <c r="AE855">
        <v>0</v>
      </c>
      <c r="AF855">
        <v>0</v>
      </c>
      <c r="AG855">
        <v>2</v>
      </c>
      <c r="AH855">
        <v>1</v>
      </c>
      <c r="AI855" t="s">
        <v>691</v>
      </c>
      <c r="AJ855">
        <v>35.340420999999999</v>
      </c>
      <c r="AK855" t="s">
        <v>692</v>
      </c>
      <c r="AL855">
        <v>-76.145703999999995</v>
      </c>
      <c r="AM855">
        <v>25</v>
      </c>
      <c r="AN855">
        <v>3425</v>
      </c>
      <c r="AO855" t="s">
        <v>118</v>
      </c>
      <c r="AP855">
        <v>-104</v>
      </c>
      <c r="AQ855">
        <v>-197</v>
      </c>
      <c r="AR855">
        <v>0</v>
      </c>
      <c r="AZ855">
        <v>4516</v>
      </c>
      <c r="BA855">
        <v>1</v>
      </c>
      <c r="BB855" t="str">
        <f t="shared" si="88"/>
        <v xml:space="preserve">N79NX   </v>
      </c>
      <c r="BC855">
        <v>1</v>
      </c>
      <c r="BE855">
        <v>0</v>
      </c>
      <c r="BF855">
        <v>0</v>
      </c>
      <c r="BG855">
        <v>0</v>
      </c>
      <c r="BH855">
        <v>3300</v>
      </c>
      <c r="BI855">
        <v>0</v>
      </c>
      <c r="BJ855">
        <v>0</v>
      </c>
      <c r="BK855">
        <v>0</v>
      </c>
      <c r="BL855">
        <v>0</v>
      </c>
      <c r="BO855">
        <v>0</v>
      </c>
      <c r="BP855">
        <v>0</v>
      </c>
      <c r="BW855" t="str">
        <f>"18:40:12.261"</f>
        <v>18:40:12.261</v>
      </c>
      <c r="BZ855">
        <v>0</v>
      </c>
      <c r="CA855">
        <v>3488</v>
      </c>
      <c r="CB855">
        <v>216</v>
      </c>
      <c r="CC855">
        <v>583.59379999999999</v>
      </c>
      <c r="CD855">
        <v>1</v>
      </c>
      <c r="CE855">
        <v>1</v>
      </c>
      <c r="CF855">
        <v>0</v>
      </c>
      <c r="CG855">
        <v>1</v>
      </c>
      <c r="CH855">
        <v>0</v>
      </c>
      <c r="CI855">
        <v>0</v>
      </c>
      <c r="CJ855">
        <v>0</v>
      </c>
      <c r="CK855">
        <v>2</v>
      </c>
      <c r="CL855">
        <v>0</v>
      </c>
      <c r="CM855">
        <v>2</v>
      </c>
      <c r="CN855">
        <v>0</v>
      </c>
      <c r="CO855">
        <v>5</v>
      </c>
      <c r="CP855" t="s">
        <v>119</v>
      </c>
      <c r="CQ855">
        <v>145</v>
      </c>
      <c r="CR855">
        <v>1</v>
      </c>
      <c r="CW855">
        <v>8983722</v>
      </c>
      <c r="CY855">
        <v>0</v>
      </c>
      <c r="CZ855">
        <v>0</v>
      </c>
      <c r="DA855">
        <v>1</v>
      </c>
      <c r="DB855">
        <v>0</v>
      </c>
      <c r="DC855">
        <v>0</v>
      </c>
      <c r="DD855">
        <v>0</v>
      </c>
      <c r="DE855">
        <v>0</v>
      </c>
      <c r="DF855">
        <v>0</v>
      </c>
      <c r="DG855">
        <v>0</v>
      </c>
      <c r="DH855">
        <v>0</v>
      </c>
      <c r="DI855">
        <v>0</v>
      </c>
    </row>
    <row r="856" spans="1:113" x14ac:dyDescent="0.3">
      <c r="A856" t="str">
        <f>"02/13/2022 18:40:12.485"</f>
        <v>02/13/2022 18:40:12.485</v>
      </c>
      <c r="C856" t="str">
        <f t="shared" si="87"/>
        <v>FFDFD7C0</v>
      </c>
      <c r="D856" t="s">
        <v>121</v>
      </c>
      <c r="E856">
        <v>2</v>
      </c>
      <c r="H856">
        <v>158</v>
      </c>
      <c r="I856" t="s">
        <v>120</v>
      </c>
      <c r="J856" t="s">
        <v>122</v>
      </c>
      <c r="K856">
        <v>0</v>
      </c>
      <c r="L856">
        <v>3</v>
      </c>
      <c r="M856">
        <v>0</v>
      </c>
      <c r="N856">
        <v>2</v>
      </c>
      <c r="O856">
        <v>1</v>
      </c>
      <c r="P856">
        <v>0</v>
      </c>
      <c r="Q856">
        <v>0</v>
      </c>
      <c r="S856" t="str">
        <f>"18:40:12.258"</f>
        <v>18:40:12.258</v>
      </c>
      <c r="T856" t="str">
        <f>"18:40:11.958"</f>
        <v>18:40:11.958</v>
      </c>
      <c r="U856" t="str">
        <f t="shared" si="86"/>
        <v>AAB6EE</v>
      </c>
      <c r="V856">
        <v>0</v>
      </c>
      <c r="W856">
        <v>0</v>
      </c>
      <c r="X856">
        <v>4</v>
      </c>
      <c r="Z856">
        <v>0</v>
      </c>
      <c r="AA856">
        <v>8</v>
      </c>
      <c r="AB856">
        <v>3</v>
      </c>
      <c r="AC856">
        <v>0</v>
      </c>
      <c r="AD856">
        <v>10</v>
      </c>
      <c r="AE856">
        <v>0</v>
      </c>
      <c r="AF856">
        <v>0</v>
      </c>
      <c r="AG856">
        <v>2</v>
      </c>
      <c r="AH856">
        <v>1</v>
      </c>
      <c r="AI856" t="s">
        <v>691</v>
      </c>
      <c r="AJ856">
        <v>35.340420999999999</v>
      </c>
      <c r="AK856" t="s">
        <v>692</v>
      </c>
      <c r="AL856">
        <v>-76.145703999999995</v>
      </c>
      <c r="AM856">
        <v>25</v>
      </c>
      <c r="AN856">
        <v>3425</v>
      </c>
      <c r="AO856" t="s">
        <v>118</v>
      </c>
      <c r="AP856">
        <v>-104</v>
      </c>
      <c r="AQ856">
        <v>-197</v>
      </c>
      <c r="AR856">
        <v>0</v>
      </c>
      <c r="AZ856">
        <v>4516</v>
      </c>
      <c r="BA856">
        <v>1</v>
      </c>
      <c r="BB856" t="str">
        <f t="shared" si="88"/>
        <v xml:space="preserve">N79NX   </v>
      </c>
      <c r="BC856">
        <v>1</v>
      </c>
      <c r="BE856">
        <v>0</v>
      </c>
      <c r="BF856">
        <v>0</v>
      </c>
      <c r="BG856">
        <v>0</v>
      </c>
      <c r="BH856">
        <v>3300</v>
      </c>
      <c r="BI856">
        <v>0</v>
      </c>
      <c r="BJ856">
        <v>0</v>
      </c>
      <c r="BK856">
        <v>0</v>
      </c>
      <c r="BL856">
        <v>0</v>
      </c>
      <c r="BO856">
        <v>0</v>
      </c>
      <c r="BP856">
        <v>0</v>
      </c>
      <c r="BW856" t="str">
        <f>"18:40:12.261"</f>
        <v>18:40:12.261</v>
      </c>
      <c r="BZ856">
        <v>0</v>
      </c>
      <c r="CA856">
        <v>3488</v>
      </c>
      <c r="CB856">
        <v>216</v>
      </c>
      <c r="CC856">
        <v>583.59379999999999</v>
      </c>
      <c r="CD856">
        <v>1</v>
      </c>
      <c r="CE856">
        <v>1</v>
      </c>
      <c r="CF856">
        <v>0</v>
      </c>
      <c r="CG856">
        <v>1</v>
      </c>
      <c r="CH856">
        <v>0</v>
      </c>
      <c r="CI856">
        <v>0</v>
      </c>
      <c r="CJ856">
        <v>0</v>
      </c>
      <c r="CK856">
        <v>2</v>
      </c>
      <c r="CL856">
        <v>0</v>
      </c>
      <c r="CM856">
        <v>2</v>
      </c>
      <c r="CN856">
        <v>0</v>
      </c>
      <c r="CO856">
        <v>5</v>
      </c>
      <c r="CP856" t="s">
        <v>119</v>
      </c>
      <c r="CQ856">
        <v>145</v>
      </c>
      <c r="CR856">
        <v>1</v>
      </c>
      <c r="CW856">
        <v>8983722</v>
      </c>
      <c r="CY856">
        <v>0</v>
      </c>
      <c r="CZ856">
        <v>0</v>
      </c>
      <c r="DA856">
        <v>1</v>
      </c>
      <c r="DB856">
        <v>0</v>
      </c>
      <c r="DC856">
        <v>0</v>
      </c>
      <c r="DD856">
        <v>0</v>
      </c>
      <c r="DE856">
        <v>0</v>
      </c>
      <c r="DF856">
        <v>0</v>
      </c>
      <c r="DG856">
        <v>0</v>
      </c>
      <c r="DH856">
        <v>0</v>
      </c>
      <c r="DI856">
        <v>0</v>
      </c>
    </row>
    <row r="857" spans="1:113" x14ac:dyDescent="0.3">
      <c r="A857" t="str">
        <f>"02/13/2022 18:40:13.610"</f>
        <v>02/13/2022 18:40:13.610</v>
      </c>
      <c r="C857" t="str">
        <f t="shared" si="87"/>
        <v>FFDFD7C0</v>
      </c>
      <c r="D857" t="s">
        <v>113</v>
      </c>
      <c r="E857">
        <v>3</v>
      </c>
      <c r="F857">
        <v>1003</v>
      </c>
      <c r="G857" t="s">
        <v>114</v>
      </c>
      <c r="J857" t="s">
        <v>115</v>
      </c>
      <c r="K857">
        <v>0</v>
      </c>
      <c r="L857">
        <v>3</v>
      </c>
      <c r="M857">
        <v>0</v>
      </c>
      <c r="N857">
        <v>2</v>
      </c>
      <c r="O857">
        <v>1</v>
      </c>
      <c r="P857">
        <v>0</v>
      </c>
      <c r="Q857">
        <v>0</v>
      </c>
      <c r="S857" t="str">
        <f>"18:40:13.305"</f>
        <v>18:40:13.305</v>
      </c>
      <c r="T857" t="str">
        <f>"18:40:12.905"</f>
        <v>18:40:12.905</v>
      </c>
      <c r="U857" t="str">
        <f t="shared" si="86"/>
        <v>AAB6EE</v>
      </c>
      <c r="V857">
        <v>0</v>
      </c>
      <c r="W857">
        <v>0</v>
      </c>
      <c r="X857">
        <v>4</v>
      </c>
      <c r="Z857">
        <v>0</v>
      </c>
      <c r="AA857">
        <v>8</v>
      </c>
      <c r="AB857">
        <v>3</v>
      </c>
      <c r="AC857">
        <v>0</v>
      </c>
      <c r="AD857">
        <v>10</v>
      </c>
      <c r="AE857">
        <v>0</v>
      </c>
      <c r="AF857">
        <v>0</v>
      </c>
      <c r="AG857">
        <v>2</v>
      </c>
      <c r="AH857">
        <v>1</v>
      </c>
      <c r="AI857" t="s">
        <v>693</v>
      </c>
      <c r="AJ857">
        <v>35.339390999999999</v>
      </c>
      <c r="AK857" t="s">
        <v>694</v>
      </c>
      <c r="AL857">
        <v>-76.146348000000003</v>
      </c>
      <c r="AM857">
        <v>25</v>
      </c>
      <c r="AN857">
        <v>3425</v>
      </c>
      <c r="AO857" t="s">
        <v>118</v>
      </c>
      <c r="AP857">
        <v>-104</v>
      </c>
      <c r="AQ857">
        <v>-197</v>
      </c>
      <c r="AR857">
        <v>0</v>
      </c>
      <c r="AZ857">
        <v>4516</v>
      </c>
      <c r="BA857">
        <v>1</v>
      </c>
      <c r="BB857" t="str">
        <f t="shared" si="88"/>
        <v xml:space="preserve">N79NX   </v>
      </c>
      <c r="BC857">
        <v>1</v>
      </c>
      <c r="BE857">
        <v>0</v>
      </c>
      <c r="BF857">
        <v>0</v>
      </c>
      <c r="BG857">
        <v>0</v>
      </c>
      <c r="BH857">
        <v>3300</v>
      </c>
      <c r="BI857">
        <v>0</v>
      </c>
      <c r="BJ857">
        <v>0</v>
      </c>
      <c r="BK857">
        <v>0</v>
      </c>
      <c r="BL857">
        <v>0</v>
      </c>
      <c r="BO857">
        <v>0</v>
      </c>
      <c r="BP857">
        <v>0</v>
      </c>
      <c r="BW857" t="str">
        <f>"18:40:13.311"</f>
        <v>18:40:13.311</v>
      </c>
      <c r="BZ857">
        <v>0</v>
      </c>
      <c r="CA857">
        <v>3488</v>
      </c>
      <c r="CB857">
        <v>216</v>
      </c>
      <c r="CC857">
        <v>583.59379999999999</v>
      </c>
      <c r="CD857">
        <v>1</v>
      </c>
      <c r="CE857">
        <v>1</v>
      </c>
      <c r="CF857">
        <v>0</v>
      </c>
      <c r="CG857">
        <v>1</v>
      </c>
      <c r="CH857">
        <v>0</v>
      </c>
      <c r="CI857">
        <v>0</v>
      </c>
      <c r="CJ857">
        <v>0</v>
      </c>
      <c r="CK857">
        <v>2</v>
      </c>
      <c r="CL857">
        <v>0</v>
      </c>
      <c r="CM857">
        <v>2</v>
      </c>
      <c r="CN857">
        <v>0</v>
      </c>
      <c r="CO857">
        <v>5</v>
      </c>
      <c r="CP857" t="s">
        <v>119</v>
      </c>
      <c r="CQ857">
        <v>145</v>
      </c>
      <c r="CR857">
        <v>1</v>
      </c>
      <c r="CW857">
        <v>8984143</v>
      </c>
      <c r="CY857">
        <v>0</v>
      </c>
      <c r="CZ857">
        <v>0</v>
      </c>
      <c r="DA857">
        <v>0</v>
      </c>
      <c r="DB857">
        <v>0</v>
      </c>
      <c r="DC857">
        <v>0</v>
      </c>
      <c r="DD857">
        <v>0</v>
      </c>
      <c r="DE857">
        <v>0</v>
      </c>
      <c r="DF857">
        <v>0</v>
      </c>
      <c r="DG857">
        <v>0</v>
      </c>
      <c r="DH857">
        <v>0</v>
      </c>
      <c r="DI857">
        <v>0</v>
      </c>
    </row>
    <row r="858" spans="1:113" x14ac:dyDescent="0.3">
      <c r="A858" t="str">
        <f>"02/13/2022 18:40:13.610"</f>
        <v>02/13/2022 18:40:13.610</v>
      </c>
      <c r="C858" t="str">
        <f t="shared" si="87"/>
        <v>FFDFD7C0</v>
      </c>
      <c r="D858" t="s">
        <v>113</v>
      </c>
      <c r="E858">
        <v>4</v>
      </c>
      <c r="F858">
        <v>1004</v>
      </c>
      <c r="G858" t="s">
        <v>120</v>
      </c>
      <c r="J858" t="s">
        <v>115</v>
      </c>
      <c r="K858">
        <v>0</v>
      </c>
      <c r="L858">
        <v>3</v>
      </c>
      <c r="M858">
        <v>0</v>
      </c>
      <c r="N858">
        <v>2</v>
      </c>
      <c r="O858">
        <v>1</v>
      </c>
      <c r="P858">
        <v>0</v>
      </c>
      <c r="Q858">
        <v>0</v>
      </c>
      <c r="S858" t="str">
        <f>"18:40:13.305"</f>
        <v>18:40:13.305</v>
      </c>
      <c r="T858" t="str">
        <f>"18:40:12.905"</f>
        <v>18:40:12.905</v>
      </c>
      <c r="U858" t="str">
        <f t="shared" si="86"/>
        <v>AAB6EE</v>
      </c>
      <c r="V858">
        <v>0</v>
      </c>
      <c r="W858">
        <v>0</v>
      </c>
      <c r="X858">
        <v>4</v>
      </c>
      <c r="Z858">
        <v>0</v>
      </c>
      <c r="AA858">
        <v>8</v>
      </c>
      <c r="AB858">
        <v>3</v>
      </c>
      <c r="AC858">
        <v>0</v>
      </c>
      <c r="AD858">
        <v>10</v>
      </c>
      <c r="AE858">
        <v>0</v>
      </c>
      <c r="AF858">
        <v>0</v>
      </c>
      <c r="AG858">
        <v>2</v>
      </c>
      <c r="AH858">
        <v>1</v>
      </c>
      <c r="AI858" t="s">
        <v>693</v>
      </c>
      <c r="AJ858">
        <v>35.339390999999999</v>
      </c>
      <c r="AK858" t="s">
        <v>694</v>
      </c>
      <c r="AL858">
        <v>-76.146348000000003</v>
      </c>
      <c r="AM858">
        <v>25</v>
      </c>
      <c r="AN858">
        <v>3425</v>
      </c>
      <c r="AO858" t="s">
        <v>118</v>
      </c>
      <c r="AP858">
        <v>-104</v>
      </c>
      <c r="AQ858">
        <v>-197</v>
      </c>
      <c r="AR858">
        <v>0</v>
      </c>
      <c r="AZ858">
        <v>4516</v>
      </c>
      <c r="BA858">
        <v>1</v>
      </c>
      <c r="BB858" t="str">
        <f t="shared" si="88"/>
        <v xml:space="preserve">N79NX   </v>
      </c>
      <c r="BC858">
        <v>1</v>
      </c>
      <c r="BE858">
        <v>0</v>
      </c>
      <c r="BF858">
        <v>0</v>
      </c>
      <c r="BG858">
        <v>0</v>
      </c>
      <c r="BH858">
        <v>3300</v>
      </c>
      <c r="BI858">
        <v>0</v>
      </c>
      <c r="BJ858">
        <v>0</v>
      </c>
      <c r="BK858">
        <v>0</v>
      </c>
      <c r="BL858">
        <v>0</v>
      </c>
      <c r="BO858">
        <v>0</v>
      </c>
      <c r="BP858">
        <v>0</v>
      </c>
      <c r="BW858" t="str">
        <f>"18:40:13.311"</f>
        <v>18:40:13.311</v>
      </c>
      <c r="BZ858">
        <v>0</v>
      </c>
      <c r="CA858">
        <v>3488</v>
      </c>
      <c r="CB858">
        <v>216</v>
      </c>
      <c r="CC858">
        <v>583.59379999999999</v>
      </c>
      <c r="CD858">
        <v>1</v>
      </c>
      <c r="CE858">
        <v>1</v>
      </c>
      <c r="CF858">
        <v>0</v>
      </c>
      <c r="CG858">
        <v>1</v>
      </c>
      <c r="CH858">
        <v>0</v>
      </c>
      <c r="CI858">
        <v>0</v>
      </c>
      <c r="CJ858">
        <v>0</v>
      </c>
      <c r="CK858">
        <v>2</v>
      </c>
      <c r="CL858">
        <v>0</v>
      </c>
      <c r="CM858">
        <v>2</v>
      </c>
      <c r="CN858">
        <v>0</v>
      </c>
      <c r="CO858">
        <v>5</v>
      </c>
      <c r="CP858" t="s">
        <v>119</v>
      </c>
      <c r="CQ858">
        <v>145</v>
      </c>
      <c r="CR858">
        <v>1</v>
      </c>
      <c r="CW858">
        <v>8984143</v>
      </c>
      <c r="CY858">
        <v>0</v>
      </c>
      <c r="CZ858">
        <v>0</v>
      </c>
      <c r="DA858">
        <v>1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</row>
    <row r="859" spans="1:113" x14ac:dyDescent="0.3">
      <c r="A859" t="str">
        <f>"02/13/2022 18:40:13.610"</f>
        <v>02/13/2022 18:40:13.610</v>
      </c>
      <c r="C859" t="str">
        <f t="shared" si="87"/>
        <v>FFDFD7C0</v>
      </c>
      <c r="D859" t="s">
        <v>121</v>
      </c>
      <c r="E859">
        <v>2</v>
      </c>
      <c r="H859">
        <v>158</v>
      </c>
      <c r="I859" t="s">
        <v>120</v>
      </c>
      <c r="J859" t="s">
        <v>122</v>
      </c>
      <c r="K859">
        <v>0</v>
      </c>
      <c r="L859">
        <v>3</v>
      </c>
      <c r="M859">
        <v>0</v>
      </c>
      <c r="N859">
        <v>2</v>
      </c>
      <c r="O859">
        <v>1</v>
      </c>
      <c r="P859">
        <v>0</v>
      </c>
      <c r="Q859">
        <v>0</v>
      </c>
      <c r="S859" t="str">
        <f>"18:40:13.305"</f>
        <v>18:40:13.305</v>
      </c>
      <c r="T859" t="str">
        <f>"18:40:12.905"</f>
        <v>18:40:12.905</v>
      </c>
      <c r="U859" t="str">
        <f t="shared" si="86"/>
        <v>AAB6EE</v>
      </c>
      <c r="V859">
        <v>0</v>
      </c>
      <c r="W859">
        <v>0</v>
      </c>
      <c r="X859">
        <v>4</v>
      </c>
      <c r="Z859">
        <v>0</v>
      </c>
      <c r="AA859">
        <v>8</v>
      </c>
      <c r="AB859">
        <v>3</v>
      </c>
      <c r="AC859">
        <v>0</v>
      </c>
      <c r="AD859">
        <v>10</v>
      </c>
      <c r="AE859">
        <v>0</v>
      </c>
      <c r="AF859">
        <v>0</v>
      </c>
      <c r="AG859">
        <v>2</v>
      </c>
      <c r="AH859">
        <v>1</v>
      </c>
      <c r="AI859" t="s">
        <v>693</v>
      </c>
      <c r="AJ859">
        <v>35.339390999999999</v>
      </c>
      <c r="AK859" t="s">
        <v>694</v>
      </c>
      <c r="AL859">
        <v>-76.146348000000003</v>
      </c>
      <c r="AM859">
        <v>25</v>
      </c>
      <c r="AN859">
        <v>3425</v>
      </c>
      <c r="AO859" t="s">
        <v>118</v>
      </c>
      <c r="AP859">
        <v>-104</v>
      </c>
      <c r="AQ859">
        <v>-197</v>
      </c>
      <c r="AR859">
        <v>0</v>
      </c>
      <c r="AZ859">
        <v>4516</v>
      </c>
      <c r="BA859">
        <v>1</v>
      </c>
      <c r="BB859" t="str">
        <f t="shared" si="88"/>
        <v xml:space="preserve">N79NX   </v>
      </c>
      <c r="BC859">
        <v>1</v>
      </c>
      <c r="BE859">
        <v>0</v>
      </c>
      <c r="BF859">
        <v>0</v>
      </c>
      <c r="BG859">
        <v>0</v>
      </c>
      <c r="BH859">
        <v>3300</v>
      </c>
      <c r="BI859">
        <v>0</v>
      </c>
      <c r="BJ859">
        <v>0</v>
      </c>
      <c r="BK859">
        <v>0</v>
      </c>
      <c r="BL859">
        <v>0</v>
      </c>
      <c r="BO859">
        <v>0</v>
      </c>
      <c r="BP859">
        <v>0</v>
      </c>
      <c r="BW859" t="str">
        <f>"18:40:13.311"</f>
        <v>18:40:13.311</v>
      </c>
      <c r="BZ859">
        <v>0</v>
      </c>
      <c r="CA859">
        <v>3488</v>
      </c>
      <c r="CB859">
        <v>216</v>
      </c>
      <c r="CC859">
        <v>583.59379999999999</v>
      </c>
      <c r="CD859">
        <v>1</v>
      </c>
      <c r="CE859">
        <v>1</v>
      </c>
      <c r="CF859">
        <v>0</v>
      </c>
      <c r="CG859">
        <v>1</v>
      </c>
      <c r="CH859">
        <v>0</v>
      </c>
      <c r="CI859">
        <v>0</v>
      </c>
      <c r="CJ859">
        <v>0</v>
      </c>
      <c r="CK859">
        <v>2</v>
      </c>
      <c r="CL859">
        <v>0</v>
      </c>
      <c r="CM859">
        <v>2</v>
      </c>
      <c r="CN859">
        <v>0</v>
      </c>
      <c r="CO859">
        <v>5</v>
      </c>
      <c r="CP859" t="s">
        <v>119</v>
      </c>
      <c r="CQ859">
        <v>145</v>
      </c>
      <c r="CR859">
        <v>1</v>
      </c>
      <c r="CW859">
        <v>8984143</v>
      </c>
      <c r="CY859">
        <v>0</v>
      </c>
      <c r="CZ859">
        <v>0</v>
      </c>
      <c r="DA859">
        <v>1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0</v>
      </c>
      <c r="DI859">
        <v>0</v>
      </c>
    </row>
    <row r="860" spans="1:113" x14ac:dyDescent="0.3">
      <c r="A860" t="str">
        <f>"02/13/2022 18:40:14.455"</f>
        <v>02/13/2022 18:40:14.455</v>
      </c>
      <c r="C860" t="str">
        <f t="shared" si="87"/>
        <v>FFDFD7C0</v>
      </c>
      <c r="D860" t="s">
        <v>113</v>
      </c>
      <c r="E860">
        <v>3</v>
      </c>
      <c r="F860">
        <v>1003</v>
      </c>
      <c r="G860" t="s">
        <v>114</v>
      </c>
      <c r="J860" t="s">
        <v>115</v>
      </c>
      <c r="K860">
        <v>0</v>
      </c>
      <c r="L860">
        <v>3</v>
      </c>
      <c r="M860">
        <v>0</v>
      </c>
      <c r="N860">
        <v>2</v>
      </c>
      <c r="O860">
        <v>1</v>
      </c>
      <c r="P860">
        <v>0</v>
      </c>
      <c r="Q860">
        <v>0</v>
      </c>
      <c r="S860" t="str">
        <f>"18:40:14.227"</f>
        <v>18:40:14.227</v>
      </c>
      <c r="T860" t="str">
        <f>"18:40:13.827"</f>
        <v>18:40:13.827</v>
      </c>
      <c r="U860" t="str">
        <f t="shared" si="86"/>
        <v>AAB6EE</v>
      </c>
      <c r="V860">
        <v>0</v>
      </c>
      <c r="W860">
        <v>0</v>
      </c>
      <c r="X860">
        <v>4</v>
      </c>
      <c r="Z860">
        <v>0</v>
      </c>
      <c r="AA860">
        <v>8</v>
      </c>
      <c r="AB860">
        <v>3</v>
      </c>
      <c r="AC860">
        <v>0</v>
      </c>
      <c r="AD860">
        <v>10</v>
      </c>
      <c r="AE860">
        <v>0</v>
      </c>
      <c r="AF860">
        <v>0</v>
      </c>
      <c r="AG860">
        <v>2</v>
      </c>
      <c r="AH860">
        <v>1</v>
      </c>
      <c r="AI860" t="s">
        <v>695</v>
      </c>
      <c r="AJ860">
        <v>35.338554000000002</v>
      </c>
      <c r="AK860" t="s">
        <v>696</v>
      </c>
      <c r="AL860">
        <v>-76.146884</v>
      </c>
      <c r="AM860">
        <v>25</v>
      </c>
      <c r="AN860">
        <v>3425</v>
      </c>
      <c r="AO860" t="s">
        <v>118</v>
      </c>
      <c r="AP860">
        <v>-104</v>
      </c>
      <c r="AQ860">
        <v>-197</v>
      </c>
      <c r="AR860">
        <v>0</v>
      </c>
      <c r="AZ860">
        <v>4516</v>
      </c>
      <c r="BA860">
        <v>1</v>
      </c>
      <c r="BB860" t="str">
        <f t="shared" si="88"/>
        <v xml:space="preserve">N79NX   </v>
      </c>
      <c r="BC860">
        <v>1</v>
      </c>
      <c r="BE860">
        <v>0</v>
      </c>
      <c r="BF860">
        <v>0</v>
      </c>
      <c r="BG860">
        <v>0</v>
      </c>
      <c r="BH860">
        <v>3300</v>
      </c>
      <c r="BI860">
        <v>0</v>
      </c>
      <c r="BJ860">
        <v>0</v>
      </c>
      <c r="BK860">
        <v>0</v>
      </c>
      <c r="BL860">
        <v>0</v>
      </c>
      <c r="BO860">
        <v>0</v>
      </c>
      <c r="BP860">
        <v>0</v>
      </c>
      <c r="BW860" t="str">
        <f>"18:40:14.231"</f>
        <v>18:40:14.231</v>
      </c>
      <c r="BZ860">
        <v>0</v>
      </c>
      <c r="CA860">
        <v>3488</v>
      </c>
      <c r="CB860">
        <v>216</v>
      </c>
      <c r="CC860">
        <v>583.59379999999999</v>
      </c>
      <c r="CD860">
        <v>1</v>
      </c>
      <c r="CE860">
        <v>1</v>
      </c>
      <c r="CF860">
        <v>0</v>
      </c>
      <c r="CG860">
        <v>1</v>
      </c>
      <c r="CH860">
        <v>0</v>
      </c>
      <c r="CI860">
        <v>0</v>
      </c>
      <c r="CJ860">
        <v>0</v>
      </c>
      <c r="CK860">
        <v>2</v>
      </c>
      <c r="CL860">
        <v>0</v>
      </c>
      <c r="CM860">
        <v>2</v>
      </c>
      <c r="CN860">
        <v>0</v>
      </c>
      <c r="CO860">
        <v>5</v>
      </c>
      <c r="CP860" t="s">
        <v>119</v>
      </c>
      <c r="CQ860">
        <v>145</v>
      </c>
      <c r="CR860">
        <v>1</v>
      </c>
      <c r="CW860">
        <v>8984523</v>
      </c>
      <c r="CY860">
        <v>0</v>
      </c>
      <c r="CZ860">
        <v>0</v>
      </c>
      <c r="DA860">
        <v>0</v>
      </c>
      <c r="DB860">
        <v>0</v>
      </c>
      <c r="DC860">
        <v>0</v>
      </c>
      <c r="DD860">
        <v>0</v>
      </c>
      <c r="DE860">
        <v>0</v>
      </c>
      <c r="DF860">
        <v>0</v>
      </c>
      <c r="DG860">
        <v>0</v>
      </c>
      <c r="DH860">
        <v>0</v>
      </c>
      <c r="DI860">
        <v>0</v>
      </c>
    </row>
    <row r="861" spans="1:113" x14ac:dyDescent="0.3">
      <c r="A861" t="str">
        <f>"02/13/2022 18:40:14.518"</f>
        <v>02/13/2022 18:40:14.518</v>
      </c>
      <c r="C861" t="str">
        <f t="shared" si="87"/>
        <v>FFDFD7C0</v>
      </c>
      <c r="D861" t="s">
        <v>113</v>
      </c>
      <c r="E861">
        <v>4</v>
      </c>
      <c r="F861">
        <v>1004</v>
      </c>
      <c r="G861" t="s">
        <v>120</v>
      </c>
      <c r="J861" t="s">
        <v>115</v>
      </c>
      <c r="K861">
        <v>0</v>
      </c>
      <c r="L861">
        <v>3</v>
      </c>
      <c r="M861">
        <v>0</v>
      </c>
      <c r="N861">
        <v>2</v>
      </c>
      <c r="O861">
        <v>1</v>
      </c>
      <c r="P861">
        <v>0</v>
      </c>
      <c r="Q861">
        <v>0</v>
      </c>
      <c r="S861" t="str">
        <f>"18:40:14.227"</f>
        <v>18:40:14.227</v>
      </c>
      <c r="T861" t="str">
        <f>"18:40:13.827"</f>
        <v>18:40:13.827</v>
      </c>
      <c r="U861" t="str">
        <f t="shared" si="86"/>
        <v>AAB6EE</v>
      </c>
      <c r="V861">
        <v>0</v>
      </c>
      <c r="W861">
        <v>0</v>
      </c>
      <c r="X861">
        <v>4</v>
      </c>
      <c r="Z861">
        <v>0</v>
      </c>
      <c r="AA861">
        <v>8</v>
      </c>
      <c r="AB861">
        <v>3</v>
      </c>
      <c r="AC861">
        <v>0</v>
      </c>
      <c r="AD861">
        <v>10</v>
      </c>
      <c r="AE861">
        <v>0</v>
      </c>
      <c r="AF861">
        <v>0</v>
      </c>
      <c r="AG861">
        <v>2</v>
      </c>
      <c r="AH861">
        <v>1</v>
      </c>
      <c r="AI861" t="s">
        <v>695</v>
      </c>
      <c r="AJ861">
        <v>35.338554000000002</v>
      </c>
      <c r="AK861" t="s">
        <v>696</v>
      </c>
      <c r="AL861">
        <v>-76.146884</v>
      </c>
      <c r="AM861">
        <v>25</v>
      </c>
      <c r="AN861">
        <v>3425</v>
      </c>
      <c r="AO861" t="s">
        <v>118</v>
      </c>
      <c r="AP861">
        <v>-104</v>
      </c>
      <c r="AQ861">
        <v>-197</v>
      </c>
      <c r="AR861">
        <v>0</v>
      </c>
      <c r="AZ861">
        <v>4516</v>
      </c>
      <c r="BA861">
        <v>1</v>
      </c>
      <c r="BB861" t="str">
        <f t="shared" si="88"/>
        <v xml:space="preserve">N79NX   </v>
      </c>
      <c r="BC861">
        <v>1</v>
      </c>
      <c r="BE861">
        <v>0</v>
      </c>
      <c r="BF861">
        <v>0</v>
      </c>
      <c r="BG861">
        <v>0</v>
      </c>
      <c r="BH861">
        <v>3300</v>
      </c>
      <c r="BI861">
        <v>0</v>
      </c>
      <c r="BJ861">
        <v>0</v>
      </c>
      <c r="BK861">
        <v>0</v>
      </c>
      <c r="BL861">
        <v>0</v>
      </c>
      <c r="BO861">
        <v>0</v>
      </c>
      <c r="BP861">
        <v>0</v>
      </c>
      <c r="BW861" t="str">
        <f>"18:40:14.231"</f>
        <v>18:40:14.231</v>
      </c>
      <c r="BZ861">
        <v>0</v>
      </c>
      <c r="CA861">
        <v>3488</v>
      </c>
      <c r="CB861">
        <v>216</v>
      </c>
      <c r="CC861">
        <v>583.59379999999999</v>
      </c>
      <c r="CD861">
        <v>1</v>
      </c>
      <c r="CE861">
        <v>1</v>
      </c>
      <c r="CF861">
        <v>0</v>
      </c>
      <c r="CG861">
        <v>1</v>
      </c>
      <c r="CH861">
        <v>0</v>
      </c>
      <c r="CI861">
        <v>0</v>
      </c>
      <c r="CJ861">
        <v>0</v>
      </c>
      <c r="CK861">
        <v>2</v>
      </c>
      <c r="CL861">
        <v>0</v>
      </c>
      <c r="CM861">
        <v>2</v>
      </c>
      <c r="CN861">
        <v>0</v>
      </c>
      <c r="CO861">
        <v>5</v>
      </c>
      <c r="CP861" t="s">
        <v>119</v>
      </c>
      <c r="CQ861">
        <v>145</v>
      </c>
      <c r="CR861">
        <v>1</v>
      </c>
      <c r="CW861">
        <v>8984523</v>
      </c>
      <c r="CY861">
        <v>0</v>
      </c>
      <c r="CZ861">
        <v>0</v>
      </c>
      <c r="DA861">
        <v>1</v>
      </c>
      <c r="DB861">
        <v>0</v>
      </c>
      <c r="DC861">
        <v>0</v>
      </c>
      <c r="DD861">
        <v>0</v>
      </c>
      <c r="DE861">
        <v>0</v>
      </c>
      <c r="DF861">
        <v>0</v>
      </c>
      <c r="DG861">
        <v>0</v>
      </c>
      <c r="DH861">
        <v>0</v>
      </c>
      <c r="DI861">
        <v>0</v>
      </c>
    </row>
    <row r="862" spans="1:113" x14ac:dyDescent="0.3">
      <c r="A862" t="str">
        <f>"02/13/2022 18:40:14.518"</f>
        <v>02/13/2022 18:40:14.518</v>
      </c>
      <c r="C862" t="str">
        <f t="shared" si="87"/>
        <v>FFDFD7C0</v>
      </c>
      <c r="D862" t="s">
        <v>121</v>
      </c>
      <c r="E862">
        <v>2</v>
      </c>
      <c r="H862">
        <v>158</v>
      </c>
      <c r="I862" t="s">
        <v>120</v>
      </c>
      <c r="J862" t="s">
        <v>122</v>
      </c>
      <c r="K862">
        <v>0</v>
      </c>
      <c r="L862">
        <v>3</v>
      </c>
      <c r="M862">
        <v>0</v>
      </c>
      <c r="N862">
        <v>2</v>
      </c>
      <c r="O862">
        <v>1</v>
      </c>
      <c r="P862">
        <v>0</v>
      </c>
      <c r="Q862">
        <v>0</v>
      </c>
      <c r="S862" t="str">
        <f>"18:40:14.227"</f>
        <v>18:40:14.227</v>
      </c>
      <c r="T862" t="str">
        <f>"18:40:13.827"</f>
        <v>18:40:13.827</v>
      </c>
      <c r="U862" t="str">
        <f t="shared" si="86"/>
        <v>AAB6EE</v>
      </c>
      <c r="V862">
        <v>0</v>
      </c>
      <c r="W862">
        <v>0</v>
      </c>
      <c r="X862">
        <v>4</v>
      </c>
      <c r="Z862">
        <v>0</v>
      </c>
      <c r="AA862">
        <v>8</v>
      </c>
      <c r="AB862">
        <v>3</v>
      </c>
      <c r="AC862">
        <v>0</v>
      </c>
      <c r="AD862">
        <v>10</v>
      </c>
      <c r="AE862">
        <v>0</v>
      </c>
      <c r="AF862">
        <v>0</v>
      </c>
      <c r="AG862">
        <v>2</v>
      </c>
      <c r="AH862">
        <v>1</v>
      </c>
      <c r="AI862" t="s">
        <v>695</v>
      </c>
      <c r="AJ862">
        <v>35.338554000000002</v>
      </c>
      <c r="AK862" t="s">
        <v>696</v>
      </c>
      <c r="AL862">
        <v>-76.146884</v>
      </c>
      <c r="AM862">
        <v>25</v>
      </c>
      <c r="AN862">
        <v>3425</v>
      </c>
      <c r="AO862" t="s">
        <v>118</v>
      </c>
      <c r="AP862">
        <v>-104</v>
      </c>
      <c r="AQ862">
        <v>-197</v>
      </c>
      <c r="AR862">
        <v>0</v>
      </c>
      <c r="AZ862">
        <v>4516</v>
      </c>
      <c r="BA862">
        <v>1</v>
      </c>
      <c r="BB862" t="str">
        <f t="shared" si="88"/>
        <v xml:space="preserve">N79NX   </v>
      </c>
      <c r="BC862">
        <v>1</v>
      </c>
      <c r="BE862">
        <v>0</v>
      </c>
      <c r="BF862">
        <v>0</v>
      </c>
      <c r="BG862">
        <v>0</v>
      </c>
      <c r="BH862">
        <v>3300</v>
      </c>
      <c r="BI862">
        <v>0</v>
      </c>
      <c r="BJ862">
        <v>0</v>
      </c>
      <c r="BK862">
        <v>0</v>
      </c>
      <c r="BL862">
        <v>0</v>
      </c>
      <c r="BO862">
        <v>0</v>
      </c>
      <c r="BP862">
        <v>0</v>
      </c>
      <c r="BW862" t="str">
        <f>"18:40:14.231"</f>
        <v>18:40:14.231</v>
      </c>
      <c r="BZ862">
        <v>0</v>
      </c>
      <c r="CA862">
        <v>3488</v>
      </c>
      <c r="CB862">
        <v>216</v>
      </c>
      <c r="CC862">
        <v>583.59379999999999</v>
      </c>
      <c r="CD862">
        <v>1</v>
      </c>
      <c r="CE862">
        <v>1</v>
      </c>
      <c r="CF862">
        <v>0</v>
      </c>
      <c r="CG862">
        <v>1</v>
      </c>
      <c r="CH862">
        <v>0</v>
      </c>
      <c r="CI862">
        <v>0</v>
      </c>
      <c r="CJ862">
        <v>0</v>
      </c>
      <c r="CK862">
        <v>2</v>
      </c>
      <c r="CL862">
        <v>0</v>
      </c>
      <c r="CM862">
        <v>2</v>
      </c>
      <c r="CN862">
        <v>0</v>
      </c>
      <c r="CO862">
        <v>5</v>
      </c>
      <c r="CP862" t="s">
        <v>119</v>
      </c>
      <c r="CQ862">
        <v>145</v>
      </c>
      <c r="CR862">
        <v>1</v>
      </c>
      <c r="CW862">
        <v>8984523</v>
      </c>
      <c r="CY862">
        <v>0</v>
      </c>
      <c r="CZ862">
        <v>0</v>
      </c>
      <c r="DA862">
        <v>1</v>
      </c>
      <c r="DB862">
        <v>0</v>
      </c>
      <c r="DC862">
        <v>0</v>
      </c>
      <c r="DD862">
        <v>0</v>
      </c>
      <c r="DE862">
        <v>0</v>
      </c>
      <c r="DF862">
        <v>0</v>
      </c>
      <c r="DG862">
        <v>0</v>
      </c>
      <c r="DH862">
        <v>0</v>
      </c>
      <c r="DI862">
        <v>0</v>
      </c>
    </row>
    <row r="863" spans="1:113" x14ac:dyDescent="0.3">
      <c r="A863" t="str">
        <f>"02/13/2022 18:40:15.440"</f>
        <v>02/13/2022 18:40:15.440</v>
      </c>
      <c r="C863" t="str">
        <f t="shared" si="87"/>
        <v>FFDFD7C0</v>
      </c>
      <c r="D863" t="s">
        <v>113</v>
      </c>
      <c r="E863">
        <v>3</v>
      </c>
      <c r="F863">
        <v>1003</v>
      </c>
      <c r="G863" t="s">
        <v>114</v>
      </c>
      <c r="J863" t="s">
        <v>115</v>
      </c>
      <c r="K863">
        <v>0</v>
      </c>
      <c r="L863">
        <v>3</v>
      </c>
      <c r="M863">
        <v>0</v>
      </c>
      <c r="N863">
        <v>2</v>
      </c>
      <c r="O863">
        <v>1</v>
      </c>
      <c r="P863">
        <v>0</v>
      </c>
      <c r="Q863">
        <v>0</v>
      </c>
      <c r="S863" t="str">
        <f>"18:40:15.219"</f>
        <v>18:40:15.219</v>
      </c>
      <c r="T863" t="str">
        <f>"18:40:14.419"</f>
        <v>18:40:14.419</v>
      </c>
      <c r="U863" t="str">
        <f t="shared" si="86"/>
        <v>AAB6EE</v>
      </c>
      <c r="V863">
        <v>0</v>
      </c>
      <c r="W863">
        <v>0</v>
      </c>
      <c r="X863">
        <v>4</v>
      </c>
      <c r="Z863">
        <v>0</v>
      </c>
      <c r="AA863">
        <v>8</v>
      </c>
      <c r="AB863">
        <v>3</v>
      </c>
      <c r="AC863">
        <v>0</v>
      </c>
      <c r="AD863">
        <v>10</v>
      </c>
      <c r="AE863">
        <v>0</v>
      </c>
      <c r="AF863">
        <v>0</v>
      </c>
      <c r="AG863">
        <v>2</v>
      </c>
      <c r="AH863">
        <v>1</v>
      </c>
      <c r="AI863" t="s">
        <v>697</v>
      </c>
      <c r="AJ863">
        <v>35.337674999999997</v>
      </c>
      <c r="AK863" t="s">
        <v>698</v>
      </c>
      <c r="AL863">
        <v>-76.147463000000002</v>
      </c>
      <c r="AM863">
        <v>25</v>
      </c>
      <c r="AN863">
        <v>3425</v>
      </c>
      <c r="AO863" t="s">
        <v>118</v>
      </c>
      <c r="AP863">
        <v>-104</v>
      </c>
      <c r="AQ863">
        <v>-197</v>
      </c>
      <c r="AR863">
        <v>0</v>
      </c>
      <c r="AZ863">
        <v>4516</v>
      </c>
      <c r="BA863">
        <v>1</v>
      </c>
      <c r="BB863" t="str">
        <f t="shared" si="88"/>
        <v xml:space="preserve">N79NX   </v>
      </c>
      <c r="BC863">
        <v>1</v>
      </c>
      <c r="BE863">
        <v>0</v>
      </c>
      <c r="BF863">
        <v>0</v>
      </c>
      <c r="BG863">
        <v>0</v>
      </c>
      <c r="BH863">
        <v>3300</v>
      </c>
      <c r="BI863">
        <v>0</v>
      </c>
      <c r="BJ863">
        <v>0</v>
      </c>
      <c r="BK863">
        <v>0</v>
      </c>
      <c r="BL863">
        <v>0</v>
      </c>
      <c r="BO863">
        <v>0</v>
      </c>
      <c r="BP863">
        <v>0</v>
      </c>
      <c r="BW863" t="str">
        <f>"18:40:15.221"</f>
        <v>18:40:15.221</v>
      </c>
      <c r="BZ863">
        <v>0</v>
      </c>
      <c r="CA863">
        <v>3488</v>
      </c>
      <c r="CB863">
        <v>216</v>
      </c>
      <c r="CC863">
        <v>583.59379999999999</v>
      </c>
      <c r="CD863">
        <v>1</v>
      </c>
      <c r="CE863">
        <v>1</v>
      </c>
      <c r="CF863">
        <v>0</v>
      </c>
      <c r="CG863">
        <v>1</v>
      </c>
      <c r="CH863">
        <v>0</v>
      </c>
      <c r="CI863">
        <v>0</v>
      </c>
      <c r="CJ863">
        <v>0</v>
      </c>
      <c r="CK863">
        <v>2</v>
      </c>
      <c r="CL863">
        <v>0</v>
      </c>
      <c r="CM863">
        <v>2</v>
      </c>
      <c r="CN863">
        <v>0</v>
      </c>
      <c r="CO863">
        <v>5</v>
      </c>
      <c r="CP863" t="s">
        <v>119</v>
      </c>
      <c r="CQ863">
        <v>145</v>
      </c>
      <c r="CR863">
        <v>1</v>
      </c>
      <c r="CW863">
        <v>8984952</v>
      </c>
      <c r="CY863">
        <v>0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</row>
    <row r="864" spans="1:113" x14ac:dyDescent="0.3">
      <c r="A864" t="str">
        <f>"02/13/2022 18:40:15.440"</f>
        <v>02/13/2022 18:40:15.440</v>
      </c>
      <c r="C864" t="str">
        <f t="shared" si="87"/>
        <v>FFDFD7C0</v>
      </c>
      <c r="D864" t="s">
        <v>113</v>
      </c>
      <c r="E864">
        <v>4</v>
      </c>
      <c r="F864">
        <v>1004</v>
      </c>
      <c r="G864" t="s">
        <v>120</v>
      </c>
      <c r="J864" t="s">
        <v>115</v>
      </c>
      <c r="K864">
        <v>0</v>
      </c>
      <c r="L864">
        <v>3</v>
      </c>
      <c r="M864">
        <v>0</v>
      </c>
      <c r="N864">
        <v>2</v>
      </c>
      <c r="O864">
        <v>1</v>
      </c>
      <c r="P864">
        <v>0</v>
      </c>
      <c r="Q864">
        <v>0</v>
      </c>
      <c r="S864" t="str">
        <f>"18:40:15.219"</f>
        <v>18:40:15.219</v>
      </c>
      <c r="T864" t="str">
        <f>"18:40:14.419"</f>
        <v>18:40:14.419</v>
      </c>
      <c r="U864" t="str">
        <f t="shared" si="86"/>
        <v>AAB6EE</v>
      </c>
      <c r="V864">
        <v>0</v>
      </c>
      <c r="W864">
        <v>0</v>
      </c>
      <c r="X864">
        <v>4</v>
      </c>
      <c r="Z864">
        <v>0</v>
      </c>
      <c r="AA864">
        <v>8</v>
      </c>
      <c r="AB864">
        <v>3</v>
      </c>
      <c r="AC864">
        <v>0</v>
      </c>
      <c r="AD864">
        <v>10</v>
      </c>
      <c r="AE864">
        <v>0</v>
      </c>
      <c r="AF864">
        <v>0</v>
      </c>
      <c r="AG864">
        <v>2</v>
      </c>
      <c r="AH864">
        <v>1</v>
      </c>
      <c r="AI864" t="s">
        <v>697</v>
      </c>
      <c r="AJ864">
        <v>35.337674999999997</v>
      </c>
      <c r="AK864" t="s">
        <v>698</v>
      </c>
      <c r="AL864">
        <v>-76.147463000000002</v>
      </c>
      <c r="AM864">
        <v>25</v>
      </c>
      <c r="AN864">
        <v>3425</v>
      </c>
      <c r="AO864" t="s">
        <v>118</v>
      </c>
      <c r="AP864">
        <v>-104</v>
      </c>
      <c r="AQ864">
        <v>-197</v>
      </c>
      <c r="AR864">
        <v>0</v>
      </c>
      <c r="AZ864">
        <v>4516</v>
      </c>
      <c r="BA864">
        <v>1</v>
      </c>
      <c r="BB864" t="str">
        <f t="shared" si="88"/>
        <v xml:space="preserve">N79NX   </v>
      </c>
      <c r="BC864">
        <v>1</v>
      </c>
      <c r="BE864">
        <v>0</v>
      </c>
      <c r="BF864">
        <v>0</v>
      </c>
      <c r="BG864">
        <v>0</v>
      </c>
      <c r="BH864">
        <v>3300</v>
      </c>
      <c r="BI864">
        <v>0</v>
      </c>
      <c r="BJ864">
        <v>0</v>
      </c>
      <c r="BK864">
        <v>0</v>
      </c>
      <c r="BL864">
        <v>0</v>
      </c>
      <c r="BO864">
        <v>0</v>
      </c>
      <c r="BP864">
        <v>0</v>
      </c>
      <c r="BW864" t="str">
        <f>"18:40:15.221"</f>
        <v>18:40:15.221</v>
      </c>
      <c r="BZ864">
        <v>0</v>
      </c>
      <c r="CA864">
        <v>3488</v>
      </c>
      <c r="CB864">
        <v>216</v>
      </c>
      <c r="CC864">
        <v>583.59379999999999</v>
      </c>
      <c r="CD864">
        <v>1</v>
      </c>
      <c r="CE864">
        <v>1</v>
      </c>
      <c r="CF864">
        <v>0</v>
      </c>
      <c r="CG864">
        <v>1</v>
      </c>
      <c r="CH864">
        <v>0</v>
      </c>
      <c r="CI864">
        <v>0</v>
      </c>
      <c r="CJ864">
        <v>0</v>
      </c>
      <c r="CK864">
        <v>2</v>
      </c>
      <c r="CL864">
        <v>0</v>
      </c>
      <c r="CM864">
        <v>2</v>
      </c>
      <c r="CN864">
        <v>0</v>
      </c>
      <c r="CO864">
        <v>5</v>
      </c>
      <c r="CP864" t="s">
        <v>119</v>
      </c>
      <c r="CQ864">
        <v>145</v>
      </c>
      <c r="CR864">
        <v>1</v>
      </c>
      <c r="CW864">
        <v>8984952</v>
      </c>
      <c r="CY864">
        <v>0</v>
      </c>
      <c r="CZ864">
        <v>0</v>
      </c>
      <c r="DA864">
        <v>1</v>
      </c>
      <c r="DB864">
        <v>0</v>
      </c>
      <c r="DC864">
        <v>0</v>
      </c>
      <c r="DD864">
        <v>0</v>
      </c>
      <c r="DE864">
        <v>0</v>
      </c>
      <c r="DF864">
        <v>0</v>
      </c>
      <c r="DG864">
        <v>0</v>
      </c>
      <c r="DH864">
        <v>0</v>
      </c>
      <c r="DI864">
        <v>0</v>
      </c>
    </row>
    <row r="865" spans="1:113" x14ac:dyDescent="0.3">
      <c r="A865" t="str">
        <f>"02/13/2022 18:40:15.440"</f>
        <v>02/13/2022 18:40:15.440</v>
      </c>
      <c r="C865" t="str">
        <f t="shared" si="87"/>
        <v>FFDFD7C0</v>
      </c>
      <c r="D865" t="s">
        <v>121</v>
      </c>
      <c r="E865">
        <v>2</v>
      </c>
      <c r="H865">
        <v>158</v>
      </c>
      <c r="I865" t="s">
        <v>120</v>
      </c>
      <c r="J865" t="s">
        <v>122</v>
      </c>
      <c r="K865">
        <v>0</v>
      </c>
      <c r="L865">
        <v>3</v>
      </c>
      <c r="M865">
        <v>0</v>
      </c>
      <c r="N865">
        <v>2</v>
      </c>
      <c r="O865">
        <v>1</v>
      </c>
      <c r="P865">
        <v>0</v>
      </c>
      <c r="Q865">
        <v>0</v>
      </c>
      <c r="S865" t="str">
        <f>"18:40:15.219"</f>
        <v>18:40:15.219</v>
      </c>
      <c r="T865" t="str">
        <f>"18:40:14.419"</f>
        <v>18:40:14.419</v>
      </c>
      <c r="U865" t="str">
        <f t="shared" si="86"/>
        <v>AAB6EE</v>
      </c>
      <c r="V865">
        <v>0</v>
      </c>
      <c r="W865">
        <v>0</v>
      </c>
      <c r="X865">
        <v>4</v>
      </c>
      <c r="Z865">
        <v>0</v>
      </c>
      <c r="AA865">
        <v>8</v>
      </c>
      <c r="AB865">
        <v>3</v>
      </c>
      <c r="AC865">
        <v>0</v>
      </c>
      <c r="AD865">
        <v>10</v>
      </c>
      <c r="AE865">
        <v>0</v>
      </c>
      <c r="AF865">
        <v>0</v>
      </c>
      <c r="AG865">
        <v>2</v>
      </c>
      <c r="AH865">
        <v>1</v>
      </c>
      <c r="AI865" t="s">
        <v>697</v>
      </c>
      <c r="AJ865">
        <v>35.337674999999997</v>
      </c>
      <c r="AK865" t="s">
        <v>698</v>
      </c>
      <c r="AL865">
        <v>-76.147463000000002</v>
      </c>
      <c r="AM865">
        <v>25</v>
      </c>
      <c r="AN865">
        <v>3425</v>
      </c>
      <c r="AO865" t="s">
        <v>118</v>
      </c>
      <c r="AP865">
        <v>-104</v>
      </c>
      <c r="AQ865">
        <v>-197</v>
      </c>
      <c r="AR865">
        <v>0</v>
      </c>
      <c r="AZ865">
        <v>4516</v>
      </c>
      <c r="BA865">
        <v>1</v>
      </c>
      <c r="BB865" t="str">
        <f t="shared" si="88"/>
        <v xml:space="preserve">N79NX   </v>
      </c>
      <c r="BC865">
        <v>1</v>
      </c>
      <c r="BE865">
        <v>0</v>
      </c>
      <c r="BF865">
        <v>0</v>
      </c>
      <c r="BG865">
        <v>0</v>
      </c>
      <c r="BH865">
        <v>3300</v>
      </c>
      <c r="BI865">
        <v>0</v>
      </c>
      <c r="BJ865">
        <v>0</v>
      </c>
      <c r="BK865">
        <v>0</v>
      </c>
      <c r="BL865">
        <v>0</v>
      </c>
      <c r="BO865">
        <v>0</v>
      </c>
      <c r="BP865">
        <v>0</v>
      </c>
      <c r="BW865" t="str">
        <f>"18:40:15.221"</f>
        <v>18:40:15.221</v>
      </c>
      <c r="BZ865">
        <v>0</v>
      </c>
      <c r="CA865">
        <v>3488</v>
      </c>
      <c r="CB865">
        <v>216</v>
      </c>
      <c r="CC865">
        <v>583.59379999999999</v>
      </c>
      <c r="CD865">
        <v>1</v>
      </c>
      <c r="CE865">
        <v>1</v>
      </c>
      <c r="CF865">
        <v>0</v>
      </c>
      <c r="CG865">
        <v>1</v>
      </c>
      <c r="CH865">
        <v>0</v>
      </c>
      <c r="CI865">
        <v>0</v>
      </c>
      <c r="CJ865">
        <v>0</v>
      </c>
      <c r="CK865">
        <v>2</v>
      </c>
      <c r="CL865">
        <v>0</v>
      </c>
      <c r="CM865">
        <v>2</v>
      </c>
      <c r="CN865">
        <v>0</v>
      </c>
      <c r="CO865">
        <v>5</v>
      </c>
      <c r="CP865" t="s">
        <v>119</v>
      </c>
      <c r="CQ865">
        <v>145</v>
      </c>
      <c r="CR865">
        <v>1</v>
      </c>
      <c r="CW865">
        <v>8984952</v>
      </c>
      <c r="CY865">
        <v>0</v>
      </c>
      <c r="CZ865">
        <v>0</v>
      </c>
      <c r="DA865">
        <v>1</v>
      </c>
      <c r="DB865">
        <v>0</v>
      </c>
      <c r="DC865">
        <v>0</v>
      </c>
      <c r="DD865">
        <v>0</v>
      </c>
      <c r="DE865">
        <v>0</v>
      </c>
      <c r="DF865">
        <v>0</v>
      </c>
      <c r="DG865">
        <v>0</v>
      </c>
      <c r="DH865">
        <v>0</v>
      </c>
      <c r="DI865">
        <v>0</v>
      </c>
    </row>
    <row r="866" spans="1:113" x14ac:dyDescent="0.3">
      <c r="A866" t="str">
        <f>"02/13/2022 18:40:16.379"</f>
        <v>02/13/2022 18:40:16.379</v>
      </c>
      <c r="C866" t="str">
        <f t="shared" si="87"/>
        <v>FFDFD7C0</v>
      </c>
      <c r="D866" t="s">
        <v>113</v>
      </c>
      <c r="E866">
        <v>3</v>
      </c>
      <c r="F866">
        <v>1003</v>
      </c>
      <c r="G866" t="s">
        <v>114</v>
      </c>
      <c r="J866" t="s">
        <v>115</v>
      </c>
      <c r="K866">
        <v>0</v>
      </c>
      <c r="L866">
        <v>3</v>
      </c>
      <c r="M866">
        <v>0</v>
      </c>
      <c r="N866">
        <v>2</v>
      </c>
      <c r="O866">
        <v>1</v>
      </c>
      <c r="P866">
        <v>0</v>
      </c>
      <c r="Q866">
        <v>0</v>
      </c>
      <c r="S866" t="str">
        <f>"18:40:16.148"</f>
        <v>18:40:16.148</v>
      </c>
      <c r="T866" t="str">
        <f>"18:40:15.748"</f>
        <v>18:40:15.748</v>
      </c>
      <c r="U866" t="str">
        <f t="shared" si="86"/>
        <v>AAB6EE</v>
      </c>
      <c r="V866">
        <v>0</v>
      </c>
      <c r="W866">
        <v>0</v>
      </c>
      <c r="X866">
        <v>4</v>
      </c>
      <c r="Z866">
        <v>0</v>
      </c>
      <c r="AA866">
        <v>8</v>
      </c>
      <c r="AB866">
        <v>3</v>
      </c>
      <c r="AC866">
        <v>0</v>
      </c>
      <c r="AD866">
        <v>10</v>
      </c>
      <c r="AE866">
        <v>0</v>
      </c>
      <c r="AF866">
        <v>0</v>
      </c>
      <c r="AG866">
        <v>2</v>
      </c>
      <c r="AH866">
        <v>1</v>
      </c>
      <c r="AI866" t="s">
        <v>699</v>
      </c>
      <c r="AJ866">
        <v>35.336838</v>
      </c>
      <c r="AK866" t="s">
        <v>700</v>
      </c>
      <c r="AL866">
        <v>-76.148021</v>
      </c>
      <c r="AM866">
        <v>25</v>
      </c>
      <c r="AN866">
        <v>3425</v>
      </c>
      <c r="AO866" t="s">
        <v>118</v>
      </c>
      <c r="AP866">
        <v>-104</v>
      </c>
      <c r="AQ866">
        <v>-196</v>
      </c>
      <c r="AR866">
        <v>0</v>
      </c>
      <c r="AZ866">
        <v>4516</v>
      </c>
      <c r="BA866">
        <v>1</v>
      </c>
      <c r="BB866" t="str">
        <f t="shared" si="88"/>
        <v xml:space="preserve">N79NX   </v>
      </c>
      <c r="BC866">
        <v>1</v>
      </c>
      <c r="BE866">
        <v>0</v>
      </c>
      <c r="BF866">
        <v>0</v>
      </c>
      <c r="BG866">
        <v>0</v>
      </c>
      <c r="BH866">
        <v>3275</v>
      </c>
      <c r="BI866">
        <v>0</v>
      </c>
      <c r="BJ866">
        <v>0</v>
      </c>
      <c r="BK866">
        <v>0</v>
      </c>
      <c r="BL866">
        <v>0</v>
      </c>
      <c r="BO866">
        <v>0</v>
      </c>
      <c r="BP866">
        <v>0</v>
      </c>
      <c r="BW866" t="str">
        <f>"18:40:16.151"</f>
        <v>18:40:16.151</v>
      </c>
      <c r="BZ866">
        <v>0</v>
      </c>
      <c r="CA866">
        <v>3488</v>
      </c>
      <c r="CB866">
        <v>216</v>
      </c>
      <c r="CC866">
        <v>583.59379999999999</v>
      </c>
      <c r="CD866">
        <v>1</v>
      </c>
      <c r="CE866">
        <v>1</v>
      </c>
      <c r="CF866">
        <v>0</v>
      </c>
      <c r="CG866">
        <v>1</v>
      </c>
      <c r="CH866">
        <v>0</v>
      </c>
      <c r="CI866">
        <v>0</v>
      </c>
      <c r="CJ866">
        <v>0</v>
      </c>
      <c r="CK866">
        <v>2</v>
      </c>
      <c r="CL866">
        <v>0</v>
      </c>
      <c r="CM866">
        <v>2</v>
      </c>
      <c r="CN866">
        <v>0</v>
      </c>
      <c r="CO866">
        <v>5</v>
      </c>
      <c r="CP866" t="s">
        <v>119</v>
      </c>
      <c r="CQ866">
        <v>145</v>
      </c>
      <c r="CR866">
        <v>1</v>
      </c>
      <c r="CW866">
        <v>8985393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0</v>
      </c>
      <c r="DG866">
        <v>0</v>
      </c>
      <c r="DH866">
        <v>0</v>
      </c>
      <c r="DI866">
        <v>0</v>
      </c>
    </row>
    <row r="867" spans="1:113" x14ac:dyDescent="0.3">
      <c r="A867" t="str">
        <f>"02/13/2022 18:40:16.379"</f>
        <v>02/13/2022 18:40:16.379</v>
      </c>
      <c r="C867" t="str">
        <f t="shared" si="87"/>
        <v>FFDFD7C0</v>
      </c>
      <c r="D867" t="s">
        <v>113</v>
      </c>
      <c r="E867">
        <v>4</v>
      </c>
      <c r="F867">
        <v>1004</v>
      </c>
      <c r="G867" t="s">
        <v>120</v>
      </c>
      <c r="J867" t="s">
        <v>115</v>
      </c>
      <c r="K867">
        <v>0</v>
      </c>
      <c r="L867">
        <v>3</v>
      </c>
      <c r="M867">
        <v>0</v>
      </c>
      <c r="N867">
        <v>2</v>
      </c>
      <c r="O867">
        <v>1</v>
      </c>
      <c r="P867">
        <v>0</v>
      </c>
      <c r="Q867">
        <v>0</v>
      </c>
      <c r="S867" t="str">
        <f>"18:40:16.148"</f>
        <v>18:40:16.148</v>
      </c>
      <c r="T867" t="str">
        <f>"18:40:15.748"</f>
        <v>18:40:15.748</v>
      </c>
      <c r="U867" t="str">
        <f t="shared" si="86"/>
        <v>AAB6EE</v>
      </c>
      <c r="V867">
        <v>0</v>
      </c>
      <c r="W867">
        <v>0</v>
      </c>
      <c r="X867">
        <v>4</v>
      </c>
      <c r="Z867">
        <v>0</v>
      </c>
      <c r="AA867">
        <v>8</v>
      </c>
      <c r="AB867">
        <v>3</v>
      </c>
      <c r="AC867">
        <v>0</v>
      </c>
      <c r="AD867">
        <v>10</v>
      </c>
      <c r="AE867">
        <v>0</v>
      </c>
      <c r="AF867">
        <v>0</v>
      </c>
      <c r="AG867">
        <v>2</v>
      </c>
      <c r="AH867">
        <v>1</v>
      </c>
      <c r="AI867" t="s">
        <v>699</v>
      </c>
      <c r="AJ867">
        <v>35.336838</v>
      </c>
      <c r="AK867" t="s">
        <v>700</v>
      </c>
      <c r="AL867">
        <v>-76.148021</v>
      </c>
      <c r="AM867">
        <v>25</v>
      </c>
      <c r="AN867">
        <v>3425</v>
      </c>
      <c r="AO867" t="s">
        <v>118</v>
      </c>
      <c r="AP867">
        <v>-104</v>
      </c>
      <c r="AQ867">
        <v>-196</v>
      </c>
      <c r="AR867">
        <v>0</v>
      </c>
      <c r="AZ867">
        <v>4516</v>
      </c>
      <c r="BA867">
        <v>1</v>
      </c>
      <c r="BB867" t="str">
        <f t="shared" si="88"/>
        <v xml:space="preserve">N79NX   </v>
      </c>
      <c r="BC867">
        <v>1</v>
      </c>
      <c r="BE867">
        <v>0</v>
      </c>
      <c r="BF867">
        <v>0</v>
      </c>
      <c r="BG867">
        <v>0</v>
      </c>
      <c r="BH867">
        <v>3275</v>
      </c>
      <c r="BI867">
        <v>0</v>
      </c>
      <c r="BJ867">
        <v>0</v>
      </c>
      <c r="BK867">
        <v>0</v>
      </c>
      <c r="BL867">
        <v>0</v>
      </c>
      <c r="BO867">
        <v>0</v>
      </c>
      <c r="BP867">
        <v>0</v>
      </c>
      <c r="BW867" t="str">
        <f>"18:40:16.151"</f>
        <v>18:40:16.151</v>
      </c>
      <c r="BZ867">
        <v>0</v>
      </c>
      <c r="CA867">
        <v>3488</v>
      </c>
      <c r="CB867">
        <v>216</v>
      </c>
      <c r="CC867">
        <v>583.59379999999999</v>
      </c>
      <c r="CD867">
        <v>1</v>
      </c>
      <c r="CE867">
        <v>1</v>
      </c>
      <c r="CF867">
        <v>0</v>
      </c>
      <c r="CG867">
        <v>1</v>
      </c>
      <c r="CH867">
        <v>0</v>
      </c>
      <c r="CI867">
        <v>0</v>
      </c>
      <c r="CJ867">
        <v>0</v>
      </c>
      <c r="CK867">
        <v>2</v>
      </c>
      <c r="CL867">
        <v>0</v>
      </c>
      <c r="CM867">
        <v>2</v>
      </c>
      <c r="CN867">
        <v>0</v>
      </c>
      <c r="CO867">
        <v>5</v>
      </c>
      <c r="CP867" t="s">
        <v>119</v>
      </c>
      <c r="CQ867">
        <v>145</v>
      </c>
      <c r="CR867">
        <v>1</v>
      </c>
      <c r="CW867">
        <v>8985393</v>
      </c>
      <c r="CY867">
        <v>0</v>
      </c>
      <c r="CZ867">
        <v>0</v>
      </c>
      <c r="DA867">
        <v>1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</row>
    <row r="868" spans="1:113" x14ac:dyDescent="0.3">
      <c r="A868" t="str">
        <f>"02/13/2022 18:40:16.379"</f>
        <v>02/13/2022 18:40:16.379</v>
      </c>
      <c r="C868" t="str">
        <f t="shared" si="87"/>
        <v>FFDFD7C0</v>
      </c>
      <c r="D868" t="s">
        <v>121</v>
      </c>
      <c r="E868">
        <v>2</v>
      </c>
      <c r="H868">
        <v>158</v>
      </c>
      <c r="I868" t="s">
        <v>120</v>
      </c>
      <c r="J868" t="s">
        <v>122</v>
      </c>
      <c r="K868">
        <v>0</v>
      </c>
      <c r="L868">
        <v>3</v>
      </c>
      <c r="M868">
        <v>0</v>
      </c>
      <c r="N868">
        <v>2</v>
      </c>
      <c r="O868">
        <v>1</v>
      </c>
      <c r="P868">
        <v>0</v>
      </c>
      <c r="Q868">
        <v>0</v>
      </c>
      <c r="S868" t="str">
        <f>"18:40:16.148"</f>
        <v>18:40:16.148</v>
      </c>
      <c r="T868" t="str">
        <f>"18:40:15.748"</f>
        <v>18:40:15.748</v>
      </c>
      <c r="U868" t="str">
        <f t="shared" si="86"/>
        <v>AAB6EE</v>
      </c>
      <c r="V868">
        <v>0</v>
      </c>
      <c r="W868">
        <v>0</v>
      </c>
      <c r="X868">
        <v>4</v>
      </c>
      <c r="Z868">
        <v>0</v>
      </c>
      <c r="AA868">
        <v>8</v>
      </c>
      <c r="AB868">
        <v>3</v>
      </c>
      <c r="AC868">
        <v>0</v>
      </c>
      <c r="AD868">
        <v>10</v>
      </c>
      <c r="AE868">
        <v>0</v>
      </c>
      <c r="AF868">
        <v>0</v>
      </c>
      <c r="AG868">
        <v>2</v>
      </c>
      <c r="AH868">
        <v>1</v>
      </c>
      <c r="AI868" t="s">
        <v>699</v>
      </c>
      <c r="AJ868">
        <v>35.336838</v>
      </c>
      <c r="AK868" t="s">
        <v>700</v>
      </c>
      <c r="AL868">
        <v>-76.148021</v>
      </c>
      <c r="AM868">
        <v>25</v>
      </c>
      <c r="AN868">
        <v>3425</v>
      </c>
      <c r="AO868" t="s">
        <v>118</v>
      </c>
      <c r="AP868">
        <v>-104</v>
      </c>
      <c r="AQ868">
        <v>-196</v>
      </c>
      <c r="AR868">
        <v>0</v>
      </c>
      <c r="AZ868">
        <v>4516</v>
      </c>
      <c r="BA868">
        <v>1</v>
      </c>
      <c r="BB868" t="str">
        <f t="shared" si="88"/>
        <v xml:space="preserve">N79NX   </v>
      </c>
      <c r="BC868">
        <v>1</v>
      </c>
      <c r="BE868">
        <v>0</v>
      </c>
      <c r="BF868">
        <v>0</v>
      </c>
      <c r="BG868">
        <v>0</v>
      </c>
      <c r="BH868">
        <v>3275</v>
      </c>
      <c r="BI868">
        <v>0</v>
      </c>
      <c r="BJ868">
        <v>0</v>
      </c>
      <c r="BK868">
        <v>0</v>
      </c>
      <c r="BL868">
        <v>0</v>
      </c>
      <c r="BO868">
        <v>0</v>
      </c>
      <c r="BP868">
        <v>0</v>
      </c>
      <c r="BW868" t="str">
        <f>"18:40:16.151"</f>
        <v>18:40:16.151</v>
      </c>
      <c r="BZ868">
        <v>0</v>
      </c>
      <c r="CA868">
        <v>3488</v>
      </c>
      <c r="CB868">
        <v>216</v>
      </c>
      <c r="CC868">
        <v>583.59379999999999</v>
      </c>
      <c r="CD868">
        <v>1</v>
      </c>
      <c r="CE868">
        <v>1</v>
      </c>
      <c r="CF868">
        <v>0</v>
      </c>
      <c r="CG868">
        <v>1</v>
      </c>
      <c r="CH868">
        <v>0</v>
      </c>
      <c r="CI868">
        <v>0</v>
      </c>
      <c r="CJ868">
        <v>0</v>
      </c>
      <c r="CK868">
        <v>2</v>
      </c>
      <c r="CL868">
        <v>0</v>
      </c>
      <c r="CM868">
        <v>2</v>
      </c>
      <c r="CN868">
        <v>0</v>
      </c>
      <c r="CO868">
        <v>5</v>
      </c>
      <c r="CP868" t="s">
        <v>119</v>
      </c>
      <c r="CQ868">
        <v>145</v>
      </c>
      <c r="CR868">
        <v>1</v>
      </c>
      <c r="CW868">
        <v>8985393</v>
      </c>
      <c r="CY868">
        <v>0</v>
      </c>
      <c r="CZ868">
        <v>0</v>
      </c>
      <c r="DA868">
        <v>1</v>
      </c>
      <c r="DB868">
        <v>0</v>
      </c>
      <c r="DC868">
        <v>0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</row>
    <row r="869" spans="1:113" x14ac:dyDescent="0.3">
      <c r="A869" t="str">
        <f>"02/13/2022 18:40:17.441"</f>
        <v>02/13/2022 18:40:17.441</v>
      </c>
      <c r="C869" t="str">
        <f t="shared" si="87"/>
        <v>FFDFD7C0</v>
      </c>
      <c r="D869" t="s">
        <v>113</v>
      </c>
      <c r="E869">
        <v>3</v>
      </c>
      <c r="F869">
        <v>1003</v>
      </c>
      <c r="G869" t="s">
        <v>114</v>
      </c>
      <c r="J869" t="s">
        <v>115</v>
      </c>
      <c r="K869">
        <v>0</v>
      </c>
      <c r="L869">
        <v>3</v>
      </c>
      <c r="M869">
        <v>0</v>
      </c>
      <c r="N869">
        <v>2</v>
      </c>
      <c r="O869">
        <v>1</v>
      </c>
      <c r="P869">
        <v>0</v>
      </c>
      <c r="Q869">
        <v>0</v>
      </c>
      <c r="S869" t="str">
        <f>"18:40:17.219"</f>
        <v>18:40:17.219</v>
      </c>
      <c r="T869" t="str">
        <f>"18:40:16.819"</f>
        <v>18:40:16.819</v>
      </c>
      <c r="U869" t="str">
        <f t="shared" si="86"/>
        <v>AAB6EE</v>
      </c>
      <c r="V869">
        <v>0</v>
      </c>
      <c r="W869">
        <v>0</v>
      </c>
      <c r="X869">
        <v>4</v>
      </c>
      <c r="Z869">
        <v>0</v>
      </c>
      <c r="AA869">
        <v>8</v>
      </c>
      <c r="AB869">
        <v>3</v>
      </c>
      <c r="AC869">
        <v>0</v>
      </c>
      <c r="AD869">
        <v>10</v>
      </c>
      <c r="AE869">
        <v>0</v>
      </c>
      <c r="AF869">
        <v>0</v>
      </c>
      <c r="AG869">
        <v>2</v>
      </c>
      <c r="AH869">
        <v>1</v>
      </c>
      <c r="AI869" t="s">
        <v>701</v>
      </c>
      <c r="AJ869">
        <v>35.335850999999998</v>
      </c>
      <c r="AK869" t="s">
        <v>702</v>
      </c>
      <c r="AL869">
        <v>-76.148643000000007</v>
      </c>
      <c r="AM869">
        <v>25</v>
      </c>
      <c r="AN869">
        <v>3425</v>
      </c>
      <c r="AO869" t="s">
        <v>118</v>
      </c>
      <c r="AP869">
        <v>-104</v>
      </c>
      <c r="AQ869">
        <v>-196</v>
      </c>
      <c r="AR869">
        <v>64</v>
      </c>
      <c r="AZ869">
        <v>4516</v>
      </c>
      <c r="BA869">
        <v>1</v>
      </c>
      <c r="BB869" t="str">
        <f t="shared" si="88"/>
        <v xml:space="preserve">N79NX   </v>
      </c>
      <c r="BC869">
        <v>1</v>
      </c>
      <c r="BE869">
        <v>0</v>
      </c>
      <c r="BF869">
        <v>0</v>
      </c>
      <c r="BG869">
        <v>0</v>
      </c>
      <c r="BH869">
        <v>3275</v>
      </c>
      <c r="BI869">
        <v>0</v>
      </c>
      <c r="BJ869">
        <v>0</v>
      </c>
      <c r="BK869">
        <v>0</v>
      </c>
      <c r="BL869">
        <v>0</v>
      </c>
      <c r="BO869">
        <v>0</v>
      </c>
      <c r="BP869">
        <v>0</v>
      </c>
      <c r="BW869" t="str">
        <f>"18:40:17.221"</f>
        <v>18:40:17.221</v>
      </c>
      <c r="BZ869">
        <v>0</v>
      </c>
      <c r="CA869">
        <v>3488</v>
      </c>
      <c r="CB869">
        <v>216</v>
      </c>
      <c r="CC869">
        <v>583.59379999999999</v>
      </c>
      <c r="CD869">
        <v>1</v>
      </c>
      <c r="CE869">
        <v>1</v>
      </c>
      <c r="CF869">
        <v>0</v>
      </c>
      <c r="CG869">
        <v>1</v>
      </c>
      <c r="CH869">
        <v>0</v>
      </c>
      <c r="CI869">
        <v>0</v>
      </c>
      <c r="CJ869">
        <v>0</v>
      </c>
      <c r="CK869">
        <v>2</v>
      </c>
      <c r="CL869">
        <v>0</v>
      </c>
      <c r="CM869">
        <v>2</v>
      </c>
      <c r="CN869">
        <v>0</v>
      </c>
      <c r="CO869">
        <v>5</v>
      </c>
      <c r="CP869" t="s">
        <v>119</v>
      </c>
      <c r="CQ869">
        <v>145</v>
      </c>
      <c r="CR869">
        <v>1</v>
      </c>
      <c r="CW869">
        <v>8985845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0</v>
      </c>
      <c r="DE869">
        <v>0</v>
      </c>
      <c r="DF869">
        <v>0</v>
      </c>
      <c r="DG869">
        <v>0</v>
      </c>
      <c r="DH869">
        <v>0</v>
      </c>
      <c r="DI869">
        <v>0</v>
      </c>
    </row>
    <row r="870" spans="1:113" x14ac:dyDescent="0.3">
      <c r="A870" t="str">
        <f>"02/13/2022 18:40:17.441"</f>
        <v>02/13/2022 18:40:17.441</v>
      </c>
      <c r="C870" t="str">
        <f t="shared" si="87"/>
        <v>FFDFD7C0</v>
      </c>
      <c r="D870" t="s">
        <v>113</v>
      </c>
      <c r="E870">
        <v>4</v>
      </c>
      <c r="F870">
        <v>1004</v>
      </c>
      <c r="G870" t="s">
        <v>120</v>
      </c>
      <c r="J870" t="s">
        <v>115</v>
      </c>
      <c r="K870">
        <v>0</v>
      </c>
      <c r="L870">
        <v>3</v>
      </c>
      <c r="M870">
        <v>0</v>
      </c>
      <c r="N870">
        <v>2</v>
      </c>
      <c r="O870">
        <v>1</v>
      </c>
      <c r="P870">
        <v>0</v>
      </c>
      <c r="Q870">
        <v>0</v>
      </c>
      <c r="S870" t="str">
        <f>"18:40:17.219"</f>
        <v>18:40:17.219</v>
      </c>
      <c r="T870" t="str">
        <f>"18:40:16.819"</f>
        <v>18:40:16.819</v>
      </c>
      <c r="U870" t="str">
        <f t="shared" si="86"/>
        <v>AAB6EE</v>
      </c>
      <c r="V870">
        <v>0</v>
      </c>
      <c r="W870">
        <v>0</v>
      </c>
      <c r="X870">
        <v>4</v>
      </c>
      <c r="Z870">
        <v>0</v>
      </c>
      <c r="AA870">
        <v>8</v>
      </c>
      <c r="AB870">
        <v>3</v>
      </c>
      <c r="AC870">
        <v>0</v>
      </c>
      <c r="AD870">
        <v>10</v>
      </c>
      <c r="AE870">
        <v>0</v>
      </c>
      <c r="AF870">
        <v>0</v>
      </c>
      <c r="AG870">
        <v>2</v>
      </c>
      <c r="AH870">
        <v>1</v>
      </c>
      <c r="AI870" t="s">
        <v>701</v>
      </c>
      <c r="AJ870">
        <v>35.335850999999998</v>
      </c>
      <c r="AK870" t="s">
        <v>702</v>
      </c>
      <c r="AL870">
        <v>-76.148643000000007</v>
      </c>
      <c r="AM870">
        <v>25</v>
      </c>
      <c r="AN870">
        <v>3425</v>
      </c>
      <c r="AO870" t="s">
        <v>118</v>
      </c>
      <c r="AP870">
        <v>-104</v>
      </c>
      <c r="AQ870">
        <v>-196</v>
      </c>
      <c r="AR870">
        <v>64</v>
      </c>
      <c r="AZ870">
        <v>4516</v>
      </c>
      <c r="BA870">
        <v>1</v>
      </c>
      <c r="BB870" t="str">
        <f t="shared" si="88"/>
        <v xml:space="preserve">N79NX   </v>
      </c>
      <c r="BC870">
        <v>1</v>
      </c>
      <c r="BE870">
        <v>0</v>
      </c>
      <c r="BF870">
        <v>0</v>
      </c>
      <c r="BG870">
        <v>0</v>
      </c>
      <c r="BH870">
        <v>3275</v>
      </c>
      <c r="BI870">
        <v>0</v>
      </c>
      <c r="BJ870">
        <v>0</v>
      </c>
      <c r="BK870">
        <v>0</v>
      </c>
      <c r="BL870">
        <v>0</v>
      </c>
      <c r="BO870">
        <v>0</v>
      </c>
      <c r="BP870">
        <v>0</v>
      </c>
      <c r="BW870" t="str">
        <f>"18:40:17.221"</f>
        <v>18:40:17.221</v>
      </c>
      <c r="BZ870">
        <v>0</v>
      </c>
      <c r="CA870">
        <v>3488</v>
      </c>
      <c r="CB870">
        <v>216</v>
      </c>
      <c r="CC870">
        <v>583.59379999999999</v>
      </c>
      <c r="CD870">
        <v>1</v>
      </c>
      <c r="CE870">
        <v>1</v>
      </c>
      <c r="CF870">
        <v>0</v>
      </c>
      <c r="CG870">
        <v>1</v>
      </c>
      <c r="CH870">
        <v>0</v>
      </c>
      <c r="CI870">
        <v>0</v>
      </c>
      <c r="CJ870">
        <v>0</v>
      </c>
      <c r="CK870">
        <v>2</v>
      </c>
      <c r="CL870">
        <v>0</v>
      </c>
      <c r="CM870">
        <v>2</v>
      </c>
      <c r="CN870">
        <v>0</v>
      </c>
      <c r="CO870">
        <v>5</v>
      </c>
      <c r="CP870" t="s">
        <v>119</v>
      </c>
      <c r="CQ870">
        <v>145</v>
      </c>
      <c r="CR870">
        <v>1</v>
      </c>
      <c r="CW870">
        <v>8985845</v>
      </c>
      <c r="CY870">
        <v>0</v>
      </c>
      <c r="CZ870">
        <v>0</v>
      </c>
      <c r="DA870">
        <v>1</v>
      </c>
      <c r="DB870">
        <v>0</v>
      </c>
      <c r="DC870">
        <v>0</v>
      </c>
      <c r="DD870">
        <v>0</v>
      </c>
      <c r="DE870">
        <v>0</v>
      </c>
      <c r="DF870">
        <v>0</v>
      </c>
      <c r="DG870">
        <v>0</v>
      </c>
      <c r="DH870">
        <v>0</v>
      </c>
      <c r="DI870">
        <v>0</v>
      </c>
    </row>
    <row r="871" spans="1:113" x14ac:dyDescent="0.3">
      <c r="A871" t="str">
        <f>"02/13/2022 18:40:17.441"</f>
        <v>02/13/2022 18:40:17.441</v>
      </c>
      <c r="C871" t="str">
        <f t="shared" si="87"/>
        <v>FFDFD7C0</v>
      </c>
      <c r="D871" t="s">
        <v>121</v>
      </c>
      <c r="E871">
        <v>2</v>
      </c>
      <c r="H871">
        <v>158</v>
      </c>
      <c r="I871" t="s">
        <v>120</v>
      </c>
      <c r="J871" t="s">
        <v>122</v>
      </c>
      <c r="K871">
        <v>0</v>
      </c>
      <c r="L871">
        <v>3</v>
      </c>
      <c r="M871">
        <v>0</v>
      </c>
      <c r="N871">
        <v>2</v>
      </c>
      <c r="O871">
        <v>1</v>
      </c>
      <c r="P871">
        <v>0</v>
      </c>
      <c r="Q871">
        <v>0</v>
      </c>
      <c r="S871" t="str">
        <f>"18:40:17.219"</f>
        <v>18:40:17.219</v>
      </c>
      <c r="T871" t="str">
        <f>"18:40:16.819"</f>
        <v>18:40:16.819</v>
      </c>
      <c r="U871" t="str">
        <f t="shared" si="86"/>
        <v>AAB6EE</v>
      </c>
      <c r="V871">
        <v>0</v>
      </c>
      <c r="W871">
        <v>0</v>
      </c>
      <c r="X871">
        <v>4</v>
      </c>
      <c r="Z871">
        <v>0</v>
      </c>
      <c r="AA871">
        <v>8</v>
      </c>
      <c r="AB871">
        <v>3</v>
      </c>
      <c r="AC871">
        <v>0</v>
      </c>
      <c r="AD871">
        <v>10</v>
      </c>
      <c r="AE871">
        <v>0</v>
      </c>
      <c r="AF871">
        <v>0</v>
      </c>
      <c r="AG871">
        <v>2</v>
      </c>
      <c r="AH871">
        <v>1</v>
      </c>
      <c r="AI871" t="s">
        <v>701</v>
      </c>
      <c r="AJ871">
        <v>35.335850999999998</v>
      </c>
      <c r="AK871" t="s">
        <v>702</v>
      </c>
      <c r="AL871">
        <v>-76.148643000000007</v>
      </c>
      <c r="AM871">
        <v>25</v>
      </c>
      <c r="AN871">
        <v>3425</v>
      </c>
      <c r="AO871" t="s">
        <v>118</v>
      </c>
      <c r="AP871">
        <v>-104</v>
      </c>
      <c r="AQ871">
        <v>-196</v>
      </c>
      <c r="AR871">
        <v>64</v>
      </c>
      <c r="AZ871">
        <v>4516</v>
      </c>
      <c r="BA871">
        <v>1</v>
      </c>
      <c r="BB871" t="str">
        <f t="shared" si="88"/>
        <v xml:space="preserve">N79NX   </v>
      </c>
      <c r="BC871">
        <v>1</v>
      </c>
      <c r="BE871">
        <v>0</v>
      </c>
      <c r="BF871">
        <v>0</v>
      </c>
      <c r="BG871">
        <v>0</v>
      </c>
      <c r="BH871">
        <v>3275</v>
      </c>
      <c r="BI871">
        <v>0</v>
      </c>
      <c r="BJ871">
        <v>0</v>
      </c>
      <c r="BK871">
        <v>0</v>
      </c>
      <c r="BL871">
        <v>0</v>
      </c>
      <c r="BO871">
        <v>0</v>
      </c>
      <c r="BP871">
        <v>0</v>
      </c>
      <c r="BW871" t="str">
        <f>"18:40:17.221"</f>
        <v>18:40:17.221</v>
      </c>
      <c r="BZ871">
        <v>0</v>
      </c>
      <c r="CA871">
        <v>3488</v>
      </c>
      <c r="CB871">
        <v>216</v>
      </c>
      <c r="CC871">
        <v>583.59379999999999</v>
      </c>
      <c r="CD871">
        <v>1</v>
      </c>
      <c r="CE871">
        <v>1</v>
      </c>
      <c r="CF871">
        <v>0</v>
      </c>
      <c r="CG871">
        <v>1</v>
      </c>
      <c r="CH871">
        <v>0</v>
      </c>
      <c r="CI871">
        <v>0</v>
      </c>
      <c r="CJ871">
        <v>0</v>
      </c>
      <c r="CK871">
        <v>2</v>
      </c>
      <c r="CL871">
        <v>0</v>
      </c>
      <c r="CM871">
        <v>2</v>
      </c>
      <c r="CN871">
        <v>0</v>
      </c>
      <c r="CO871">
        <v>5</v>
      </c>
      <c r="CP871" t="s">
        <v>119</v>
      </c>
      <c r="CQ871">
        <v>145</v>
      </c>
      <c r="CR871">
        <v>1</v>
      </c>
      <c r="CW871">
        <v>8985845</v>
      </c>
      <c r="CY871">
        <v>0</v>
      </c>
      <c r="CZ871">
        <v>0</v>
      </c>
      <c r="DA871">
        <v>1</v>
      </c>
      <c r="DB871">
        <v>0</v>
      </c>
      <c r="DC871">
        <v>0</v>
      </c>
      <c r="DD871">
        <v>0</v>
      </c>
      <c r="DE871">
        <v>0</v>
      </c>
      <c r="DF871">
        <v>0</v>
      </c>
      <c r="DG871">
        <v>0</v>
      </c>
      <c r="DH871">
        <v>0</v>
      </c>
      <c r="DI871">
        <v>0</v>
      </c>
    </row>
    <row r="872" spans="1:113" x14ac:dyDescent="0.3">
      <c r="A872" t="str">
        <f>"02/13/2022 18:40:18.254"</f>
        <v>02/13/2022 18:40:18.254</v>
      </c>
      <c r="C872" t="str">
        <f t="shared" si="87"/>
        <v>FFDFD7C0</v>
      </c>
      <c r="D872" t="s">
        <v>121</v>
      </c>
      <c r="E872">
        <v>2</v>
      </c>
      <c r="H872">
        <v>158</v>
      </c>
      <c r="I872" t="s">
        <v>120</v>
      </c>
      <c r="J872" t="s">
        <v>122</v>
      </c>
      <c r="K872">
        <v>0</v>
      </c>
      <c r="L872">
        <v>3</v>
      </c>
      <c r="M872">
        <v>0</v>
      </c>
      <c r="N872">
        <v>2</v>
      </c>
      <c r="O872">
        <v>1</v>
      </c>
      <c r="P872">
        <v>0</v>
      </c>
      <c r="Q872">
        <v>0</v>
      </c>
      <c r="S872" t="str">
        <f>"18:40:18.086"</f>
        <v>18:40:18.086</v>
      </c>
      <c r="T872" t="str">
        <f>"18:40:17.686"</f>
        <v>18:40:17.686</v>
      </c>
      <c r="U872" t="str">
        <f t="shared" si="86"/>
        <v>AAB6EE</v>
      </c>
      <c r="V872">
        <v>0</v>
      </c>
      <c r="W872">
        <v>0</v>
      </c>
      <c r="X872">
        <v>4</v>
      </c>
      <c r="Z872">
        <v>0</v>
      </c>
      <c r="AA872">
        <v>8</v>
      </c>
      <c r="AB872">
        <v>3</v>
      </c>
      <c r="AC872">
        <v>0</v>
      </c>
      <c r="AD872">
        <v>10</v>
      </c>
      <c r="AE872">
        <v>0</v>
      </c>
      <c r="AF872">
        <v>0</v>
      </c>
      <c r="AG872">
        <v>2</v>
      </c>
      <c r="AH872">
        <v>1</v>
      </c>
      <c r="AI872" t="s">
        <v>703</v>
      </c>
      <c r="AJ872">
        <v>35.335099999999997</v>
      </c>
      <c r="AK872" t="s">
        <v>704</v>
      </c>
      <c r="AL872">
        <v>-76.149094000000005</v>
      </c>
      <c r="AM872">
        <v>25</v>
      </c>
      <c r="AN872">
        <v>3450</v>
      </c>
      <c r="AO872" t="s">
        <v>118</v>
      </c>
      <c r="AP872">
        <v>-104</v>
      </c>
      <c r="AQ872">
        <v>-196</v>
      </c>
      <c r="AR872">
        <v>0</v>
      </c>
      <c r="AZ872">
        <v>4516</v>
      </c>
      <c r="BA872">
        <v>1</v>
      </c>
      <c r="BB872" t="str">
        <f t="shared" si="88"/>
        <v xml:space="preserve">N79NX   </v>
      </c>
      <c r="BC872">
        <v>1</v>
      </c>
      <c r="BE872">
        <v>0</v>
      </c>
      <c r="BF872">
        <v>0</v>
      </c>
      <c r="BG872">
        <v>0</v>
      </c>
      <c r="BH872">
        <v>3275</v>
      </c>
      <c r="BI872">
        <v>0</v>
      </c>
      <c r="BJ872">
        <v>0</v>
      </c>
      <c r="BK872">
        <v>0</v>
      </c>
      <c r="BL872">
        <v>0</v>
      </c>
      <c r="BO872">
        <v>0</v>
      </c>
      <c r="BP872">
        <v>0</v>
      </c>
      <c r="BW872" t="str">
        <f>"18:40:18.091"</f>
        <v>18:40:18.091</v>
      </c>
      <c r="BZ872">
        <v>0</v>
      </c>
      <c r="CA872">
        <v>3488</v>
      </c>
      <c r="CB872">
        <v>216</v>
      </c>
      <c r="CC872">
        <v>583.59379999999999</v>
      </c>
      <c r="CD872">
        <v>1</v>
      </c>
      <c r="CE872">
        <v>1</v>
      </c>
      <c r="CF872">
        <v>0</v>
      </c>
      <c r="CG872">
        <v>1</v>
      </c>
      <c r="CH872">
        <v>0</v>
      </c>
      <c r="CI872">
        <v>0</v>
      </c>
      <c r="CJ872">
        <v>0</v>
      </c>
      <c r="CK872">
        <v>2</v>
      </c>
      <c r="CL872">
        <v>0</v>
      </c>
      <c r="CM872">
        <v>2</v>
      </c>
      <c r="CN872">
        <v>0</v>
      </c>
      <c r="CO872">
        <v>5</v>
      </c>
      <c r="CP872" t="s">
        <v>119</v>
      </c>
      <c r="CQ872">
        <v>145</v>
      </c>
      <c r="CR872">
        <v>1</v>
      </c>
      <c r="CW872">
        <v>8986201</v>
      </c>
      <c r="CY872">
        <v>0</v>
      </c>
      <c r="CZ872">
        <v>0</v>
      </c>
      <c r="DA872">
        <v>0</v>
      </c>
      <c r="DB872">
        <v>0</v>
      </c>
      <c r="DC872">
        <v>0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</row>
    <row r="873" spans="1:113" x14ac:dyDescent="0.3">
      <c r="A873" t="str">
        <f>"02/13/2022 18:40:18.285"</f>
        <v>02/13/2022 18:40:18.285</v>
      </c>
      <c r="C873" t="str">
        <f t="shared" si="87"/>
        <v>FFDFD7C0</v>
      </c>
      <c r="D873" t="s">
        <v>113</v>
      </c>
      <c r="E873">
        <v>3</v>
      </c>
      <c r="F873">
        <v>1003</v>
      </c>
      <c r="G873" t="s">
        <v>114</v>
      </c>
      <c r="J873" t="s">
        <v>115</v>
      </c>
      <c r="K873">
        <v>0</v>
      </c>
      <c r="L873">
        <v>3</v>
      </c>
      <c r="M873">
        <v>0</v>
      </c>
      <c r="N873">
        <v>2</v>
      </c>
      <c r="O873">
        <v>1</v>
      </c>
      <c r="P873">
        <v>0</v>
      </c>
      <c r="Q873">
        <v>0</v>
      </c>
      <c r="S873" t="str">
        <f>"18:40:18.086"</f>
        <v>18:40:18.086</v>
      </c>
      <c r="T873" t="str">
        <f>"18:40:17.686"</f>
        <v>18:40:17.686</v>
      </c>
      <c r="U873" t="str">
        <f t="shared" si="86"/>
        <v>AAB6EE</v>
      </c>
      <c r="V873">
        <v>0</v>
      </c>
      <c r="W873">
        <v>0</v>
      </c>
      <c r="X873">
        <v>4</v>
      </c>
      <c r="Z873">
        <v>0</v>
      </c>
      <c r="AA873">
        <v>8</v>
      </c>
      <c r="AB873">
        <v>3</v>
      </c>
      <c r="AC873">
        <v>0</v>
      </c>
      <c r="AD873">
        <v>10</v>
      </c>
      <c r="AE873">
        <v>0</v>
      </c>
      <c r="AF873">
        <v>0</v>
      </c>
      <c r="AG873">
        <v>2</v>
      </c>
      <c r="AH873">
        <v>1</v>
      </c>
      <c r="AI873" t="s">
        <v>703</v>
      </c>
      <c r="AJ873">
        <v>35.335099999999997</v>
      </c>
      <c r="AK873" t="s">
        <v>704</v>
      </c>
      <c r="AL873">
        <v>-76.149094000000005</v>
      </c>
      <c r="AM873">
        <v>25</v>
      </c>
      <c r="AN873">
        <v>3450</v>
      </c>
      <c r="AO873" t="s">
        <v>118</v>
      </c>
      <c r="AP873">
        <v>-104</v>
      </c>
      <c r="AQ873">
        <v>-196</v>
      </c>
      <c r="AR873">
        <v>0</v>
      </c>
      <c r="AZ873">
        <v>4516</v>
      </c>
      <c r="BA873">
        <v>1</v>
      </c>
      <c r="BB873" t="str">
        <f t="shared" si="88"/>
        <v xml:space="preserve">N79NX   </v>
      </c>
      <c r="BC873">
        <v>1</v>
      </c>
      <c r="BE873">
        <v>0</v>
      </c>
      <c r="BF873">
        <v>0</v>
      </c>
      <c r="BG873">
        <v>0</v>
      </c>
      <c r="BH873">
        <v>3275</v>
      </c>
      <c r="BI873">
        <v>0</v>
      </c>
      <c r="BJ873">
        <v>0</v>
      </c>
      <c r="BK873">
        <v>0</v>
      </c>
      <c r="BL873">
        <v>0</v>
      </c>
      <c r="BO873">
        <v>0</v>
      </c>
      <c r="BP873">
        <v>0</v>
      </c>
      <c r="BW873" t="str">
        <f>"18:40:18.091"</f>
        <v>18:40:18.091</v>
      </c>
      <c r="BZ873">
        <v>0</v>
      </c>
      <c r="CA873">
        <v>3488</v>
      </c>
      <c r="CB873">
        <v>216</v>
      </c>
      <c r="CC873">
        <v>583.59379999999999</v>
      </c>
      <c r="CD873">
        <v>1</v>
      </c>
      <c r="CE873">
        <v>1</v>
      </c>
      <c r="CF873">
        <v>0</v>
      </c>
      <c r="CG873">
        <v>1</v>
      </c>
      <c r="CH873">
        <v>0</v>
      </c>
      <c r="CI873">
        <v>0</v>
      </c>
      <c r="CJ873">
        <v>0</v>
      </c>
      <c r="CK873">
        <v>2</v>
      </c>
      <c r="CL873">
        <v>0</v>
      </c>
      <c r="CM873">
        <v>2</v>
      </c>
      <c r="CN873">
        <v>0</v>
      </c>
      <c r="CO873">
        <v>5</v>
      </c>
      <c r="CP873" t="s">
        <v>119</v>
      </c>
      <c r="CQ873">
        <v>145</v>
      </c>
      <c r="CR873">
        <v>1</v>
      </c>
      <c r="CW873">
        <v>8986201</v>
      </c>
      <c r="CY873">
        <v>0</v>
      </c>
      <c r="CZ873">
        <v>0</v>
      </c>
      <c r="DA873">
        <v>1</v>
      </c>
      <c r="DB873">
        <v>0</v>
      </c>
      <c r="DC873">
        <v>0</v>
      </c>
      <c r="DD873">
        <v>0</v>
      </c>
      <c r="DE873">
        <v>0</v>
      </c>
      <c r="DF873">
        <v>0</v>
      </c>
      <c r="DG873">
        <v>0</v>
      </c>
      <c r="DH873">
        <v>0</v>
      </c>
      <c r="DI873">
        <v>0</v>
      </c>
    </row>
    <row r="874" spans="1:113" x14ac:dyDescent="0.3">
      <c r="A874" t="str">
        <f>"02/13/2022 18:40:18.285"</f>
        <v>02/13/2022 18:40:18.285</v>
      </c>
      <c r="C874" t="str">
        <f t="shared" si="87"/>
        <v>FFDFD7C0</v>
      </c>
      <c r="D874" t="s">
        <v>113</v>
      </c>
      <c r="E874">
        <v>4</v>
      </c>
      <c r="F874">
        <v>1004</v>
      </c>
      <c r="G874" t="s">
        <v>120</v>
      </c>
      <c r="J874" t="s">
        <v>115</v>
      </c>
      <c r="K874">
        <v>0</v>
      </c>
      <c r="L874">
        <v>3</v>
      </c>
      <c r="M874">
        <v>0</v>
      </c>
      <c r="N874">
        <v>2</v>
      </c>
      <c r="O874">
        <v>1</v>
      </c>
      <c r="P874">
        <v>0</v>
      </c>
      <c r="Q874">
        <v>0</v>
      </c>
      <c r="S874" t="str">
        <f>"18:40:18.086"</f>
        <v>18:40:18.086</v>
      </c>
      <c r="T874" t="str">
        <f>"18:40:17.686"</f>
        <v>18:40:17.686</v>
      </c>
      <c r="U874" t="str">
        <f t="shared" si="86"/>
        <v>AAB6EE</v>
      </c>
      <c r="V874">
        <v>0</v>
      </c>
      <c r="W874">
        <v>0</v>
      </c>
      <c r="X874">
        <v>4</v>
      </c>
      <c r="Z874">
        <v>0</v>
      </c>
      <c r="AA874">
        <v>8</v>
      </c>
      <c r="AB874">
        <v>3</v>
      </c>
      <c r="AC874">
        <v>0</v>
      </c>
      <c r="AD874">
        <v>10</v>
      </c>
      <c r="AE874">
        <v>0</v>
      </c>
      <c r="AF874">
        <v>0</v>
      </c>
      <c r="AG874">
        <v>2</v>
      </c>
      <c r="AH874">
        <v>1</v>
      </c>
      <c r="AI874" t="s">
        <v>703</v>
      </c>
      <c r="AJ874">
        <v>35.335099999999997</v>
      </c>
      <c r="AK874" t="s">
        <v>704</v>
      </c>
      <c r="AL874">
        <v>-76.149094000000005</v>
      </c>
      <c r="AM874">
        <v>25</v>
      </c>
      <c r="AN874">
        <v>3450</v>
      </c>
      <c r="AO874" t="s">
        <v>118</v>
      </c>
      <c r="AP874">
        <v>-104</v>
      </c>
      <c r="AQ874">
        <v>-196</v>
      </c>
      <c r="AR874">
        <v>0</v>
      </c>
      <c r="AZ874">
        <v>4516</v>
      </c>
      <c r="BA874">
        <v>1</v>
      </c>
      <c r="BB874" t="str">
        <f t="shared" si="88"/>
        <v xml:space="preserve">N79NX   </v>
      </c>
      <c r="BC874">
        <v>1</v>
      </c>
      <c r="BE874">
        <v>0</v>
      </c>
      <c r="BF874">
        <v>0</v>
      </c>
      <c r="BG874">
        <v>0</v>
      </c>
      <c r="BH874">
        <v>3275</v>
      </c>
      <c r="BI874">
        <v>0</v>
      </c>
      <c r="BJ874">
        <v>0</v>
      </c>
      <c r="BK874">
        <v>0</v>
      </c>
      <c r="BL874">
        <v>0</v>
      </c>
      <c r="BO874">
        <v>0</v>
      </c>
      <c r="BP874">
        <v>0</v>
      </c>
      <c r="BW874" t="str">
        <f>"18:40:18.091"</f>
        <v>18:40:18.091</v>
      </c>
      <c r="BZ874">
        <v>0</v>
      </c>
      <c r="CA874">
        <v>3488</v>
      </c>
      <c r="CB874">
        <v>216</v>
      </c>
      <c r="CC874">
        <v>583.59379999999999</v>
      </c>
      <c r="CD874">
        <v>1</v>
      </c>
      <c r="CE874">
        <v>1</v>
      </c>
      <c r="CF874">
        <v>0</v>
      </c>
      <c r="CG874">
        <v>1</v>
      </c>
      <c r="CH874">
        <v>0</v>
      </c>
      <c r="CI874">
        <v>0</v>
      </c>
      <c r="CJ874">
        <v>0</v>
      </c>
      <c r="CK874">
        <v>2</v>
      </c>
      <c r="CL874">
        <v>0</v>
      </c>
      <c r="CM874">
        <v>2</v>
      </c>
      <c r="CN874">
        <v>0</v>
      </c>
      <c r="CO874">
        <v>5</v>
      </c>
      <c r="CP874" t="s">
        <v>119</v>
      </c>
      <c r="CQ874">
        <v>145</v>
      </c>
      <c r="CR874">
        <v>1</v>
      </c>
      <c r="CW874">
        <v>8986201</v>
      </c>
      <c r="CY874">
        <v>0</v>
      </c>
      <c r="CZ874">
        <v>0</v>
      </c>
      <c r="DA874">
        <v>1</v>
      </c>
      <c r="DB874">
        <v>0</v>
      </c>
      <c r="DC874">
        <v>0</v>
      </c>
      <c r="DD874">
        <v>0</v>
      </c>
      <c r="DE874">
        <v>0</v>
      </c>
      <c r="DF874">
        <v>0</v>
      </c>
      <c r="DG874">
        <v>0</v>
      </c>
      <c r="DH874">
        <v>0</v>
      </c>
      <c r="DI874">
        <v>0</v>
      </c>
    </row>
    <row r="875" spans="1:113" x14ac:dyDescent="0.3">
      <c r="A875" t="str">
        <f>"02/13/2022 18:40:19.238"</f>
        <v>02/13/2022 18:40:19.238</v>
      </c>
      <c r="C875" t="str">
        <f t="shared" si="87"/>
        <v>FFDFD7C0</v>
      </c>
      <c r="D875" t="s">
        <v>121</v>
      </c>
      <c r="E875">
        <v>2</v>
      </c>
      <c r="H875">
        <v>158</v>
      </c>
      <c r="I875" t="s">
        <v>120</v>
      </c>
      <c r="J875" t="s">
        <v>122</v>
      </c>
      <c r="K875">
        <v>0</v>
      </c>
      <c r="L875">
        <v>3</v>
      </c>
      <c r="M875">
        <v>0</v>
      </c>
      <c r="N875">
        <v>2</v>
      </c>
      <c r="O875">
        <v>1</v>
      </c>
      <c r="P875">
        <v>0</v>
      </c>
      <c r="Q875">
        <v>0</v>
      </c>
      <c r="S875" t="str">
        <f>"18:40:19.016"</f>
        <v>18:40:19.016</v>
      </c>
      <c r="T875" t="str">
        <f>"18:40:18.616"</f>
        <v>18:40:18.616</v>
      </c>
      <c r="U875" t="str">
        <f t="shared" si="86"/>
        <v>AAB6EE</v>
      </c>
      <c r="V875">
        <v>0</v>
      </c>
      <c r="W875">
        <v>0</v>
      </c>
      <c r="X875">
        <v>4</v>
      </c>
      <c r="Z875">
        <v>0</v>
      </c>
      <c r="AA875">
        <v>8</v>
      </c>
      <c r="AB875">
        <v>3</v>
      </c>
      <c r="AC875">
        <v>0</v>
      </c>
      <c r="AD875">
        <v>10</v>
      </c>
      <c r="AE875">
        <v>0</v>
      </c>
      <c r="AF875">
        <v>0</v>
      </c>
      <c r="AG875">
        <v>2</v>
      </c>
      <c r="AH875">
        <v>1</v>
      </c>
      <c r="AI875" t="s">
        <v>705</v>
      </c>
      <c r="AJ875">
        <v>35.334220000000002</v>
      </c>
      <c r="AK875" t="s">
        <v>706</v>
      </c>
      <c r="AL875">
        <v>-76.149694999999994</v>
      </c>
      <c r="AM875">
        <v>25</v>
      </c>
      <c r="AN875">
        <v>3425</v>
      </c>
      <c r="AO875" t="s">
        <v>118</v>
      </c>
      <c r="AP875">
        <v>-104</v>
      </c>
      <c r="AQ875">
        <v>-196</v>
      </c>
      <c r="AR875">
        <v>-64</v>
      </c>
      <c r="AZ875">
        <v>4516</v>
      </c>
      <c r="BA875">
        <v>1</v>
      </c>
      <c r="BB875" t="str">
        <f t="shared" si="88"/>
        <v xml:space="preserve">N79NX   </v>
      </c>
      <c r="BC875">
        <v>1</v>
      </c>
      <c r="BE875">
        <v>0</v>
      </c>
      <c r="BF875">
        <v>0</v>
      </c>
      <c r="BG875">
        <v>0</v>
      </c>
      <c r="BH875">
        <v>3300</v>
      </c>
      <c r="BI875">
        <v>0</v>
      </c>
      <c r="BJ875">
        <v>0</v>
      </c>
      <c r="BK875">
        <v>0</v>
      </c>
      <c r="BL875">
        <v>0</v>
      </c>
      <c r="BO875">
        <v>0</v>
      </c>
      <c r="BP875">
        <v>0</v>
      </c>
      <c r="BW875" t="str">
        <f>"18:40:19.021"</f>
        <v>18:40:19.021</v>
      </c>
      <c r="BZ875">
        <v>0</v>
      </c>
      <c r="CA875">
        <v>4704</v>
      </c>
      <c r="CB875">
        <v>216</v>
      </c>
      <c r="CC875">
        <v>583.59379999999999</v>
      </c>
      <c r="CD875">
        <v>1</v>
      </c>
      <c r="CE875">
        <v>1</v>
      </c>
      <c r="CF875">
        <v>0</v>
      </c>
      <c r="CG875">
        <v>1</v>
      </c>
      <c r="CH875">
        <v>0</v>
      </c>
      <c r="CI875">
        <v>0</v>
      </c>
      <c r="CJ875">
        <v>0</v>
      </c>
      <c r="CK875">
        <v>2</v>
      </c>
      <c r="CL875">
        <v>0</v>
      </c>
      <c r="CM875">
        <v>2</v>
      </c>
      <c r="CN875">
        <v>0</v>
      </c>
      <c r="CO875">
        <v>5</v>
      </c>
      <c r="CP875" t="s">
        <v>119</v>
      </c>
      <c r="CQ875">
        <v>145</v>
      </c>
      <c r="CR875">
        <v>1</v>
      </c>
      <c r="CW875">
        <v>8986626</v>
      </c>
      <c r="CY875">
        <v>0</v>
      </c>
      <c r="CZ875">
        <v>0</v>
      </c>
      <c r="DA875">
        <v>0</v>
      </c>
      <c r="DB875">
        <v>0</v>
      </c>
      <c r="DC875">
        <v>0</v>
      </c>
      <c r="DD875">
        <v>0</v>
      </c>
      <c r="DE875">
        <v>0</v>
      </c>
      <c r="DF875">
        <v>0</v>
      </c>
      <c r="DG875">
        <v>0</v>
      </c>
      <c r="DH875">
        <v>0</v>
      </c>
      <c r="DI875">
        <v>0</v>
      </c>
    </row>
    <row r="876" spans="1:113" x14ac:dyDescent="0.3">
      <c r="A876" t="str">
        <f>"02/13/2022 18:40:19.333"</f>
        <v>02/13/2022 18:40:19.333</v>
      </c>
      <c r="C876" t="str">
        <f t="shared" si="87"/>
        <v>FFDFD7C0</v>
      </c>
      <c r="D876" t="s">
        <v>113</v>
      </c>
      <c r="E876">
        <v>3</v>
      </c>
      <c r="F876">
        <v>1003</v>
      </c>
      <c r="G876" t="s">
        <v>114</v>
      </c>
      <c r="J876" t="s">
        <v>115</v>
      </c>
      <c r="K876">
        <v>0</v>
      </c>
      <c r="L876">
        <v>3</v>
      </c>
      <c r="M876">
        <v>0</v>
      </c>
      <c r="N876">
        <v>2</v>
      </c>
      <c r="O876">
        <v>1</v>
      </c>
      <c r="P876">
        <v>0</v>
      </c>
      <c r="Q876">
        <v>0</v>
      </c>
      <c r="S876" t="str">
        <f>"18:40:19.016"</f>
        <v>18:40:19.016</v>
      </c>
      <c r="T876" t="str">
        <f>"18:40:18.616"</f>
        <v>18:40:18.616</v>
      </c>
      <c r="U876" t="str">
        <f t="shared" si="86"/>
        <v>AAB6EE</v>
      </c>
      <c r="V876">
        <v>0</v>
      </c>
      <c r="W876">
        <v>0</v>
      </c>
      <c r="X876">
        <v>4</v>
      </c>
      <c r="Z876">
        <v>0</v>
      </c>
      <c r="AA876">
        <v>8</v>
      </c>
      <c r="AB876">
        <v>3</v>
      </c>
      <c r="AC876">
        <v>0</v>
      </c>
      <c r="AD876">
        <v>10</v>
      </c>
      <c r="AE876">
        <v>0</v>
      </c>
      <c r="AF876">
        <v>0</v>
      </c>
      <c r="AG876">
        <v>2</v>
      </c>
      <c r="AH876">
        <v>1</v>
      </c>
      <c r="AI876" t="s">
        <v>705</v>
      </c>
      <c r="AJ876">
        <v>35.334220000000002</v>
      </c>
      <c r="AK876" t="s">
        <v>706</v>
      </c>
      <c r="AL876">
        <v>-76.149694999999994</v>
      </c>
      <c r="AM876">
        <v>25</v>
      </c>
      <c r="AN876">
        <v>3425</v>
      </c>
      <c r="AO876" t="s">
        <v>118</v>
      </c>
      <c r="AP876">
        <v>-104</v>
      </c>
      <c r="AQ876">
        <v>-196</v>
      </c>
      <c r="AR876">
        <v>-64</v>
      </c>
      <c r="AZ876">
        <v>4516</v>
      </c>
      <c r="BA876">
        <v>1</v>
      </c>
      <c r="BB876" t="str">
        <f t="shared" si="88"/>
        <v xml:space="preserve">N79NX   </v>
      </c>
      <c r="BC876">
        <v>1</v>
      </c>
      <c r="BE876">
        <v>0</v>
      </c>
      <c r="BF876">
        <v>0</v>
      </c>
      <c r="BG876">
        <v>0</v>
      </c>
      <c r="BH876">
        <v>3300</v>
      </c>
      <c r="BI876">
        <v>0</v>
      </c>
      <c r="BJ876">
        <v>0</v>
      </c>
      <c r="BK876">
        <v>0</v>
      </c>
      <c r="BL876">
        <v>0</v>
      </c>
      <c r="BO876">
        <v>0</v>
      </c>
      <c r="BP876">
        <v>0</v>
      </c>
      <c r="BW876" t="str">
        <f>"18:40:19.021"</f>
        <v>18:40:19.021</v>
      </c>
      <c r="BZ876">
        <v>0</v>
      </c>
      <c r="CA876">
        <v>4704</v>
      </c>
      <c r="CB876">
        <v>216</v>
      </c>
      <c r="CC876">
        <v>583.59379999999999</v>
      </c>
      <c r="CD876">
        <v>1</v>
      </c>
      <c r="CE876">
        <v>1</v>
      </c>
      <c r="CF876">
        <v>0</v>
      </c>
      <c r="CG876">
        <v>1</v>
      </c>
      <c r="CH876">
        <v>0</v>
      </c>
      <c r="CI876">
        <v>0</v>
      </c>
      <c r="CJ876">
        <v>0</v>
      </c>
      <c r="CK876">
        <v>2</v>
      </c>
      <c r="CL876">
        <v>0</v>
      </c>
      <c r="CM876">
        <v>2</v>
      </c>
      <c r="CN876">
        <v>0</v>
      </c>
      <c r="CO876">
        <v>5</v>
      </c>
      <c r="CP876" t="s">
        <v>119</v>
      </c>
      <c r="CQ876">
        <v>145</v>
      </c>
      <c r="CR876">
        <v>1</v>
      </c>
      <c r="CW876">
        <v>8986626</v>
      </c>
      <c r="CY876">
        <v>0</v>
      </c>
      <c r="CZ876">
        <v>0</v>
      </c>
      <c r="DA876">
        <v>1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0</v>
      </c>
      <c r="DH876">
        <v>0</v>
      </c>
      <c r="DI876">
        <v>0</v>
      </c>
    </row>
    <row r="877" spans="1:113" x14ac:dyDescent="0.3">
      <c r="A877" t="str">
        <f>"02/13/2022 18:40:19.333"</f>
        <v>02/13/2022 18:40:19.333</v>
      </c>
      <c r="C877" t="str">
        <f t="shared" si="87"/>
        <v>FFDFD7C0</v>
      </c>
      <c r="D877" t="s">
        <v>113</v>
      </c>
      <c r="E877">
        <v>4</v>
      </c>
      <c r="F877">
        <v>1004</v>
      </c>
      <c r="G877" t="s">
        <v>120</v>
      </c>
      <c r="J877" t="s">
        <v>115</v>
      </c>
      <c r="K877">
        <v>0</v>
      </c>
      <c r="L877">
        <v>3</v>
      </c>
      <c r="M877">
        <v>0</v>
      </c>
      <c r="N877">
        <v>2</v>
      </c>
      <c r="O877">
        <v>1</v>
      </c>
      <c r="P877">
        <v>0</v>
      </c>
      <c r="Q877">
        <v>0</v>
      </c>
      <c r="S877" t="str">
        <f>"18:40:19.016"</f>
        <v>18:40:19.016</v>
      </c>
      <c r="T877" t="str">
        <f>"18:40:18.616"</f>
        <v>18:40:18.616</v>
      </c>
      <c r="U877" t="str">
        <f t="shared" si="86"/>
        <v>AAB6EE</v>
      </c>
      <c r="V877">
        <v>0</v>
      </c>
      <c r="W877">
        <v>0</v>
      </c>
      <c r="X877">
        <v>4</v>
      </c>
      <c r="Z877">
        <v>0</v>
      </c>
      <c r="AA877">
        <v>8</v>
      </c>
      <c r="AB877">
        <v>3</v>
      </c>
      <c r="AC877">
        <v>0</v>
      </c>
      <c r="AD877">
        <v>10</v>
      </c>
      <c r="AE877">
        <v>0</v>
      </c>
      <c r="AF877">
        <v>0</v>
      </c>
      <c r="AG877">
        <v>2</v>
      </c>
      <c r="AH877">
        <v>1</v>
      </c>
      <c r="AI877" t="s">
        <v>705</v>
      </c>
      <c r="AJ877">
        <v>35.334220000000002</v>
      </c>
      <c r="AK877" t="s">
        <v>706</v>
      </c>
      <c r="AL877">
        <v>-76.149694999999994</v>
      </c>
      <c r="AM877">
        <v>25</v>
      </c>
      <c r="AN877">
        <v>3425</v>
      </c>
      <c r="AO877" t="s">
        <v>118</v>
      </c>
      <c r="AP877">
        <v>-104</v>
      </c>
      <c r="AQ877">
        <v>-196</v>
      </c>
      <c r="AR877">
        <v>-64</v>
      </c>
      <c r="AZ877">
        <v>4516</v>
      </c>
      <c r="BA877">
        <v>1</v>
      </c>
      <c r="BB877" t="str">
        <f t="shared" si="88"/>
        <v xml:space="preserve">N79NX   </v>
      </c>
      <c r="BC877">
        <v>1</v>
      </c>
      <c r="BE877">
        <v>0</v>
      </c>
      <c r="BF877">
        <v>0</v>
      </c>
      <c r="BG877">
        <v>0</v>
      </c>
      <c r="BH877">
        <v>3300</v>
      </c>
      <c r="BI877">
        <v>0</v>
      </c>
      <c r="BJ877">
        <v>0</v>
      </c>
      <c r="BK877">
        <v>0</v>
      </c>
      <c r="BL877">
        <v>0</v>
      </c>
      <c r="BO877">
        <v>0</v>
      </c>
      <c r="BP877">
        <v>0</v>
      </c>
      <c r="BW877" t="str">
        <f>"18:40:19.021"</f>
        <v>18:40:19.021</v>
      </c>
      <c r="BZ877">
        <v>0</v>
      </c>
      <c r="CA877">
        <v>4704</v>
      </c>
      <c r="CB877">
        <v>216</v>
      </c>
      <c r="CC877">
        <v>583.59379999999999</v>
      </c>
      <c r="CD877">
        <v>1</v>
      </c>
      <c r="CE877">
        <v>1</v>
      </c>
      <c r="CF877">
        <v>0</v>
      </c>
      <c r="CG877">
        <v>1</v>
      </c>
      <c r="CH877">
        <v>0</v>
      </c>
      <c r="CI877">
        <v>0</v>
      </c>
      <c r="CJ877">
        <v>0</v>
      </c>
      <c r="CK877">
        <v>2</v>
      </c>
      <c r="CL877">
        <v>0</v>
      </c>
      <c r="CM877">
        <v>2</v>
      </c>
      <c r="CN877">
        <v>0</v>
      </c>
      <c r="CO877">
        <v>5</v>
      </c>
      <c r="CP877" t="s">
        <v>119</v>
      </c>
      <c r="CQ877">
        <v>145</v>
      </c>
      <c r="CR877">
        <v>1</v>
      </c>
      <c r="CW877">
        <v>8986626</v>
      </c>
      <c r="CY877">
        <v>0</v>
      </c>
      <c r="CZ877">
        <v>0</v>
      </c>
      <c r="DA877">
        <v>1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</row>
    <row r="878" spans="1:113" x14ac:dyDescent="0.3">
      <c r="A878" t="str">
        <f>"02/13/2022 18:40:20.115"</f>
        <v>02/13/2022 18:40:20.115</v>
      </c>
      <c r="C878" t="str">
        <f t="shared" si="87"/>
        <v>FFDFD7C0</v>
      </c>
      <c r="D878" t="s">
        <v>121</v>
      </c>
      <c r="E878">
        <v>2</v>
      </c>
      <c r="H878">
        <v>158</v>
      </c>
      <c r="I878" t="s">
        <v>120</v>
      </c>
      <c r="J878" t="s">
        <v>122</v>
      </c>
      <c r="K878">
        <v>0</v>
      </c>
      <c r="L878">
        <v>3</v>
      </c>
      <c r="M878">
        <v>0</v>
      </c>
      <c r="N878">
        <v>2</v>
      </c>
      <c r="O878">
        <v>1</v>
      </c>
      <c r="P878">
        <v>0</v>
      </c>
      <c r="Q878">
        <v>0</v>
      </c>
      <c r="S878" t="str">
        <f>"18:40:19.930"</f>
        <v>18:40:19.930</v>
      </c>
      <c r="T878" t="str">
        <f>"18:40:19.130"</f>
        <v>18:40:19.130</v>
      </c>
      <c r="U878" t="str">
        <f t="shared" si="86"/>
        <v>AAB6EE</v>
      </c>
      <c r="V878">
        <v>0</v>
      </c>
      <c r="W878">
        <v>0</v>
      </c>
      <c r="X878">
        <v>4</v>
      </c>
      <c r="Z878">
        <v>0</v>
      </c>
      <c r="AA878">
        <v>8</v>
      </c>
      <c r="AB878">
        <v>3</v>
      </c>
      <c r="AC878">
        <v>0</v>
      </c>
      <c r="AD878">
        <v>10</v>
      </c>
      <c r="AE878">
        <v>0</v>
      </c>
      <c r="AF878">
        <v>0</v>
      </c>
      <c r="AG878">
        <v>2</v>
      </c>
      <c r="AH878">
        <v>1</v>
      </c>
      <c r="AI878" t="s">
        <v>707</v>
      </c>
      <c r="AJ878">
        <v>35.333404999999999</v>
      </c>
      <c r="AK878" t="s">
        <v>708</v>
      </c>
      <c r="AL878">
        <v>-76.150253000000006</v>
      </c>
      <c r="AM878">
        <v>25</v>
      </c>
      <c r="AN878">
        <v>3425</v>
      </c>
      <c r="AO878" t="s">
        <v>118</v>
      </c>
      <c r="AP878">
        <v>-104</v>
      </c>
      <c r="AQ878">
        <v>-196</v>
      </c>
      <c r="AR878">
        <v>-64</v>
      </c>
      <c r="AZ878">
        <v>4516</v>
      </c>
      <c r="BA878">
        <v>1</v>
      </c>
      <c r="BB878" t="str">
        <f t="shared" si="88"/>
        <v xml:space="preserve">N79NX   </v>
      </c>
      <c r="BC878">
        <v>1</v>
      </c>
      <c r="BE878">
        <v>0</v>
      </c>
      <c r="BF878">
        <v>0</v>
      </c>
      <c r="BG878">
        <v>0</v>
      </c>
      <c r="BH878">
        <v>3275</v>
      </c>
      <c r="BI878">
        <v>0</v>
      </c>
      <c r="BJ878">
        <v>0</v>
      </c>
      <c r="BK878">
        <v>0</v>
      </c>
      <c r="BL878">
        <v>0</v>
      </c>
      <c r="BO878">
        <v>0</v>
      </c>
      <c r="BP878">
        <v>0</v>
      </c>
      <c r="BW878" t="str">
        <f>"18:40:19.931"</f>
        <v>18:40:19.931</v>
      </c>
      <c r="BZ878">
        <v>0</v>
      </c>
      <c r="CA878">
        <v>4096</v>
      </c>
      <c r="CB878">
        <v>216</v>
      </c>
      <c r="CC878">
        <v>583.59379999999999</v>
      </c>
      <c r="CD878">
        <v>1</v>
      </c>
      <c r="CE878">
        <v>1</v>
      </c>
      <c r="CF878">
        <v>0</v>
      </c>
      <c r="CG878">
        <v>1</v>
      </c>
      <c r="CH878">
        <v>0</v>
      </c>
      <c r="CI878">
        <v>0</v>
      </c>
      <c r="CJ878">
        <v>0</v>
      </c>
      <c r="CK878">
        <v>2</v>
      </c>
      <c r="CL878">
        <v>0</v>
      </c>
      <c r="CM878">
        <v>2</v>
      </c>
      <c r="CN878">
        <v>0</v>
      </c>
      <c r="CO878">
        <v>5</v>
      </c>
      <c r="CP878" t="s">
        <v>119</v>
      </c>
      <c r="CQ878">
        <v>145</v>
      </c>
      <c r="CR878">
        <v>1</v>
      </c>
      <c r="CW878">
        <v>8987048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</row>
    <row r="879" spans="1:113" x14ac:dyDescent="0.3">
      <c r="A879" t="str">
        <f>"02/13/2022 18:40:20.209"</f>
        <v>02/13/2022 18:40:20.209</v>
      </c>
      <c r="C879" t="str">
        <f t="shared" si="87"/>
        <v>FFDFD7C0</v>
      </c>
      <c r="D879" t="s">
        <v>113</v>
      </c>
      <c r="E879">
        <v>3</v>
      </c>
      <c r="F879">
        <v>1003</v>
      </c>
      <c r="G879" t="s">
        <v>114</v>
      </c>
      <c r="J879" t="s">
        <v>115</v>
      </c>
      <c r="K879">
        <v>0</v>
      </c>
      <c r="L879">
        <v>3</v>
      </c>
      <c r="M879">
        <v>0</v>
      </c>
      <c r="N879">
        <v>2</v>
      </c>
      <c r="O879">
        <v>1</v>
      </c>
      <c r="P879">
        <v>0</v>
      </c>
      <c r="Q879">
        <v>0</v>
      </c>
      <c r="S879" t="str">
        <f>"18:40:19.930"</f>
        <v>18:40:19.930</v>
      </c>
      <c r="T879" t="str">
        <f>"18:40:19.130"</f>
        <v>18:40:19.130</v>
      </c>
      <c r="U879" t="str">
        <f t="shared" si="86"/>
        <v>AAB6EE</v>
      </c>
      <c r="V879">
        <v>0</v>
      </c>
      <c r="W879">
        <v>0</v>
      </c>
      <c r="X879">
        <v>4</v>
      </c>
      <c r="Z879">
        <v>0</v>
      </c>
      <c r="AA879">
        <v>8</v>
      </c>
      <c r="AB879">
        <v>3</v>
      </c>
      <c r="AC879">
        <v>0</v>
      </c>
      <c r="AD879">
        <v>10</v>
      </c>
      <c r="AE879">
        <v>0</v>
      </c>
      <c r="AF879">
        <v>0</v>
      </c>
      <c r="AG879">
        <v>2</v>
      </c>
      <c r="AH879">
        <v>1</v>
      </c>
      <c r="AI879" t="s">
        <v>707</v>
      </c>
      <c r="AJ879">
        <v>35.333404999999999</v>
      </c>
      <c r="AK879" t="s">
        <v>708</v>
      </c>
      <c r="AL879">
        <v>-76.150253000000006</v>
      </c>
      <c r="AM879">
        <v>25</v>
      </c>
      <c r="AN879">
        <v>3425</v>
      </c>
      <c r="AO879" t="s">
        <v>118</v>
      </c>
      <c r="AP879">
        <v>-104</v>
      </c>
      <c r="AQ879">
        <v>-196</v>
      </c>
      <c r="AR879">
        <v>-64</v>
      </c>
      <c r="AZ879">
        <v>4516</v>
      </c>
      <c r="BA879">
        <v>1</v>
      </c>
      <c r="BB879" t="str">
        <f t="shared" si="88"/>
        <v xml:space="preserve">N79NX   </v>
      </c>
      <c r="BC879">
        <v>1</v>
      </c>
      <c r="BE879">
        <v>0</v>
      </c>
      <c r="BF879">
        <v>0</v>
      </c>
      <c r="BG879">
        <v>0</v>
      </c>
      <c r="BH879">
        <v>3275</v>
      </c>
      <c r="BI879">
        <v>0</v>
      </c>
      <c r="BJ879">
        <v>0</v>
      </c>
      <c r="BK879">
        <v>0</v>
      </c>
      <c r="BL879">
        <v>0</v>
      </c>
      <c r="BO879">
        <v>0</v>
      </c>
      <c r="BP879">
        <v>0</v>
      </c>
      <c r="BW879" t="str">
        <f>"18:40:19.931"</f>
        <v>18:40:19.931</v>
      </c>
      <c r="BZ879">
        <v>0</v>
      </c>
      <c r="CA879">
        <v>4096</v>
      </c>
      <c r="CB879">
        <v>216</v>
      </c>
      <c r="CC879">
        <v>583.59379999999999</v>
      </c>
      <c r="CD879">
        <v>1</v>
      </c>
      <c r="CE879">
        <v>1</v>
      </c>
      <c r="CF879">
        <v>0</v>
      </c>
      <c r="CG879">
        <v>1</v>
      </c>
      <c r="CH879">
        <v>0</v>
      </c>
      <c r="CI879">
        <v>0</v>
      </c>
      <c r="CJ879">
        <v>0</v>
      </c>
      <c r="CK879">
        <v>2</v>
      </c>
      <c r="CL879">
        <v>0</v>
      </c>
      <c r="CM879">
        <v>2</v>
      </c>
      <c r="CN879">
        <v>0</v>
      </c>
      <c r="CO879">
        <v>5</v>
      </c>
      <c r="CP879" t="s">
        <v>119</v>
      </c>
      <c r="CQ879">
        <v>145</v>
      </c>
      <c r="CR879">
        <v>1</v>
      </c>
      <c r="CW879">
        <v>8987048</v>
      </c>
      <c r="CY879">
        <v>0</v>
      </c>
      <c r="CZ879">
        <v>0</v>
      </c>
      <c r="DA879">
        <v>1</v>
      </c>
      <c r="DB879">
        <v>0</v>
      </c>
      <c r="DC879">
        <v>0</v>
      </c>
      <c r="DD879">
        <v>0</v>
      </c>
      <c r="DE879">
        <v>0</v>
      </c>
      <c r="DF879">
        <v>0</v>
      </c>
      <c r="DG879">
        <v>0</v>
      </c>
      <c r="DH879">
        <v>0</v>
      </c>
      <c r="DI879">
        <v>0</v>
      </c>
    </row>
    <row r="880" spans="1:113" x14ac:dyDescent="0.3">
      <c r="A880" t="str">
        <f>"02/13/2022 18:40:20.209"</f>
        <v>02/13/2022 18:40:20.209</v>
      </c>
      <c r="C880" t="str">
        <f t="shared" si="87"/>
        <v>FFDFD7C0</v>
      </c>
      <c r="D880" t="s">
        <v>113</v>
      </c>
      <c r="E880">
        <v>4</v>
      </c>
      <c r="F880">
        <v>1004</v>
      </c>
      <c r="G880" t="s">
        <v>120</v>
      </c>
      <c r="J880" t="s">
        <v>115</v>
      </c>
      <c r="K880">
        <v>0</v>
      </c>
      <c r="L880">
        <v>3</v>
      </c>
      <c r="M880">
        <v>0</v>
      </c>
      <c r="N880">
        <v>2</v>
      </c>
      <c r="O880">
        <v>1</v>
      </c>
      <c r="P880">
        <v>0</v>
      </c>
      <c r="Q880">
        <v>0</v>
      </c>
      <c r="S880" t="str">
        <f>"18:40:19.930"</f>
        <v>18:40:19.930</v>
      </c>
      <c r="T880" t="str">
        <f>"18:40:19.130"</f>
        <v>18:40:19.130</v>
      </c>
      <c r="U880" t="str">
        <f t="shared" si="86"/>
        <v>AAB6EE</v>
      </c>
      <c r="V880">
        <v>0</v>
      </c>
      <c r="W880">
        <v>0</v>
      </c>
      <c r="X880">
        <v>4</v>
      </c>
      <c r="Z880">
        <v>0</v>
      </c>
      <c r="AA880">
        <v>8</v>
      </c>
      <c r="AB880">
        <v>3</v>
      </c>
      <c r="AC880">
        <v>0</v>
      </c>
      <c r="AD880">
        <v>10</v>
      </c>
      <c r="AE880">
        <v>0</v>
      </c>
      <c r="AF880">
        <v>0</v>
      </c>
      <c r="AG880">
        <v>2</v>
      </c>
      <c r="AH880">
        <v>1</v>
      </c>
      <c r="AI880" t="s">
        <v>707</v>
      </c>
      <c r="AJ880">
        <v>35.333404999999999</v>
      </c>
      <c r="AK880" t="s">
        <v>708</v>
      </c>
      <c r="AL880">
        <v>-76.150253000000006</v>
      </c>
      <c r="AM880">
        <v>25</v>
      </c>
      <c r="AN880">
        <v>3425</v>
      </c>
      <c r="AO880" t="s">
        <v>118</v>
      </c>
      <c r="AP880">
        <v>-104</v>
      </c>
      <c r="AQ880">
        <v>-196</v>
      </c>
      <c r="AR880">
        <v>-64</v>
      </c>
      <c r="AZ880">
        <v>4516</v>
      </c>
      <c r="BA880">
        <v>1</v>
      </c>
      <c r="BB880" t="str">
        <f t="shared" si="88"/>
        <v xml:space="preserve">N79NX   </v>
      </c>
      <c r="BC880">
        <v>1</v>
      </c>
      <c r="BE880">
        <v>0</v>
      </c>
      <c r="BF880">
        <v>0</v>
      </c>
      <c r="BG880">
        <v>0</v>
      </c>
      <c r="BH880">
        <v>3275</v>
      </c>
      <c r="BI880">
        <v>0</v>
      </c>
      <c r="BJ880">
        <v>0</v>
      </c>
      <c r="BK880">
        <v>0</v>
      </c>
      <c r="BL880">
        <v>0</v>
      </c>
      <c r="BO880">
        <v>0</v>
      </c>
      <c r="BP880">
        <v>0</v>
      </c>
      <c r="BW880" t="str">
        <f>"18:40:19.931"</f>
        <v>18:40:19.931</v>
      </c>
      <c r="BZ880">
        <v>0</v>
      </c>
      <c r="CA880">
        <v>4096</v>
      </c>
      <c r="CB880">
        <v>216</v>
      </c>
      <c r="CC880">
        <v>583.59379999999999</v>
      </c>
      <c r="CD880">
        <v>1</v>
      </c>
      <c r="CE880">
        <v>1</v>
      </c>
      <c r="CF880">
        <v>0</v>
      </c>
      <c r="CG880">
        <v>1</v>
      </c>
      <c r="CH880">
        <v>0</v>
      </c>
      <c r="CI880">
        <v>0</v>
      </c>
      <c r="CJ880">
        <v>0</v>
      </c>
      <c r="CK880">
        <v>2</v>
      </c>
      <c r="CL880">
        <v>0</v>
      </c>
      <c r="CM880">
        <v>2</v>
      </c>
      <c r="CN880">
        <v>0</v>
      </c>
      <c r="CO880">
        <v>5</v>
      </c>
      <c r="CP880" t="s">
        <v>119</v>
      </c>
      <c r="CQ880">
        <v>145</v>
      </c>
      <c r="CR880">
        <v>1</v>
      </c>
      <c r="CW880">
        <v>8987048</v>
      </c>
      <c r="CY880">
        <v>0</v>
      </c>
      <c r="CZ880">
        <v>0</v>
      </c>
      <c r="DA880">
        <v>1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0</v>
      </c>
      <c r="DH880">
        <v>0</v>
      </c>
      <c r="DI880">
        <v>0</v>
      </c>
    </row>
    <row r="881" spans="1:113" x14ac:dyDescent="0.3">
      <c r="A881" t="str">
        <f>"02/13/2022 18:40:21.226"</f>
        <v>02/13/2022 18:40:21.226</v>
      </c>
      <c r="C881" t="str">
        <f t="shared" si="87"/>
        <v>FFDFD7C0</v>
      </c>
      <c r="D881" t="s">
        <v>121</v>
      </c>
      <c r="E881">
        <v>2</v>
      </c>
      <c r="H881">
        <v>158</v>
      </c>
      <c r="I881" t="s">
        <v>120</v>
      </c>
      <c r="J881" t="s">
        <v>122</v>
      </c>
      <c r="K881">
        <v>0</v>
      </c>
      <c r="L881">
        <v>3</v>
      </c>
      <c r="M881">
        <v>0</v>
      </c>
      <c r="N881">
        <v>2</v>
      </c>
      <c r="O881">
        <v>1</v>
      </c>
      <c r="P881">
        <v>0</v>
      </c>
      <c r="Q881">
        <v>0</v>
      </c>
      <c r="S881" t="str">
        <f>"18:40:21.078"</f>
        <v>18:40:21.078</v>
      </c>
      <c r="T881" t="str">
        <f>"18:40:20.778"</f>
        <v>18:40:20.778</v>
      </c>
      <c r="U881" t="str">
        <f t="shared" si="86"/>
        <v>AAB6EE</v>
      </c>
      <c r="V881">
        <v>0</v>
      </c>
      <c r="W881">
        <v>0</v>
      </c>
      <c r="X881">
        <v>4</v>
      </c>
      <c r="Z881">
        <v>0</v>
      </c>
      <c r="AA881">
        <v>8</v>
      </c>
      <c r="AB881">
        <v>3</v>
      </c>
      <c r="AC881">
        <v>0</v>
      </c>
      <c r="AD881">
        <v>10</v>
      </c>
      <c r="AE881">
        <v>0</v>
      </c>
      <c r="AF881">
        <v>0</v>
      </c>
      <c r="AG881">
        <v>2</v>
      </c>
      <c r="AH881">
        <v>1</v>
      </c>
      <c r="AI881" t="s">
        <v>709</v>
      </c>
      <c r="AJ881">
        <v>35.332396000000003</v>
      </c>
      <c r="AK881" t="s">
        <v>710</v>
      </c>
      <c r="AL881">
        <v>-76.150853999999995</v>
      </c>
      <c r="AM881">
        <v>25</v>
      </c>
      <c r="AN881">
        <v>3425</v>
      </c>
      <c r="AO881" t="s">
        <v>118</v>
      </c>
      <c r="AP881">
        <v>-104</v>
      </c>
      <c r="AQ881">
        <v>-196</v>
      </c>
      <c r="AR881">
        <v>0</v>
      </c>
      <c r="AZ881">
        <v>4516</v>
      </c>
      <c r="BA881">
        <v>1</v>
      </c>
      <c r="BB881" t="str">
        <f t="shared" si="88"/>
        <v xml:space="preserve">N79NX   </v>
      </c>
      <c r="BC881">
        <v>1</v>
      </c>
      <c r="BE881">
        <v>0</v>
      </c>
      <c r="BF881">
        <v>0</v>
      </c>
      <c r="BG881">
        <v>0</v>
      </c>
      <c r="BH881">
        <v>3300</v>
      </c>
      <c r="BI881">
        <v>0</v>
      </c>
      <c r="BJ881">
        <v>0</v>
      </c>
      <c r="BK881">
        <v>0</v>
      </c>
      <c r="BL881">
        <v>0</v>
      </c>
      <c r="BO881">
        <v>0</v>
      </c>
      <c r="BP881">
        <v>0</v>
      </c>
      <c r="BW881" t="str">
        <f>"18:40:21.081"</f>
        <v>18:40:21.081</v>
      </c>
      <c r="BZ881">
        <v>0</v>
      </c>
      <c r="CA881">
        <v>4096</v>
      </c>
      <c r="CB881">
        <v>216</v>
      </c>
      <c r="CC881">
        <v>596.25</v>
      </c>
      <c r="CD881">
        <v>1</v>
      </c>
      <c r="CE881">
        <v>1</v>
      </c>
      <c r="CF881">
        <v>0</v>
      </c>
      <c r="CG881">
        <v>1</v>
      </c>
      <c r="CH881">
        <v>0</v>
      </c>
      <c r="CI881">
        <v>0</v>
      </c>
      <c r="CJ881">
        <v>0</v>
      </c>
      <c r="CK881">
        <v>2</v>
      </c>
      <c r="CL881">
        <v>0</v>
      </c>
      <c r="CM881">
        <v>2</v>
      </c>
      <c r="CN881">
        <v>0</v>
      </c>
      <c r="CO881">
        <v>5</v>
      </c>
      <c r="CP881" t="s">
        <v>119</v>
      </c>
      <c r="CQ881">
        <v>145</v>
      </c>
      <c r="CR881">
        <v>1</v>
      </c>
      <c r="CW881">
        <v>8987587</v>
      </c>
      <c r="CY881">
        <v>0</v>
      </c>
      <c r="CZ881">
        <v>0</v>
      </c>
      <c r="DA881">
        <v>0</v>
      </c>
      <c r="DB881">
        <v>0</v>
      </c>
      <c r="DC881">
        <v>0</v>
      </c>
      <c r="DD881">
        <v>0</v>
      </c>
      <c r="DE881">
        <v>0</v>
      </c>
      <c r="DF881">
        <v>0</v>
      </c>
      <c r="DG881">
        <v>0</v>
      </c>
      <c r="DH881">
        <v>0</v>
      </c>
      <c r="DI881">
        <v>0</v>
      </c>
    </row>
    <row r="882" spans="1:113" x14ac:dyDescent="0.3">
      <c r="A882" t="str">
        <f>"02/13/2022 18:40:21.351"</f>
        <v>02/13/2022 18:40:21.351</v>
      </c>
      <c r="C882" t="str">
        <f t="shared" si="87"/>
        <v>FFDFD7C0</v>
      </c>
      <c r="D882" t="s">
        <v>113</v>
      </c>
      <c r="E882">
        <v>3</v>
      </c>
      <c r="F882">
        <v>1003</v>
      </c>
      <c r="G882" t="s">
        <v>114</v>
      </c>
      <c r="J882" t="s">
        <v>115</v>
      </c>
      <c r="K882">
        <v>0</v>
      </c>
      <c r="L882">
        <v>3</v>
      </c>
      <c r="M882">
        <v>0</v>
      </c>
      <c r="N882">
        <v>2</v>
      </c>
      <c r="O882">
        <v>1</v>
      </c>
      <c r="P882">
        <v>0</v>
      </c>
      <c r="Q882">
        <v>0</v>
      </c>
      <c r="S882" t="str">
        <f>"18:40:21.078"</f>
        <v>18:40:21.078</v>
      </c>
      <c r="T882" t="str">
        <f>"18:40:20.778"</f>
        <v>18:40:20.778</v>
      </c>
      <c r="U882" t="str">
        <f t="shared" si="86"/>
        <v>AAB6EE</v>
      </c>
      <c r="V882">
        <v>0</v>
      </c>
      <c r="W882">
        <v>0</v>
      </c>
      <c r="X882">
        <v>4</v>
      </c>
      <c r="Z882">
        <v>0</v>
      </c>
      <c r="AA882">
        <v>8</v>
      </c>
      <c r="AB882">
        <v>3</v>
      </c>
      <c r="AC882">
        <v>0</v>
      </c>
      <c r="AD882">
        <v>10</v>
      </c>
      <c r="AE882">
        <v>0</v>
      </c>
      <c r="AF882">
        <v>0</v>
      </c>
      <c r="AG882">
        <v>2</v>
      </c>
      <c r="AH882">
        <v>1</v>
      </c>
      <c r="AI882" t="s">
        <v>709</v>
      </c>
      <c r="AJ882">
        <v>35.332396000000003</v>
      </c>
      <c r="AK882" t="s">
        <v>710</v>
      </c>
      <c r="AL882">
        <v>-76.150853999999995</v>
      </c>
      <c r="AM882">
        <v>25</v>
      </c>
      <c r="AN882">
        <v>3425</v>
      </c>
      <c r="AO882" t="s">
        <v>118</v>
      </c>
      <c r="AP882">
        <v>-104</v>
      </c>
      <c r="AQ882">
        <v>-196</v>
      </c>
      <c r="AR882">
        <v>0</v>
      </c>
      <c r="AZ882">
        <v>4516</v>
      </c>
      <c r="BA882">
        <v>1</v>
      </c>
      <c r="BB882" t="str">
        <f t="shared" si="88"/>
        <v xml:space="preserve">N79NX   </v>
      </c>
      <c r="BC882">
        <v>1</v>
      </c>
      <c r="BE882">
        <v>0</v>
      </c>
      <c r="BF882">
        <v>0</v>
      </c>
      <c r="BG882">
        <v>0</v>
      </c>
      <c r="BH882">
        <v>3300</v>
      </c>
      <c r="BI882">
        <v>0</v>
      </c>
      <c r="BJ882">
        <v>0</v>
      </c>
      <c r="BK882">
        <v>0</v>
      </c>
      <c r="BL882">
        <v>0</v>
      </c>
      <c r="BO882">
        <v>0</v>
      </c>
      <c r="BP882">
        <v>0</v>
      </c>
      <c r="BW882" t="str">
        <f>"18:40:21.081"</f>
        <v>18:40:21.081</v>
      </c>
      <c r="BZ882">
        <v>0</v>
      </c>
      <c r="CA882">
        <v>4096</v>
      </c>
      <c r="CB882">
        <v>216</v>
      </c>
      <c r="CC882">
        <v>596.25</v>
      </c>
      <c r="CD882">
        <v>1</v>
      </c>
      <c r="CE882">
        <v>1</v>
      </c>
      <c r="CF882">
        <v>0</v>
      </c>
      <c r="CG882">
        <v>1</v>
      </c>
      <c r="CH882">
        <v>0</v>
      </c>
      <c r="CI882">
        <v>0</v>
      </c>
      <c r="CJ882">
        <v>0</v>
      </c>
      <c r="CK882">
        <v>2</v>
      </c>
      <c r="CL882">
        <v>0</v>
      </c>
      <c r="CM882">
        <v>2</v>
      </c>
      <c r="CN882">
        <v>0</v>
      </c>
      <c r="CO882">
        <v>5</v>
      </c>
      <c r="CP882" t="s">
        <v>119</v>
      </c>
      <c r="CQ882">
        <v>145</v>
      </c>
      <c r="CR882">
        <v>1</v>
      </c>
      <c r="CW882">
        <v>8987587</v>
      </c>
      <c r="CY882">
        <v>0</v>
      </c>
      <c r="CZ882">
        <v>0</v>
      </c>
      <c r="DA882">
        <v>1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</row>
    <row r="883" spans="1:113" x14ac:dyDescent="0.3">
      <c r="A883" t="str">
        <f>"02/13/2022 18:40:21.351"</f>
        <v>02/13/2022 18:40:21.351</v>
      </c>
      <c r="C883" t="str">
        <f t="shared" si="87"/>
        <v>FFDFD7C0</v>
      </c>
      <c r="D883" t="s">
        <v>113</v>
      </c>
      <c r="E883">
        <v>4</v>
      </c>
      <c r="F883">
        <v>1004</v>
      </c>
      <c r="G883" t="s">
        <v>120</v>
      </c>
      <c r="J883" t="s">
        <v>115</v>
      </c>
      <c r="K883">
        <v>0</v>
      </c>
      <c r="L883">
        <v>3</v>
      </c>
      <c r="M883">
        <v>0</v>
      </c>
      <c r="N883">
        <v>2</v>
      </c>
      <c r="O883">
        <v>1</v>
      </c>
      <c r="P883">
        <v>0</v>
      </c>
      <c r="Q883">
        <v>0</v>
      </c>
      <c r="S883" t="str">
        <f>"18:40:21.078"</f>
        <v>18:40:21.078</v>
      </c>
      <c r="T883" t="str">
        <f>"18:40:20.778"</f>
        <v>18:40:20.778</v>
      </c>
      <c r="U883" t="str">
        <f t="shared" si="86"/>
        <v>AAB6EE</v>
      </c>
      <c r="V883">
        <v>0</v>
      </c>
      <c r="W883">
        <v>0</v>
      </c>
      <c r="X883">
        <v>4</v>
      </c>
      <c r="Z883">
        <v>0</v>
      </c>
      <c r="AA883">
        <v>8</v>
      </c>
      <c r="AB883">
        <v>3</v>
      </c>
      <c r="AC883">
        <v>0</v>
      </c>
      <c r="AD883">
        <v>10</v>
      </c>
      <c r="AE883">
        <v>0</v>
      </c>
      <c r="AF883">
        <v>0</v>
      </c>
      <c r="AG883">
        <v>2</v>
      </c>
      <c r="AH883">
        <v>1</v>
      </c>
      <c r="AI883" t="s">
        <v>709</v>
      </c>
      <c r="AJ883">
        <v>35.332396000000003</v>
      </c>
      <c r="AK883" t="s">
        <v>710</v>
      </c>
      <c r="AL883">
        <v>-76.150853999999995</v>
      </c>
      <c r="AM883">
        <v>25</v>
      </c>
      <c r="AN883">
        <v>3425</v>
      </c>
      <c r="AO883" t="s">
        <v>118</v>
      </c>
      <c r="AP883">
        <v>-104</v>
      </c>
      <c r="AQ883">
        <v>-196</v>
      </c>
      <c r="AR883">
        <v>0</v>
      </c>
      <c r="AZ883">
        <v>4516</v>
      </c>
      <c r="BA883">
        <v>1</v>
      </c>
      <c r="BB883" t="str">
        <f t="shared" si="88"/>
        <v xml:space="preserve">N79NX   </v>
      </c>
      <c r="BC883">
        <v>1</v>
      </c>
      <c r="BE883">
        <v>0</v>
      </c>
      <c r="BF883">
        <v>0</v>
      </c>
      <c r="BG883">
        <v>0</v>
      </c>
      <c r="BH883">
        <v>3300</v>
      </c>
      <c r="BI883">
        <v>0</v>
      </c>
      <c r="BJ883">
        <v>0</v>
      </c>
      <c r="BK883">
        <v>0</v>
      </c>
      <c r="BL883">
        <v>0</v>
      </c>
      <c r="BO883">
        <v>0</v>
      </c>
      <c r="BP883">
        <v>0</v>
      </c>
      <c r="BW883" t="str">
        <f>"18:40:21.081"</f>
        <v>18:40:21.081</v>
      </c>
      <c r="BZ883">
        <v>0</v>
      </c>
      <c r="CA883">
        <v>4096</v>
      </c>
      <c r="CB883">
        <v>216</v>
      </c>
      <c r="CC883">
        <v>596.25</v>
      </c>
      <c r="CD883">
        <v>1</v>
      </c>
      <c r="CE883">
        <v>1</v>
      </c>
      <c r="CF883">
        <v>0</v>
      </c>
      <c r="CG883">
        <v>1</v>
      </c>
      <c r="CH883">
        <v>0</v>
      </c>
      <c r="CI883">
        <v>0</v>
      </c>
      <c r="CJ883">
        <v>0</v>
      </c>
      <c r="CK883">
        <v>2</v>
      </c>
      <c r="CL883">
        <v>0</v>
      </c>
      <c r="CM883">
        <v>2</v>
      </c>
      <c r="CN883">
        <v>0</v>
      </c>
      <c r="CO883">
        <v>5</v>
      </c>
      <c r="CP883" t="s">
        <v>119</v>
      </c>
      <c r="CQ883">
        <v>145</v>
      </c>
      <c r="CR883">
        <v>1</v>
      </c>
      <c r="CW883">
        <v>8987587</v>
      </c>
      <c r="CY883">
        <v>0</v>
      </c>
      <c r="CZ883">
        <v>0</v>
      </c>
      <c r="DA883">
        <v>1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</row>
    <row r="884" spans="1:113" x14ac:dyDescent="0.3">
      <c r="A884" t="str">
        <f>"02/13/2022 18:40:22.273"</f>
        <v>02/13/2022 18:40:22.273</v>
      </c>
      <c r="C884" t="str">
        <f t="shared" si="87"/>
        <v>FFDFD7C0</v>
      </c>
      <c r="D884" t="s">
        <v>113</v>
      </c>
      <c r="E884">
        <v>3</v>
      </c>
      <c r="F884">
        <v>1003</v>
      </c>
      <c r="G884" t="s">
        <v>114</v>
      </c>
      <c r="J884" t="s">
        <v>115</v>
      </c>
      <c r="K884">
        <v>0</v>
      </c>
      <c r="L884">
        <v>3</v>
      </c>
      <c r="M884">
        <v>0</v>
      </c>
      <c r="N884">
        <v>2</v>
      </c>
      <c r="O884">
        <v>1</v>
      </c>
      <c r="P884">
        <v>0</v>
      </c>
      <c r="Q884">
        <v>0</v>
      </c>
      <c r="S884" t="str">
        <f>"18:40:22.086"</f>
        <v>18:40:22.086</v>
      </c>
      <c r="T884" t="str">
        <f>"18:40:21.786"</f>
        <v>18:40:21.786</v>
      </c>
      <c r="U884" t="str">
        <f t="shared" si="86"/>
        <v>AAB6EE</v>
      </c>
      <c r="V884">
        <v>0</v>
      </c>
      <c r="W884">
        <v>0</v>
      </c>
      <c r="X884">
        <v>4</v>
      </c>
      <c r="Z884">
        <v>0</v>
      </c>
      <c r="AA884">
        <v>8</v>
      </c>
      <c r="AB884">
        <v>3</v>
      </c>
      <c r="AC884">
        <v>0</v>
      </c>
      <c r="AD884">
        <v>10</v>
      </c>
      <c r="AE884">
        <v>0</v>
      </c>
      <c r="AF884">
        <v>0</v>
      </c>
      <c r="AG884">
        <v>2</v>
      </c>
      <c r="AH884">
        <v>1</v>
      </c>
      <c r="AI884" t="s">
        <v>711</v>
      </c>
      <c r="AJ884">
        <v>35.331473000000003</v>
      </c>
      <c r="AK884" t="s">
        <v>712</v>
      </c>
      <c r="AL884">
        <v>-76.151497000000006</v>
      </c>
      <c r="AM884">
        <v>25</v>
      </c>
      <c r="AN884">
        <v>3450</v>
      </c>
      <c r="AO884" t="s">
        <v>118</v>
      </c>
      <c r="AP884">
        <v>-105</v>
      </c>
      <c r="AQ884">
        <v>-196</v>
      </c>
      <c r="AR884">
        <v>0</v>
      </c>
      <c r="AZ884">
        <v>4516</v>
      </c>
      <c r="BA884">
        <v>1</v>
      </c>
      <c r="BB884" t="str">
        <f t="shared" si="88"/>
        <v xml:space="preserve">N79NX   </v>
      </c>
      <c r="BC884">
        <v>1</v>
      </c>
      <c r="BE884">
        <v>0</v>
      </c>
      <c r="BF884">
        <v>0</v>
      </c>
      <c r="BG884">
        <v>0</v>
      </c>
      <c r="BH884">
        <v>3275</v>
      </c>
      <c r="BI884">
        <v>0</v>
      </c>
      <c r="BJ884">
        <v>0</v>
      </c>
      <c r="BK884">
        <v>0</v>
      </c>
      <c r="BL884">
        <v>0</v>
      </c>
      <c r="BO884">
        <v>0</v>
      </c>
      <c r="BP884">
        <v>0</v>
      </c>
      <c r="BW884" t="str">
        <f>"18:40:22.091"</f>
        <v>18:40:22.091</v>
      </c>
      <c r="BZ884">
        <v>0</v>
      </c>
      <c r="CA884">
        <v>4096</v>
      </c>
      <c r="CB884">
        <v>216</v>
      </c>
      <c r="CC884">
        <v>596.25</v>
      </c>
      <c r="CD884">
        <v>1</v>
      </c>
      <c r="CE884">
        <v>1</v>
      </c>
      <c r="CF884">
        <v>0</v>
      </c>
      <c r="CG884">
        <v>1</v>
      </c>
      <c r="CH884">
        <v>0</v>
      </c>
      <c r="CI884">
        <v>0</v>
      </c>
      <c r="CJ884">
        <v>0</v>
      </c>
      <c r="CK884">
        <v>2</v>
      </c>
      <c r="CL884">
        <v>0</v>
      </c>
      <c r="CM884">
        <v>2</v>
      </c>
      <c r="CN884">
        <v>0</v>
      </c>
      <c r="CO884">
        <v>5</v>
      </c>
      <c r="CP884" t="s">
        <v>119</v>
      </c>
      <c r="CQ884">
        <v>145</v>
      </c>
      <c r="CR884">
        <v>1</v>
      </c>
      <c r="CW884">
        <v>8987960</v>
      </c>
      <c r="CY884">
        <v>0</v>
      </c>
      <c r="CZ884">
        <v>0</v>
      </c>
      <c r="DA884">
        <v>0</v>
      </c>
      <c r="DB884">
        <v>0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</row>
    <row r="885" spans="1:113" x14ac:dyDescent="0.3">
      <c r="A885" t="str">
        <f>"02/13/2022 18:40:22.273"</f>
        <v>02/13/2022 18:40:22.273</v>
      </c>
      <c r="C885" t="str">
        <f t="shared" si="87"/>
        <v>FFDFD7C0</v>
      </c>
      <c r="D885" t="s">
        <v>113</v>
      </c>
      <c r="E885">
        <v>4</v>
      </c>
      <c r="F885">
        <v>1004</v>
      </c>
      <c r="G885" t="s">
        <v>120</v>
      </c>
      <c r="J885" t="s">
        <v>115</v>
      </c>
      <c r="K885">
        <v>0</v>
      </c>
      <c r="L885">
        <v>3</v>
      </c>
      <c r="M885">
        <v>0</v>
      </c>
      <c r="N885">
        <v>2</v>
      </c>
      <c r="O885">
        <v>1</v>
      </c>
      <c r="P885">
        <v>0</v>
      </c>
      <c r="Q885">
        <v>0</v>
      </c>
      <c r="S885" t="str">
        <f>"18:40:22.086"</f>
        <v>18:40:22.086</v>
      </c>
      <c r="T885" t="str">
        <f>"18:40:21.786"</f>
        <v>18:40:21.786</v>
      </c>
      <c r="U885" t="str">
        <f t="shared" si="86"/>
        <v>AAB6EE</v>
      </c>
      <c r="V885">
        <v>0</v>
      </c>
      <c r="W885">
        <v>0</v>
      </c>
      <c r="X885">
        <v>4</v>
      </c>
      <c r="Z885">
        <v>0</v>
      </c>
      <c r="AA885">
        <v>8</v>
      </c>
      <c r="AB885">
        <v>3</v>
      </c>
      <c r="AC885">
        <v>0</v>
      </c>
      <c r="AD885">
        <v>10</v>
      </c>
      <c r="AE885">
        <v>0</v>
      </c>
      <c r="AF885">
        <v>0</v>
      </c>
      <c r="AG885">
        <v>2</v>
      </c>
      <c r="AH885">
        <v>1</v>
      </c>
      <c r="AI885" t="s">
        <v>711</v>
      </c>
      <c r="AJ885">
        <v>35.331473000000003</v>
      </c>
      <c r="AK885" t="s">
        <v>712</v>
      </c>
      <c r="AL885">
        <v>-76.151497000000006</v>
      </c>
      <c r="AM885">
        <v>25</v>
      </c>
      <c r="AN885">
        <v>3450</v>
      </c>
      <c r="AO885" t="s">
        <v>118</v>
      </c>
      <c r="AP885">
        <v>-105</v>
      </c>
      <c r="AQ885">
        <v>-196</v>
      </c>
      <c r="AR885">
        <v>0</v>
      </c>
      <c r="AZ885">
        <v>4516</v>
      </c>
      <c r="BA885">
        <v>1</v>
      </c>
      <c r="BB885" t="str">
        <f t="shared" si="88"/>
        <v xml:space="preserve">N79NX   </v>
      </c>
      <c r="BC885">
        <v>1</v>
      </c>
      <c r="BE885">
        <v>0</v>
      </c>
      <c r="BF885">
        <v>0</v>
      </c>
      <c r="BG885">
        <v>0</v>
      </c>
      <c r="BH885">
        <v>3275</v>
      </c>
      <c r="BI885">
        <v>0</v>
      </c>
      <c r="BJ885">
        <v>0</v>
      </c>
      <c r="BK885">
        <v>0</v>
      </c>
      <c r="BL885">
        <v>0</v>
      </c>
      <c r="BO885">
        <v>0</v>
      </c>
      <c r="BP885">
        <v>0</v>
      </c>
      <c r="BW885" t="str">
        <f>"18:40:22.091"</f>
        <v>18:40:22.091</v>
      </c>
      <c r="BZ885">
        <v>0</v>
      </c>
      <c r="CA885">
        <v>4096</v>
      </c>
      <c r="CB885">
        <v>216</v>
      </c>
      <c r="CC885">
        <v>596.25</v>
      </c>
      <c r="CD885">
        <v>1</v>
      </c>
      <c r="CE885">
        <v>1</v>
      </c>
      <c r="CF885">
        <v>0</v>
      </c>
      <c r="CG885">
        <v>1</v>
      </c>
      <c r="CH885">
        <v>0</v>
      </c>
      <c r="CI885">
        <v>0</v>
      </c>
      <c r="CJ885">
        <v>0</v>
      </c>
      <c r="CK885">
        <v>2</v>
      </c>
      <c r="CL885">
        <v>0</v>
      </c>
      <c r="CM885">
        <v>2</v>
      </c>
      <c r="CN885">
        <v>0</v>
      </c>
      <c r="CO885">
        <v>5</v>
      </c>
      <c r="CP885" t="s">
        <v>119</v>
      </c>
      <c r="CQ885">
        <v>145</v>
      </c>
      <c r="CR885">
        <v>1</v>
      </c>
      <c r="CW885">
        <v>8987960</v>
      </c>
      <c r="CY885">
        <v>0</v>
      </c>
      <c r="CZ885">
        <v>0</v>
      </c>
      <c r="DA885">
        <v>1</v>
      </c>
      <c r="DB885">
        <v>0</v>
      </c>
      <c r="DC885">
        <v>0</v>
      </c>
      <c r="DD885">
        <v>0</v>
      </c>
      <c r="DE885">
        <v>0</v>
      </c>
      <c r="DF885">
        <v>0</v>
      </c>
      <c r="DG885">
        <v>0</v>
      </c>
      <c r="DH885">
        <v>0</v>
      </c>
      <c r="DI885">
        <v>0</v>
      </c>
    </row>
    <row r="886" spans="1:113" x14ac:dyDescent="0.3">
      <c r="A886" t="str">
        <f>"02/13/2022 18:40:22.320"</f>
        <v>02/13/2022 18:40:22.320</v>
      </c>
      <c r="C886" t="str">
        <f t="shared" si="87"/>
        <v>FFDFD7C0</v>
      </c>
      <c r="D886" t="s">
        <v>121</v>
      </c>
      <c r="E886">
        <v>2</v>
      </c>
      <c r="H886">
        <v>158</v>
      </c>
      <c r="I886" t="s">
        <v>120</v>
      </c>
      <c r="J886" t="s">
        <v>122</v>
      </c>
      <c r="K886">
        <v>0</v>
      </c>
      <c r="L886">
        <v>3</v>
      </c>
      <c r="M886">
        <v>0</v>
      </c>
      <c r="N886">
        <v>2</v>
      </c>
      <c r="O886">
        <v>1</v>
      </c>
      <c r="P886">
        <v>0</v>
      </c>
      <c r="Q886">
        <v>0</v>
      </c>
      <c r="S886" t="str">
        <f>"18:40:22.086"</f>
        <v>18:40:22.086</v>
      </c>
      <c r="T886" t="str">
        <f>"18:40:21.786"</f>
        <v>18:40:21.786</v>
      </c>
      <c r="U886" t="str">
        <f t="shared" si="86"/>
        <v>AAB6EE</v>
      </c>
      <c r="V886">
        <v>0</v>
      </c>
      <c r="W886">
        <v>0</v>
      </c>
      <c r="X886">
        <v>4</v>
      </c>
      <c r="Z886">
        <v>0</v>
      </c>
      <c r="AA886">
        <v>8</v>
      </c>
      <c r="AB886">
        <v>3</v>
      </c>
      <c r="AC886">
        <v>0</v>
      </c>
      <c r="AD886">
        <v>10</v>
      </c>
      <c r="AE886">
        <v>0</v>
      </c>
      <c r="AF886">
        <v>0</v>
      </c>
      <c r="AG886">
        <v>2</v>
      </c>
      <c r="AH886">
        <v>1</v>
      </c>
      <c r="AI886" t="s">
        <v>711</v>
      </c>
      <c r="AJ886">
        <v>35.331473000000003</v>
      </c>
      <c r="AK886" t="s">
        <v>712</v>
      </c>
      <c r="AL886">
        <v>-76.151497000000006</v>
      </c>
      <c r="AM886">
        <v>25</v>
      </c>
      <c r="AN886">
        <v>3450</v>
      </c>
      <c r="AO886" t="s">
        <v>118</v>
      </c>
      <c r="AP886">
        <v>-105</v>
      </c>
      <c r="AQ886">
        <v>-196</v>
      </c>
      <c r="AR886">
        <v>0</v>
      </c>
      <c r="AZ886">
        <v>4516</v>
      </c>
      <c r="BA886">
        <v>1</v>
      </c>
      <c r="BB886" t="str">
        <f t="shared" si="88"/>
        <v xml:space="preserve">N79NX   </v>
      </c>
      <c r="BC886">
        <v>1</v>
      </c>
      <c r="BE886">
        <v>0</v>
      </c>
      <c r="BF886">
        <v>0</v>
      </c>
      <c r="BG886">
        <v>0</v>
      </c>
      <c r="BH886">
        <v>3275</v>
      </c>
      <c r="BI886">
        <v>0</v>
      </c>
      <c r="BJ886">
        <v>0</v>
      </c>
      <c r="BK886">
        <v>0</v>
      </c>
      <c r="BL886">
        <v>0</v>
      </c>
      <c r="BO886">
        <v>0</v>
      </c>
      <c r="BP886">
        <v>0</v>
      </c>
      <c r="BW886" t="str">
        <f>"18:40:22.091"</f>
        <v>18:40:22.091</v>
      </c>
      <c r="BZ886">
        <v>0</v>
      </c>
      <c r="CA886">
        <v>4096</v>
      </c>
      <c r="CB886">
        <v>216</v>
      </c>
      <c r="CC886">
        <v>596.25</v>
      </c>
      <c r="CD886">
        <v>1</v>
      </c>
      <c r="CE886">
        <v>1</v>
      </c>
      <c r="CF886">
        <v>0</v>
      </c>
      <c r="CG886">
        <v>1</v>
      </c>
      <c r="CH886">
        <v>0</v>
      </c>
      <c r="CI886">
        <v>0</v>
      </c>
      <c r="CJ886">
        <v>0</v>
      </c>
      <c r="CK886">
        <v>2</v>
      </c>
      <c r="CL886">
        <v>0</v>
      </c>
      <c r="CM886">
        <v>2</v>
      </c>
      <c r="CN886">
        <v>0</v>
      </c>
      <c r="CO886">
        <v>5</v>
      </c>
      <c r="CP886" t="s">
        <v>119</v>
      </c>
      <c r="CQ886">
        <v>145</v>
      </c>
      <c r="CR886">
        <v>1</v>
      </c>
      <c r="CW886">
        <v>8987960</v>
      </c>
      <c r="CY886">
        <v>0</v>
      </c>
      <c r="CZ886">
        <v>0</v>
      </c>
      <c r="DA886">
        <v>1</v>
      </c>
      <c r="DB886">
        <v>0</v>
      </c>
      <c r="DC886">
        <v>0</v>
      </c>
      <c r="DD886">
        <v>0</v>
      </c>
      <c r="DE886">
        <v>0</v>
      </c>
      <c r="DF886">
        <v>0</v>
      </c>
      <c r="DG886">
        <v>0</v>
      </c>
      <c r="DH886">
        <v>0</v>
      </c>
      <c r="DI886">
        <v>0</v>
      </c>
    </row>
    <row r="887" spans="1:113" x14ac:dyDescent="0.3">
      <c r="A887" t="str">
        <f>"02/13/2022 18:40:23.509"</f>
        <v>02/13/2022 18:40:23.509</v>
      </c>
      <c r="C887" t="str">
        <f t="shared" si="87"/>
        <v>FFDFD7C0</v>
      </c>
      <c r="D887" t="s">
        <v>121</v>
      </c>
      <c r="E887">
        <v>2</v>
      </c>
      <c r="H887">
        <v>158</v>
      </c>
      <c r="I887" t="s">
        <v>120</v>
      </c>
      <c r="J887" t="s">
        <v>122</v>
      </c>
      <c r="K887">
        <v>0</v>
      </c>
      <c r="L887">
        <v>3</v>
      </c>
      <c r="M887">
        <v>0</v>
      </c>
      <c r="N887">
        <v>2</v>
      </c>
      <c r="O887">
        <v>1</v>
      </c>
      <c r="P887">
        <v>0</v>
      </c>
      <c r="Q887">
        <v>0</v>
      </c>
      <c r="S887" t="str">
        <f>"18:40:23.250"</f>
        <v>18:40:23.250</v>
      </c>
      <c r="T887" t="str">
        <f>"18:40:22.950"</f>
        <v>18:40:22.950</v>
      </c>
      <c r="U887" t="str">
        <f t="shared" si="86"/>
        <v>AAB6EE</v>
      </c>
      <c r="V887">
        <v>0</v>
      </c>
      <c r="W887">
        <v>0</v>
      </c>
      <c r="X887">
        <v>4</v>
      </c>
      <c r="Z887">
        <v>0</v>
      </c>
      <c r="AA887">
        <v>8</v>
      </c>
      <c r="AB887">
        <v>3</v>
      </c>
      <c r="AC887">
        <v>0</v>
      </c>
      <c r="AD887">
        <v>10</v>
      </c>
      <c r="AE887">
        <v>0</v>
      </c>
      <c r="AF887">
        <v>0</v>
      </c>
      <c r="AG887">
        <v>2</v>
      </c>
      <c r="AH887">
        <v>1</v>
      </c>
      <c r="AI887" t="s">
        <v>713</v>
      </c>
      <c r="AJ887">
        <v>35.330399999999997</v>
      </c>
      <c r="AK887" t="s">
        <v>714</v>
      </c>
      <c r="AL887">
        <v>-76.152204999999995</v>
      </c>
      <c r="AM887">
        <v>25</v>
      </c>
      <c r="AN887">
        <v>3450</v>
      </c>
      <c r="AO887" t="s">
        <v>118</v>
      </c>
      <c r="AP887">
        <v>-105</v>
      </c>
      <c r="AQ887">
        <v>-195</v>
      </c>
      <c r="AR887">
        <v>-64</v>
      </c>
      <c r="AZ887">
        <v>4516</v>
      </c>
      <c r="BA887">
        <v>1</v>
      </c>
      <c r="BB887" t="str">
        <f t="shared" si="88"/>
        <v xml:space="preserve">N79NX   </v>
      </c>
      <c r="BC887">
        <v>1</v>
      </c>
      <c r="BE887">
        <v>0</v>
      </c>
      <c r="BF887">
        <v>0</v>
      </c>
      <c r="BG887">
        <v>0</v>
      </c>
      <c r="BH887">
        <v>3300</v>
      </c>
      <c r="BI887">
        <v>0</v>
      </c>
      <c r="BJ887">
        <v>0</v>
      </c>
      <c r="BK887">
        <v>0</v>
      </c>
      <c r="BL887">
        <v>0</v>
      </c>
      <c r="BO887">
        <v>0</v>
      </c>
      <c r="BP887">
        <v>0</v>
      </c>
      <c r="BW887" t="str">
        <f>"18:40:23.251"</f>
        <v>18:40:23.251</v>
      </c>
      <c r="BZ887">
        <v>0</v>
      </c>
      <c r="CA887">
        <v>4096</v>
      </c>
      <c r="CB887">
        <v>216</v>
      </c>
      <c r="CC887">
        <v>604.6875</v>
      </c>
      <c r="CD887">
        <v>1</v>
      </c>
      <c r="CE887">
        <v>1</v>
      </c>
      <c r="CF887">
        <v>0</v>
      </c>
      <c r="CG887">
        <v>1</v>
      </c>
      <c r="CH887">
        <v>0</v>
      </c>
      <c r="CI887">
        <v>0</v>
      </c>
      <c r="CJ887">
        <v>0</v>
      </c>
      <c r="CK887">
        <v>2</v>
      </c>
      <c r="CL887">
        <v>0</v>
      </c>
      <c r="CM887">
        <v>2</v>
      </c>
      <c r="CN887">
        <v>0</v>
      </c>
      <c r="CO887">
        <v>5</v>
      </c>
      <c r="CP887" t="s">
        <v>119</v>
      </c>
      <c r="CQ887">
        <v>145</v>
      </c>
      <c r="CR887">
        <v>1</v>
      </c>
      <c r="CW887">
        <v>8988425</v>
      </c>
      <c r="CY887">
        <v>0</v>
      </c>
      <c r="CZ887">
        <v>0</v>
      </c>
      <c r="DA887">
        <v>0</v>
      </c>
      <c r="DB887">
        <v>0</v>
      </c>
      <c r="DC887">
        <v>0</v>
      </c>
      <c r="DD887">
        <v>0</v>
      </c>
      <c r="DE887">
        <v>0</v>
      </c>
      <c r="DF887">
        <v>0</v>
      </c>
      <c r="DG887">
        <v>0</v>
      </c>
      <c r="DH887">
        <v>0</v>
      </c>
      <c r="DI887">
        <v>0</v>
      </c>
    </row>
    <row r="888" spans="1:113" x14ac:dyDescent="0.3">
      <c r="A888" t="str">
        <f>"02/13/2022 18:40:23.509"</f>
        <v>02/13/2022 18:40:23.509</v>
      </c>
      <c r="C888" t="str">
        <f t="shared" si="87"/>
        <v>FFDFD7C0</v>
      </c>
      <c r="D888" t="s">
        <v>113</v>
      </c>
      <c r="E888">
        <v>3</v>
      </c>
      <c r="F888">
        <v>1003</v>
      </c>
      <c r="G888" t="s">
        <v>114</v>
      </c>
      <c r="J888" t="s">
        <v>115</v>
      </c>
      <c r="K888">
        <v>0</v>
      </c>
      <c r="L888">
        <v>3</v>
      </c>
      <c r="M888">
        <v>0</v>
      </c>
      <c r="N888">
        <v>2</v>
      </c>
      <c r="O888">
        <v>1</v>
      </c>
      <c r="P888">
        <v>0</v>
      </c>
      <c r="Q888">
        <v>0</v>
      </c>
      <c r="S888" t="str">
        <f>"18:40:23.250"</f>
        <v>18:40:23.250</v>
      </c>
      <c r="T888" t="str">
        <f>"18:40:22.950"</f>
        <v>18:40:22.950</v>
      </c>
      <c r="U888" t="str">
        <f t="shared" si="86"/>
        <v>AAB6EE</v>
      </c>
      <c r="V888">
        <v>0</v>
      </c>
      <c r="W888">
        <v>0</v>
      </c>
      <c r="X888">
        <v>4</v>
      </c>
      <c r="Z888">
        <v>0</v>
      </c>
      <c r="AA888">
        <v>8</v>
      </c>
      <c r="AB888">
        <v>3</v>
      </c>
      <c r="AC888">
        <v>0</v>
      </c>
      <c r="AD888">
        <v>10</v>
      </c>
      <c r="AE888">
        <v>0</v>
      </c>
      <c r="AF888">
        <v>0</v>
      </c>
      <c r="AG888">
        <v>2</v>
      </c>
      <c r="AH888">
        <v>1</v>
      </c>
      <c r="AI888" t="s">
        <v>713</v>
      </c>
      <c r="AJ888">
        <v>35.330399999999997</v>
      </c>
      <c r="AK888" t="s">
        <v>714</v>
      </c>
      <c r="AL888">
        <v>-76.152204999999995</v>
      </c>
      <c r="AM888">
        <v>25</v>
      </c>
      <c r="AN888">
        <v>3450</v>
      </c>
      <c r="AO888" t="s">
        <v>118</v>
      </c>
      <c r="AP888">
        <v>-105</v>
      </c>
      <c r="AQ888">
        <v>-195</v>
      </c>
      <c r="AR888">
        <v>-64</v>
      </c>
      <c r="AZ888">
        <v>4516</v>
      </c>
      <c r="BA888">
        <v>1</v>
      </c>
      <c r="BB888" t="str">
        <f t="shared" si="88"/>
        <v xml:space="preserve">N79NX   </v>
      </c>
      <c r="BC888">
        <v>1</v>
      </c>
      <c r="BE888">
        <v>0</v>
      </c>
      <c r="BF888">
        <v>0</v>
      </c>
      <c r="BG888">
        <v>0</v>
      </c>
      <c r="BH888">
        <v>3300</v>
      </c>
      <c r="BI888">
        <v>0</v>
      </c>
      <c r="BJ888">
        <v>0</v>
      </c>
      <c r="BK888">
        <v>0</v>
      </c>
      <c r="BL888">
        <v>0</v>
      </c>
      <c r="BO888">
        <v>0</v>
      </c>
      <c r="BP888">
        <v>0</v>
      </c>
      <c r="BW888" t="str">
        <f>"18:40:23.251"</f>
        <v>18:40:23.251</v>
      </c>
      <c r="BZ888">
        <v>0</v>
      </c>
      <c r="CA888">
        <v>4096</v>
      </c>
      <c r="CB888">
        <v>216</v>
      </c>
      <c r="CC888">
        <v>604.6875</v>
      </c>
      <c r="CD888">
        <v>1</v>
      </c>
      <c r="CE888">
        <v>1</v>
      </c>
      <c r="CF888">
        <v>0</v>
      </c>
      <c r="CG888">
        <v>1</v>
      </c>
      <c r="CH888">
        <v>0</v>
      </c>
      <c r="CI888">
        <v>0</v>
      </c>
      <c r="CJ888">
        <v>0</v>
      </c>
      <c r="CK888">
        <v>2</v>
      </c>
      <c r="CL888">
        <v>0</v>
      </c>
      <c r="CM888">
        <v>2</v>
      </c>
      <c r="CN888">
        <v>0</v>
      </c>
      <c r="CO888">
        <v>5</v>
      </c>
      <c r="CP888" t="s">
        <v>119</v>
      </c>
      <c r="CQ888">
        <v>145</v>
      </c>
      <c r="CR888">
        <v>1</v>
      </c>
      <c r="CW888">
        <v>8988425</v>
      </c>
      <c r="CY888">
        <v>0</v>
      </c>
      <c r="CZ888">
        <v>0</v>
      </c>
      <c r="DA888">
        <v>1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</row>
    <row r="889" spans="1:113" x14ac:dyDescent="0.3">
      <c r="A889" t="str">
        <f>"02/13/2022 18:40:23.509"</f>
        <v>02/13/2022 18:40:23.509</v>
      </c>
      <c r="C889" t="str">
        <f t="shared" si="87"/>
        <v>FFDFD7C0</v>
      </c>
      <c r="D889" t="s">
        <v>113</v>
      </c>
      <c r="E889">
        <v>4</v>
      </c>
      <c r="F889">
        <v>1004</v>
      </c>
      <c r="G889" t="s">
        <v>120</v>
      </c>
      <c r="J889" t="s">
        <v>115</v>
      </c>
      <c r="K889">
        <v>0</v>
      </c>
      <c r="L889">
        <v>3</v>
      </c>
      <c r="M889">
        <v>0</v>
      </c>
      <c r="N889">
        <v>2</v>
      </c>
      <c r="O889">
        <v>1</v>
      </c>
      <c r="P889">
        <v>0</v>
      </c>
      <c r="Q889">
        <v>0</v>
      </c>
      <c r="S889" t="str">
        <f>"18:40:23.250"</f>
        <v>18:40:23.250</v>
      </c>
      <c r="T889" t="str">
        <f>"18:40:22.950"</f>
        <v>18:40:22.950</v>
      </c>
      <c r="U889" t="str">
        <f t="shared" si="86"/>
        <v>AAB6EE</v>
      </c>
      <c r="V889">
        <v>0</v>
      </c>
      <c r="W889">
        <v>0</v>
      </c>
      <c r="X889">
        <v>4</v>
      </c>
      <c r="Z889">
        <v>0</v>
      </c>
      <c r="AA889">
        <v>8</v>
      </c>
      <c r="AB889">
        <v>3</v>
      </c>
      <c r="AC889">
        <v>0</v>
      </c>
      <c r="AD889">
        <v>10</v>
      </c>
      <c r="AE889">
        <v>0</v>
      </c>
      <c r="AF889">
        <v>0</v>
      </c>
      <c r="AG889">
        <v>2</v>
      </c>
      <c r="AH889">
        <v>1</v>
      </c>
      <c r="AI889" t="s">
        <v>713</v>
      </c>
      <c r="AJ889">
        <v>35.330399999999997</v>
      </c>
      <c r="AK889" t="s">
        <v>714</v>
      </c>
      <c r="AL889">
        <v>-76.152204999999995</v>
      </c>
      <c r="AM889">
        <v>25</v>
      </c>
      <c r="AN889">
        <v>3450</v>
      </c>
      <c r="AO889" t="s">
        <v>118</v>
      </c>
      <c r="AP889">
        <v>-105</v>
      </c>
      <c r="AQ889">
        <v>-195</v>
      </c>
      <c r="AR889">
        <v>-64</v>
      </c>
      <c r="AZ889">
        <v>4516</v>
      </c>
      <c r="BA889">
        <v>1</v>
      </c>
      <c r="BB889" t="str">
        <f t="shared" si="88"/>
        <v xml:space="preserve">N79NX   </v>
      </c>
      <c r="BC889">
        <v>1</v>
      </c>
      <c r="BE889">
        <v>0</v>
      </c>
      <c r="BF889">
        <v>0</v>
      </c>
      <c r="BG889">
        <v>0</v>
      </c>
      <c r="BH889">
        <v>3300</v>
      </c>
      <c r="BI889">
        <v>0</v>
      </c>
      <c r="BJ889">
        <v>0</v>
      </c>
      <c r="BK889">
        <v>0</v>
      </c>
      <c r="BL889">
        <v>0</v>
      </c>
      <c r="BO889">
        <v>0</v>
      </c>
      <c r="BP889">
        <v>0</v>
      </c>
      <c r="BW889" t="str">
        <f>"18:40:23.251"</f>
        <v>18:40:23.251</v>
      </c>
      <c r="BZ889">
        <v>0</v>
      </c>
      <c r="CA889">
        <v>4096</v>
      </c>
      <c r="CB889">
        <v>216</v>
      </c>
      <c r="CC889">
        <v>604.6875</v>
      </c>
      <c r="CD889">
        <v>1</v>
      </c>
      <c r="CE889">
        <v>1</v>
      </c>
      <c r="CF889">
        <v>0</v>
      </c>
      <c r="CG889">
        <v>1</v>
      </c>
      <c r="CH889">
        <v>0</v>
      </c>
      <c r="CI889">
        <v>0</v>
      </c>
      <c r="CJ889">
        <v>0</v>
      </c>
      <c r="CK889">
        <v>2</v>
      </c>
      <c r="CL889">
        <v>0</v>
      </c>
      <c r="CM889">
        <v>2</v>
      </c>
      <c r="CN889">
        <v>0</v>
      </c>
      <c r="CO889">
        <v>5</v>
      </c>
      <c r="CP889" t="s">
        <v>119</v>
      </c>
      <c r="CQ889">
        <v>145</v>
      </c>
      <c r="CR889">
        <v>1</v>
      </c>
      <c r="CW889">
        <v>8988425</v>
      </c>
      <c r="CY889">
        <v>0</v>
      </c>
      <c r="CZ889">
        <v>0</v>
      </c>
      <c r="DA889">
        <v>1</v>
      </c>
      <c r="DB889">
        <v>0</v>
      </c>
      <c r="DC889">
        <v>0</v>
      </c>
      <c r="DD889">
        <v>0</v>
      </c>
      <c r="DE889">
        <v>0</v>
      </c>
      <c r="DF889">
        <v>0</v>
      </c>
      <c r="DG889">
        <v>0</v>
      </c>
      <c r="DH889">
        <v>0</v>
      </c>
      <c r="DI889">
        <v>0</v>
      </c>
    </row>
    <row r="890" spans="1:113" x14ac:dyDescent="0.3">
      <c r="A890" t="str">
        <f>"02/13/2022 18:40:24.526"</f>
        <v>02/13/2022 18:40:24.526</v>
      </c>
      <c r="C890" t="str">
        <f t="shared" si="87"/>
        <v>FFDFD7C0</v>
      </c>
      <c r="D890" t="s">
        <v>121</v>
      </c>
      <c r="E890">
        <v>2</v>
      </c>
      <c r="H890">
        <v>158</v>
      </c>
      <c r="I890" t="s">
        <v>120</v>
      </c>
      <c r="J890" t="s">
        <v>122</v>
      </c>
      <c r="K890">
        <v>0</v>
      </c>
      <c r="L890">
        <v>3</v>
      </c>
      <c r="M890">
        <v>0</v>
      </c>
      <c r="N890">
        <v>2</v>
      </c>
      <c r="O890">
        <v>1</v>
      </c>
      <c r="P890">
        <v>0</v>
      </c>
      <c r="Q890">
        <v>0</v>
      </c>
      <c r="S890" t="str">
        <f>"18:40:24.297"</f>
        <v>18:40:24.297</v>
      </c>
      <c r="T890" t="str">
        <f>"18:40:23.897"</f>
        <v>18:40:23.897</v>
      </c>
      <c r="U890" t="str">
        <f t="shared" si="86"/>
        <v>AAB6EE</v>
      </c>
      <c r="V890">
        <v>0</v>
      </c>
      <c r="W890">
        <v>0</v>
      </c>
      <c r="X890">
        <v>4</v>
      </c>
      <c r="Z890">
        <v>0</v>
      </c>
      <c r="AA890">
        <v>8</v>
      </c>
      <c r="AB890">
        <v>3</v>
      </c>
      <c r="AC890">
        <v>0</v>
      </c>
      <c r="AD890">
        <v>10</v>
      </c>
      <c r="AE890">
        <v>0</v>
      </c>
      <c r="AF890">
        <v>0</v>
      </c>
      <c r="AG890">
        <v>2</v>
      </c>
      <c r="AH890">
        <v>1</v>
      </c>
      <c r="AI890" t="s">
        <v>715</v>
      </c>
      <c r="AJ890">
        <v>35.329478000000002</v>
      </c>
      <c r="AK890" t="s">
        <v>716</v>
      </c>
      <c r="AL890">
        <v>-76.152784999999994</v>
      </c>
      <c r="AM890">
        <v>25</v>
      </c>
      <c r="AN890">
        <v>3425</v>
      </c>
      <c r="AO890" t="s">
        <v>118</v>
      </c>
      <c r="AP890">
        <v>-107</v>
      </c>
      <c r="AQ890">
        <v>-195</v>
      </c>
      <c r="AR890">
        <v>-128</v>
      </c>
      <c r="AZ890">
        <v>4516</v>
      </c>
      <c r="BA890">
        <v>1</v>
      </c>
      <c r="BB890" t="str">
        <f t="shared" si="88"/>
        <v xml:space="preserve">N79NX   </v>
      </c>
      <c r="BC890">
        <v>1</v>
      </c>
      <c r="BE890">
        <v>0</v>
      </c>
      <c r="BF890">
        <v>0</v>
      </c>
      <c r="BG890">
        <v>0</v>
      </c>
      <c r="BH890">
        <v>3275</v>
      </c>
      <c r="BI890">
        <v>0</v>
      </c>
      <c r="BJ890">
        <v>0</v>
      </c>
      <c r="BK890">
        <v>0</v>
      </c>
      <c r="BL890">
        <v>0</v>
      </c>
      <c r="BO890">
        <v>0</v>
      </c>
      <c r="BP890">
        <v>0</v>
      </c>
      <c r="BW890" t="str">
        <f>"18:40:24.301"</f>
        <v>18:40:24.301</v>
      </c>
      <c r="BZ890">
        <v>0</v>
      </c>
      <c r="CA890">
        <v>4096</v>
      </c>
      <c r="CB890">
        <v>216</v>
      </c>
      <c r="CC890">
        <v>614.53129999999999</v>
      </c>
      <c r="CD890">
        <v>1</v>
      </c>
      <c r="CE890">
        <v>1</v>
      </c>
      <c r="CF890">
        <v>0</v>
      </c>
      <c r="CG890">
        <v>1</v>
      </c>
      <c r="CH890">
        <v>0</v>
      </c>
      <c r="CI890">
        <v>0</v>
      </c>
      <c r="CJ890">
        <v>0</v>
      </c>
      <c r="CK890">
        <v>2</v>
      </c>
      <c r="CL890">
        <v>0</v>
      </c>
      <c r="CM890">
        <v>2</v>
      </c>
      <c r="CN890">
        <v>0</v>
      </c>
      <c r="CO890">
        <v>5</v>
      </c>
      <c r="CP890" t="s">
        <v>119</v>
      </c>
      <c r="CQ890">
        <v>145</v>
      </c>
      <c r="CR890">
        <v>1</v>
      </c>
      <c r="CW890">
        <v>8988908</v>
      </c>
      <c r="CY890">
        <v>0</v>
      </c>
      <c r="CZ890">
        <v>0</v>
      </c>
      <c r="DA890">
        <v>0</v>
      </c>
      <c r="DB890">
        <v>0</v>
      </c>
      <c r="DC890">
        <v>0</v>
      </c>
      <c r="DD890">
        <v>0</v>
      </c>
      <c r="DE890">
        <v>0</v>
      </c>
      <c r="DF890">
        <v>0</v>
      </c>
      <c r="DG890">
        <v>0</v>
      </c>
      <c r="DH890">
        <v>0</v>
      </c>
      <c r="DI890">
        <v>0</v>
      </c>
    </row>
    <row r="891" spans="1:113" x14ac:dyDescent="0.3">
      <c r="A891" t="str">
        <f>"02/13/2022 18:40:24.526"</f>
        <v>02/13/2022 18:40:24.526</v>
      </c>
      <c r="C891" t="str">
        <f t="shared" si="87"/>
        <v>FFDFD7C0</v>
      </c>
      <c r="D891" t="s">
        <v>113</v>
      </c>
      <c r="E891">
        <v>4</v>
      </c>
      <c r="F891">
        <v>1004</v>
      </c>
      <c r="G891" t="s">
        <v>120</v>
      </c>
      <c r="J891" t="s">
        <v>115</v>
      </c>
      <c r="K891">
        <v>0</v>
      </c>
      <c r="L891">
        <v>3</v>
      </c>
      <c r="M891">
        <v>0</v>
      </c>
      <c r="N891">
        <v>2</v>
      </c>
      <c r="O891">
        <v>1</v>
      </c>
      <c r="P891">
        <v>0</v>
      </c>
      <c r="Q891">
        <v>0</v>
      </c>
      <c r="S891" t="str">
        <f>"18:40:24.297"</f>
        <v>18:40:24.297</v>
      </c>
      <c r="T891" t="str">
        <f>"18:40:23.897"</f>
        <v>18:40:23.897</v>
      </c>
      <c r="U891" t="str">
        <f t="shared" si="86"/>
        <v>AAB6EE</v>
      </c>
      <c r="V891">
        <v>0</v>
      </c>
      <c r="W891">
        <v>0</v>
      </c>
      <c r="X891">
        <v>4</v>
      </c>
      <c r="Z891">
        <v>0</v>
      </c>
      <c r="AA891">
        <v>8</v>
      </c>
      <c r="AB891">
        <v>3</v>
      </c>
      <c r="AC891">
        <v>0</v>
      </c>
      <c r="AD891">
        <v>10</v>
      </c>
      <c r="AE891">
        <v>0</v>
      </c>
      <c r="AF891">
        <v>0</v>
      </c>
      <c r="AG891">
        <v>2</v>
      </c>
      <c r="AH891">
        <v>1</v>
      </c>
      <c r="AI891" t="s">
        <v>715</v>
      </c>
      <c r="AJ891">
        <v>35.329478000000002</v>
      </c>
      <c r="AK891" t="s">
        <v>716</v>
      </c>
      <c r="AL891">
        <v>-76.152784999999994</v>
      </c>
      <c r="AM891">
        <v>25</v>
      </c>
      <c r="AN891">
        <v>3425</v>
      </c>
      <c r="AO891" t="s">
        <v>118</v>
      </c>
      <c r="AP891">
        <v>-107</v>
      </c>
      <c r="AQ891">
        <v>-195</v>
      </c>
      <c r="AR891">
        <v>-128</v>
      </c>
      <c r="AZ891">
        <v>4516</v>
      </c>
      <c r="BA891">
        <v>1</v>
      </c>
      <c r="BB891" t="str">
        <f t="shared" si="88"/>
        <v xml:space="preserve">N79NX   </v>
      </c>
      <c r="BC891">
        <v>1</v>
      </c>
      <c r="BE891">
        <v>0</v>
      </c>
      <c r="BF891">
        <v>0</v>
      </c>
      <c r="BG891">
        <v>0</v>
      </c>
      <c r="BH891">
        <v>3275</v>
      </c>
      <c r="BI891">
        <v>0</v>
      </c>
      <c r="BJ891">
        <v>0</v>
      </c>
      <c r="BK891">
        <v>0</v>
      </c>
      <c r="BL891">
        <v>0</v>
      </c>
      <c r="BO891">
        <v>0</v>
      </c>
      <c r="BP891">
        <v>0</v>
      </c>
      <c r="BW891" t="str">
        <f>"18:40:24.301"</f>
        <v>18:40:24.301</v>
      </c>
      <c r="BZ891">
        <v>0</v>
      </c>
      <c r="CA891">
        <v>4096</v>
      </c>
      <c r="CB891">
        <v>216</v>
      </c>
      <c r="CC891">
        <v>614.53129999999999</v>
      </c>
      <c r="CD891">
        <v>1</v>
      </c>
      <c r="CE891">
        <v>1</v>
      </c>
      <c r="CF891">
        <v>0</v>
      </c>
      <c r="CG891">
        <v>1</v>
      </c>
      <c r="CH891">
        <v>0</v>
      </c>
      <c r="CI891">
        <v>0</v>
      </c>
      <c r="CJ891">
        <v>0</v>
      </c>
      <c r="CK891">
        <v>2</v>
      </c>
      <c r="CL891">
        <v>0</v>
      </c>
      <c r="CM891">
        <v>2</v>
      </c>
      <c r="CN891">
        <v>0</v>
      </c>
      <c r="CO891">
        <v>5</v>
      </c>
      <c r="CP891" t="s">
        <v>119</v>
      </c>
      <c r="CQ891">
        <v>145</v>
      </c>
      <c r="CR891">
        <v>1</v>
      </c>
      <c r="CW891">
        <v>8988908</v>
      </c>
      <c r="CY891">
        <v>0</v>
      </c>
      <c r="CZ891">
        <v>0</v>
      </c>
      <c r="DA891">
        <v>1</v>
      </c>
      <c r="DB891">
        <v>0</v>
      </c>
      <c r="DC891">
        <v>0</v>
      </c>
      <c r="DD891">
        <v>0</v>
      </c>
      <c r="DE891">
        <v>0</v>
      </c>
      <c r="DF891">
        <v>0</v>
      </c>
      <c r="DG891">
        <v>0</v>
      </c>
      <c r="DH891">
        <v>0</v>
      </c>
      <c r="DI891">
        <v>0</v>
      </c>
    </row>
    <row r="892" spans="1:113" x14ac:dyDescent="0.3">
      <c r="A892" t="str">
        <f>"02/13/2022 18:40:24.526"</f>
        <v>02/13/2022 18:40:24.526</v>
      </c>
      <c r="C892" t="str">
        <f t="shared" si="87"/>
        <v>FFDFD7C0</v>
      </c>
      <c r="D892" t="s">
        <v>113</v>
      </c>
      <c r="E892">
        <v>3</v>
      </c>
      <c r="F892">
        <v>1003</v>
      </c>
      <c r="G892" t="s">
        <v>114</v>
      </c>
      <c r="J892" t="s">
        <v>115</v>
      </c>
      <c r="K892">
        <v>0</v>
      </c>
      <c r="L892">
        <v>3</v>
      </c>
      <c r="M892">
        <v>0</v>
      </c>
      <c r="N892">
        <v>2</v>
      </c>
      <c r="O892">
        <v>1</v>
      </c>
      <c r="P892">
        <v>0</v>
      </c>
      <c r="Q892">
        <v>0</v>
      </c>
      <c r="S892" t="str">
        <f>"18:40:24.297"</f>
        <v>18:40:24.297</v>
      </c>
      <c r="T892" t="str">
        <f>"18:40:23.897"</f>
        <v>18:40:23.897</v>
      </c>
      <c r="U892" t="str">
        <f t="shared" si="86"/>
        <v>AAB6EE</v>
      </c>
      <c r="V892">
        <v>0</v>
      </c>
      <c r="W892">
        <v>0</v>
      </c>
      <c r="X892">
        <v>4</v>
      </c>
      <c r="Z892">
        <v>0</v>
      </c>
      <c r="AA892">
        <v>8</v>
      </c>
      <c r="AB892">
        <v>3</v>
      </c>
      <c r="AC892">
        <v>0</v>
      </c>
      <c r="AD892">
        <v>10</v>
      </c>
      <c r="AE892">
        <v>0</v>
      </c>
      <c r="AF892">
        <v>0</v>
      </c>
      <c r="AG892">
        <v>2</v>
      </c>
      <c r="AH892">
        <v>1</v>
      </c>
      <c r="AI892" t="s">
        <v>715</v>
      </c>
      <c r="AJ892">
        <v>35.329478000000002</v>
      </c>
      <c r="AK892" t="s">
        <v>716</v>
      </c>
      <c r="AL892">
        <v>-76.152784999999994</v>
      </c>
      <c r="AM892">
        <v>25</v>
      </c>
      <c r="AN892">
        <v>3425</v>
      </c>
      <c r="AO892" t="s">
        <v>118</v>
      </c>
      <c r="AP892">
        <v>-107</v>
      </c>
      <c r="AQ892">
        <v>-195</v>
      </c>
      <c r="AR892">
        <v>-128</v>
      </c>
      <c r="AZ892">
        <v>4516</v>
      </c>
      <c r="BA892">
        <v>1</v>
      </c>
      <c r="BB892" t="str">
        <f t="shared" si="88"/>
        <v xml:space="preserve">N79NX   </v>
      </c>
      <c r="BC892">
        <v>1</v>
      </c>
      <c r="BE892">
        <v>0</v>
      </c>
      <c r="BF892">
        <v>0</v>
      </c>
      <c r="BG892">
        <v>0</v>
      </c>
      <c r="BH892">
        <v>3275</v>
      </c>
      <c r="BI892">
        <v>0</v>
      </c>
      <c r="BJ892">
        <v>0</v>
      </c>
      <c r="BK892">
        <v>0</v>
      </c>
      <c r="BL892">
        <v>0</v>
      </c>
      <c r="BO892">
        <v>0</v>
      </c>
      <c r="BP892">
        <v>0</v>
      </c>
      <c r="BW892" t="str">
        <f>"18:40:24.301"</f>
        <v>18:40:24.301</v>
      </c>
      <c r="BZ892">
        <v>0</v>
      </c>
      <c r="CA892">
        <v>4096</v>
      </c>
      <c r="CB892">
        <v>216</v>
      </c>
      <c r="CC892">
        <v>614.53129999999999</v>
      </c>
      <c r="CD892">
        <v>1</v>
      </c>
      <c r="CE892">
        <v>1</v>
      </c>
      <c r="CF892">
        <v>0</v>
      </c>
      <c r="CG892">
        <v>1</v>
      </c>
      <c r="CH892">
        <v>0</v>
      </c>
      <c r="CI892">
        <v>0</v>
      </c>
      <c r="CJ892">
        <v>0</v>
      </c>
      <c r="CK892">
        <v>2</v>
      </c>
      <c r="CL892">
        <v>0</v>
      </c>
      <c r="CM892">
        <v>2</v>
      </c>
      <c r="CN892">
        <v>0</v>
      </c>
      <c r="CO892">
        <v>5</v>
      </c>
      <c r="CP892" t="s">
        <v>119</v>
      </c>
      <c r="CQ892">
        <v>145</v>
      </c>
      <c r="CR892">
        <v>1</v>
      </c>
      <c r="CW892">
        <v>8988908</v>
      </c>
      <c r="CY892">
        <v>0</v>
      </c>
      <c r="CZ892">
        <v>0</v>
      </c>
      <c r="DA892">
        <v>1</v>
      </c>
      <c r="DB892">
        <v>0</v>
      </c>
      <c r="DC892">
        <v>0</v>
      </c>
      <c r="DD892">
        <v>0</v>
      </c>
      <c r="DE892">
        <v>0</v>
      </c>
      <c r="DF892">
        <v>0</v>
      </c>
      <c r="DG892">
        <v>0</v>
      </c>
      <c r="DH892">
        <v>0</v>
      </c>
      <c r="DI892">
        <v>0</v>
      </c>
    </row>
    <row r="893" spans="1:113" x14ac:dyDescent="0.3">
      <c r="A893" t="str">
        <f>"02/13/2022 18:40:25.637"</f>
        <v>02/13/2022 18:40:25.637</v>
      </c>
      <c r="C893" t="str">
        <f t="shared" si="87"/>
        <v>FFDFD7C0</v>
      </c>
      <c r="D893" t="s">
        <v>121</v>
      </c>
      <c r="E893">
        <v>2</v>
      </c>
      <c r="H893">
        <v>158</v>
      </c>
      <c r="I893" t="s">
        <v>120</v>
      </c>
      <c r="J893" t="s">
        <v>122</v>
      </c>
      <c r="K893">
        <v>0</v>
      </c>
      <c r="L893">
        <v>3</v>
      </c>
      <c r="M893">
        <v>0</v>
      </c>
      <c r="N893">
        <v>2</v>
      </c>
      <c r="O893">
        <v>1</v>
      </c>
      <c r="P893">
        <v>0</v>
      </c>
      <c r="Q893">
        <v>0</v>
      </c>
      <c r="S893" t="str">
        <f>"18:40:25.375"</f>
        <v>18:40:25.375</v>
      </c>
      <c r="T893" t="str">
        <f>"18:40:25.275"</f>
        <v>18:40:25.275</v>
      </c>
      <c r="U893" t="str">
        <f t="shared" si="86"/>
        <v>AAB6EE</v>
      </c>
      <c r="V893">
        <v>0</v>
      </c>
      <c r="W893">
        <v>0</v>
      </c>
      <c r="X893">
        <v>4</v>
      </c>
      <c r="Z893">
        <v>0</v>
      </c>
      <c r="AA893">
        <v>8</v>
      </c>
      <c r="AB893">
        <v>3</v>
      </c>
      <c r="AC893">
        <v>0</v>
      </c>
      <c r="AD893">
        <v>10</v>
      </c>
      <c r="AE893">
        <v>0</v>
      </c>
      <c r="AF893">
        <v>0</v>
      </c>
      <c r="AG893">
        <v>2</v>
      </c>
      <c r="AH893">
        <v>1</v>
      </c>
      <c r="AI893" t="s">
        <v>717</v>
      </c>
      <c r="AJ893">
        <v>35.328512000000003</v>
      </c>
      <c r="AK893" t="s">
        <v>718</v>
      </c>
      <c r="AL893">
        <v>-76.153514000000001</v>
      </c>
      <c r="AM893">
        <v>25</v>
      </c>
      <c r="AN893">
        <v>3425</v>
      </c>
      <c r="AO893" t="s">
        <v>118</v>
      </c>
      <c r="AP893">
        <v>-110</v>
      </c>
      <c r="AQ893">
        <v>-193</v>
      </c>
      <c r="AR893">
        <v>-64</v>
      </c>
      <c r="AZ893">
        <v>4516</v>
      </c>
      <c r="BA893">
        <v>1</v>
      </c>
      <c r="BB893" t="str">
        <f t="shared" si="88"/>
        <v xml:space="preserve">N79NX   </v>
      </c>
      <c r="BC893">
        <v>1</v>
      </c>
      <c r="BE893">
        <v>0</v>
      </c>
      <c r="BF893">
        <v>0</v>
      </c>
      <c r="BG893">
        <v>0</v>
      </c>
      <c r="BH893">
        <v>3275</v>
      </c>
      <c r="BI893">
        <v>0</v>
      </c>
      <c r="BJ893">
        <v>0</v>
      </c>
      <c r="BK893">
        <v>0</v>
      </c>
      <c r="BL893">
        <v>0</v>
      </c>
      <c r="BO893">
        <v>0</v>
      </c>
      <c r="BP893">
        <v>0</v>
      </c>
      <c r="BW893" t="str">
        <f>"18:40:25.381"</f>
        <v>18:40:25.381</v>
      </c>
      <c r="BZ893">
        <v>0</v>
      </c>
      <c r="CA893">
        <v>4096</v>
      </c>
      <c r="CB893">
        <v>216</v>
      </c>
      <c r="CC893">
        <v>590.625</v>
      </c>
      <c r="CD893">
        <v>1</v>
      </c>
      <c r="CE893">
        <v>1</v>
      </c>
      <c r="CF893">
        <v>0</v>
      </c>
      <c r="CG893">
        <v>1</v>
      </c>
      <c r="CH893">
        <v>0</v>
      </c>
      <c r="CI893">
        <v>0</v>
      </c>
      <c r="CJ893">
        <v>0</v>
      </c>
      <c r="CK893">
        <v>2</v>
      </c>
      <c r="CL893">
        <v>0</v>
      </c>
      <c r="CM893">
        <v>2</v>
      </c>
      <c r="CN893">
        <v>0</v>
      </c>
      <c r="CO893">
        <v>4</v>
      </c>
      <c r="CP893" t="s">
        <v>119</v>
      </c>
      <c r="CQ893">
        <v>145</v>
      </c>
      <c r="CR893">
        <v>1</v>
      </c>
      <c r="CW893">
        <v>8989437</v>
      </c>
      <c r="CY893">
        <v>0</v>
      </c>
      <c r="CZ893">
        <v>0</v>
      </c>
      <c r="DA893">
        <v>0</v>
      </c>
      <c r="DB893">
        <v>0</v>
      </c>
      <c r="DC893">
        <v>0</v>
      </c>
      <c r="DD893">
        <v>0</v>
      </c>
      <c r="DE893">
        <v>0</v>
      </c>
      <c r="DF893">
        <v>0</v>
      </c>
      <c r="DG893">
        <v>0</v>
      </c>
      <c r="DH893">
        <v>0</v>
      </c>
      <c r="DI893">
        <v>0</v>
      </c>
    </row>
    <row r="894" spans="1:113" x14ac:dyDescent="0.3">
      <c r="A894" t="str">
        <f>"02/13/2022 18:40:25.637"</f>
        <v>02/13/2022 18:40:25.637</v>
      </c>
      <c r="C894" t="str">
        <f t="shared" si="87"/>
        <v>FFDFD7C0</v>
      </c>
      <c r="D894" t="s">
        <v>113</v>
      </c>
      <c r="E894">
        <v>3</v>
      </c>
      <c r="F894">
        <v>1003</v>
      </c>
      <c r="G894" t="s">
        <v>114</v>
      </c>
      <c r="J894" t="s">
        <v>115</v>
      </c>
      <c r="K894">
        <v>0</v>
      </c>
      <c r="L894">
        <v>3</v>
      </c>
      <c r="M894">
        <v>0</v>
      </c>
      <c r="N894">
        <v>2</v>
      </c>
      <c r="O894">
        <v>1</v>
      </c>
      <c r="P894">
        <v>0</v>
      </c>
      <c r="Q894">
        <v>0</v>
      </c>
      <c r="S894" t="str">
        <f>"18:40:25.375"</f>
        <v>18:40:25.375</v>
      </c>
      <c r="T894" t="str">
        <f>"18:40:25.275"</f>
        <v>18:40:25.275</v>
      </c>
      <c r="U894" t="str">
        <f t="shared" si="86"/>
        <v>AAB6EE</v>
      </c>
      <c r="V894">
        <v>0</v>
      </c>
      <c r="W894">
        <v>0</v>
      </c>
      <c r="X894">
        <v>4</v>
      </c>
      <c r="Z894">
        <v>0</v>
      </c>
      <c r="AA894">
        <v>8</v>
      </c>
      <c r="AB894">
        <v>3</v>
      </c>
      <c r="AC894">
        <v>0</v>
      </c>
      <c r="AD894">
        <v>10</v>
      </c>
      <c r="AE894">
        <v>0</v>
      </c>
      <c r="AF894">
        <v>0</v>
      </c>
      <c r="AG894">
        <v>2</v>
      </c>
      <c r="AH894">
        <v>1</v>
      </c>
      <c r="AI894" t="s">
        <v>717</v>
      </c>
      <c r="AJ894">
        <v>35.328512000000003</v>
      </c>
      <c r="AK894" t="s">
        <v>718</v>
      </c>
      <c r="AL894">
        <v>-76.153514000000001</v>
      </c>
      <c r="AM894">
        <v>25</v>
      </c>
      <c r="AN894">
        <v>3425</v>
      </c>
      <c r="AO894" t="s">
        <v>118</v>
      </c>
      <c r="AP894">
        <v>-110</v>
      </c>
      <c r="AQ894">
        <v>-193</v>
      </c>
      <c r="AR894">
        <v>-64</v>
      </c>
      <c r="AZ894">
        <v>4516</v>
      </c>
      <c r="BA894">
        <v>1</v>
      </c>
      <c r="BB894" t="str">
        <f t="shared" si="88"/>
        <v xml:space="preserve">N79NX   </v>
      </c>
      <c r="BC894">
        <v>1</v>
      </c>
      <c r="BE894">
        <v>0</v>
      </c>
      <c r="BF894">
        <v>0</v>
      </c>
      <c r="BG894">
        <v>0</v>
      </c>
      <c r="BH894">
        <v>3275</v>
      </c>
      <c r="BI894">
        <v>0</v>
      </c>
      <c r="BJ894">
        <v>0</v>
      </c>
      <c r="BK894">
        <v>0</v>
      </c>
      <c r="BL894">
        <v>0</v>
      </c>
      <c r="BO894">
        <v>0</v>
      </c>
      <c r="BP894">
        <v>0</v>
      </c>
      <c r="BW894" t="str">
        <f>"18:40:25.381"</f>
        <v>18:40:25.381</v>
      </c>
      <c r="BZ894">
        <v>0</v>
      </c>
      <c r="CA894">
        <v>4096</v>
      </c>
      <c r="CB894">
        <v>216</v>
      </c>
      <c r="CC894">
        <v>590.625</v>
      </c>
      <c r="CD894">
        <v>1</v>
      </c>
      <c r="CE894">
        <v>1</v>
      </c>
      <c r="CF894">
        <v>0</v>
      </c>
      <c r="CG894">
        <v>1</v>
      </c>
      <c r="CH894">
        <v>0</v>
      </c>
      <c r="CI894">
        <v>0</v>
      </c>
      <c r="CJ894">
        <v>0</v>
      </c>
      <c r="CK894">
        <v>2</v>
      </c>
      <c r="CL894">
        <v>0</v>
      </c>
      <c r="CM894">
        <v>2</v>
      </c>
      <c r="CN894">
        <v>0</v>
      </c>
      <c r="CO894">
        <v>4</v>
      </c>
      <c r="CP894" t="s">
        <v>119</v>
      </c>
      <c r="CQ894">
        <v>145</v>
      </c>
      <c r="CR894">
        <v>1</v>
      </c>
      <c r="CW894">
        <v>8989437</v>
      </c>
      <c r="CY894">
        <v>0</v>
      </c>
      <c r="CZ894">
        <v>0</v>
      </c>
      <c r="DA894">
        <v>1</v>
      </c>
      <c r="DB894">
        <v>0</v>
      </c>
      <c r="DC894">
        <v>0</v>
      </c>
      <c r="DD894">
        <v>0</v>
      </c>
      <c r="DE894">
        <v>0</v>
      </c>
      <c r="DF894">
        <v>0</v>
      </c>
      <c r="DG894">
        <v>0</v>
      </c>
      <c r="DH894">
        <v>0</v>
      </c>
      <c r="DI894">
        <v>0</v>
      </c>
    </row>
    <row r="895" spans="1:113" x14ac:dyDescent="0.3">
      <c r="A895" t="str">
        <f>"02/13/2022 18:40:25.637"</f>
        <v>02/13/2022 18:40:25.637</v>
      </c>
      <c r="C895" t="str">
        <f t="shared" si="87"/>
        <v>FFDFD7C0</v>
      </c>
      <c r="D895" t="s">
        <v>113</v>
      </c>
      <c r="E895">
        <v>4</v>
      </c>
      <c r="F895">
        <v>1004</v>
      </c>
      <c r="G895" t="s">
        <v>120</v>
      </c>
      <c r="J895" t="s">
        <v>115</v>
      </c>
      <c r="K895">
        <v>0</v>
      </c>
      <c r="L895">
        <v>3</v>
      </c>
      <c r="M895">
        <v>0</v>
      </c>
      <c r="N895">
        <v>2</v>
      </c>
      <c r="O895">
        <v>1</v>
      </c>
      <c r="P895">
        <v>0</v>
      </c>
      <c r="Q895">
        <v>0</v>
      </c>
      <c r="S895" t="str">
        <f>"18:40:25.375"</f>
        <v>18:40:25.375</v>
      </c>
      <c r="T895" t="str">
        <f>"18:40:25.275"</f>
        <v>18:40:25.275</v>
      </c>
      <c r="U895" t="str">
        <f t="shared" si="86"/>
        <v>AAB6EE</v>
      </c>
      <c r="V895">
        <v>0</v>
      </c>
      <c r="W895">
        <v>0</v>
      </c>
      <c r="X895">
        <v>4</v>
      </c>
      <c r="Z895">
        <v>0</v>
      </c>
      <c r="AA895">
        <v>8</v>
      </c>
      <c r="AB895">
        <v>3</v>
      </c>
      <c r="AC895">
        <v>0</v>
      </c>
      <c r="AD895">
        <v>10</v>
      </c>
      <c r="AE895">
        <v>0</v>
      </c>
      <c r="AF895">
        <v>0</v>
      </c>
      <c r="AG895">
        <v>2</v>
      </c>
      <c r="AH895">
        <v>1</v>
      </c>
      <c r="AI895" t="s">
        <v>717</v>
      </c>
      <c r="AJ895">
        <v>35.328512000000003</v>
      </c>
      <c r="AK895" t="s">
        <v>718</v>
      </c>
      <c r="AL895">
        <v>-76.153514000000001</v>
      </c>
      <c r="AM895">
        <v>25</v>
      </c>
      <c r="AN895">
        <v>3425</v>
      </c>
      <c r="AO895" t="s">
        <v>118</v>
      </c>
      <c r="AP895">
        <v>-110</v>
      </c>
      <c r="AQ895">
        <v>-193</v>
      </c>
      <c r="AR895">
        <v>-64</v>
      </c>
      <c r="AZ895">
        <v>4516</v>
      </c>
      <c r="BA895">
        <v>1</v>
      </c>
      <c r="BB895" t="str">
        <f t="shared" si="88"/>
        <v xml:space="preserve">N79NX   </v>
      </c>
      <c r="BC895">
        <v>1</v>
      </c>
      <c r="BE895">
        <v>0</v>
      </c>
      <c r="BF895">
        <v>0</v>
      </c>
      <c r="BG895">
        <v>0</v>
      </c>
      <c r="BH895">
        <v>3275</v>
      </c>
      <c r="BI895">
        <v>0</v>
      </c>
      <c r="BJ895">
        <v>0</v>
      </c>
      <c r="BK895">
        <v>0</v>
      </c>
      <c r="BL895">
        <v>0</v>
      </c>
      <c r="BO895">
        <v>0</v>
      </c>
      <c r="BP895">
        <v>0</v>
      </c>
      <c r="BW895" t="str">
        <f>"18:40:25.381"</f>
        <v>18:40:25.381</v>
      </c>
      <c r="BZ895">
        <v>0</v>
      </c>
      <c r="CA895">
        <v>4096</v>
      </c>
      <c r="CB895">
        <v>216</v>
      </c>
      <c r="CC895">
        <v>590.625</v>
      </c>
      <c r="CD895">
        <v>1</v>
      </c>
      <c r="CE895">
        <v>1</v>
      </c>
      <c r="CF895">
        <v>0</v>
      </c>
      <c r="CG895">
        <v>1</v>
      </c>
      <c r="CH895">
        <v>0</v>
      </c>
      <c r="CI895">
        <v>0</v>
      </c>
      <c r="CJ895">
        <v>0</v>
      </c>
      <c r="CK895">
        <v>2</v>
      </c>
      <c r="CL895">
        <v>0</v>
      </c>
      <c r="CM895">
        <v>2</v>
      </c>
      <c r="CN895">
        <v>0</v>
      </c>
      <c r="CO895">
        <v>4</v>
      </c>
      <c r="CP895" t="s">
        <v>119</v>
      </c>
      <c r="CQ895">
        <v>145</v>
      </c>
      <c r="CR895">
        <v>1</v>
      </c>
      <c r="CW895">
        <v>8989437</v>
      </c>
      <c r="CY895">
        <v>0</v>
      </c>
      <c r="CZ895">
        <v>0</v>
      </c>
      <c r="DA895">
        <v>1</v>
      </c>
      <c r="DB895">
        <v>0</v>
      </c>
      <c r="DC895">
        <v>0</v>
      </c>
      <c r="DD895">
        <v>0</v>
      </c>
      <c r="DE895">
        <v>0</v>
      </c>
      <c r="DF895">
        <v>0</v>
      </c>
      <c r="DG895">
        <v>0</v>
      </c>
      <c r="DH895">
        <v>0</v>
      </c>
      <c r="DI895">
        <v>0</v>
      </c>
    </row>
    <row r="896" spans="1:113" x14ac:dyDescent="0.3">
      <c r="A896" t="str">
        <f>"02/13/2022 18:40:26.746"</f>
        <v>02/13/2022 18:40:26.746</v>
      </c>
      <c r="C896" t="str">
        <f t="shared" si="87"/>
        <v>FFDFD7C0</v>
      </c>
      <c r="D896" t="s">
        <v>113</v>
      </c>
      <c r="E896">
        <v>4</v>
      </c>
      <c r="F896">
        <v>1004</v>
      </c>
      <c r="G896" t="s">
        <v>120</v>
      </c>
      <c r="J896" t="s">
        <v>115</v>
      </c>
      <c r="K896">
        <v>0</v>
      </c>
      <c r="L896">
        <v>3</v>
      </c>
      <c r="M896">
        <v>0</v>
      </c>
      <c r="N896">
        <v>2</v>
      </c>
      <c r="O896">
        <v>1</v>
      </c>
      <c r="P896">
        <v>0</v>
      </c>
      <c r="Q896">
        <v>0</v>
      </c>
      <c r="S896" t="str">
        <f>"18:40:26.500"</f>
        <v>18:40:26.500</v>
      </c>
      <c r="T896" t="str">
        <f>"18:40:26.300"</f>
        <v>18:40:26.300</v>
      </c>
      <c r="U896" t="str">
        <f t="shared" si="86"/>
        <v>AAB6EE</v>
      </c>
      <c r="V896">
        <v>0</v>
      </c>
      <c r="W896">
        <v>0</v>
      </c>
      <c r="X896">
        <v>4</v>
      </c>
      <c r="Z896">
        <v>0</v>
      </c>
      <c r="AA896">
        <v>8</v>
      </c>
      <c r="AB896">
        <v>3</v>
      </c>
      <c r="AC896">
        <v>0</v>
      </c>
      <c r="AD896">
        <v>10</v>
      </c>
      <c r="AE896">
        <v>0</v>
      </c>
      <c r="AF896">
        <v>0</v>
      </c>
      <c r="AG896">
        <v>2</v>
      </c>
      <c r="AH896">
        <v>1</v>
      </c>
      <c r="AI896" t="s">
        <v>719</v>
      </c>
      <c r="AJ896">
        <v>35.327567999999999</v>
      </c>
      <c r="AK896" t="s">
        <v>720</v>
      </c>
      <c r="AL896">
        <v>-76.154179999999997</v>
      </c>
      <c r="AM896">
        <v>25</v>
      </c>
      <c r="AN896">
        <v>3425</v>
      </c>
      <c r="AO896" t="s">
        <v>118</v>
      </c>
      <c r="AP896">
        <v>-114</v>
      </c>
      <c r="AQ896">
        <v>-190</v>
      </c>
      <c r="AR896">
        <v>-64</v>
      </c>
      <c r="AZ896">
        <v>4516</v>
      </c>
      <c r="BA896">
        <v>1</v>
      </c>
      <c r="BB896" t="str">
        <f t="shared" si="88"/>
        <v xml:space="preserve">N79NX   </v>
      </c>
      <c r="BC896">
        <v>1</v>
      </c>
      <c r="BE896">
        <v>0</v>
      </c>
      <c r="BF896">
        <v>0</v>
      </c>
      <c r="BG896">
        <v>0</v>
      </c>
      <c r="BH896">
        <v>3275</v>
      </c>
      <c r="BI896">
        <v>0</v>
      </c>
      <c r="BJ896">
        <v>0</v>
      </c>
      <c r="BK896">
        <v>0</v>
      </c>
      <c r="BL896">
        <v>0</v>
      </c>
      <c r="BO896">
        <v>0</v>
      </c>
      <c r="BP896">
        <v>0</v>
      </c>
      <c r="BW896" t="str">
        <f>"18:40:26.501"</f>
        <v>18:40:26.501</v>
      </c>
      <c r="BZ896">
        <v>0</v>
      </c>
      <c r="CA896">
        <v>4096</v>
      </c>
      <c r="CB896">
        <v>216</v>
      </c>
      <c r="CC896">
        <v>601.875</v>
      </c>
      <c r="CD896">
        <v>1</v>
      </c>
      <c r="CE896">
        <v>1</v>
      </c>
      <c r="CF896">
        <v>0</v>
      </c>
      <c r="CG896">
        <v>1</v>
      </c>
      <c r="CH896">
        <v>0</v>
      </c>
      <c r="CI896">
        <v>0</v>
      </c>
      <c r="CJ896">
        <v>0</v>
      </c>
      <c r="CK896">
        <v>2</v>
      </c>
      <c r="CL896">
        <v>0</v>
      </c>
      <c r="CM896">
        <v>2</v>
      </c>
      <c r="CN896">
        <v>0</v>
      </c>
      <c r="CO896">
        <v>4</v>
      </c>
      <c r="CP896" t="s">
        <v>119</v>
      </c>
      <c r="CQ896">
        <v>145</v>
      </c>
      <c r="CR896">
        <v>1</v>
      </c>
      <c r="CW896">
        <v>8989954</v>
      </c>
      <c r="CY896">
        <v>0</v>
      </c>
      <c r="CZ896">
        <v>0</v>
      </c>
      <c r="DA896">
        <v>0</v>
      </c>
      <c r="DB896">
        <v>0</v>
      </c>
      <c r="DC896">
        <v>0</v>
      </c>
      <c r="DD896">
        <v>0</v>
      </c>
      <c r="DE896">
        <v>0</v>
      </c>
      <c r="DF896">
        <v>0</v>
      </c>
      <c r="DG896">
        <v>0</v>
      </c>
      <c r="DH896">
        <v>0</v>
      </c>
      <c r="DI896">
        <v>0</v>
      </c>
    </row>
    <row r="897" spans="1:113" x14ac:dyDescent="0.3">
      <c r="A897" t="str">
        <f>"02/13/2022 18:40:26.746"</f>
        <v>02/13/2022 18:40:26.746</v>
      </c>
      <c r="C897" t="str">
        <f t="shared" si="87"/>
        <v>FFDFD7C0</v>
      </c>
      <c r="D897" t="s">
        <v>113</v>
      </c>
      <c r="E897">
        <v>3</v>
      </c>
      <c r="F897">
        <v>1003</v>
      </c>
      <c r="G897" t="s">
        <v>114</v>
      </c>
      <c r="J897" t="s">
        <v>115</v>
      </c>
      <c r="K897">
        <v>0</v>
      </c>
      <c r="L897">
        <v>3</v>
      </c>
      <c r="M897">
        <v>0</v>
      </c>
      <c r="N897">
        <v>2</v>
      </c>
      <c r="O897">
        <v>1</v>
      </c>
      <c r="P897">
        <v>0</v>
      </c>
      <c r="Q897">
        <v>0</v>
      </c>
      <c r="S897" t="str">
        <f>"18:40:26.500"</f>
        <v>18:40:26.500</v>
      </c>
      <c r="T897" t="str">
        <f>"18:40:26.300"</f>
        <v>18:40:26.300</v>
      </c>
      <c r="U897" t="str">
        <f t="shared" si="86"/>
        <v>AAB6EE</v>
      </c>
      <c r="V897">
        <v>0</v>
      </c>
      <c r="W897">
        <v>0</v>
      </c>
      <c r="X897">
        <v>4</v>
      </c>
      <c r="Z897">
        <v>0</v>
      </c>
      <c r="AA897">
        <v>8</v>
      </c>
      <c r="AB897">
        <v>3</v>
      </c>
      <c r="AC897">
        <v>0</v>
      </c>
      <c r="AD897">
        <v>10</v>
      </c>
      <c r="AE897">
        <v>0</v>
      </c>
      <c r="AF897">
        <v>0</v>
      </c>
      <c r="AG897">
        <v>2</v>
      </c>
      <c r="AH897">
        <v>1</v>
      </c>
      <c r="AI897" t="s">
        <v>719</v>
      </c>
      <c r="AJ897">
        <v>35.327567999999999</v>
      </c>
      <c r="AK897" t="s">
        <v>720</v>
      </c>
      <c r="AL897">
        <v>-76.154179999999997</v>
      </c>
      <c r="AM897">
        <v>25</v>
      </c>
      <c r="AN897">
        <v>3425</v>
      </c>
      <c r="AO897" t="s">
        <v>118</v>
      </c>
      <c r="AP897">
        <v>-114</v>
      </c>
      <c r="AQ897">
        <v>-190</v>
      </c>
      <c r="AR897">
        <v>-64</v>
      </c>
      <c r="AZ897">
        <v>4516</v>
      </c>
      <c r="BA897">
        <v>1</v>
      </c>
      <c r="BB897" t="str">
        <f t="shared" si="88"/>
        <v xml:space="preserve">N79NX   </v>
      </c>
      <c r="BC897">
        <v>1</v>
      </c>
      <c r="BE897">
        <v>0</v>
      </c>
      <c r="BF897">
        <v>0</v>
      </c>
      <c r="BG897">
        <v>0</v>
      </c>
      <c r="BH897">
        <v>3275</v>
      </c>
      <c r="BI897">
        <v>0</v>
      </c>
      <c r="BJ897">
        <v>0</v>
      </c>
      <c r="BK897">
        <v>0</v>
      </c>
      <c r="BL897">
        <v>0</v>
      </c>
      <c r="BO897">
        <v>0</v>
      </c>
      <c r="BP897">
        <v>0</v>
      </c>
      <c r="BW897" t="str">
        <f>"18:40:26.501"</f>
        <v>18:40:26.501</v>
      </c>
      <c r="BZ897">
        <v>0</v>
      </c>
      <c r="CA897">
        <v>4096</v>
      </c>
      <c r="CB897">
        <v>216</v>
      </c>
      <c r="CC897">
        <v>601.875</v>
      </c>
      <c r="CD897">
        <v>1</v>
      </c>
      <c r="CE897">
        <v>1</v>
      </c>
      <c r="CF897">
        <v>0</v>
      </c>
      <c r="CG897">
        <v>1</v>
      </c>
      <c r="CH897">
        <v>0</v>
      </c>
      <c r="CI897">
        <v>0</v>
      </c>
      <c r="CJ897">
        <v>0</v>
      </c>
      <c r="CK897">
        <v>2</v>
      </c>
      <c r="CL897">
        <v>0</v>
      </c>
      <c r="CM897">
        <v>2</v>
      </c>
      <c r="CN897">
        <v>0</v>
      </c>
      <c r="CO897">
        <v>4</v>
      </c>
      <c r="CP897" t="s">
        <v>119</v>
      </c>
      <c r="CQ897">
        <v>145</v>
      </c>
      <c r="CR897">
        <v>1</v>
      </c>
      <c r="CW897">
        <v>8989954</v>
      </c>
      <c r="CY897">
        <v>0</v>
      </c>
      <c r="CZ897">
        <v>0</v>
      </c>
      <c r="DA897">
        <v>1</v>
      </c>
      <c r="DB897">
        <v>0</v>
      </c>
      <c r="DC897">
        <v>0</v>
      </c>
      <c r="DD897">
        <v>0</v>
      </c>
      <c r="DE897">
        <v>0</v>
      </c>
      <c r="DF897">
        <v>0</v>
      </c>
      <c r="DG897">
        <v>0</v>
      </c>
      <c r="DH897">
        <v>0</v>
      </c>
      <c r="DI897">
        <v>0</v>
      </c>
    </row>
    <row r="898" spans="1:113" x14ac:dyDescent="0.3">
      <c r="A898" t="str">
        <f>"02/13/2022 18:40:26.746"</f>
        <v>02/13/2022 18:40:26.746</v>
      </c>
      <c r="C898" t="str">
        <f t="shared" si="87"/>
        <v>FFDFD7C0</v>
      </c>
      <c r="D898" t="s">
        <v>121</v>
      </c>
      <c r="E898">
        <v>2</v>
      </c>
      <c r="H898">
        <v>158</v>
      </c>
      <c r="I898" t="s">
        <v>120</v>
      </c>
      <c r="J898" t="s">
        <v>122</v>
      </c>
      <c r="K898">
        <v>0</v>
      </c>
      <c r="L898">
        <v>3</v>
      </c>
      <c r="M898">
        <v>0</v>
      </c>
      <c r="N898">
        <v>2</v>
      </c>
      <c r="O898">
        <v>1</v>
      </c>
      <c r="P898">
        <v>0</v>
      </c>
      <c r="Q898">
        <v>0</v>
      </c>
      <c r="S898" t="str">
        <f>"18:40:26.500"</f>
        <v>18:40:26.500</v>
      </c>
      <c r="T898" t="str">
        <f>"18:40:26.300"</f>
        <v>18:40:26.300</v>
      </c>
      <c r="U898" t="str">
        <f t="shared" ref="U898:U961" si="90">"AAB6EE"</f>
        <v>AAB6EE</v>
      </c>
      <c r="V898">
        <v>0</v>
      </c>
      <c r="W898">
        <v>0</v>
      </c>
      <c r="X898">
        <v>4</v>
      </c>
      <c r="Z898">
        <v>0</v>
      </c>
      <c r="AA898">
        <v>8</v>
      </c>
      <c r="AB898">
        <v>3</v>
      </c>
      <c r="AC898">
        <v>0</v>
      </c>
      <c r="AD898">
        <v>10</v>
      </c>
      <c r="AE898">
        <v>0</v>
      </c>
      <c r="AF898">
        <v>0</v>
      </c>
      <c r="AG898">
        <v>2</v>
      </c>
      <c r="AH898">
        <v>1</v>
      </c>
      <c r="AI898" t="s">
        <v>719</v>
      </c>
      <c r="AJ898">
        <v>35.327567999999999</v>
      </c>
      <c r="AK898" t="s">
        <v>720</v>
      </c>
      <c r="AL898">
        <v>-76.154179999999997</v>
      </c>
      <c r="AM898">
        <v>25</v>
      </c>
      <c r="AN898">
        <v>3425</v>
      </c>
      <c r="AO898" t="s">
        <v>118</v>
      </c>
      <c r="AP898">
        <v>-114</v>
      </c>
      <c r="AQ898">
        <v>-190</v>
      </c>
      <c r="AR898">
        <v>-64</v>
      </c>
      <c r="AZ898">
        <v>4516</v>
      </c>
      <c r="BA898">
        <v>1</v>
      </c>
      <c r="BB898" t="str">
        <f t="shared" si="88"/>
        <v xml:space="preserve">N79NX   </v>
      </c>
      <c r="BC898">
        <v>1</v>
      </c>
      <c r="BE898">
        <v>0</v>
      </c>
      <c r="BF898">
        <v>0</v>
      </c>
      <c r="BG898">
        <v>0</v>
      </c>
      <c r="BH898">
        <v>3275</v>
      </c>
      <c r="BI898">
        <v>0</v>
      </c>
      <c r="BJ898">
        <v>0</v>
      </c>
      <c r="BK898">
        <v>0</v>
      </c>
      <c r="BL898">
        <v>0</v>
      </c>
      <c r="BO898">
        <v>0</v>
      </c>
      <c r="BP898">
        <v>0</v>
      </c>
      <c r="BW898" t="str">
        <f>"18:40:26.501"</f>
        <v>18:40:26.501</v>
      </c>
      <c r="BZ898">
        <v>0</v>
      </c>
      <c r="CA898">
        <v>4096</v>
      </c>
      <c r="CB898">
        <v>216</v>
      </c>
      <c r="CC898">
        <v>601.875</v>
      </c>
      <c r="CD898">
        <v>1</v>
      </c>
      <c r="CE898">
        <v>1</v>
      </c>
      <c r="CF898">
        <v>0</v>
      </c>
      <c r="CG898">
        <v>1</v>
      </c>
      <c r="CH898">
        <v>0</v>
      </c>
      <c r="CI898">
        <v>0</v>
      </c>
      <c r="CJ898">
        <v>0</v>
      </c>
      <c r="CK898">
        <v>2</v>
      </c>
      <c r="CL898">
        <v>0</v>
      </c>
      <c r="CM898">
        <v>2</v>
      </c>
      <c r="CN898">
        <v>0</v>
      </c>
      <c r="CO898">
        <v>4</v>
      </c>
      <c r="CP898" t="s">
        <v>119</v>
      </c>
      <c r="CQ898">
        <v>145</v>
      </c>
      <c r="CR898">
        <v>1</v>
      </c>
      <c r="CW898">
        <v>8989954</v>
      </c>
      <c r="CY898">
        <v>0</v>
      </c>
      <c r="CZ898">
        <v>0</v>
      </c>
      <c r="DA898">
        <v>1</v>
      </c>
      <c r="DB898">
        <v>0</v>
      </c>
      <c r="DC898">
        <v>0</v>
      </c>
      <c r="DD898">
        <v>0</v>
      </c>
      <c r="DE898">
        <v>0</v>
      </c>
      <c r="DF898">
        <v>0</v>
      </c>
      <c r="DG898">
        <v>0</v>
      </c>
      <c r="DH898">
        <v>0</v>
      </c>
      <c r="DI898">
        <v>0</v>
      </c>
    </row>
    <row r="899" spans="1:113" x14ac:dyDescent="0.3">
      <c r="A899" t="str">
        <f>"02/13/2022 18:40:27.871"</f>
        <v>02/13/2022 18:40:27.871</v>
      </c>
      <c r="C899" t="str">
        <f t="shared" si="87"/>
        <v>FFDFD7C0</v>
      </c>
      <c r="D899" t="s">
        <v>113</v>
      </c>
      <c r="E899">
        <v>3</v>
      </c>
      <c r="F899">
        <v>1003</v>
      </c>
      <c r="G899" t="s">
        <v>114</v>
      </c>
      <c r="J899" t="s">
        <v>115</v>
      </c>
      <c r="K899">
        <v>0</v>
      </c>
      <c r="L899">
        <v>3</v>
      </c>
      <c r="M899">
        <v>0</v>
      </c>
      <c r="N899">
        <v>2</v>
      </c>
      <c r="O899">
        <v>1</v>
      </c>
      <c r="P899">
        <v>0</v>
      </c>
      <c r="Q899">
        <v>0</v>
      </c>
      <c r="S899" t="str">
        <f>"18:40:27.625"</f>
        <v>18:40:27.625</v>
      </c>
      <c r="T899" t="str">
        <f>"18:40:27.325"</f>
        <v>18:40:27.325</v>
      </c>
      <c r="U899" t="str">
        <f t="shared" si="90"/>
        <v>AAB6EE</v>
      </c>
      <c r="V899">
        <v>0</v>
      </c>
      <c r="W899">
        <v>0</v>
      </c>
      <c r="X899">
        <v>4</v>
      </c>
      <c r="Z899">
        <v>0</v>
      </c>
      <c r="AA899">
        <v>8</v>
      </c>
      <c r="AB899">
        <v>3</v>
      </c>
      <c r="AC899">
        <v>0</v>
      </c>
      <c r="AD899">
        <v>10</v>
      </c>
      <c r="AE899">
        <v>0</v>
      </c>
      <c r="AF899">
        <v>0</v>
      </c>
      <c r="AG899">
        <v>2</v>
      </c>
      <c r="AH899">
        <v>1</v>
      </c>
      <c r="AI899" t="s">
        <v>721</v>
      </c>
      <c r="AJ899">
        <v>35.326495000000001</v>
      </c>
      <c r="AK899" t="s">
        <v>722</v>
      </c>
      <c r="AL899">
        <v>-76.155016000000003</v>
      </c>
      <c r="AM899">
        <v>25</v>
      </c>
      <c r="AN899">
        <v>3425</v>
      </c>
      <c r="AO899" t="s">
        <v>118</v>
      </c>
      <c r="AP899">
        <v>-118</v>
      </c>
      <c r="AQ899">
        <v>-188</v>
      </c>
      <c r="AR899">
        <v>-64</v>
      </c>
      <c r="AZ899">
        <v>4516</v>
      </c>
      <c r="BA899">
        <v>1</v>
      </c>
      <c r="BB899" t="str">
        <f t="shared" si="88"/>
        <v xml:space="preserve">N79NX   </v>
      </c>
      <c r="BC899">
        <v>1</v>
      </c>
      <c r="BE899">
        <v>0</v>
      </c>
      <c r="BF899">
        <v>0</v>
      </c>
      <c r="BG899">
        <v>0</v>
      </c>
      <c r="BH899">
        <v>3300</v>
      </c>
      <c r="BI899">
        <v>0</v>
      </c>
      <c r="BJ899">
        <v>0</v>
      </c>
      <c r="BK899">
        <v>0</v>
      </c>
      <c r="BL899">
        <v>0</v>
      </c>
      <c r="BO899">
        <v>0</v>
      </c>
      <c r="BP899">
        <v>0</v>
      </c>
      <c r="BW899" t="str">
        <f>"18:40:27.631"</f>
        <v>18:40:27.631</v>
      </c>
      <c r="BZ899">
        <v>0</v>
      </c>
      <c r="CA899">
        <v>4096</v>
      </c>
      <c r="CB899">
        <v>216</v>
      </c>
      <c r="CC899">
        <v>615.9375</v>
      </c>
      <c r="CD899">
        <v>1</v>
      </c>
      <c r="CE899">
        <v>1</v>
      </c>
      <c r="CF899">
        <v>0</v>
      </c>
      <c r="CG899">
        <v>1</v>
      </c>
      <c r="CH899">
        <v>0</v>
      </c>
      <c r="CI899">
        <v>0</v>
      </c>
      <c r="CJ899">
        <v>0</v>
      </c>
      <c r="CK899">
        <v>2</v>
      </c>
      <c r="CL899">
        <v>0</v>
      </c>
      <c r="CM899">
        <v>2</v>
      </c>
      <c r="CN899">
        <v>0</v>
      </c>
      <c r="CO899">
        <v>4</v>
      </c>
      <c r="CP899" t="s">
        <v>119</v>
      </c>
      <c r="CQ899">
        <v>145</v>
      </c>
      <c r="CR899">
        <v>1</v>
      </c>
      <c r="CW899">
        <v>8990408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0</v>
      </c>
      <c r="DE899">
        <v>0</v>
      </c>
      <c r="DF899">
        <v>0</v>
      </c>
      <c r="DG899">
        <v>0</v>
      </c>
      <c r="DH899">
        <v>0</v>
      </c>
      <c r="DI899">
        <v>0</v>
      </c>
    </row>
    <row r="900" spans="1:113" x14ac:dyDescent="0.3">
      <c r="A900" t="str">
        <f>"02/13/2022 18:40:27.871"</f>
        <v>02/13/2022 18:40:27.871</v>
      </c>
      <c r="C900" t="str">
        <f t="shared" si="87"/>
        <v>FFDFD7C0</v>
      </c>
      <c r="D900" t="s">
        <v>113</v>
      </c>
      <c r="E900">
        <v>4</v>
      </c>
      <c r="F900">
        <v>1004</v>
      </c>
      <c r="G900" t="s">
        <v>120</v>
      </c>
      <c r="J900" t="s">
        <v>115</v>
      </c>
      <c r="K900">
        <v>0</v>
      </c>
      <c r="L900">
        <v>3</v>
      </c>
      <c r="M900">
        <v>0</v>
      </c>
      <c r="N900">
        <v>2</v>
      </c>
      <c r="O900">
        <v>1</v>
      </c>
      <c r="P900">
        <v>0</v>
      </c>
      <c r="Q900">
        <v>0</v>
      </c>
      <c r="S900" t="str">
        <f>"18:40:27.625"</f>
        <v>18:40:27.625</v>
      </c>
      <c r="T900" t="str">
        <f>"18:40:27.325"</f>
        <v>18:40:27.325</v>
      </c>
      <c r="U900" t="str">
        <f t="shared" si="90"/>
        <v>AAB6EE</v>
      </c>
      <c r="V900">
        <v>0</v>
      </c>
      <c r="W900">
        <v>0</v>
      </c>
      <c r="X900">
        <v>4</v>
      </c>
      <c r="Z900">
        <v>0</v>
      </c>
      <c r="AA900">
        <v>8</v>
      </c>
      <c r="AB900">
        <v>3</v>
      </c>
      <c r="AC900">
        <v>0</v>
      </c>
      <c r="AD900">
        <v>10</v>
      </c>
      <c r="AE900">
        <v>0</v>
      </c>
      <c r="AF900">
        <v>0</v>
      </c>
      <c r="AG900">
        <v>2</v>
      </c>
      <c r="AH900">
        <v>1</v>
      </c>
      <c r="AI900" t="s">
        <v>721</v>
      </c>
      <c r="AJ900">
        <v>35.326495000000001</v>
      </c>
      <c r="AK900" t="s">
        <v>722</v>
      </c>
      <c r="AL900">
        <v>-76.155016000000003</v>
      </c>
      <c r="AM900">
        <v>25</v>
      </c>
      <c r="AN900">
        <v>3425</v>
      </c>
      <c r="AO900" t="s">
        <v>118</v>
      </c>
      <c r="AP900">
        <v>-118</v>
      </c>
      <c r="AQ900">
        <v>-188</v>
      </c>
      <c r="AR900">
        <v>-64</v>
      </c>
      <c r="AZ900">
        <v>4516</v>
      </c>
      <c r="BA900">
        <v>1</v>
      </c>
      <c r="BB900" t="str">
        <f t="shared" si="88"/>
        <v xml:space="preserve">N79NX   </v>
      </c>
      <c r="BC900">
        <v>1</v>
      </c>
      <c r="BE900">
        <v>0</v>
      </c>
      <c r="BF900">
        <v>0</v>
      </c>
      <c r="BG900">
        <v>0</v>
      </c>
      <c r="BH900">
        <v>3300</v>
      </c>
      <c r="BI900">
        <v>0</v>
      </c>
      <c r="BJ900">
        <v>0</v>
      </c>
      <c r="BK900">
        <v>0</v>
      </c>
      <c r="BL900">
        <v>0</v>
      </c>
      <c r="BO900">
        <v>0</v>
      </c>
      <c r="BP900">
        <v>0</v>
      </c>
      <c r="BW900" t="str">
        <f>"18:40:27.631"</f>
        <v>18:40:27.631</v>
      </c>
      <c r="BZ900">
        <v>0</v>
      </c>
      <c r="CA900">
        <v>4096</v>
      </c>
      <c r="CB900">
        <v>216</v>
      </c>
      <c r="CC900">
        <v>615.9375</v>
      </c>
      <c r="CD900">
        <v>1</v>
      </c>
      <c r="CE900">
        <v>1</v>
      </c>
      <c r="CF900">
        <v>0</v>
      </c>
      <c r="CG900">
        <v>1</v>
      </c>
      <c r="CH900">
        <v>0</v>
      </c>
      <c r="CI900">
        <v>0</v>
      </c>
      <c r="CJ900">
        <v>0</v>
      </c>
      <c r="CK900">
        <v>2</v>
      </c>
      <c r="CL900">
        <v>0</v>
      </c>
      <c r="CM900">
        <v>2</v>
      </c>
      <c r="CN900">
        <v>0</v>
      </c>
      <c r="CO900">
        <v>4</v>
      </c>
      <c r="CP900" t="s">
        <v>119</v>
      </c>
      <c r="CQ900">
        <v>145</v>
      </c>
      <c r="CR900">
        <v>1</v>
      </c>
      <c r="CW900">
        <v>8990408</v>
      </c>
      <c r="CY900">
        <v>0</v>
      </c>
      <c r="CZ900">
        <v>0</v>
      </c>
      <c r="DA900">
        <v>1</v>
      </c>
      <c r="DB900">
        <v>0</v>
      </c>
      <c r="DC900">
        <v>0</v>
      </c>
      <c r="DD900">
        <v>0</v>
      </c>
      <c r="DE900">
        <v>0</v>
      </c>
      <c r="DF900">
        <v>0</v>
      </c>
      <c r="DG900">
        <v>0</v>
      </c>
      <c r="DH900">
        <v>0</v>
      </c>
      <c r="DI900">
        <v>0</v>
      </c>
    </row>
    <row r="901" spans="1:113" x14ac:dyDescent="0.3">
      <c r="A901" t="str">
        <f>"02/13/2022 18:40:27.871"</f>
        <v>02/13/2022 18:40:27.871</v>
      </c>
      <c r="C901" t="str">
        <f t="shared" ref="C901:C964" si="91">"FFDFD7C0"</f>
        <v>FFDFD7C0</v>
      </c>
      <c r="D901" t="s">
        <v>121</v>
      </c>
      <c r="E901">
        <v>2</v>
      </c>
      <c r="H901">
        <v>158</v>
      </c>
      <c r="I901" t="s">
        <v>120</v>
      </c>
      <c r="J901" t="s">
        <v>122</v>
      </c>
      <c r="K901">
        <v>0</v>
      </c>
      <c r="L901">
        <v>3</v>
      </c>
      <c r="M901">
        <v>0</v>
      </c>
      <c r="N901">
        <v>2</v>
      </c>
      <c r="O901">
        <v>1</v>
      </c>
      <c r="P901">
        <v>0</v>
      </c>
      <c r="Q901">
        <v>0</v>
      </c>
      <c r="S901" t="str">
        <f>"18:40:27.625"</f>
        <v>18:40:27.625</v>
      </c>
      <c r="T901" t="str">
        <f>"18:40:27.325"</f>
        <v>18:40:27.325</v>
      </c>
      <c r="U901" t="str">
        <f t="shared" si="90"/>
        <v>AAB6EE</v>
      </c>
      <c r="V901">
        <v>0</v>
      </c>
      <c r="W901">
        <v>0</v>
      </c>
      <c r="X901">
        <v>4</v>
      </c>
      <c r="Z901">
        <v>0</v>
      </c>
      <c r="AA901">
        <v>8</v>
      </c>
      <c r="AB901">
        <v>3</v>
      </c>
      <c r="AC901">
        <v>0</v>
      </c>
      <c r="AD901">
        <v>10</v>
      </c>
      <c r="AE901">
        <v>0</v>
      </c>
      <c r="AF901">
        <v>0</v>
      </c>
      <c r="AG901">
        <v>2</v>
      </c>
      <c r="AH901">
        <v>1</v>
      </c>
      <c r="AI901" t="s">
        <v>721</v>
      </c>
      <c r="AJ901">
        <v>35.326495000000001</v>
      </c>
      <c r="AK901" t="s">
        <v>722</v>
      </c>
      <c r="AL901">
        <v>-76.155016000000003</v>
      </c>
      <c r="AM901">
        <v>25</v>
      </c>
      <c r="AN901">
        <v>3425</v>
      </c>
      <c r="AO901" t="s">
        <v>118</v>
      </c>
      <c r="AP901">
        <v>-118</v>
      </c>
      <c r="AQ901">
        <v>-188</v>
      </c>
      <c r="AR901">
        <v>-64</v>
      </c>
      <c r="AZ901">
        <v>4516</v>
      </c>
      <c r="BA901">
        <v>1</v>
      </c>
      <c r="BB901" t="str">
        <f t="shared" ref="BB901:BB964" si="92">"N79NX   "</f>
        <v xml:space="preserve">N79NX   </v>
      </c>
      <c r="BC901">
        <v>1</v>
      </c>
      <c r="BE901">
        <v>0</v>
      </c>
      <c r="BF901">
        <v>0</v>
      </c>
      <c r="BG901">
        <v>0</v>
      </c>
      <c r="BH901">
        <v>3300</v>
      </c>
      <c r="BI901">
        <v>0</v>
      </c>
      <c r="BJ901">
        <v>0</v>
      </c>
      <c r="BK901">
        <v>0</v>
      </c>
      <c r="BL901">
        <v>0</v>
      </c>
      <c r="BO901">
        <v>0</v>
      </c>
      <c r="BP901">
        <v>0</v>
      </c>
      <c r="BW901" t="str">
        <f>"18:40:27.631"</f>
        <v>18:40:27.631</v>
      </c>
      <c r="BZ901">
        <v>0</v>
      </c>
      <c r="CA901">
        <v>4096</v>
      </c>
      <c r="CB901">
        <v>216</v>
      </c>
      <c r="CC901">
        <v>615.9375</v>
      </c>
      <c r="CD901">
        <v>1</v>
      </c>
      <c r="CE901">
        <v>1</v>
      </c>
      <c r="CF901">
        <v>0</v>
      </c>
      <c r="CG901">
        <v>1</v>
      </c>
      <c r="CH901">
        <v>0</v>
      </c>
      <c r="CI901">
        <v>0</v>
      </c>
      <c r="CJ901">
        <v>0</v>
      </c>
      <c r="CK901">
        <v>2</v>
      </c>
      <c r="CL901">
        <v>0</v>
      </c>
      <c r="CM901">
        <v>2</v>
      </c>
      <c r="CN901">
        <v>0</v>
      </c>
      <c r="CO901">
        <v>4</v>
      </c>
      <c r="CP901" t="s">
        <v>119</v>
      </c>
      <c r="CQ901">
        <v>145</v>
      </c>
      <c r="CR901">
        <v>1</v>
      </c>
      <c r="CW901">
        <v>8990408</v>
      </c>
      <c r="CY901">
        <v>0</v>
      </c>
      <c r="CZ901">
        <v>0</v>
      </c>
      <c r="DA901">
        <v>1</v>
      </c>
      <c r="DB901">
        <v>0</v>
      </c>
      <c r="DC901">
        <v>0</v>
      </c>
      <c r="DD901">
        <v>0</v>
      </c>
      <c r="DE901">
        <v>0</v>
      </c>
      <c r="DF901">
        <v>0</v>
      </c>
      <c r="DG901">
        <v>0</v>
      </c>
      <c r="DH901">
        <v>0</v>
      </c>
      <c r="DI901">
        <v>0</v>
      </c>
    </row>
    <row r="902" spans="1:113" x14ac:dyDescent="0.3">
      <c r="A902" t="str">
        <f>"02/13/2022 18:40:28.731"</f>
        <v>02/13/2022 18:40:28.731</v>
      </c>
      <c r="C902" t="str">
        <f t="shared" si="91"/>
        <v>FFDFD7C0</v>
      </c>
      <c r="D902" t="s">
        <v>121</v>
      </c>
      <c r="E902">
        <v>2</v>
      </c>
      <c r="H902">
        <v>158</v>
      </c>
      <c r="I902" t="s">
        <v>120</v>
      </c>
      <c r="J902" t="s">
        <v>122</v>
      </c>
      <c r="K902">
        <v>0</v>
      </c>
      <c r="L902">
        <v>3</v>
      </c>
      <c r="M902">
        <v>0</v>
      </c>
      <c r="N902">
        <v>2</v>
      </c>
      <c r="O902">
        <v>1</v>
      </c>
      <c r="P902">
        <v>0</v>
      </c>
      <c r="Q902">
        <v>0</v>
      </c>
      <c r="S902" t="str">
        <f>"18:40:28.547"</f>
        <v>18:40:28.547</v>
      </c>
      <c r="T902" t="str">
        <f>"18:40:28.447"</f>
        <v>18:40:28.447</v>
      </c>
      <c r="U902" t="str">
        <f t="shared" si="90"/>
        <v>AAB6EE</v>
      </c>
      <c r="V902">
        <v>0</v>
      </c>
      <c r="W902">
        <v>0</v>
      </c>
      <c r="X902">
        <v>4</v>
      </c>
      <c r="Z902">
        <v>0</v>
      </c>
      <c r="AA902">
        <v>8</v>
      </c>
      <c r="AB902">
        <v>3</v>
      </c>
      <c r="AC902">
        <v>0</v>
      </c>
      <c r="AD902">
        <v>10</v>
      </c>
      <c r="AE902">
        <v>0</v>
      </c>
      <c r="AF902">
        <v>0</v>
      </c>
      <c r="AG902">
        <v>2</v>
      </c>
      <c r="AH902">
        <v>1</v>
      </c>
      <c r="AI902" t="s">
        <v>723</v>
      </c>
      <c r="AJ902">
        <v>35.325723000000004</v>
      </c>
      <c r="AK902" t="s">
        <v>724</v>
      </c>
      <c r="AL902">
        <v>-76.155617000000007</v>
      </c>
      <c r="AM902">
        <v>25</v>
      </c>
      <c r="AN902">
        <v>3425</v>
      </c>
      <c r="AO902" t="s">
        <v>118</v>
      </c>
      <c r="AP902">
        <v>-123</v>
      </c>
      <c r="AQ902">
        <v>-184</v>
      </c>
      <c r="AR902">
        <v>64</v>
      </c>
      <c r="AZ902">
        <v>4516</v>
      </c>
      <c r="BA902">
        <v>1</v>
      </c>
      <c r="BB902" t="str">
        <f t="shared" si="92"/>
        <v xml:space="preserve">N79NX   </v>
      </c>
      <c r="BC902">
        <v>1</v>
      </c>
      <c r="BE902">
        <v>0</v>
      </c>
      <c r="BF902">
        <v>0</v>
      </c>
      <c r="BG902">
        <v>0</v>
      </c>
      <c r="BH902">
        <v>3275</v>
      </c>
      <c r="BI902">
        <v>0</v>
      </c>
      <c r="BJ902">
        <v>0</v>
      </c>
      <c r="BK902">
        <v>0</v>
      </c>
      <c r="BL902">
        <v>0</v>
      </c>
      <c r="BO902">
        <v>0</v>
      </c>
      <c r="BP902">
        <v>0</v>
      </c>
      <c r="BW902" t="str">
        <f>"18:40:28.551"</f>
        <v>18:40:28.551</v>
      </c>
      <c r="BZ902">
        <v>0</v>
      </c>
      <c r="CA902">
        <v>4096</v>
      </c>
      <c r="CB902">
        <v>216</v>
      </c>
      <c r="CC902">
        <v>615.9375</v>
      </c>
      <c r="CD902">
        <v>1</v>
      </c>
      <c r="CE902">
        <v>1</v>
      </c>
      <c r="CF902">
        <v>0</v>
      </c>
      <c r="CG902">
        <v>1</v>
      </c>
      <c r="CH902">
        <v>0</v>
      </c>
      <c r="CI902">
        <v>0</v>
      </c>
      <c r="CJ902">
        <v>0</v>
      </c>
      <c r="CK902">
        <v>2</v>
      </c>
      <c r="CL902">
        <v>0</v>
      </c>
      <c r="CM902">
        <v>2</v>
      </c>
      <c r="CN902">
        <v>0</v>
      </c>
      <c r="CO902">
        <v>5</v>
      </c>
      <c r="CP902" t="s">
        <v>119</v>
      </c>
      <c r="CQ902">
        <v>145</v>
      </c>
      <c r="CR902">
        <v>1</v>
      </c>
      <c r="CW902">
        <v>8990818</v>
      </c>
      <c r="CY902">
        <v>0</v>
      </c>
      <c r="CZ902">
        <v>0</v>
      </c>
      <c r="DA902">
        <v>0</v>
      </c>
      <c r="DB902">
        <v>0</v>
      </c>
      <c r="DC902">
        <v>0</v>
      </c>
      <c r="DD902">
        <v>0</v>
      </c>
      <c r="DE902">
        <v>0</v>
      </c>
      <c r="DF902">
        <v>0</v>
      </c>
      <c r="DG902">
        <v>0</v>
      </c>
      <c r="DH902">
        <v>0</v>
      </c>
      <c r="DI902">
        <v>0</v>
      </c>
    </row>
    <row r="903" spans="1:113" x14ac:dyDescent="0.3">
      <c r="A903" t="str">
        <f>"02/13/2022 18:40:28.762"</f>
        <v>02/13/2022 18:40:28.762</v>
      </c>
      <c r="C903" t="str">
        <f t="shared" si="91"/>
        <v>FFDFD7C0</v>
      </c>
      <c r="D903" t="s">
        <v>113</v>
      </c>
      <c r="E903">
        <v>3</v>
      </c>
      <c r="F903">
        <v>1003</v>
      </c>
      <c r="G903" t="s">
        <v>114</v>
      </c>
      <c r="J903" t="s">
        <v>115</v>
      </c>
      <c r="K903">
        <v>0</v>
      </c>
      <c r="L903">
        <v>3</v>
      </c>
      <c r="M903">
        <v>0</v>
      </c>
      <c r="N903">
        <v>2</v>
      </c>
      <c r="O903">
        <v>1</v>
      </c>
      <c r="P903">
        <v>0</v>
      </c>
      <c r="Q903">
        <v>0</v>
      </c>
      <c r="S903" t="str">
        <f>"18:40:28.547"</f>
        <v>18:40:28.547</v>
      </c>
      <c r="T903" t="str">
        <f>"18:40:28.447"</f>
        <v>18:40:28.447</v>
      </c>
      <c r="U903" t="str">
        <f t="shared" si="90"/>
        <v>AAB6EE</v>
      </c>
      <c r="V903">
        <v>0</v>
      </c>
      <c r="W903">
        <v>0</v>
      </c>
      <c r="X903">
        <v>4</v>
      </c>
      <c r="Z903">
        <v>0</v>
      </c>
      <c r="AA903">
        <v>8</v>
      </c>
      <c r="AB903">
        <v>3</v>
      </c>
      <c r="AC903">
        <v>0</v>
      </c>
      <c r="AD903">
        <v>10</v>
      </c>
      <c r="AE903">
        <v>0</v>
      </c>
      <c r="AF903">
        <v>0</v>
      </c>
      <c r="AG903">
        <v>2</v>
      </c>
      <c r="AH903">
        <v>1</v>
      </c>
      <c r="AI903" t="s">
        <v>723</v>
      </c>
      <c r="AJ903">
        <v>35.325723000000004</v>
      </c>
      <c r="AK903" t="s">
        <v>724</v>
      </c>
      <c r="AL903">
        <v>-76.155617000000007</v>
      </c>
      <c r="AM903">
        <v>25</v>
      </c>
      <c r="AN903">
        <v>3425</v>
      </c>
      <c r="AO903" t="s">
        <v>118</v>
      </c>
      <c r="AP903">
        <v>-123</v>
      </c>
      <c r="AQ903">
        <v>-184</v>
      </c>
      <c r="AR903">
        <v>64</v>
      </c>
      <c r="AZ903">
        <v>4516</v>
      </c>
      <c r="BA903">
        <v>1</v>
      </c>
      <c r="BB903" t="str">
        <f t="shared" si="92"/>
        <v xml:space="preserve">N79NX   </v>
      </c>
      <c r="BC903">
        <v>1</v>
      </c>
      <c r="BE903">
        <v>0</v>
      </c>
      <c r="BF903">
        <v>0</v>
      </c>
      <c r="BG903">
        <v>0</v>
      </c>
      <c r="BH903">
        <v>3275</v>
      </c>
      <c r="BI903">
        <v>0</v>
      </c>
      <c r="BJ903">
        <v>0</v>
      </c>
      <c r="BK903">
        <v>0</v>
      </c>
      <c r="BL903">
        <v>0</v>
      </c>
      <c r="BO903">
        <v>0</v>
      </c>
      <c r="BP903">
        <v>0</v>
      </c>
      <c r="BW903" t="str">
        <f>"18:40:28.551"</f>
        <v>18:40:28.551</v>
      </c>
      <c r="BZ903">
        <v>0</v>
      </c>
      <c r="CA903">
        <v>4096</v>
      </c>
      <c r="CB903">
        <v>216</v>
      </c>
      <c r="CC903">
        <v>615.9375</v>
      </c>
      <c r="CD903">
        <v>1</v>
      </c>
      <c r="CE903">
        <v>1</v>
      </c>
      <c r="CF903">
        <v>0</v>
      </c>
      <c r="CG903">
        <v>1</v>
      </c>
      <c r="CH903">
        <v>0</v>
      </c>
      <c r="CI903">
        <v>0</v>
      </c>
      <c r="CJ903">
        <v>0</v>
      </c>
      <c r="CK903">
        <v>2</v>
      </c>
      <c r="CL903">
        <v>0</v>
      </c>
      <c r="CM903">
        <v>2</v>
      </c>
      <c r="CN903">
        <v>0</v>
      </c>
      <c r="CO903">
        <v>5</v>
      </c>
      <c r="CP903" t="s">
        <v>119</v>
      </c>
      <c r="CQ903">
        <v>145</v>
      </c>
      <c r="CR903">
        <v>1</v>
      </c>
      <c r="CW903">
        <v>8990818</v>
      </c>
      <c r="CY903">
        <v>0</v>
      </c>
      <c r="CZ903">
        <v>0</v>
      </c>
      <c r="DA903">
        <v>1</v>
      </c>
      <c r="DB903">
        <v>0</v>
      </c>
      <c r="DC903">
        <v>0</v>
      </c>
      <c r="DD903">
        <v>0</v>
      </c>
      <c r="DE903">
        <v>0</v>
      </c>
      <c r="DF903">
        <v>0</v>
      </c>
      <c r="DG903">
        <v>0</v>
      </c>
      <c r="DH903">
        <v>0</v>
      </c>
      <c r="DI903">
        <v>0</v>
      </c>
    </row>
    <row r="904" spans="1:113" x14ac:dyDescent="0.3">
      <c r="A904" t="str">
        <f>"02/13/2022 18:40:28.762"</f>
        <v>02/13/2022 18:40:28.762</v>
      </c>
      <c r="C904" t="str">
        <f t="shared" si="91"/>
        <v>FFDFD7C0</v>
      </c>
      <c r="D904" t="s">
        <v>113</v>
      </c>
      <c r="E904">
        <v>4</v>
      </c>
      <c r="F904">
        <v>1004</v>
      </c>
      <c r="G904" t="s">
        <v>120</v>
      </c>
      <c r="J904" t="s">
        <v>115</v>
      </c>
      <c r="K904">
        <v>0</v>
      </c>
      <c r="L904">
        <v>3</v>
      </c>
      <c r="M904">
        <v>0</v>
      </c>
      <c r="N904">
        <v>2</v>
      </c>
      <c r="O904">
        <v>1</v>
      </c>
      <c r="P904">
        <v>0</v>
      </c>
      <c r="Q904">
        <v>0</v>
      </c>
      <c r="S904" t="str">
        <f>"18:40:28.547"</f>
        <v>18:40:28.547</v>
      </c>
      <c r="T904" t="str">
        <f>"18:40:28.447"</f>
        <v>18:40:28.447</v>
      </c>
      <c r="U904" t="str">
        <f t="shared" si="90"/>
        <v>AAB6EE</v>
      </c>
      <c r="V904">
        <v>0</v>
      </c>
      <c r="W904">
        <v>0</v>
      </c>
      <c r="X904">
        <v>4</v>
      </c>
      <c r="Z904">
        <v>0</v>
      </c>
      <c r="AA904">
        <v>8</v>
      </c>
      <c r="AB904">
        <v>3</v>
      </c>
      <c r="AC904">
        <v>0</v>
      </c>
      <c r="AD904">
        <v>10</v>
      </c>
      <c r="AE904">
        <v>0</v>
      </c>
      <c r="AF904">
        <v>0</v>
      </c>
      <c r="AG904">
        <v>2</v>
      </c>
      <c r="AH904">
        <v>1</v>
      </c>
      <c r="AI904" t="s">
        <v>723</v>
      </c>
      <c r="AJ904">
        <v>35.325723000000004</v>
      </c>
      <c r="AK904" t="s">
        <v>724</v>
      </c>
      <c r="AL904">
        <v>-76.155617000000007</v>
      </c>
      <c r="AM904">
        <v>25</v>
      </c>
      <c r="AN904">
        <v>3425</v>
      </c>
      <c r="AO904" t="s">
        <v>118</v>
      </c>
      <c r="AP904">
        <v>-123</v>
      </c>
      <c r="AQ904">
        <v>-184</v>
      </c>
      <c r="AR904">
        <v>64</v>
      </c>
      <c r="AZ904">
        <v>4516</v>
      </c>
      <c r="BA904">
        <v>1</v>
      </c>
      <c r="BB904" t="str">
        <f t="shared" si="92"/>
        <v xml:space="preserve">N79NX   </v>
      </c>
      <c r="BC904">
        <v>1</v>
      </c>
      <c r="BE904">
        <v>0</v>
      </c>
      <c r="BF904">
        <v>0</v>
      </c>
      <c r="BG904">
        <v>0</v>
      </c>
      <c r="BH904">
        <v>3275</v>
      </c>
      <c r="BI904">
        <v>0</v>
      </c>
      <c r="BJ904">
        <v>0</v>
      </c>
      <c r="BK904">
        <v>0</v>
      </c>
      <c r="BL904">
        <v>0</v>
      </c>
      <c r="BO904">
        <v>0</v>
      </c>
      <c r="BP904">
        <v>0</v>
      </c>
      <c r="BW904" t="str">
        <f>"18:40:28.551"</f>
        <v>18:40:28.551</v>
      </c>
      <c r="BZ904">
        <v>0</v>
      </c>
      <c r="CA904">
        <v>4096</v>
      </c>
      <c r="CB904">
        <v>216</v>
      </c>
      <c r="CC904">
        <v>615.9375</v>
      </c>
      <c r="CD904">
        <v>1</v>
      </c>
      <c r="CE904">
        <v>1</v>
      </c>
      <c r="CF904">
        <v>0</v>
      </c>
      <c r="CG904">
        <v>1</v>
      </c>
      <c r="CH904">
        <v>0</v>
      </c>
      <c r="CI904">
        <v>0</v>
      </c>
      <c r="CJ904">
        <v>0</v>
      </c>
      <c r="CK904">
        <v>2</v>
      </c>
      <c r="CL904">
        <v>0</v>
      </c>
      <c r="CM904">
        <v>2</v>
      </c>
      <c r="CN904">
        <v>0</v>
      </c>
      <c r="CO904">
        <v>5</v>
      </c>
      <c r="CP904" t="s">
        <v>119</v>
      </c>
      <c r="CQ904">
        <v>145</v>
      </c>
      <c r="CR904">
        <v>1</v>
      </c>
      <c r="CW904">
        <v>8990818</v>
      </c>
      <c r="CY904">
        <v>0</v>
      </c>
      <c r="CZ904">
        <v>0</v>
      </c>
      <c r="DA904">
        <v>1</v>
      </c>
      <c r="DB904">
        <v>0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0</v>
      </c>
      <c r="DI904">
        <v>0</v>
      </c>
    </row>
    <row r="905" spans="1:113" x14ac:dyDescent="0.3">
      <c r="A905" t="str">
        <f>"02/13/2022 18:40:29.764"</f>
        <v>02/13/2022 18:40:29.764</v>
      </c>
      <c r="C905" t="str">
        <f t="shared" si="91"/>
        <v>FFDFD7C0</v>
      </c>
      <c r="D905" t="s">
        <v>113</v>
      </c>
      <c r="E905">
        <v>3</v>
      </c>
      <c r="F905">
        <v>1003</v>
      </c>
      <c r="G905" t="s">
        <v>114</v>
      </c>
      <c r="J905" t="s">
        <v>115</v>
      </c>
      <c r="K905">
        <v>0</v>
      </c>
      <c r="L905">
        <v>3</v>
      </c>
      <c r="M905">
        <v>0</v>
      </c>
      <c r="N905">
        <v>2</v>
      </c>
      <c r="O905">
        <v>1</v>
      </c>
      <c r="P905">
        <v>0</v>
      </c>
      <c r="Q905">
        <v>0</v>
      </c>
      <c r="S905" t="str">
        <f>"18:40:29.539"</f>
        <v>18:40:29.539</v>
      </c>
      <c r="T905" t="str">
        <f>"18:40:29.039"</f>
        <v>18:40:29.039</v>
      </c>
      <c r="U905" t="str">
        <f t="shared" si="90"/>
        <v>AAB6EE</v>
      </c>
      <c r="V905">
        <v>0</v>
      </c>
      <c r="W905">
        <v>0</v>
      </c>
      <c r="X905">
        <v>4</v>
      </c>
      <c r="Z905">
        <v>0</v>
      </c>
      <c r="AA905">
        <v>8</v>
      </c>
      <c r="AB905">
        <v>3</v>
      </c>
      <c r="AC905">
        <v>0</v>
      </c>
      <c r="AD905">
        <v>10</v>
      </c>
      <c r="AE905">
        <v>0</v>
      </c>
      <c r="AF905">
        <v>0</v>
      </c>
      <c r="AG905">
        <v>2</v>
      </c>
      <c r="AH905">
        <v>1</v>
      </c>
      <c r="AI905" t="s">
        <v>725</v>
      </c>
      <c r="AJ905">
        <v>35.324885999999999</v>
      </c>
      <c r="AK905" t="s">
        <v>726</v>
      </c>
      <c r="AL905">
        <v>-76.156304000000006</v>
      </c>
      <c r="AM905">
        <v>25</v>
      </c>
      <c r="AN905">
        <v>3425</v>
      </c>
      <c r="AO905" t="s">
        <v>118</v>
      </c>
      <c r="AP905">
        <v>-125</v>
      </c>
      <c r="AQ905">
        <v>-183</v>
      </c>
      <c r="AR905">
        <v>64</v>
      </c>
      <c r="AZ905">
        <v>4516</v>
      </c>
      <c r="BA905">
        <v>1</v>
      </c>
      <c r="BB905" t="str">
        <f t="shared" si="92"/>
        <v xml:space="preserve">N79NX   </v>
      </c>
      <c r="BC905">
        <v>1</v>
      </c>
      <c r="BE905">
        <v>0</v>
      </c>
      <c r="BF905">
        <v>0</v>
      </c>
      <c r="BG905">
        <v>0</v>
      </c>
      <c r="BH905">
        <v>3300</v>
      </c>
      <c r="BI905">
        <v>0</v>
      </c>
      <c r="BJ905">
        <v>0</v>
      </c>
      <c r="BK905">
        <v>0</v>
      </c>
      <c r="BL905">
        <v>0</v>
      </c>
      <c r="BO905">
        <v>0</v>
      </c>
      <c r="BP905">
        <v>0</v>
      </c>
      <c r="BW905" t="str">
        <f>"18:40:29.541"</f>
        <v>18:40:29.541</v>
      </c>
      <c r="BZ905">
        <v>0</v>
      </c>
      <c r="CA905">
        <v>4096</v>
      </c>
      <c r="CB905">
        <v>216</v>
      </c>
      <c r="CC905">
        <v>620.15629999999999</v>
      </c>
      <c r="CD905">
        <v>1</v>
      </c>
      <c r="CE905">
        <v>1</v>
      </c>
      <c r="CF905">
        <v>0</v>
      </c>
      <c r="CG905">
        <v>1</v>
      </c>
      <c r="CH905">
        <v>0</v>
      </c>
      <c r="CI905">
        <v>0</v>
      </c>
      <c r="CJ905">
        <v>0</v>
      </c>
      <c r="CK905">
        <v>2</v>
      </c>
      <c r="CL905">
        <v>0</v>
      </c>
      <c r="CM905">
        <v>2</v>
      </c>
      <c r="CN905">
        <v>0</v>
      </c>
      <c r="CO905">
        <v>5</v>
      </c>
      <c r="CP905" t="s">
        <v>119</v>
      </c>
      <c r="CQ905">
        <v>145</v>
      </c>
      <c r="CR905">
        <v>1</v>
      </c>
      <c r="CW905">
        <v>8991313</v>
      </c>
      <c r="CY905">
        <v>0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0</v>
      </c>
      <c r="DG905">
        <v>0</v>
      </c>
      <c r="DH905">
        <v>0</v>
      </c>
      <c r="DI905">
        <v>0</v>
      </c>
    </row>
    <row r="906" spans="1:113" x14ac:dyDescent="0.3">
      <c r="A906" t="str">
        <f>"02/13/2022 18:40:29.764"</f>
        <v>02/13/2022 18:40:29.764</v>
      </c>
      <c r="C906" t="str">
        <f t="shared" si="91"/>
        <v>FFDFD7C0</v>
      </c>
      <c r="D906" t="s">
        <v>113</v>
      </c>
      <c r="E906">
        <v>4</v>
      </c>
      <c r="F906">
        <v>1004</v>
      </c>
      <c r="G906" t="s">
        <v>120</v>
      </c>
      <c r="J906" t="s">
        <v>115</v>
      </c>
      <c r="K906">
        <v>0</v>
      </c>
      <c r="L906">
        <v>3</v>
      </c>
      <c r="M906">
        <v>0</v>
      </c>
      <c r="N906">
        <v>2</v>
      </c>
      <c r="O906">
        <v>1</v>
      </c>
      <c r="P906">
        <v>0</v>
      </c>
      <c r="Q906">
        <v>0</v>
      </c>
      <c r="S906" t="str">
        <f>"18:40:29.539"</f>
        <v>18:40:29.539</v>
      </c>
      <c r="T906" t="str">
        <f>"18:40:29.039"</f>
        <v>18:40:29.039</v>
      </c>
      <c r="U906" t="str">
        <f t="shared" si="90"/>
        <v>AAB6EE</v>
      </c>
      <c r="V906">
        <v>0</v>
      </c>
      <c r="W906">
        <v>0</v>
      </c>
      <c r="X906">
        <v>4</v>
      </c>
      <c r="Z906">
        <v>0</v>
      </c>
      <c r="AA906">
        <v>8</v>
      </c>
      <c r="AB906">
        <v>3</v>
      </c>
      <c r="AC906">
        <v>0</v>
      </c>
      <c r="AD906">
        <v>10</v>
      </c>
      <c r="AE906">
        <v>0</v>
      </c>
      <c r="AF906">
        <v>0</v>
      </c>
      <c r="AG906">
        <v>2</v>
      </c>
      <c r="AH906">
        <v>1</v>
      </c>
      <c r="AI906" t="s">
        <v>725</v>
      </c>
      <c r="AJ906">
        <v>35.324885999999999</v>
      </c>
      <c r="AK906" t="s">
        <v>726</v>
      </c>
      <c r="AL906">
        <v>-76.156304000000006</v>
      </c>
      <c r="AM906">
        <v>25</v>
      </c>
      <c r="AN906">
        <v>3425</v>
      </c>
      <c r="AO906" t="s">
        <v>118</v>
      </c>
      <c r="AP906">
        <v>-125</v>
      </c>
      <c r="AQ906">
        <v>-183</v>
      </c>
      <c r="AR906">
        <v>64</v>
      </c>
      <c r="AZ906">
        <v>4516</v>
      </c>
      <c r="BA906">
        <v>1</v>
      </c>
      <c r="BB906" t="str">
        <f t="shared" si="92"/>
        <v xml:space="preserve">N79NX   </v>
      </c>
      <c r="BC906">
        <v>1</v>
      </c>
      <c r="BE906">
        <v>0</v>
      </c>
      <c r="BF906">
        <v>0</v>
      </c>
      <c r="BG906">
        <v>0</v>
      </c>
      <c r="BH906">
        <v>3300</v>
      </c>
      <c r="BI906">
        <v>0</v>
      </c>
      <c r="BJ906">
        <v>0</v>
      </c>
      <c r="BK906">
        <v>0</v>
      </c>
      <c r="BL906">
        <v>0</v>
      </c>
      <c r="BO906">
        <v>0</v>
      </c>
      <c r="BP906">
        <v>0</v>
      </c>
      <c r="BW906" t="str">
        <f>"18:40:29.541"</f>
        <v>18:40:29.541</v>
      </c>
      <c r="BZ906">
        <v>0</v>
      </c>
      <c r="CA906">
        <v>4096</v>
      </c>
      <c r="CB906">
        <v>216</v>
      </c>
      <c r="CC906">
        <v>620.15629999999999</v>
      </c>
      <c r="CD906">
        <v>1</v>
      </c>
      <c r="CE906">
        <v>1</v>
      </c>
      <c r="CF906">
        <v>0</v>
      </c>
      <c r="CG906">
        <v>1</v>
      </c>
      <c r="CH906">
        <v>0</v>
      </c>
      <c r="CI906">
        <v>0</v>
      </c>
      <c r="CJ906">
        <v>0</v>
      </c>
      <c r="CK906">
        <v>2</v>
      </c>
      <c r="CL906">
        <v>0</v>
      </c>
      <c r="CM906">
        <v>2</v>
      </c>
      <c r="CN906">
        <v>0</v>
      </c>
      <c r="CO906">
        <v>5</v>
      </c>
      <c r="CP906" t="s">
        <v>119</v>
      </c>
      <c r="CQ906">
        <v>145</v>
      </c>
      <c r="CR906">
        <v>1</v>
      </c>
      <c r="CW906">
        <v>8991313</v>
      </c>
      <c r="CY906">
        <v>0</v>
      </c>
      <c r="CZ906">
        <v>0</v>
      </c>
      <c r="DA906">
        <v>1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0</v>
      </c>
      <c r="DI906">
        <v>0</v>
      </c>
    </row>
    <row r="907" spans="1:113" x14ac:dyDescent="0.3">
      <c r="A907" t="str">
        <f>"02/13/2022 18:40:29.811"</f>
        <v>02/13/2022 18:40:29.811</v>
      </c>
      <c r="C907" t="str">
        <f t="shared" si="91"/>
        <v>FFDFD7C0</v>
      </c>
      <c r="D907" t="s">
        <v>121</v>
      </c>
      <c r="E907">
        <v>2</v>
      </c>
      <c r="H907">
        <v>158</v>
      </c>
      <c r="I907" t="s">
        <v>120</v>
      </c>
      <c r="J907" t="s">
        <v>122</v>
      </c>
      <c r="K907">
        <v>0</v>
      </c>
      <c r="L907">
        <v>3</v>
      </c>
      <c r="M907">
        <v>0</v>
      </c>
      <c r="N907">
        <v>2</v>
      </c>
      <c r="O907">
        <v>1</v>
      </c>
      <c r="P907">
        <v>0</v>
      </c>
      <c r="Q907">
        <v>0</v>
      </c>
      <c r="S907" t="str">
        <f>"18:40:29.539"</f>
        <v>18:40:29.539</v>
      </c>
      <c r="T907" t="str">
        <f>"18:40:29.039"</f>
        <v>18:40:29.039</v>
      </c>
      <c r="U907" t="str">
        <f t="shared" si="90"/>
        <v>AAB6EE</v>
      </c>
      <c r="V907">
        <v>0</v>
      </c>
      <c r="W907">
        <v>0</v>
      </c>
      <c r="X907">
        <v>4</v>
      </c>
      <c r="Z907">
        <v>0</v>
      </c>
      <c r="AA907">
        <v>8</v>
      </c>
      <c r="AB907">
        <v>3</v>
      </c>
      <c r="AC907">
        <v>0</v>
      </c>
      <c r="AD907">
        <v>10</v>
      </c>
      <c r="AE907">
        <v>0</v>
      </c>
      <c r="AF907">
        <v>0</v>
      </c>
      <c r="AG907">
        <v>2</v>
      </c>
      <c r="AH907">
        <v>1</v>
      </c>
      <c r="AI907" t="s">
        <v>725</v>
      </c>
      <c r="AJ907">
        <v>35.324885999999999</v>
      </c>
      <c r="AK907" t="s">
        <v>726</v>
      </c>
      <c r="AL907">
        <v>-76.156304000000006</v>
      </c>
      <c r="AM907">
        <v>25</v>
      </c>
      <c r="AN907">
        <v>3425</v>
      </c>
      <c r="AO907" t="s">
        <v>118</v>
      </c>
      <c r="AP907">
        <v>-125</v>
      </c>
      <c r="AQ907">
        <v>-183</v>
      </c>
      <c r="AR907">
        <v>64</v>
      </c>
      <c r="AZ907">
        <v>4516</v>
      </c>
      <c r="BA907">
        <v>1</v>
      </c>
      <c r="BB907" t="str">
        <f t="shared" si="92"/>
        <v xml:space="preserve">N79NX   </v>
      </c>
      <c r="BC907">
        <v>1</v>
      </c>
      <c r="BE907">
        <v>0</v>
      </c>
      <c r="BF907">
        <v>0</v>
      </c>
      <c r="BG907">
        <v>0</v>
      </c>
      <c r="BH907">
        <v>3300</v>
      </c>
      <c r="BI907">
        <v>0</v>
      </c>
      <c r="BJ907">
        <v>0</v>
      </c>
      <c r="BK907">
        <v>0</v>
      </c>
      <c r="BL907">
        <v>0</v>
      </c>
      <c r="BO907">
        <v>0</v>
      </c>
      <c r="BP907">
        <v>0</v>
      </c>
      <c r="BW907" t="str">
        <f>"18:40:29.541"</f>
        <v>18:40:29.541</v>
      </c>
      <c r="BZ907">
        <v>0</v>
      </c>
      <c r="CA907">
        <v>4096</v>
      </c>
      <c r="CB907">
        <v>216</v>
      </c>
      <c r="CC907">
        <v>620.15629999999999</v>
      </c>
      <c r="CD907">
        <v>1</v>
      </c>
      <c r="CE907">
        <v>1</v>
      </c>
      <c r="CF907">
        <v>0</v>
      </c>
      <c r="CG907">
        <v>1</v>
      </c>
      <c r="CH907">
        <v>0</v>
      </c>
      <c r="CI907">
        <v>0</v>
      </c>
      <c r="CJ907">
        <v>0</v>
      </c>
      <c r="CK907">
        <v>2</v>
      </c>
      <c r="CL907">
        <v>0</v>
      </c>
      <c r="CM907">
        <v>2</v>
      </c>
      <c r="CN907">
        <v>0</v>
      </c>
      <c r="CO907">
        <v>5</v>
      </c>
      <c r="CP907" t="s">
        <v>119</v>
      </c>
      <c r="CQ907">
        <v>145</v>
      </c>
      <c r="CR907">
        <v>1</v>
      </c>
      <c r="CW907">
        <v>8991313</v>
      </c>
      <c r="CY907">
        <v>0</v>
      </c>
      <c r="CZ907">
        <v>0</v>
      </c>
      <c r="DA907">
        <v>1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</row>
    <row r="908" spans="1:113" x14ac:dyDescent="0.3">
      <c r="A908" t="str">
        <f>"02/13/2022 18:40:30.691"</f>
        <v>02/13/2022 18:40:30.691</v>
      </c>
      <c r="C908" t="str">
        <f t="shared" si="91"/>
        <v>FFDFD7C0</v>
      </c>
      <c r="D908" t="s">
        <v>121</v>
      </c>
      <c r="E908">
        <v>2</v>
      </c>
      <c r="H908">
        <v>158</v>
      </c>
      <c r="I908" t="s">
        <v>120</v>
      </c>
      <c r="J908" t="s">
        <v>122</v>
      </c>
      <c r="K908">
        <v>0</v>
      </c>
      <c r="L908">
        <v>3</v>
      </c>
      <c r="M908">
        <v>0</v>
      </c>
      <c r="N908">
        <v>2</v>
      </c>
      <c r="O908">
        <v>1</v>
      </c>
      <c r="P908">
        <v>0</v>
      </c>
      <c r="Q908">
        <v>0</v>
      </c>
      <c r="S908" t="str">
        <f>"18:40:30.469"</f>
        <v>18:40:30.469</v>
      </c>
      <c r="T908" t="str">
        <f>"18:40:29.569"</f>
        <v>18:40:29.569</v>
      </c>
      <c r="U908" t="str">
        <f t="shared" si="90"/>
        <v>AAB6EE</v>
      </c>
      <c r="V908">
        <v>0</v>
      </c>
      <c r="W908">
        <v>0</v>
      </c>
      <c r="X908">
        <v>4</v>
      </c>
      <c r="Z908">
        <v>0</v>
      </c>
      <c r="AA908">
        <v>8</v>
      </c>
      <c r="AB908">
        <v>3</v>
      </c>
      <c r="AC908">
        <v>0</v>
      </c>
      <c r="AD908">
        <v>10</v>
      </c>
      <c r="AE908">
        <v>0</v>
      </c>
      <c r="AF908">
        <v>0</v>
      </c>
      <c r="AG908">
        <v>2</v>
      </c>
      <c r="AH908">
        <v>1</v>
      </c>
      <c r="AI908" t="s">
        <v>727</v>
      </c>
      <c r="AJ908">
        <v>35.324156000000002</v>
      </c>
      <c r="AK908" t="s">
        <v>728</v>
      </c>
      <c r="AL908">
        <v>-76.156991000000005</v>
      </c>
      <c r="AM908">
        <v>25</v>
      </c>
      <c r="AN908">
        <v>3425</v>
      </c>
      <c r="AO908" t="s">
        <v>118</v>
      </c>
      <c r="AP908">
        <v>-128</v>
      </c>
      <c r="AQ908">
        <v>-180</v>
      </c>
      <c r="AR908">
        <v>64</v>
      </c>
      <c r="AZ908">
        <v>4516</v>
      </c>
      <c r="BA908">
        <v>1</v>
      </c>
      <c r="BB908" t="str">
        <f t="shared" si="92"/>
        <v xml:space="preserve">N79NX   </v>
      </c>
      <c r="BC908">
        <v>1</v>
      </c>
      <c r="BE908">
        <v>0</v>
      </c>
      <c r="BF908">
        <v>0</v>
      </c>
      <c r="BG908">
        <v>0</v>
      </c>
      <c r="BH908">
        <v>3275</v>
      </c>
      <c r="BI908">
        <v>0</v>
      </c>
      <c r="BJ908">
        <v>0</v>
      </c>
      <c r="BK908">
        <v>0</v>
      </c>
      <c r="BL908">
        <v>0</v>
      </c>
      <c r="BO908">
        <v>0</v>
      </c>
      <c r="BP908">
        <v>0</v>
      </c>
      <c r="BW908" t="str">
        <f>"18:40:30.471"</f>
        <v>18:40:30.471</v>
      </c>
      <c r="BZ908">
        <v>0</v>
      </c>
      <c r="CA908">
        <v>4096</v>
      </c>
      <c r="CB908">
        <v>216</v>
      </c>
      <c r="CC908">
        <v>624.375</v>
      </c>
      <c r="CD908">
        <v>1</v>
      </c>
      <c r="CE908">
        <v>1</v>
      </c>
      <c r="CF908">
        <v>0</v>
      </c>
      <c r="CG908">
        <v>1</v>
      </c>
      <c r="CH908">
        <v>0</v>
      </c>
      <c r="CI908">
        <v>0</v>
      </c>
      <c r="CJ908">
        <v>0</v>
      </c>
      <c r="CK908">
        <v>2</v>
      </c>
      <c r="CL908">
        <v>0</v>
      </c>
      <c r="CM908">
        <v>2</v>
      </c>
      <c r="CN908">
        <v>0</v>
      </c>
      <c r="CO908">
        <v>4</v>
      </c>
      <c r="CP908" t="s">
        <v>119</v>
      </c>
      <c r="CQ908">
        <v>145</v>
      </c>
      <c r="CR908">
        <v>1</v>
      </c>
      <c r="CW908">
        <v>8991768</v>
      </c>
      <c r="CY908">
        <v>0</v>
      </c>
      <c r="CZ908">
        <v>0</v>
      </c>
      <c r="DA908">
        <v>0</v>
      </c>
      <c r="DB908">
        <v>0</v>
      </c>
      <c r="DC908">
        <v>0</v>
      </c>
      <c r="DD908">
        <v>0</v>
      </c>
      <c r="DE908">
        <v>0</v>
      </c>
      <c r="DF908">
        <v>0</v>
      </c>
      <c r="DG908">
        <v>0</v>
      </c>
      <c r="DH908">
        <v>0</v>
      </c>
      <c r="DI908">
        <v>0</v>
      </c>
    </row>
    <row r="909" spans="1:113" x14ac:dyDescent="0.3">
      <c r="A909" t="str">
        <f>"02/13/2022 18:40:30.722"</f>
        <v>02/13/2022 18:40:30.722</v>
      </c>
      <c r="C909" t="str">
        <f t="shared" si="91"/>
        <v>FFDFD7C0</v>
      </c>
      <c r="D909" t="s">
        <v>113</v>
      </c>
      <c r="E909">
        <v>3</v>
      </c>
      <c r="F909">
        <v>1003</v>
      </c>
      <c r="G909" t="s">
        <v>114</v>
      </c>
      <c r="J909" t="s">
        <v>115</v>
      </c>
      <c r="K909">
        <v>0</v>
      </c>
      <c r="L909">
        <v>3</v>
      </c>
      <c r="M909">
        <v>0</v>
      </c>
      <c r="N909">
        <v>2</v>
      </c>
      <c r="O909">
        <v>1</v>
      </c>
      <c r="P909">
        <v>0</v>
      </c>
      <c r="Q909">
        <v>0</v>
      </c>
      <c r="S909" t="str">
        <f>"18:40:30.469"</f>
        <v>18:40:30.469</v>
      </c>
      <c r="T909" t="str">
        <f>"18:40:29.569"</f>
        <v>18:40:29.569</v>
      </c>
      <c r="U909" t="str">
        <f t="shared" si="90"/>
        <v>AAB6EE</v>
      </c>
      <c r="V909">
        <v>0</v>
      </c>
      <c r="W909">
        <v>0</v>
      </c>
      <c r="X909">
        <v>4</v>
      </c>
      <c r="Z909">
        <v>0</v>
      </c>
      <c r="AA909">
        <v>8</v>
      </c>
      <c r="AB909">
        <v>3</v>
      </c>
      <c r="AC909">
        <v>0</v>
      </c>
      <c r="AD909">
        <v>10</v>
      </c>
      <c r="AE909">
        <v>0</v>
      </c>
      <c r="AF909">
        <v>0</v>
      </c>
      <c r="AG909">
        <v>2</v>
      </c>
      <c r="AH909">
        <v>1</v>
      </c>
      <c r="AI909" t="s">
        <v>727</v>
      </c>
      <c r="AJ909">
        <v>35.324156000000002</v>
      </c>
      <c r="AK909" t="s">
        <v>728</v>
      </c>
      <c r="AL909">
        <v>-76.156991000000005</v>
      </c>
      <c r="AM909">
        <v>25</v>
      </c>
      <c r="AN909">
        <v>3425</v>
      </c>
      <c r="AO909" t="s">
        <v>118</v>
      </c>
      <c r="AP909">
        <v>-128</v>
      </c>
      <c r="AQ909">
        <v>-180</v>
      </c>
      <c r="AR909">
        <v>64</v>
      </c>
      <c r="AZ909">
        <v>4516</v>
      </c>
      <c r="BA909">
        <v>1</v>
      </c>
      <c r="BB909" t="str">
        <f t="shared" si="92"/>
        <v xml:space="preserve">N79NX   </v>
      </c>
      <c r="BC909">
        <v>1</v>
      </c>
      <c r="BE909">
        <v>0</v>
      </c>
      <c r="BF909">
        <v>0</v>
      </c>
      <c r="BG909">
        <v>0</v>
      </c>
      <c r="BH909">
        <v>3275</v>
      </c>
      <c r="BI909">
        <v>0</v>
      </c>
      <c r="BJ909">
        <v>0</v>
      </c>
      <c r="BK909">
        <v>0</v>
      </c>
      <c r="BL909">
        <v>0</v>
      </c>
      <c r="BO909">
        <v>0</v>
      </c>
      <c r="BP909">
        <v>0</v>
      </c>
      <c r="BW909" t="str">
        <f>"18:40:30.471"</f>
        <v>18:40:30.471</v>
      </c>
      <c r="BZ909">
        <v>0</v>
      </c>
      <c r="CA909">
        <v>4096</v>
      </c>
      <c r="CB909">
        <v>216</v>
      </c>
      <c r="CC909">
        <v>624.375</v>
      </c>
      <c r="CD909">
        <v>1</v>
      </c>
      <c r="CE909">
        <v>1</v>
      </c>
      <c r="CF909">
        <v>0</v>
      </c>
      <c r="CG909">
        <v>1</v>
      </c>
      <c r="CH909">
        <v>0</v>
      </c>
      <c r="CI909">
        <v>0</v>
      </c>
      <c r="CJ909">
        <v>0</v>
      </c>
      <c r="CK909">
        <v>2</v>
      </c>
      <c r="CL909">
        <v>0</v>
      </c>
      <c r="CM909">
        <v>2</v>
      </c>
      <c r="CN909">
        <v>0</v>
      </c>
      <c r="CO909">
        <v>4</v>
      </c>
      <c r="CP909" t="s">
        <v>119</v>
      </c>
      <c r="CQ909">
        <v>145</v>
      </c>
      <c r="CR909">
        <v>1</v>
      </c>
      <c r="CW909">
        <v>8991768</v>
      </c>
      <c r="CY909">
        <v>0</v>
      </c>
      <c r="CZ909">
        <v>0</v>
      </c>
      <c r="DA909">
        <v>1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</row>
    <row r="910" spans="1:113" x14ac:dyDescent="0.3">
      <c r="A910" t="str">
        <f>"02/13/2022 18:40:30.722"</f>
        <v>02/13/2022 18:40:30.722</v>
      </c>
      <c r="C910" t="str">
        <f t="shared" si="91"/>
        <v>FFDFD7C0</v>
      </c>
      <c r="D910" t="s">
        <v>113</v>
      </c>
      <c r="E910">
        <v>4</v>
      </c>
      <c r="F910">
        <v>1004</v>
      </c>
      <c r="G910" t="s">
        <v>120</v>
      </c>
      <c r="J910" t="s">
        <v>115</v>
      </c>
      <c r="K910">
        <v>0</v>
      </c>
      <c r="L910">
        <v>3</v>
      </c>
      <c r="M910">
        <v>0</v>
      </c>
      <c r="N910">
        <v>2</v>
      </c>
      <c r="O910">
        <v>1</v>
      </c>
      <c r="P910">
        <v>0</v>
      </c>
      <c r="Q910">
        <v>0</v>
      </c>
      <c r="S910" t="str">
        <f>"18:40:30.469"</f>
        <v>18:40:30.469</v>
      </c>
      <c r="T910" t="str">
        <f>"18:40:29.569"</f>
        <v>18:40:29.569</v>
      </c>
      <c r="U910" t="str">
        <f t="shared" si="90"/>
        <v>AAB6EE</v>
      </c>
      <c r="V910">
        <v>0</v>
      </c>
      <c r="W910">
        <v>0</v>
      </c>
      <c r="X910">
        <v>4</v>
      </c>
      <c r="Z910">
        <v>0</v>
      </c>
      <c r="AA910">
        <v>8</v>
      </c>
      <c r="AB910">
        <v>3</v>
      </c>
      <c r="AC910">
        <v>0</v>
      </c>
      <c r="AD910">
        <v>10</v>
      </c>
      <c r="AE910">
        <v>0</v>
      </c>
      <c r="AF910">
        <v>0</v>
      </c>
      <c r="AG910">
        <v>2</v>
      </c>
      <c r="AH910">
        <v>1</v>
      </c>
      <c r="AI910" t="s">
        <v>727</v>
      </c>
      <c r="AJ910">
        <v>35.324156000000002</v>
      </c>
      <c r="AK910" t="s">
        <v>728</v>
      </c>
      <c r="AL910">
        <v>-76.156991000000005</v>
      </c>
      <c r="AM910">
        <v>25</v>
      </c>
      <c r="AN910">
        <v>3425</v>
      </c>
      <c r="AO910" t="s">
        <v>118</v>
      </c>
      <c r="AP910">
        <v>-128</v>
      </c>
      <c r="AQ910">
        <v>-180</v>
      </c>
      <c r="AR910">
        <v>64</v>
      </c>
      <c r="AZ910">
        <v>4516</v>
      </c>
      <c r="BA910">
        <v>1</v>
      </c>
      <c r="BB910" t="str">
        <f t="shared" si="92"/>
        <v xml:space="preserve">N79NX   </v>
      </c>
      <c r="BC910">
        <v>1</v>
      </c>
      <c r="BE910">
        <v>0</v>
      </c>
      <c r="BF910">
        <v>0</v>
      </c>
      <c r="BG910">
        <v>0</v>
      </c>
      <c r="BH910">
        <v>3275</v>
      </c>
      <c r="BI910">
        <v>0</v>
      </c>
      <c r="BJ910">
        <v>0</v>
      </c>
      <c r="BK910">
        <v>0</v>
      </c>
      <c r="BL910">
        <v>0</v>
      </c>
      <c r="BO910">
        <v>0</v>
      </c>
      <c r="BP910">
        <v>0</v>
      </c>
      <c r="BW910" t="str">
        <f>"18:40:30.471"</f>
        <v>18:40:30.471</v>
      </c>
      <c r="BZ910">
        <v>0</v>
      </c>
      <c r="CA910">
        <v>4096</v>
      </c>
      <c r="CB910">
        <v>216</v>
      </c>
      <c r="CC910">
        <v>624.375</v>
      </c>
      <c r="CD910">
        <v>1</v>
      </c>
      <c r="CE910">
        <v>1</v>
      </c>
      <c r="CF910">
        <v>0</v>
      </c>
      <c r="CG910">
        <v>1</v>
      </c>
      <c r="CH910">
        <v>0</v>
      </c>
      <c r="CI910">
        <v>0</v>
      </c>
      <c r="CJ910">
        <v>0</v>
      </c>
      <c r="CK910">
        <v>2</v>
      </c>
      <c r="CL910">
        <v>0</v>
      </c>
      <c r="CM910">
        <v>2</v>
      </c>
      <c r="CN910">
        <v>0</v>
      </c>
      <c r="CO910">
        <v>4</v>
      </c>
      <c r="CP910" t="s">
        <v>119</v>
      </c>
      <c r="CQ910">
        <v>145</v>
      </c>
      <c r="CR910">
        <v>1</v>
      </c>
      <c r="CW910">
        <v>8991768</v>
      </c>
      <c r="CY910">
        <v>0</v>
      </c>
      <c r="CZ910">
        <v>0</v>
      </c>
      <c r="DA910">
        <v>1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</row>
    <row r="911" spans="1:113" x14ac:dyDescent="0.3">
      <c r="A911" t="str">
        <f>"02/13/2022 18:40:31.769"</f>
        <v>02/13/2022 18:40:31.769</v>
      </c>
      <c r="C911" t="str">
        <f t="shared" si="91"/>
        <v>FFDFD7C0</v>
      </c>
      <c r="D911" t="s">
        <v>113</v>
      </c>
      <c r="E911">
        <v>3</v>
      </c>
      <c r="F911">
        <v>1003</v>
      </c>
      <c r="G911" t="s">
        <v>114</v>
      </c>
      <c r="J911" t="s">
        <v>115</v>
      </c>
      <c r="K911">
        <v>0</v>
      </c>
      <c r="L911">
        <v>3</v>
      </c>
      <c r="M911">
        <v>0</v>
      </c>
      <c r="N911">
        <v>2</v>
      </c>
      <c r="O911">
        <v>1</v>
      </c>
      <c r="P911">
        <v>0</v>
      </c>
      <c r="Q911">
        <v>0</v>
      </c>
      <c r="S911" t="str">
        <f t="shared" ref="S911:T913" si="93">"18:40:31.539"</f>
        <v>18:40:31.539</v>
      </c>
      <c r="T911" t="str">
        <f t="shared" si="93"/>
        <v>18:40:31.539</v>
      </c>
      <c r="U911" t="str">
        <f t="shared" si="90"/>
        <v>AAB6EE</v>
      </c>
      <c r="V911">
        <v>0</v>
      </c>
      <c r="W911">
        <v>0</v>
      </c>
      <c r="X911">
        <v>4</v>
      </c>
      <c r="Z911">
        <v>0</v>
      </c>
      <c r="AA911">
        <v>8</v>
      </c>
      <c r="AB911">
        <v>3</v>
      </c>
      <c r="AC911">
        <v>0</v>
      </c>
      <c r="AD911">
        <v>10</v>
      </c>
      <c r="AE911">
        <v>0</v>
      </c>
      <c r="AF911">
        <v>0</v>
      </c>
      <c r="AG911">
        <v>2</v>
      </c>
      <c r="AH911">
        <v>1</v>
      </c>
      <c r="AI911" t="s">
        <v>729</v>
      </c>
      <c r="AJ911">
        <v>35.323298000000001</v>
      </c>
      <c r="AK911" t="s">
        <v>730</v>
      </c>
      <c r="AL911">
        <v>-76.157848999999999</v>
      </c>
      <c r="AM911">
        <v>25</v>
      </c>
      <c r="AN911">
        <v>3425</v>
      </c>
      <c r="AO911" t="s">
        <v>118</v>
      </c>
      <c r="AP911">
        <v>-141</v>
      </c>
      <c r="AQ911">
        <v>-170</v>
      </c>
      <c r="AR911">
        <v>0</v>
      </c>
      <c r="AZ911">
        <v>4516</v>
      </c>
      <c r="BA911">
        <v>1</v>
      </c>
      <c r="BB911" t="str">
        <f t="shared" si="92"/>
        <v xml:space="preserve">N79NX   </v>
      </c>
      <c r="BC911">
        <v>1</v>
      </c>
      <c r="BE911">
        <v>0</v>
      </c>
      <c r="BF911">
        <v>0</v>
      </c>
      <c r="BG911">
        <v>0</v>
      </c>
      <c r="BH911">
        <v>3300</v>
      </c>
      <c r="BI911">
        <v>0</v>
      </c>
      <c r="BJ911">
        <v>0</v>
      </c>
      <c r="BK911">
        <v>0</v>
      </c>
      <c r="BL911">
        <v>0</v>
      </c>
      <c r="BO911">
        <v>0</v>
      </c>
      <c r="BP911">
        <v>0</v>
      </c>
      <c r="BW911" t="str">
        <f>"18:40:31.541"</f>
        <v>18:40:31.541</v>
      </c>
      <c r="BZ911">
        <v>0</v>
      </c>
      <c r="CA911">
        <v>4096</v>
      </c>
      <c r="CB911">
        <v>216</v>
      </c>
      <c r="CC911">
        <v>624.375</v>
      </c>
      <c r="CD911">
        <v>1</v>
      </c>
      <c r="CE911">
        <v>1</v>
      </c>
      <c r="CF911">
        <v>0</v>
      </c>
      <c r="CG911">
        <v>1</v>
      </c>
      <c r="CH911">
        <v>0</v>
      </c>
      <c r="CI911">
        <v>0</v>
      </c>
      <c r="CJ911">
        <v>0</v>
      </c>
      <c r="CK911">
        <v>2</v>
      </c>
      <c r="CL911">
        <v>0</v>
      </c>
      <c r="CM911">
        <v>2</v>
      </c>
      <c r="CN911">
        <v>0</v>
      </c>
      <c r="CO911">
        <v>4</v>
      </c>
      <c r="CP911" t="s">
        <v>119</v>
      </c>
      <c r="CQ911">
        <v>145</v>
      </c>
      <c r="CR911">
        <v>1</v>
      </c>
      <c r="CW911">
        <v>8992219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0</v>
      </c>
      <c r="DE911">
        <v>0</v>
      </c>
      <c r="DF911">
        <v>0</v>
      </c>
      <c r="DG911">
        <v>0</v>
      </c>
      <c r="DH911">
        <v>0</v>
      </c>
      <c r="DI911">
        <v>0</v>
      </c>
    </row>
    <row r="912" spans="1:113" x14ac:dyDescent="0.3">
      <c r="A912" t="str">
        <f>"02/13/2022 18:40:31.769"</f>
        <v>02/13/2022 18:40:31.769</v>
      </c>
      <c r="C912" t="str">
        <f t="shared" si="91"/>
        <v>FFDFD7C0</v>
      </c>
      <c r="D912" t="s">
        <v>113</v>
      </c>
      <c r="E912">
        <v>4</v>
      </c>
      <c r="F912">
        <v>1004</v>
      </c>
      <c r="G912" t="s">
        <v>120</v>
      </c>
      <c r="J912" t="s">
        <v>115</v>
      </c>
      <c r="K912">
        <v>0</v>
      </c>
      <c r="L912">
        <v>3</v>
      </c>
      <c r="M912">
        <v>0</v>
      </c>
      <c r="N912">
        <v>2</v>
      </c>
      <c r="O912">
        <v>1</v>
      </c>
      <c r="P912">
        <v>0</v>
      </c>
      <c r="Q912">
        <v>0</v>
      </c>
      <c r="S912" t="str">
        <f t="shared" si="93"/>
        <v>18:40:31.539</v>
      </c>
      <c r="T912" t="str">
        <f t="shared" si="93"/>
        <v>18:40:31.539</v>
      </c>
      <c r="U912" t="str">
        <f t="shared" si="90"/>
        <v>AAB6EE</v>
      </c>
      <c r="V912">
        <v>0</v>
      </c>
      <c r="W912">
        <v>0</v>
      </c>
      <c r="X912">
        <v>4</v>
      </c>
      <c r="Z912">
        <v>0</v>
      </c>
      <c r="AA912">
        <v>8</v>
      </c>
      <c r="AB912">
        <v>3</v>
      </c>
      <c r="AC912">
        <v>0</v>
      </c>
      <c r="AD912">
        <v>10</v>
      </c>
      <c r="AE912">
        <v>0</v>
      </c>
      <c r="AF912">
        <v>0</v>
      </c>
      <c r="AG912">
        <v>2</v>
      </c>
      <c r="AH912">
        <v>1</v>
      </c>
      <c r="AI912" t="s">
        <v>729</v>
      </c>
      <c r="AJ912">
        <v>35.323298000000001</v>
      </c>
      <c r="AK912" t="s">
        <v>730</v>
      </c>
      <c r="AL912">
        <v>-76.157848999999999</v>
      </c>
      <c r="AM912">
        <v>25</v>
      </c>
      <c r="AN912">
        <v>3425</v>
      </c>
      <c r="AO912" t="s">
        <v>118</v>
      </c>
      <c r="AP912">
        <v>-141</v>
      </c>
      <c r="AQ912">
        <v>-170</v>
      </c>
      <c r="AR912">
        <v>0</v>
      </c>
      <c r="AZ912">
        <v>4516</v>
      </c>
      <c r="BA912">
        <v>1</v>
      </c>
      <c r="BB912" t="str">
        <f t="shared" si="92"/>
        <v xml:space="preserve">N79NX   </v>
      </c>
      <c r="BC912">
        <v>1</v>
      </c>
      <c r="BE912">
        <v>0</v>
      </c>
      <c r="BF912">
        <v>0</v>
      </c>
      <c r="BG912">
        <v>0</v>
      </c>
      <c r="BH912">
        <v>3300</v>
      </c>
      <c r="BI912">
        <v>0</v>
      </c>
      <c r="BJ912">
        <v>0</v>
      </c>
      <c r="BK912">
        <v>0</v>
      </c>
      <c r="BL912">
        <v>0</v>
      </c>
      <c r="BO912">
        <v>0</v>
      </c>
      <c r="BP912">
        <v>0</v>
      </c>
      <c r="BW912" t="str">
        <f>"18:40:31.541"</f>
        <v>18:40:31.541</v>
      </c>
      <c r="BZ912">
        <v>0</v>
      </c>
      <c r="CA912">
        <v>4096</v>
      </c>
      <c r="CB912">
        <v>216</v>
      </c>
      <c r="CC912">
        <v>624.375</v>
      </c>
      <c r="CD912">
        <v>1</v>
      </c>
      <c r="CE912">
        <v>1</v>
      </c>
      <c r="CF912">
        <v>0</v>
      </c>
      <c r="CG912">
        <v>1</v>
      </c>
      <c r="CH912">
        <v>0</v>
      </c>
      <c r="CI912">
        <v>0</v>
      </c>
      <c r="CJ912">
        <v>0</v>
      </c>
      <c r="CK912">
        <v>2</v>
      </c>
      <c r="CL912">
        <v>0</v>
      </c>
      <c r="CM912">
        <v>2</v>
      </c>
      <c r="CN912">
        <v>0</v>
      </c>
      <c r="CO912">
        <v>4</v>
      </c>
      <c r="CP912" t="s">
        <v>119</v>
      </c>
      <c r="CQ912">
        <v>145</v>
      </c>
      <c r="CR912">
        <v>1</v>
      </c>
      <c r="CW912">
        <v>8992219</v>
      </c>
      <c r="CY912">
        <v>0</v>
      </c>
      <c r="CZ912">
        <v>0</v>
      </c>
      <c r="DA912">
        <v>1</v>
      </c>
      <c r="DB912">
        <v>0</v>
      </c>
      <c r="DC912">
        <v>0</v>
      </c>
      <c r="DD912">
        <v>0</v>
      </c>
      <c r="DE912">
        <v>0</v>
      </c>
      <c r="DF912">
        <v>0</v>
      </c>
      <c r="DG912">
        <v>0</v>
      </c>
      <c r="DH912">
        <v>0</v>
      </c>
      <c r="DI912">
        <v>0</v>
      </c>
    </row>
    <row r="913" spans="1:113" x14ac:dyDescent="0.3">
      <c r="A913" t="str">
        <f>"02/13/2022 18:40:31.769"</f>
        <v>02/13/2022 18:40:31.769</v>
      </c>
      <c r="C913" t="str">
        <f t="shared" si="91"/>
        <v>FFDFD7C0</v>
      </c>
      <c r="D913" t="s">
        <v>121</v>
      </c>
      <c r="E913">
        <v>2</v>
      </c>
      <c r="H913">
        <v>158</v>
      </c>
      <c r="I913" t="s">
        <v>120</v>
      </c>
      <c r="J913" t="s">
        <v>122</v>
      </c>
      <c r="K913">
        <v>0</v>
      </c>
      <c r="L913">
        <v>3</v>
      </c>
      <c r="M913">
        <v>0</v>
      </c>
      <c r="N913">
        <v>2</v>
      </c>
      <c r="O913">
        <v>1</v>
      </c>
      <c r="P913">
        <v>0</v>
      </c>
      <c r="Q913">
        <v>0</v>
      </c>
      <c r="S913" t="str">
        <f t="shared" si="93"/>
        <v>18:40:31.539</v>
      </c>
      <c r="T913" t="str">
        <f t="shared" si="93"/>
        <v>18:40:31.539</v>
      </c>
      <c r="U913" t="str">
        <f t="shared" si="90"/>
        <v>AAB6EE</v>
      </c>
      <c r="V913">
        <v>0</v>
      </c>
      <c r="W913">
        <v>0</v>
      </c>
      <c r="X913">
        <v>4</v>
      </c>
      <c r="Z913">
        <v>0</v>
      </c>
      <c r="AA913">
        <v>8</v>
      </c>
      <c r="AB913">
        <v>3</v>
      </c>
      <c r="AC913">
        <v>0</v>
      </c>
      <c r="AD913">
        <v>10</v>
      </c>
      <c r="AE913">
        <v>0</v>
      </c>
      <c r="AF913">
        <v>0</v>
      </c>
      <c r="AG913">
        <v>2</v>
      </c>
      <c r="AH913">
        <v>1</v>
      </c>
      <c r="AI913" t="s">
        <v>729</v>
      </c>
      <c r="AJ913">
        <v>35.323298000000001</v>
      </c>
      <c r="AK913" t="s">
        <v>730</v>
      </c>
      <c r="AL913">
        <v>-76.157848999999999</v>
      </c>
      <c r="AM913">
        <v>25</v>
      </c>
      <c r="AN913">
        <v>3425</v>
      </c>
      <c r="AO913" t="s">
        <v>118</v>
      </c>
      <c r="AP913">
        <v>-141</v>
      </c>
      <c r="AQ913">
        <v>-170</v>
      </c>
      <c r="AR913">
        <v>0</v>
      </c>
      <c r="AZ913">
        <v>4516</v>
      </c>
      <c r="BA913">
        <v>1</v>
      </c>
      <c r="BB913" t="str">
        <f t="shared" si="92"/>
        <v xml:space="preserve">N79NX   </v>
      </c>
      <c r="BC913">
        <v>1</v>
      </c>
      <c r="BE913">
        <v>0</v>
      </c>
      <c r="BF913">
        <v>0</v>
      </c>
      <c r="BG913">
        <v>0</v>
      </c>
      <c r="BH913">
        <v>3300</v>
      </c>
      <c r="BI913">
        <v>0</v>
      </c>
      <c r="BJ913">
        <v>0</v>
      </c>
      <c r="BK913">
        <v>0</v>
      </c>
      <c r="BL913">
        <v>0</v>
      </c>
      <c r="BO913">
        <v>0</v>
      </c>
      <c r="BP913">
        <v>0</v>
      </c>
      <c r="BW913" t="str">
        <f>"18:40:31.541"</f>
        <v>18:40:31.541</v>
      </c>
      <c r="BZ913">
        <v>0</v>
      </c>
      <c r="CA913">
        <v>4096</v>
      </c>
      <c r="CB913">
        <v>216</v>
      </c>
      <c r="CC913">
        <v>624.375</v>
      </c>
      <c r="CD913">
        <v>1</v>
      </c>
      <c r="CE913">
        <v>1</v>
      </c>
      <c r="CF913">
        <v>0</v>
      </c>
      <c r="CG913">
        <v>1</v>
      </c>
      <c r="CH913">
        <v>0</v>
      </c>
      <c r="CI913">
        <v>0</v>
      </c>
      <c r="CJ913">
        <v>0</v>
      </c>
      <c r="CK913">
        <v>2</v>
      </c>
      <c r="CL913">
        <v>0</v>
      </c>
      <c r="CM913">
        <v>2</v>
      </c>
      <c r="CN913">
        <v>0</v>
      </c>
      <c r="CO913">
        <v>4</v>
      </c>
      <c r="CP913" t="s">
        <v>119</v>
      </c>
      <c r="CQ913">
        <v>145</v>
      </c>
      <c r="CR913">
        <v>1</v>
      </c>
      <c r="CW913">
        <v>8992219</v>
      </c>
      <c r="CY913">
        <v>0</v>
      </c>
      <c r="CZ913">
        <v>0</v>
      </c>
      <c r="DA913">
        <v>1</v>
      </c>
      <c r="DB913">
        <v>0</v>
      </c>
      <c r="DC913">
        <v>0</v>
      </c>
      <c r="DD913">
        <v>0</v>
      </c>
      <c r="DE913">
        <v>0</v>
      </c>
      <c r="DF913">
        <v>0</v>
      </c>
      <c r="DG913">
        <v>0</v>
      </c>
      <c r="DH913">
        <v>0</v>
      </c>
      <c r="DI913">
        <v>0</v>
      </c>
    </row>
    <row r="914" spans="1:113" x14ac:dyDescent="0.3">
      <c r="A914" t="str">
        <f>"02/13/2022 18:40:32.597"</f>
        <v>02/13/2022 18:40:32.597</v>
      </c>
      <c r="C914" t="str">
        <f t="shared" si="91"/>
        <v>FFDFD7C0</v>
      </c>
      <c r="D914" t="s">
        <v>113</v>
      </c>
      <c r="E914">
        <v>4</v>
      </c>
      <c r="F914">
        <v>1004</v>
      </c>
      <c r="G914" t="s">
        <v>120</v>
      </c>
      <c r="J914" t="s">
        <v>115</v>
      </c>
      <c r="K914">
        <v>0</v>
      </c>
      <c r="L914">
        <v>3</v>
      </c>
      <c r="M914">
        <v>0</v>
      </c>
      <c r="N914">
        <v>2</v>
      </c>
      <c r="O914">
        <v>1</v>
      </c>
      <c r="P914">
        <v>0</v>
      </c>
      <c r="Q914">
        <v>0</v>
      </c>
      <c r="S914" t="str">
        <f t="shared" ref="S914:T916" si="94">"18:40:32.406"</f>
        <v>18:40:32.406</v>
      </c>
      <c r="T914" t="str">
        <f t="shared" si="94"/>
        <v>18:40:32.406</v>
      </c>
      <c r="U914" t="str">
        <f t="shared" si="90"/>
        <v>AAB6EE</v>
      </c>
      <c r="V914">
        <v>0</v>
      </c>
      <c r="W914">
        <v>0</v>
      </c>
      <c r="X914">
        <v>4</v>
      </c>
      <c r="Z914">
        <v>0</v>
      </c>
      <c r="AA914">
        <v>8</v>
      </c>
      <c r="AB914">
        <v>3</v>
      </c>
      <c r="AC914">
        <v>0</v>
      </c>
      <c r="AD914">
        <v>10</v>
      </c>
      <c r="AE914">
        <v>0</v>
      </c>
      <c r="AF914">
        <v>0</v>
      </c>
      <c r="AG914">
        <v>2</v>
      </c>
      <c r="AH914">
        <v>1</v>
      </c>
      <c r="AI914" t="s">
        <v>731</v>
      </c>
      <c r="AJ914">
        <v>35.322589999999998</v>
      </c>
      <c r="AK914" t="s">
        <v>732</v>
      </c>
      <c r="AL914">
        <v>-76.158578000000006</v>
      </c>
      <c r="AM914">
        <v>25</v>
      </c>
      <c r="AN914">
        <v>3425</v>
      </c>
      <c r="AO914" t="s">
        <v>118</v>
      </c>
      <c r="AP914">
        <v>-146</v>
      </c>
      <c r="AQ914">
        <v>-165</v>
      </c>
      <c r="AR914">
        <v>128</v>
      </c>
      <c r="AZ914">
        <v>4516</v>
      </c>
      <c r="BA914">
        <v>1</v>
      </c>
      <c r="BB914" t="str">
        <f t="shared" si="92"/>
        <v xml:space="preserve">N79NX   </v>
      </c>
      <c r="BC914">
        <v>1</v>
      </c>
      <c r="BE914">
        <v>0</v>
      </c>
      <c r="BF914">
        <v>0</v>
      </c>
      <c r="BG914">
        <v>0</v>
      </c>
      <c r="BH914">
        <v>3275</v>
      </c>
      <c r="BI914">
        <v>0</v>
      </c>
      <c r="BJ914">
        <v>0</v>
      </c>
      <c r="BK914">
        <v>0</v>
      </c>
      <c r="BL914">
        <v>0</v>
      </c>
      <c r="BO914">
        <v>0</v>
      </c>
      <c r="BP914">
        <v>0</v>
      </c>
      <c r="BW914" t="str">
        <f>"18:40:32.411"</f>
        <v>18:40:32.411</v>
      </c>
      <c r="BZ914">
        <v>0</v>
      </c>
      <c r="CA914">
        <v>4096</v>
      </c>
      <c r="CB914">
        <v>216</v>
      </c>
      <c r="CC914">
        <v>624.375</v>
      </c>
      <c r="CD914">
        <v>1</v>
      </c>
      <c r="CE914">
        <v>1</v>
      </c>
      <c r="CF914">
        <v>0</v>
      </c>
      <c r="CG914">
        <v>1</v>
      </c>
      <c r="CH914">
        <v>0</v>
      </c>
      <c r="CI914">
        <v>0</v>
      </c>
      <c r="CJ914">
        <v>0</v>
      </c>
      <c r="CK914">
        <v>2</v>
      </c>
      <c r="CL914">
        <v>0</v>
      </c>
      <c r="CM914">
        <v>2</v>
      </c>
      <c r="CN914">
        <v>0</v>
      </c>
      <c r="CO914">
        <v>4</v>
      </c>
      <c r="CP914" t="s">
        <v>119</v>
      </c>
      <c r="CQ914">
        <v>145</v>
      </c>
      <c r="CR914">
        <v>1</v>
      </c>
      <c r="CW914">
        <v>8992609</v>
      </c>
      <c r="CY914">
        <v>0</v>
      </c>
      <c r="CZ914">
        <v>0</v>
      </c>
      <c r="DA914">
        <v>0</v>
      </c>
      <c r="DB914">
        <v>0</v>
      </c>
      <c r="DC914">
        <v>0</v>
      </c>
      <c r="DD914">
        <v>0</v>
      </c>
      <c r="DE914">
        <v>0</v>
      </c>
      <c r="DF914">
        <v>0</v>
      </c>
      <c r="DG914">
        <v>0</v>
      </c>
      <c r="DH914">
        <v>0</v>
      </c>
      <c r="DI914">
        <v>0</v>
      </c>
    </row>
    <row r="915" spans="1:113" x14ac:dyDescent="0.3">
      <c r="A915" t="str">
        <f>"02/13/2022 18:40:32.597"</f>
        <v>02/13/2022 18:40:32.597</v>
      </c>
      <c r="C915" t="str">
        <f t="shared" si="91"/>
        <v>FFDFD7C0</v>
      </c>
      <c r="D915" t="s">
        <v>113</v>
      </c>
      <c r="E915">
        <v>3</v>
      </c>
      <c r="F915">
        <v>1003</v>
      </c>
      <c r="G915" t="s">
        <v>114</v>
      </c>
      <c r="J915" t="s">
        <v>115</v>
      </c>
      <c r="K915">
        <v>0</v>
      </c>
      <c r="L915">
        <v>3</v>
      </c>
      <c r="M915">
        <v>0</v>
      </c>
      <c r="N915">
        <v>2</v>
      </c>
      <c r="O915">
        <v>1</v>
      </c>
      <c r="P915">
        <v>0</v>
      </c>
      <c r="Q915">
        <v>0</v>
      </c>
      <c r="S915" t="str">
        <f t="shared" si="94"/>
        <v>18:40:32.406</v>
      </c>
      <c r="T915" t="str">
        <f t="shared" si="94"/>
        <v>18:40:32.406</v>
      </c>
      <c r="U915" t="str">
        <f t="shared" si="90"/>
        <v>AAB6EE</v>
      </c>
      <c r="V915">
        <v>0</v>
      </c>
      <c r="W915">
        <v>0</v>
      </c>
      <c r="X915">
        <v>4</v>
      </c>
      <c r="Z915">
        <v>0</v>
      </c>
      <c r="AA915">
        <v>8</v>
      </c>
      <c r="AB915">
        <v>3</v>
      </c>
      <c r="AC915">
        <v>0</v>
      </c>
      <c r="AD915">
        <v>10</v>
      </c>
      <c r="AE915">
        <v>0</v>
      </c>
      <c r="AF915">
        <v>0</v>
      </c>
      <c r="AG915">
        <v>2</v>
      </c>
      <c r="AH915">
        <v>1</v>
      </c>
      <c r="AI915" t="s">
        <v>731</v>
      </c>
      <c r="AJ915">
        <v>35.322589999999998</v>
      </c>
      <c r="AK915" t="s">
        <v>732</v>
      </c>
      <c r="AL915">
        <v>-76.158578000000006</v>
      </c>
      <c r="AM915">
        <v>25</v>
      </c>
      <c r="AN915">
        <v>3425</v>
      </c>
      <c r="AO915" t="s">
        <v>118</v>
      </c>
      <c r="AP915">
        <v>-146</v>
      </c>
      <c r="AQ915">
        <v>-165</v>
      </c>
      <c r="AR915">
        <v>128</v>
      </c>
      <c r="AZ915">
        <v>4516</v>
      </c>
      <c r="BA915">
        <v>1</v>
      </c>
      <c r="BB915" t="str">
        <f t="shared" si="92"/>
        <v xml:space="preserve">N79NX   </v>
      </c>
      <c r="BC915">
        <v>1</v>
      </c>
      <c r="BE915">
        <v>0</v>
      </c>
      <c r="BF915">
        <v>0</v>
      </c>
      <c r="BG915">
        <v>0</v>
      </c>
      <c r="BH915">
        <v>3275</v>
      </c>
      <c r="BI915">
        <v>0</v>
      </c>
      <c r="BJ915">
        <v>0</v>
      </c>
      <c r="BK915">
        <v>0</v>
      </c>
      <c r="BL915">
        <v>0</v>
      </c>
      <c r="BO915">
        <v>0</v>
      </c>
      <c r="BP915">
        <v>0</v>
      </c>
      <c r="BW915" t="str">
        <f>"18:40:32.411"</f>
        <v>18:40:32.411</v>
      </c>
      <c r="BZ915">
        <v>0</v>
      </c>
      <c r="CA915">
        <v>4096</v>
      </c>
      <c r="CB915">
        <v>216</v>
      </c>
      <c r="CC915">
        <v>624.375</v>
      </c>
      <c r="CD915">
        <v>1</v>
      </c>
      <c r="CE915">
        <v>1</v>
      </c>
      <c r="CF915">
        <v>0</v>
      </c>
      <c r="CG915">
        <v>1</v>
      </c>
      <c r="CH915">
        <v>0</v>
      </c>
      <c r="CI915">
        <v>0</v>
      </c>
      <c r="CJ915">
        <v>0</v>
      </c>
      <c r="CK915">
        <v>2</v>
      </c>
      <c r="CL915">
        <v>0</v>
      </c>
      <c r="CM915">
        <v>2</v>
      </c>
      <c r="CN915">
        <v>0</v>
      </c>
      <c r="CO915">
        <v>4</v>
      </c>
      <c r="CP915" t="s">
        <v>119</v>
      </c>
      <c r="CQ915">
        <v>145</v>
      </c>
      <c r="CR915">
        <v>1</v>
      </c>
      <c r="CW915">
        <v>8992609</v>
      </c>
      <c r="CY915">
        <v>0</v>
      </c>
      <c r="CZ915">
        <v>0</v>
      </c>
      <c r="DA915">
        <v>1</v>
      </c>
      <c r="DB915">
        <v>0</v>
      </c>
      <c r="DC915">
        <v>0</v>
      </c>
      <c r="DD915">
        <v>0</v>
      </c>
      <c r="DE915">
        <v>0</v>
      </c>
      <c r="DF915">
        <v>0</v>
      </c>
      <c r="DG915">
        <v>0</v>
      </c>
      <c r="DH915">
        <v>0</v>
      </c>
      <c r="DI915">
        <v>0</v>
      </c>
    </row>
    <row r="916" spans="1:113" x14ac:dyDescent="0.3">
      <c r="A916" t="str">
        <f>"02/13/2022 18:40:32.629"</f>
        <v>02/13/2022 18:40:32.629</v>
      </c>
      <c r="C916" t="str">
        <f t="shared" si="91"/>
        <v>FFDFD7C0</v>
      </c>
      <c r="D916" t="s">
        <v>121</v>
      </c>
      <c r="E916">
        <v>2</v>
      </c>
      <c r="H916">
        <v>158</v>
      </c>
      <c r="I916" t="s">
        <v>120</v>
      </c>
      <c r="J916" t="s">
        <v>122</v>
      </c>
      <c r="K916">
        <v>0</v>
      </c>
      <c r="L916">
        <v>3</v>
      </c>
      <c r="M916">
        <v>0</v>
      </c>
      <c r="N916">
        <v>2</v>
      </c>
      <c r="O916">
        <v>1</v>
      </c>
      <c r="P916">
        <v>0</v>
      </c>
      <c r="Q916">
        <v>0</v>
      </c>
      <c r="S916" t="str">
        <f t="shared" si="94"/>
        <v>18:40:32.406</v>
      </c>
      <c r="T916" t="str">
        <f t="shared" si="94"/>
        <v>18:40:32.406</v>
      </c>
      <c r="U916" t="str">
        <f t="shared" si="90"/>
        <v>AAB6EE</v>
      </c>
      <c r="V916">
        <v>0</v>
      </c>
      <c r="W916">
        <v>0</v>
      </c>
      <c r="X916">
        <v>4</v>
      </c>
      <c r="Z916">
        <v>0</v>
      </c>
      <c r="AA916">
        <v>8</v>
      </c>
      <c r="AB916">
        <v>3</v>
      </c>
      <c r="AC916">
        <v>0</v>
      </c>
      <c r="AD916">
        <v>10</v>
      </c>
      <c r="AE916">
        <v>0</v>
      </c>
      <c r="AF916">
        <v>0</v>
      </c>
      <c r="AG916">
        <v>2</v>
      </c>
      <c r="AH916">
        <v>1</v>
      </c>
      <c r="AI916" t="s">
        <v>731</v>
      </c>
      <c r="AJ916">
        <v>35.322589999999998</v>
      </c>
      <c r="AK916" t="s">
        <v>732</v>
      </c>
      <c r="AL916">
        <v>-76.158578000000006</v>
      </c>
      <c r="AM916">
        <v>25</v>
      </c>
      <c r="AN916">
        <v>3425</v>
      </c>
      <c r="AO916" t="s">
        <v>118</v>
      </c>
      <c r="AP916">
        <v>-146</v>
      </c>
      <c r="AQ916">
        <v>-165</v>
      </c>
      <c r="AR916">
        <v>128</v>
      </c>
      <c r="AZ916">
        <v>4516</v>
      </c>
      <c r="BA916">
        <v>1</v>
      </c>
      <c r="BB916" t="str">
        <f t="shared" si="92"/>
        <v xml:space="preserve">N79NX   </v>
      </c>
      <c r="BC916">
        <v>1</v>
      </c>
      <c r="BE916">
        <v>0</v>
      </c>
      <c r="BF916">
        <v>0</v>
      </c>
      <c r="BG916">
        <v>0</v>
      </c>
      <c r="BH916">
        <v>3275</v>
      </c>
      <c r="BI916">
        <v>0</v>
      </c>
      <c r="BJ916">
        <v>0</v>
      </c>
      <c r="BK916">
        <v>0</v>
      </c>
      <c r="BL916">
        <v>0</v>
      </c>
      <c r="BO916">
        <v>0</v>
      </c>
      <c r="BP916">
        <v>0</v>
      </c>
      <c r="BW916" t="str">
        <f>"18:40:32.411"</f>
        <v>18:40:32.411</v>
      </c>
      <c r="BZ916">
        <v>0</v>
      </c>
      <c r="CA916">
        <v>4096</v>
      </c>
      <c r="CB916">
        <v>216</v>
      </c>
      <c r="CC916">
        <v>624.375</v>
      </c>
      <c r="CD916">
        <v>1</v>
      </c>
      <c r="CE916">
        <v>1</v>
      </c>
      <c r="CF916">
        <v>0</v>
      </c>
      <c r="CG916">
        <v>1</v>
      </c>
      <c r="CH916">
        <v>0</v>
      </c>
      <c r="CI916">
        <v>0</v>
      </c>
      <c r="CJ916">
        <v>0</v>
      </c>
      <c r="CK916">
        <v>2</v>
      </c>
      <c r="CL916">
        <v>0</v>
      </c>
      <c r="CM916">
        <v>2</v>
      </c>
      <c r="CN916">
        <v>0</v>
      </c>
      <c r="CO916">
        <v>4</v>
      </c>
      <c r="CP916" t="s">
        <v>119</v>
      </c>
      <c r="CQ916">
        <v>145</v>
      </c>
      <c r="CR916">
        <v>1</v>
      </c>
      <c r="CW916">
        <v>8992609</v>
      </c>
      <c r="CY916">
        <v>0</v>
      </c>
      <c r="CZ916">
        <v>0</v>
      </c>
      <c r="DA916">
        <v>1</v>
      </c>
      <c r="DB916">
        <v>0</v>
      </c>
      <c r="DC916">
        <v>0</v>
      </c>
      <c r="DD916">
        <v>0</v>
      </c>
      <c r="DE916">
        <v>0</v>
      </c>
      <c r="DF916">
        <v>0</v>
      </c>
      <c r="DG916">
        <v>0</v>
      </c>
      <c r="DH916">
        <v>0</v>
      </c>
      <c r="DI916">
        <v>0</v>
      </c>
    </row>
    <row r="917" spans="1:113" x14ac:dyDescent="0.3">
      <c r="A917" t="str">
        <f>"02/13/2022 18:40:33.598"</f>
        <v>02/13/2022 18:40:33.598</v>
      </c>
      <c r="C917" t="str">
        <f t="shared" si="91"/>
        <v>FFDFD7C0</v>
      </c>
      <c r="D917" t="s">
        <v>121</v>
      </c>
      <c r="E917">
        <v>2</v>
      </c>
      <c r="H917">
        <v>158</v>
      </c>
      <c r="I917" t="s">
        <v>120</v>
      </c>
      <c r="J917" t="s">
        <v>122</v>
      </c>
      <c r="K917">
        <v>0</v>
      </c>
      <c r="L917">
        <v>3</v>
      </c>
      <c r="M917">
        <v>0</v>
      </c>
      <c r="N917">
        <v>2</v>
      </c>
      <c r="O917">
        <v>1</v>
      </c>
      <c r="P917">
        <v>0</v>
      </c>
      <c r="Q917">
        <v>0</v>
      </c>
      <c r="S917" t="str">
        <f>"18:40:33.336"</f>
        <v>18:40:33.336</v>
      </c>
      <c r="T917" t="str">
        <f>"18:40:32.436"</f>
        <v>18:40:32.436</v>
      </c>
      <c r="U917" t="str">
        <f t="shared" si="90"/>
        <v>AAB6EE</v>
      </c>
      <c r="V917">
        <v>0</v>
      </c>
      <c r="W917">
        <v>0</v>
      </c>
      <c r="X917">
        <v>4</v>
      </c>
      <c r="Z917">
        <v>0</v>
      </c>
      <c r="AA917">
        <v>8</v>
      </c>
      <c r="AB917">
        <v>3</v>
      </c>
      <c r="AC917">
        <v>0</v>
      </c>
      <c r="AD917">
        <v>10</v>
      </c>
      <c r="AE917">
        <v>0</v>
      </c>
      <c r="AF917">
        <v>0</v>
      </c>
      <c r="AG917">
        <v>2</v>
      </c>
      <c r="AH917">
        <v>1</v>
      </c>
      <c r="AI917" t="s">
        <v>733</v>
      </c>
      <c r="AJ917">
        <v>35.321925</v>
      </c>
      <c r="AK917" t="s">
        <v>734</v>
      </c>
      <c r="AL917">
        <v>-76.159351000000001</v>
      </c>
      <c r="AM917">
        <v>25</v>
      </c>
      <c r="AN917">
        <v>3450</v>
      </c>
      <c r="AO917" t="s">
        <v>118</v>
      </c>
      <c r="AP917">
        <v>-146</v>
      </c>
      <c r="AQ917">
        <v>-165</v>
      </c>
      <c r="AR917">
        <v>128</v>
      </c>
      <c r="AZ917">
        <v>4516</v>
      </c>
      <c r="BA917">
        <v>1</v>
      </c>
      <c r="BB917" t="str">
        <f t="shared" si="92"/>
        <v xml:space="preserve">N79NX   </v>
      </c>
      <c r="BC917">
        <v>1</v>
      </c>
      <c r="BE917">
        <v>0</v>
      </c>
      <c r="BF917">
        <v>0</v>
      </c>
      <c r="BG917">
        <v>0</v>
      </c>
      <c r="BH917">
        <v>3275</v>
      </c>
      <c r="BI917">
        <v>0</v>
      </c>
      <c r="BJ917">
        <v>0</v>
      </c>
      <c r="BK917">
        <v>0</v>
      </c>
      <c r="BL917">
        <v>0</v>
      </c>
      <c r="BO917">
        <v>0</v>
      </c>
      <c r="BP917">
        <v>0</v>
      </c>
      <c r="BW917" t="str">
        <f>"18:40:33.341"</f>
        <v>18:40:33.341</v>
      </c>
      <c r="BZ917">
        <v>0</v>
      </c>
      <c r="CA917">
        <v>4096</v>
      </c>
      <c r="CB917">
        <v>216</v>
      </c>
      <c r="CC917">
        <v>624.375</v>
      </c>
      <c r="CD917">
        <v>1</v>
      </c>
      <c r="CE917">
        <v>1</v>
      </c>
      <c r="CF917">
        <v>0</v>
      </c>
      <c r="CG917">
        <v>1</v>
      </c>
      <c r="CH917">
        <v>0</v>
      </c>
      <c r="CI917">
        <v>0</v>
      </c>
      <c r="CJ917">
        <v>0</v>
      </c>
      <c r="CK917">
        <v>2</v>
      </c>
      <c r="CL917">
        <v>0</v>
      </c>
      <c r="CM917">
        <v>2</v>
      </c>
      <c r="CN917">
        <v>0</v>
      </c>
      <c r="CO917">
        <v>4</v>
      </c>
      <c r="CP917" t="s">
        <v>119</v>
      </c>
      <c r="CQ917">
        <v>145</v>
      </c>
      <c r="CR917">
        <v>1</v>
      </c>
      <c r="CW917">
        <v>8993041</v>
      </c>
      <c r="CY917">
        <v>0</v>
      </c>
      <c r="CZ917">
        <v>0</v>
      </c>
      <c r="DA917">
        <v>0</v>
      </c>
      <c r="DB917">
        <v>0</v>
      </c>
      <c r="DC917">
        <v>0</v>
      </c>
      <c r="DD917">
        <v>0</v>
      </c>
      <c r="DE917">
        <v>0</v>
      </c>
      <c r="DF917">
        <v>0</v>
      </c>
      <c r="DG917">
        <v>0</v>
      </c>
      <c r="DH917">
        <v>0</v>
      </c>
      <c r="DI917">
        <v>0</v>
      </c>
    </row>
    <row r="918" spans="1:113" x14ac:dyDescent="0.3">
      <c r="A918" t="str">
        <f>"02/13/2022 18:40:33.613"</f>
        <v>02/13/2022 18:40:33.613</v>
      </c>
      <c r="C918" t="str">
        <f t="shared" si="91"/>
        <v>FFDFD7C0</v>
      </c>
      <c r="D918" t="s">
        <v>113</v>
      </c>
      <c r="E918">
        <v>4</v>
      </c>
      <c r="F918">
        <v>1004</v>
      </c>
      <c r="G918" t="s">
        <v>120</v>
      </c>
      <c r="J918" t="s">
        <v>115</v>
      </c>
      <c r="K918">
        <v>0</v>
      </c>
      <c r="L918">
        <v>3</v>
      </c>
      <c r="M918">
        <v>0</v>
      </c>
      <c r="N918">
        <v>2</v>
      </c>
      <c r="O918">
        <v>1</v>
      </c>
      <c r="P918">
        <v>0</v>
      </c>
      <c r="Q918">
        <v>0</v>
      </c>
      <c r="S918" t="str">
        <f>"18:40:33.336"</f>
        <v>18:40:33.336</v>
      </c>
      <c r="T918" t="str">
        <f>"18:40:32.436"</f>
        <v>18:40:32.436</v>
      </c>
      <c r="U918" t="str">
        <f t="shared" si="90"/>
        <v>AAB6EE</v>
      </c>
      <c r="V918">
        <v>0</v>
      </c>
      <c r="W918">
        <v>0</v>
      </c>
      <c r="X918">
        <v>4</v>
      </c>
      <c r="Z918">
        <v>0</v>
      </c>
      <c r="AA918">
        <v>8</v>
      </c>
      <c r="AB918">
        <v>3</v>
      </c>
      <c r="AC918">
        <v>0</v>
      </c>
      <c r="AD918">
        <v>10</v>
      </c>
      <c r="AE918">
        <v>0</v>
      </c>
      <c r="AF918">
        <v>0</v>
      </c>
      <c r="AG918">
        <v>2</v>
      </c>
      <c r="AH918">
        <v>1</v>
      </c>
      <c r="AI918" t="s">
        <v>733</v>
      </c>
      <c r="AJ918">
        <v>35.321925</v>
      </c>
      <c r="AK918" t="s">
        <v>734</v>
      </c>
      <c r="AL918">
        <v>-76.159351000000001</v>
      </c>
      <c r="AM918">
        <v>25</v>
      </c>
      <c r="AN918">
        <v>3450</v>
      </c>
      <c r="AO918" t="s">
        <v>118</v>
      </c>
      <c r="AP918">
        <v>-146</v>
      </c>
      <c r="AQ918">
        <v>-165</v>
      </c>
      <c r="AR918">
        <v>128</v>
      </c>
      <c r="AZ918">
        <v>4516</v>
      </c>
      <c r="BA918">
        <v>1</v>
      </c>
      <c r="BB918" t="str">
        <f t="shared" si="92"/>
        <v xml:space="preserve">N79NX   </v>
      </c>
      <c r="BC918">
        <v>1</v>
      </c>
      <c r="BE918">
        <v>0</v>
      </c>
      <c r="BF918">
        <v>0</v>
      </c>
      <c r="BG918">
        <v>0</v>
      </c>
      <c r="BH918">
        <v>3275</v>
      </c>
      <c r="BI918">
        <v>0</v>
      </c>
      <c r="BJ918">
        <v>0</v>
      </c>
      <c r="BK918">
        <v>0</v>
      </c>
      <c r="BL918">
        <v>0</v>
      </c>
      <c r="BO918">
        <v>0</v>
      </c>
      <c r="BP918">
        <v>0</v>
      </c>
      <c r="BW918" t="str">
        <f>"18:40:33.341"</f>
        <v>18:40:33.341</v>
      </c>
      <c r="BZ918">
        <v>0</v>
      </c>
      <c r="CA918">
        <v>4096</v>
      </c>
      <c r="CB918">
        <v>216</v>
      </c>
      <c r="CC918">
        <v>624.375</v>
      </c>
      <c r="CD918">
        <v>1</v>
      </c>
      <c r="CE918">
        <v>1</v>
      </c>
      <c r="CF918">
        <v>0</v>
      </c>
      <c r="CG918">
        <v>1</v>
      </c>
      <c r="CH918">
        <v>0</v>
      </c>
      <c r="CI918">
        <v>0</v>
      </c>
      <c r="CJ918">
        <v>0</v>
      </c>
      <c r="CK918">
        <v>2</v>
      </c>
      <c r="CL918">
        <v>0</v>
      </c>
      <c r="CM918">
        <v>2</v>
      </c>
      <c r="CN918">
        <v>0</v>
      </c>
      <c r="CO918">
        <v>4</v>
      </c>
      <c r="CP918" t="s">
        <v>119</v>
      </c>
      <c r="CQ918">
        <v>145</v>
      </c>
      <c r="CR918">
        <v>1</v>
      </c>
      <c r="CW918">
        <v>8993041</v>
      </c>
      <c r="CY918">
        <v>0</v>
      </c>
      <c r="CZ918">
        <v>0</v>
      </c>
      <c r="DA918">
        <v>1</v>
      </c>
      <c r="DB918">
        <v>0</v>
      </c>
      <c r="DC918">
        <v>0</v>
      </c>
      <c r="DD918">
        <v>0</v>
      </c>
      <c r="DE918">
        <v>0</v>
      </c>
      <c r="DF918">
        <v>0</v>
      </c>
      <c r="DG918">
        <v>0</v>
      </c>
      <c r="DH918">
        <v>0</v>
      </c>
      <c r="DI918">
        <v>0</v>
      </c>
    </row>
    <row r="919" spans="1:113" x14ac:dyDescent="0.3">
      <c r="A919" t="str">
        <f>"02/13/2022 18:40:33.613"</f>
        <v>02/13/2022 18:40:33.613</v>
      </c>
      <c r="C919" t="str">
        <f t="shared" si="91"/>
        <v>FFDFD7C0</v>
      </c>
      <c r="D919" t="s">
        <v>113</v>
      </c>
      <c r="E919">
        <v>3</v>
      </c>
      <c r="F919">
        <v>1003</v>
      </c>
      <c r="G919" t="s">
        <v>114</v>
      </c>
      <c r="J919" t="s">
        <v>115</v>
      </c>
      <c r="K919">
        <v>0</v>
      </c>
      <c r="L919">
        <v>3</v>
      </c>
      <c r="M919">
        <v>0</v>
      </c>
      <c r="N919">
        <v>2</v>
      </c>
      <c r="O919">
        <v>1</v>
      </c>
      <c r="P919">
        <v>0</v>
      </c>
      <c r="Q919">
        <v>0</v>
      </c>
      <c r="S919" t="str">
        <f>"18:40:33.336"</f>
        <v>18:40:33.336</v>
      </c>
      <c r="T919" t="str">
        <f>"18:40:32.436"</f>
        <v>18:40:32.436</v>
      </c>
      <c r="U919" t="str">
        <f t="shared" si="90"/>
        <v>AAB6EE</v>
      </c>
      <c r="V919">
        <v>0</v>
      </c>
      <c r="W919">
        <v>0</v>
      </c>
      <c r="X919">
        <v>4</v>
      </c>
      <c r="Z919">
        <v>0</v>
      </c>
      <c r="AA919">
        <v>8</v>
      </c>
      <c r="AB919">
        <v>3</v>
      </c>
      <c r="AC919">
        <v>0</v>
      </c>
      <c r="AD919">
        <v>10</v>
      </c>
      <c r="AE919">
        <v>0</v>
      </c>
      <c r="AF919">
        <v>0</v>
      </c>
      <c r="AG919">
        <v>2</v>
      </c>
      <c r="AH919">
        <v>1</v>
      </c>
      <c r="AI919" t="s">
        <v>733</v>
      </c>
      <c r="AJ919">
        <v>35.321925</v>
      </c>
      <c r="AK919" t="s">
        <v>734</v>
      </c>
      <c r="AL919">
        <v>-76.159351000000001</v>
      </c>
      <c r="AM919">
        <v>25</v>
      </c>
      <c r="AN919">
        <v>3450</v>
      </c>
      <c r="AO919" t="s">
        <v>118</v>
      </c>
      <c r="AP919">
        <v>-146</v>
      </c>
      <c r="AQ919">
        <v>-165</v>
      </c>
      <c r="AR919">
        <v>128</v>
      </c>
      <c r="AZ919">
        <v>4516</v>
      </c>
      <c r="BA919">
        <v>1</v>
      </c>
      <c r="BB919" t="str">
        <f t="shared" si="92"/>
        <v xml:space="preserve">N79NX   </v>
      </c>
      <c r="BC919">
        <v>1</v>
      </c>
      <c r="BE919">
        <v>0</v>
      </c>
      <c r="BF919">
        <v>0</v>
      </c>
      <c r="BG919">
        <v>0</v>
      </c>
      <c r="BH919">
        <v>3275</v>
      </c>
      <c r="BI919">
        <v>0</v>
      </c>
      <c r="BJ919">
        <v>0</v>
      </c>
      <c r="BK919">
        <v>0</v>
      </c>
      <c r="BL919">
        <v>0</v>
      </c>
      <c r="BO919">
        <v>0</v>
      </c>
      <c r="BP919">
        <v>0</v>
      </c>
      <c r="BW919" t="str">
        <f>"18:40:33.341"</f>
        <v>18:40:33.341</v>
      </c>
      <c r="BZ919">
        <v>0</v>
      </c>
      <c r="CA919">
        <v>4096</v>
      </c>
      <c r="CB919">
        <v>216</v>
      </c>
      <c r="CC919">
        <v>624.375</v>
      </c>
      <c r="CD919">
        <v>1</v>
      </c>
      <c r="CE919">
        <v>1</v>
      </c>
      <c r="CF919">
        <v>0</v>
      </c>
      <c r="CG919">
        <v>1</v>
      </c>
      <c r="CH919">
        <v>0</v>
      </c>
      <c r="CI919">
        <v>0</v>
      </c>
      <c r="CJ919">
        <v>0</v>
      </c>
      <c r="CK919">
        <v>2</v>
      </c>
      <c r="CL919">
        <v>0</v>
      </c>
      <c r="CM919">
        <v>2</v>
      </c>
      <c r="CN919">
        <v>0</v>
      </c>
      <c r="CO919">
        <v>4</v>
      </c>
      <c r="CP919" t="s">
        <v>119</v>
      </c>
      <c r="CQ919">
        <v>145</v>
      </c>
      <c r="CR919">
        <v>1</v>
      </c>
      <c r="CW919">
        <v>8993041</v>
      </c>
      <c r="CY919">
        <v>0</v>
      </c>
      <c r="CZ919">
        <v>0</v>
      </c>
      <c r="DA919">
        <v>1</v>
      </c>
      <c r="DB919">
        <v>0</v>
      </c>
      <c r="DC919">
        <v>0</v>
      </c>
      <c r="DD919">
        <v>0</v>
      </c>
      <c r="DE919">
        <v>0</v>
      </c>
      <c r="DF919">
        <v>0</v>
      </c>
      <c r="DG919">
        <v>0</v>
      </c>
      <c r="DH919">
        <v>0</v>
      </c>
      <c r="DI919">
        <v>0</v>
      </c>
    </row>
    <row r="920" spans="1:113" x14ac:dyDescent="0.3">
      <c r="A920" t="str">
        <f>"02/13/2022 18:40:34.678"</f>
        <v>02/13/2022 18:40:34.678</v>
      </c>
      <c r="C920" t="str">
        <f t="shared" si="91"/>
        <v>FFDFD7C0</v>
      </c>
      <c r="D920" t="s">
        <v>113</v>
      </c>
      <c r="E920">
        <v>3</v>
      </c>
      <c r="F920">
        <v>1003</v>
      </c>
      <c r="G920" t="s">
        <v>114</v>
      </c>
      <c r="J920" t="s">
        <v>115</v>
      </c>
      <c r="K920">
        <v>0</v>
      </c>
      <c r="L920">
        <v>3</v>
      </c>
      <c r="M920">
        <v>0</v>
      </c>
      <c r="N920">
        <v>2</v>
      </c>
      <c r="O920">
        <v>1</v>
      </c>
      <c r="P920">
        <v>0</v>
      </c>
      <c r="Q920">
        <v>0</v>
      </c>
      <c r="S920" t="str">
        <f>"18:40:34.320"</f>
        <v>18:40:34.320</v>
      </c>
      <c r="T920" t="str">
        <f>"18:40:33.520"</f>
        <v>18:40:33.520</v>
      </c>
      <c r="U920" t="str">
        <f t="shared" si="90"/>
        <v>AAB6EE</v>
      </c>
      <c r="V920">
        <v>0</v>
      </c>
      <c r="W920">
        <v>0</v>
      </c>
      <c r="X920">
        <v>4</v>
      </c>
      <c r="Z920">
        <v>0</v>
      </c>
      <c r="AA920">
        <v>8</v>
      </c>
      <c r="AB920">
        <v>3</v>
      </c>
      <c r="AC920">
        <v>0</v>
      </c>
      <c r="AD920">
        <v>10</v>
      </c>
      <c r="AE920">
        <v>0</v>
      </c>
      <c r="AF920">
        <v>0</v>
      </c>
      <c r="AG920">
        <v>2</v>
      </c>
      <c r="AH920">
        <v>1</v>
      </c>
      <c r="AI920" t="s">
        <v>735</v>
      </c>
      <c r="AJ920">
        <v>35.321173999999999</v>
      </c>
      <c r="AK920" t="s">
        <v>736</v>
      </c>
      <c r="AL920">
        <v>-76.160252</v>
      </c>
      <c r="AM920">
        <v>25</v>
      </c>
      <c r="AN920">
        <v>3450</v>
      </c>
      <c r="AO920" t="s">
        <v>118</v>
      </c>
      <c r="AP920">
        <v>-154</v>
      </c>
      <c r="AQ920">
        <v>-157</v>
      </c>
      <c r="AR920">
        <v>128</v>
      </c>
      <c r="AZ920">
        <v>4516</v>
      </c>
      <c r="BA920">
        <v>1</v>
      </c>
      <c r="BB920" t="str">
        <f t="shared" si="92"/>
        <v xml:space="preserve">N79NX   </v>
      </c>
      <c r="BC920">
        <v>1</v>
      </c>
      <c r="BE920">
        <v>0</v>
      </c>
      <c r="BF920">
        <v>0</v>
      </c>
      <c r="BG920">
        <v>0</v>
      </c>
      <c r="BH920">
        <v>3300</v>
      </c>
      <c r="BI920">
        <v>0</v>
      </c>
      <c r="BJ920">
        <v>0</v>
      </c>
      <c r="BK920">
        <v>0</v>
      </c>
      <c r="BL920">
        <v>0</v>
      </c>
      <c r="BO920">
        <v>0</v>
      </c>
      <c r="BP920">
        <v>0</v>
      </c>
      <c r="BW920" t="str">
        <f>"18:40:34.321"</f>
        <v>18:40:34.321</v>
      </c>
      <c r="BZ920">
        <v>0</v>
      </c>
      <c r="CA920">
        <v>4096</v>
      </c>
      <c r="CB920">
        <v>216</v>
      </c>
      <c r="CC920">
        <v>624.375</v>
      </c>
      <c r="CD920">
        <v>1</v>
      </c>
      <c r="CE920">
        <v>1</v>
      </c>
      <c r="CF920">
        <v>0</v>
      </c>
      <c r="CG920">
        <v>1</v>
      </c>
      <c r="CH920">
        <v>0</v>
      </c>
      <c r="CI920">
        <v>0</v>
      </c>
      <c r="CJ920">
        <v>0</v>
      </c>
      <c r="CK920">
        <v>2</v>
      </c>
      <c r="CL920">
        <v>0</v>
      </c>
      <c r="CM920">
        <v>2</v>
      </c>
      <c r="CN920">
        <v>0</v>
      </c>
      <c r="CO920">
        <v>5</v>
      </c>
      <c r="CP920" t="s">
        <v>119</v>
      </c>
      <c r="CQ920">
        <v>145</v>
      </c>
      <c r="CR920">
        <v>1</v>
      </c>
      <c r="CW920">
        <v>8993506</v>
      </c>
      <c r="CY920">
        <v>0</v>
      </c>
      <c r="CZ920">
        <v>0</v>
      </c>
      <c r="DA920">
        <v>0</v>
      </c>
      <c r="DB920">
        <v>0</v>
      </c>
      <c r="DC920">
        <v>0</v>
      </c>
      <c r="DD920">
        <v>0</v>
      </c>
      <c r="DE920">
        <v>0</v>
      </c>
      <c r="DF920">
        <v>0</v>
      </c>
      <c r="DG920">
        <v>0</v>
      </c>
      <c r="DH920">
        <v>0</v>
      </c>
      <c r="DI920">
        <v>0</v>
      </c>
    </row>
    <row r="921" spans="1:113" x14ac:dyDescent="0.3">
      <c r="A921" t="str">
        <f>"02/13/2022 18:40:34.678"</f>
        <v>02/13/2022 18:40:34.678</v>
      </c>
      <c r="C921" t="str">
        <f t="shared" si="91"/>
        <v>FFDFD7C0</v>
      </c>
      <c r="D921" t="s">
        <v>113</v>
      </c>
      <c r="E921">
        <v>4</v>
      </c>
      <c r="F921">
        <v>1004</v>
      </c>
      <c r="G921" t="s">
        <v>120</v>
      </c>
      <c r="J921" t="s">
        <v>115</v>
      </c>
      <c r="K921">
        <v>0</v>
      </c>
      <c r="L921">
        <v>3</v>
      </c>
      <c r="M921">
        <v>0</v>
      </c>
      <c r="N921">
        <v>2</v>
      </c>
      <c r="O921">
        <v>1</v>
      </c>
      <c r="P921">
        <v>0</v>
      </c>
      <c r="Q921">
        <v>0</v>
      </c>
      <c r="S921" t="str">
        <f>"18:40:34.320"</f>
        <v>18:40:34.320</v>
      </c>
      <c r="T921" t="str">
        <f>"18:40:33.520"</f>
        <v>18:40:33.520</v>
      </c>
      <c r="U921" t="str">
        <f t="shared" si="90"/>
        <v>AAB6EE</v>
      </c>
      <c r="V921">
        <v>0</v>
      </c>
      <c r="W921">
        <v>0</v>
      </c>
      <c r="X921">
        <v>4</v>
      </c>
      <c r="Z921">
        <v>0</v>
      </c>
      <c r="AA921">
        <v>8</v>
      </c>
      <c r="AB921">
        <v>3</v>
      </c>
      <c r="AC921">
        <v>0</v>
      </c>
      <c r="AD921">
        <v>10</v>
      </c>
      <c r="AE921">
        <v>0</v>
      </c>
      <c r="AF921">
        <v>0</v>
      </c>
      <c r="AG921">
        <v>2</v>
      </c>
      <c r="AH921">
        <v>1</v>
      </c>
      <c r="AI921" t="s">
        <v>735</v>
      </c>
      <c r="AJ921">
        <v>35.321173999999999</v>
      </c>
      <c r="AK921" t="s">
        <v>736</v>
      </c>
      <c r="AL921">
        <v>-76.160252</v>
      </c>
      <c r="AM921">
        <v>25</v>
      </c>
      <c r="AN921">
        <v>3450</v>
      </c>
      <c r="AO921" t="s">
        <v>118</v>
      </c>
      <c r="AP921">
        <v>-154</v>
      </c>
      <c r="AQ921">
        <v>-157</v>
      </c>
      <c r="AR921">
        <v>128</v>
      </c>
      <c r="AZ921">
        <v>4516</v>
      </c>
      <c r="BA921">
        <v>1</v>
      </c>
      <c r="BB921" t="str">
        <f t="shared" si="92"/>
        <v xml:space="preserve">N79NX   </v>
      </c>
      <c r="BC921">
        <v>1</v>
      </c>
      <c r="BE921">
        <v>0</v>
      </c>
      <c r="BF921">
        <v>0</v>
      </c>
      <c r="BG921">
        <v>0</v>
      </c>
      <c r="BH921">
        <v>3300</v>
      </c>
      <c r="BI921">
        <v>0</v>
      </c>
      <c r="BJ921">
        <v>0</v>
      </c>
      <c r="BK921">
        <v>0</v>
      </c>
      <c r="BL921">
        <v>0</v>
      </c>
      <c r="BO921">
        <v>0</v>
      </c>
      <c r="BP921">
        <v>0</v>
      </c>
      <c r="BW921" t="str">
        <f>"18:40:34.321"</f>
        <v>18:40:34.321</v>
      </c>
      <c r="BZ921">
        <v>0</v>
      </c>
      <c r="CA921">
        <v>4096</v>
      </c>
      <c r="CB921">
        <v>216</v>
      </c>
      <c r="CC921">
        <v>624.375</v>
      </c>
      <c r="CD921">
        <v>1</v>
      </c>
      <c r="CE921">
        <v>1</v>
      </c>
      <c r="CF921">
        <v>0</v>
      </c>
      <c r="CG921">
        <v>1</v>
      </c>
      <c r="CH921">
        <v>0</v>
      </c>
      <c r="CI921">
        <v>0</v>
      </c>
      <c r="CJ921">
        <v>0</v>
      </c>
      <c r="CK921">
        <v>2</v>
      </c>
      <c r="CL921">
        <v>0</v>
      </c>
      <c r="CM921">
        <v>2</v>
      </c>
      <c r="CN921">
        <v>0</v>
      </c>
      <c r="CO921">
        <v>5</v>
      </c>
      <c r="CP921" t="s">
        <v>119</v>
      </c>
      <c r="CQ921">
        <v>145</v>
      </c>
      <c r="CR921">
        <v>1</v>
      </c>
      <c r="CW921">
        <v>8993506</v>
      </c>
      <c r="CY921">
        <v>0</v>
      </c>
      <c r="CZ921">
        <v>0</v>
      </c>
      <c r="DA921">
        <v>1</v>
      </c>
      <c r="DB921">
        <v>0</v>
      </c>
      <c r="DC921">
        <v>0</v>
      </c>
      <c r="DD921">
        <v>0</v>
      </c>
      <c r="DE921">
        <v>0</v>
      </c>
      <c r="DF921">
        <v>0</v>
      </c>
      <c r="DG921">
        <v>0</v>
      </c>
      <c r="DH921">
        <v>0</v>
      </c>
      <c r="DI921">
        <v>0</v>
      </c>
    </row>
    <row r="922" spans="1:113" x14ac:dyDescent="0.3">
      <c r="A922" t="str">
        <f>"02/13/2022 18:40:34.709"</f>
        <v>02/13/2022 18:40:34.709</v>
      </c>
      <c r="C922" t="str">
        <f t="shared" si="91"/>
        <v>FFDFD7C0</v>
      </c>
      <c r="D922" t="s">
        <v>121</v>
      </c>
      <c r="E922">
        <v>2</v>
      </c>
      <c r="H922">
        <v>158</v>
      </c>
      <c r="I922" t="s">
        <v>120</v>
      </c>
      <c r="J922" t="s">
        <v>122</v>
      </c>
      <c r="K922">
        <v>0</v>
      </c>
      <c r="L922">
        <v>3</v>
      </c>
      <c r="M922">
        <v>0</v>
      </c>
      <c r="N922">
        <v>2</v>
      </c>
      <c r="O922">
        <v>1</v>
      </c>
      <c r="P922">
        <v>0</v>
      </c>
      <c r="Q922">
        <v>0</v>
      </c>
      <c r="S922" t="str">
        <f>"18:40:34.320"</f>
        <v>18:40:34.320</v>
      </c>
      <c r="T922" t="str">
        <f>"18:40:33.520"</f>
        <v>18:40:33.520</v>
      </c>
      <c r="U922" t="str">
        <f t="shared" si="90"/>
        <v>AAB6EE</v>
      </c>
      <c r="V922">
        <v>0</v>
      </c>
      <c r="W922">
        <v>0</v>
      </c>
      <c r="X922">
        <v>4</v>
      </c>
      <c r="Z922">
        <v>0</v>
      </c>
      <c r="AA922">
        <v>8</v>
      </c>
      <c r="AB922">
        <v>3</v>
      </c>
      <c r="AC922">
        <v>0</v>
      </c>
      <c r="AD922">
        <v>10</v>
      </c>
      <c r="AE922">
        <v>0</v>
      </c>
      <c r="AF922">
        <v>0</v>
      </c>
      <c r="AG922">
        <v>2</v>
      </c>
      <c r="AH922">
        <v>1</v>
      </c>
      <c r="AI922" t="s">
        <v>735</v>
      </c>
      <c r="AJ922">
        <v>35.321173999999999</v>
      </c>
      <c r="AK922" t="s">
        <v>736</v>
      </c>
      <c r="AL922">
        <v>-76.160252</v>
      </c>
      <c r="AM922">
        <v>25</v>
      </c>
      <c r="AN922">
        <v>3450</v>
      </c>
      <c r="AO922" t="s">
        <v>118</v>
      </c>
      <c r="AP922">
        <v>-154</v>
      </c>
      <c r="AQ922">
        <v>-157</v>
      </c>
      <c r="AR922">
        <v>128</v>
      </c>
      <c r="AZ922">
        <v>4516</v>
      </c>
      <c r="BA922">
        <v>1</v>
      </c>
      <c r="BB922" t="str">
        <f t="shared" si="92"/>
        <v xml:space="preserve">N79NX   </v>
      </c>
      <c r="BC922">
        <v>1</v>
      </c>
      <c r="BE922">
        <v>0</v>
      </c>
      <c r="BF922">
        <v>0</v>
      </c>
      <c r="BG922">
        <v>0</v>
      </c>
      <c r="BH922">
        <v>3300</v>
      </c>
      <c r="BI922">
        <v>0</v>
      </c>
      <c r="BJ922">
        <v>0</v>
      </c>
      <c r="BK922">
        <v>0</v>
      </c>
      <c r="BL922">
        <v>0</v>
      </c>
      <c r="BO922">
        <v>0</v>
      </c>
      <c r="BP922">
        <v>0</v>
      </c>
      <c r="BW922" t="str">
        <f>"18:40:34.321"</f>
        <v>18:40:34.321</v>
      </c>
      <c r="BZ922">
        <v>0</v>
      </c>
      <c r="CA922">
        <v>4096</v>
      </c>
      <c r="CB922">
        <v>216</v>
      </c>
      <c r="CC922">
        <v>624.375</v>
      </c>
      <c r="CD922">
        <v>1</v>
      </c>
      <c r="CE922">
        <v>1</v>
      </c>
      <c r="CF922">
        <v>0</v>
      </c>
      <c r="CG922">
        <v>1</v>
      </c>
      <c r="CH922">
        <v>0</v>
      </c>
      <c r="CI922">
        <v>0</v>
      </c>
      <c r="CJ922">
        <v>0</v>
      </c>
      <c r="CK922">
        <v>2</v>
      </c>
      <c r="CL922">
        <v>0</v>
      </c>
      <c r="CM922">
        <v>2</v>
      </c>
      <c r="CN922">
        <v>0</v>
      </c>
      <c r="CO922">
        <v>5</v>
      </c>
      <c r="CP922" t="s">
        <v>119</v>
      </c>
      <c r="CQ922">
        <v>145</v>
      </c>
      <c r="CR922">
        <v>1</v>
      </c>
      <c r="CW922">
        <v>8993506</v>
      </c>
      <c r="CY922">
        <v>0</v>
      </c>
      <c r="CZ922">
        <v>0</v>
      </c>
      <c r="DA922">
        <v>1</v>
      </c>
      <c r="DB922">
        <v>0</v>
      </c>
      <c r="DC922">
        <v>0</v>
      </c>
      <c r="DD922">
        <v>0</v>
      </c>
      <c r="DE922">
        <v>0</v>
      </c>
      <c r="DF922">
        <v>0</v>
      </c>
      <c r="DG922">
        <v>0</v>
      </c>
      <c r="DH922">
        <v>0</v>
      </c>
      <c r="DI922">
        <v>0</v>
      </c>
    </row>
    <row r="923" spans="1:113" x14ac:dyDescent="0.3">
      <c r="A923" t="str">
        <f>"02/13/2022 18:40:36.101"</f>
        <v>02/13/2022 18:40:36.101</v>
      </c>
      <c r="C923" t="str">
        <f t="shared" si="91"/>
        <v>FFDFD7C0</v>
      </c>
      <c r="D923" t="s">
        <v>121</v>
      </c>
      <c r="E923">
        <v>2</v>
      </c>
      <c r="H923">
        <v>158</v>
      </c>
      <c r="I923" t="s">
        <v>120</v>
      </c>
      <c r="J923" t="s">
        <v>122</v>
      </c>
      <c r="K923">
        <v>0</v>
      </c>
      <c r="L923">
        <v>3</v>
      </c>
      <c r="M923">
        <v>0</v>
      </c>
      <c r="N923">
        <v>2</v>
      </c>
      <c r="O923">
        <v>1</v>
      </c>
      <c r="P923">
        <v>0</v>
      </c>
      <c r="Q923">
        <v>0</v>
      </c>
      <c r="S923" t="str">
        <f>"18:40:35.797"</f>
        <v>18:40:35.797</v>
      </c>
      <c r="T923" t="str">
        <f>"18:40:35.597"</f>
        <v>18:40:35.597</v>
      </c>
      <c r="U923" t="str">
        <f t="shared" si="90"/>
        <v>AAB6EE</v>
      </c>
      <c r="V923">
        <v>0</v>
      </c>
      <c r="W923">
        <v>0</v>
      </c>
      <c r="X923">
        <v>4</v>
      </c>
      <c r="Z923">
        <v>0</v>
      </c>
      <c r="AA923">
        <v>8</v>
      </c>
      <c r="AB923">
        <v>3</v>
      </c>
      <c r="AC923">
        <v>0</v>
      </c>
      <c r="AD923">
        <v>10</v>
      </c>
      <c r="AE923">
        <v>0</v>
      </c>
      <c r="AF923">
        <v>0</v>
      </c>
      <c r="AG923">
        <v>2</v>
      </c>
      <c r="AH923">
        <v>1</v>
      </c>
      <c r="AI923" t="s">
        <v>737</v>
      </c>
      <c r="AJ923">
        <v>35.320272000000003</v>
      </c>
      <c r="AK923" t="s">
        <v>738</v>
      </c>
      <c r="AL923">
        <v>-76.161581999999996</v>
      </c>
      <c r="AM923">
        <v>25</v>
      </c>
      <c r="AN923">
        <v>3450</v>
      </c>
      <c r="AO923" t="s">
        <v>118</v>
      </c>
      <c r="AP923">
        <v>-166</v>
      </c>
      <c r="AQ923">
        <v>-144</v>
      </c>
      <c r="AR923">
        <v>64</v>
      </c>
      <c r="AZ923">
        <v>4516</v>
      </c>
      <c r="BA923">
        <v>1</v>
      </c>
      <c r="BB923" t="str">
        <f t="shared" si="92"/>
        <v xml:space="preserve">N79NX   </v>
      </c>
      <c r="BC923">
        <v>1</v>
      </c>
      <c r="BE923">
        <v>0</v>
      </c>
      <c r="BF923">
        <v>0</v>
      </c>
      <c r="BG923">
        <v>0</v>
      </c>
      <c r="BH923">
        <v>3325</v>
      </c>
      <c r="BI923">
        <v>0</v>
      </c>
      <c r="BJ923">
        <v>0</v>
      </c>
      <c r="BK923">
        <v>0</v>
      </c>
      <c r="BL923">
        <v>0</v>
      </c>
      <c r="BO923">
        <v>0</v>
      </c>
      <c r="BP923">
        <v>0</v>
      </c>
      <c r="BW923" t="str">
        <f>"18:40:35.801"</f>
        <v>18:40:35.801</v>
      </c>
      <c r="BZ923">
        <v>0</v>
      </c>
      <c r="CA923">
        <v>4096</v>
      </c>
      <c r="CB923">
        <v>216</v>
      </c>
      <c r="CC923">
        <v>624.375</v>
      </c>
      <c r="CD923">
        <v>1</v>
      </c>
      <c r="CE923">
        <v>1</v>
      </c>
      <c r="CF923">
        <v>0</v>
      </c>
      <c r="CG923">
        <v>1</v>
      </c>
      <c r="CH923">
        <v>0</v>
      </c>
      <c r="CI923">
        <v>0</v>
      </c>
      <c r="CJ923">
        <v>0</v>
      </c>
      <c r="CK923">
        <v>2</v>
      </c>
      <c r="CL923">
        <v>0</v>
      </c>
      <c r="CM923">
        <v>2</v>
      </c>
      <c r="CN923">
        <v>0</v>
      </c>
      <c r="CO923">
        <v>2</v>
      </c>
      <c r="CP923" t="s">
        <v>119</v>
      </c>
      <c r="CQ923">
        <v>145</v>
      </c>
      <c r="CR923">
        <v>1</v>
      </c>
      <c r="CW923">
        <v>8994158</v>
      </c>
      <c r="CY923">
        <v>0</v>
      </c>
      <c r="CZ923">
        <v>0</v>
      </c>
      <c r="DA923">
        <v>0</v>
      </c>
      <c r="DB923">
        <v>0</v>
      </c>
      <c r="DC923">
        <v>0</v>
      </c>
      <c r="DD923">
        <v>0</v>
      </c>
      <c r="DE923">
        <v>0</v>
      </c>
      <c r="DF923">
        <v>0</v>
      </c>
      <c r="DG923">
        <v>0</v>
      </c>
      <c r="DH923">
        <v>0</v>
      </c>
      <c r="DI923">
        <v>0</v>
      </c>
    </row>
    <row r="924" spans="1:113" x14ac:dyDescent="0.3">
      <c r="A924" t="str">
        <f>"02/13/2022 18:40:36.101"</f>
        <v>02/13/2022 18:40:36.101</v>
      </c>
      <c r="C924" t="str">
        <f t="shared" si="91"/>
        <v>FFDFD7C0</v>
      </c>
      <c r="D924" t="s">
        <v>113</v>
      </c>
      <c r="E924">
        <v>3</v>
      </c>
      <c r="F924">
        <v>1003</v>
      </c>
      <c r="G924" t="s">
        <v>114</v>
      </c>
      <c r="J924" t="s">
        <v>115</v>
      </c>
      <c r="K924">
        <v>0</v>
      </c>
      <c r="L924">
        <v>3</v>
      </c>
      <c r="M924">
        <v>0</v>
      </c>
      <c r="N924">
        <v>2</v>
      </c>
      <c r="O924">
        <v>1</v>
      </c>
      <c r="P924">
        <v>0</v>
      </c>
      <c r="Q924">
        <v>0</v>
      </c>
      <c r="S924" t="str">
        <f>"18:40:35.797"</f>
        <v>18:40:35.797</v>
      </c>
      <c r="T924" t="str">
        <f>"18:40:35.597"</f>
        <v>18:40:35.597</v>
      </c>
      <c r="U924" t="str">
        <f t="shared" si="90"/>
        <v>AAB6EE</v>
      </c>
      <c r="V924">
        <v>0</v>
      </c>
      <c r="W924">
        <v>0</v>
      </c>
      <c r="X924">
        <v>4</v>
      </c>
      <c r="Z924">
        <v>0</v>
      </c>
      <c r="AA924">
        <v>8</v>
      </c>
      <c r="AB924">
        <v>3</v>
      </c>
      <c r="AC924">
        <v>0</v>
      </c>
      <c r="AD924">
        <v>10</v>
      </c>
      <c r="AE924">
        <v>0</v>
      </c>
      <c r="AF924">
        <v>0</v>
      </c>
      <c r="AG924">
        <v>2</v>
      </c>
      <c r="AH924">
        <v>1</v>
      </c>
      <c r="AI924" t="s">
        <v>737</v>
      </c>
      <c r="AJ924">
        <v>35.320272000000003</v>
      </c>
      <c r="AK924" t="s">
        <v>738</v>
      </c>
      <c r="AL924">
        <v>-76.161581999999996</v>
      </c>
      <c r="AM924">
        <v>25</v>
      </c>
      <c r="AN924">
        <v>3450</v>
      </c>
      <c r="AO924" t="s">
        <v>118</v>
      </c>
      <c r="AP924">
        <v>-166</v>
      </c>
      <c r="AQ924">
        <v>-144</v>
      </c>
      <c r="AR924">
        <v>64</v>
      </c>
      <c r="AZ924">
        <v>4516</v>
      </c>
      <c r="BA924">
        <v>1</v>
      </c>
      <c r="BB924" t="str">
        <f t="shared" si="92"/>
        <v xml:space="preserve">N79NX   </v>
      </c>
      <c r="BC924">
        <v>1</v>
      </c>
      <c r="BE924">
        <v>0</v>
      </c>
      <c r="BF924">
        <v>0</v>
      </c>
      <c r="BG924">
        <v>0</v>
      </c>
      <c r="BH924">
        <v>3325</v>
      </c>
      <c r="BI924">
        <v>0</v>
      </c>
      <c r="BJ924">
        <v>0</v>
      </c>
      <c r="BK924">
        <v>0</v>
      </c>
      <c r="BL924">
        <v>0</v>
      </c>
      <c r="BO924">
        <v>0</v>
      </c>
      <c r="BP924">
        <v>0</v>
      </c>
      <c r="BW924" t="str">
        <f>"18:40:35.801"</f>
        <v>18:40:35.801</v>
      </c>
      <c r="BZ924">
        <v>0</v>
      </c>
      <c r="CA924">
        <v>4096</v>
      </c>
      <c r="CB924">
        <v>216</v>
      </c>
      <c r="CC924">
        <v>624.375</v>
      </c>
      <c r="CD924">
        <v>1</v>
      </c>
      <c r="CE924">
        <v>1</v>
      </c>
      <c r="CF924">
        <v>0</v>
      </c>
      <c r="CG924">
        <v>1</v>
      </c>
      <c r="CH924">
        <v>0</v>
      </c>
      <c r="CI924">
        <v>0</v>
      </c>
      <c r="CJ924">
        <v>0</v>
      </c>
      <c r="CK924">
        <v>2</v>
      </c>
      <c r="CL924">
        <v>0</v>
      </c>
      <c r="CM924">
        <v>2</v>
      </c>
      <c r="CN924">
        <v>0</v>
      </c>
      <c r="CO924">
        <v>2</v>
      </c>
      <c r="CP924" t="s">
        <v>119</v>
      </c>
      <c r="CQ924">
        <v>145</v>
      </c>
      <c r="CR924">
        <v>1</v>
      </c>
      <c r="CW924">
        <v>8994158</v>
      </c>
      <c r="CY924">
        <v>0</v>
      </c>
      <c r="CZ924">
        <v>0</v>
      </c>
      <c r="DA924">
        <v>1</v>
      </c>
      <c r="DB924">
        <v>0</v>
      </c>
      <c r="DC924">
        <v>0</v>
      </c>
      <c r="DD924">
        <v>0</v>
      </c>
      <c r="DE924">
        <v>0</v>
      </c>
      <c r="DF924">
        <v>0</v>
      </c>
      <c r="DG924">
        <v>0</v>
      </c>
      <c r="DH924">
        <v>0</v>
      </c>
      <c r="DI924">
        <v>0</v>
      </c>
    </row>
    <row r="925" spans="1:113" x14ac:dyDescent="0.3">
      <c r="A925" t="str">
        <f>"02/13/2022 18:40:36.101"</f>
        <v>02/13/2022 18:40:36.101</v>
      </c>
      <c r="C925" t="str">
        <f t="shared" si="91"/>
        <v>FFDFD7C0</v>
      </c>
      <c r="D925" t="s">
        <v>113</v>
      </c>
      <c r="E925">
        <v>4</v>
      </c>
      <c r="F925">
        <v>1004</v>
      </c>
      <c r="G925" t="s">
        <v>120</v>
      </c>
      <c r="J925" t="s">
        <v>115</v>
      </c>
      <c r="K925">
        <v>0</v>
      </c>
      <c r="L925">
        <v>3</v>
      </c>
      <c r="M925">
        <v>0</v>
      </c>
      <c r="N925">
        <v>2</v>
      </c>
      <c r="O925">
        <v>1</v>
      </c>
      <c r="P925">
        <v>0</v>
      </c>
      <c r="Q925">
        <v>0</v>
      </c>
      <c r="S925" t="str">
        <f>"18:40:35.797"</f>
        <v>18:40:35.797</v>
      </c>
      <c r="T925" t="str">
        <f>"18:40:35.597"</f>
        <v>18:40:35.597</v>
      </c>
      <c r="U925" t="str">
        <f t="shared" si="90"/>
        <v>AAB6EE</v>
      </c>
      <c r="V925">
        <v>0</v>
      </c>
      <c r="W925">
        <v>0</v>
      </c>
      <c r="X925">
        <v>4</v>
      </c>
      <c r="Z925">
        <v>0</v>
      </c>
      <c r="AA925">
        <v>8</v>
      </c>
      <c r="AB925">
        <v>3</v>
      </c>
      <c r="AC925">
        <v>0</v>
      </c>
      <c r="AD925">
        <v>10</v>
      </c>
      <c r="AE925">
        <v>0</v>
      </c>
      <c r="AF925">
        <v>0</v>
      </c>
      <c r="AG925">
        <v>2</v>
      </c>
      <c r="AH925">
        <v>1</v>
      </c>
      <c r="AI925" t="s">
        <v>737</v>
      </c>
      <c r="AJ925">
        <v>35.320272000000003</v>
      </c>
      <c r="AK925" t="s">
        <v>738</v>
      </c>
      <c r="AL925">
        <v>-76.161581999999996</v>
      </c>
      <c r="AM925">
        <v>25</v>
      </c>
      <c r="AN925">
        <v>3450</v>
      </c>
      <c r="AO925" t="s">
        <v>118</v>
      </c>
      <c r="AP925">
        <v>-166</v>
      </c>
      <c r="AQ925">
        <v>-144</v>
      </c>
      <c r="AR925">
        <v>64</v>
      </c>
      <c r="AZ925">
        <v>4516</v>
      </c>
      <c r="BA925">
        <v>1</v>
      </c>
      <c r="BB925" t="str">
        <f t="shared" si="92"/>
        <v xml:space="preserve">N79NX   </v>
      </c>
      <c r="BC925">
        <v>1</v>
      </c>
      <c r="BE925">
        <v>0</v>
      </c>
      <c r="BF925">
        <v>0</v>
      </c>
      <c r="BG925">
        <v>0</v>
      </c>
      <c r="BH925">
        <v>3325</v>
      </c>
      <c r="BI925">
        <v>0</v>
      </c>
      <c r="BJ925">
        <v>0</v>
      </c>
      <c r="BK925">
        <v>0</v>
      </c>
      <c r="BL925">
        <v>0</v>
      </c>
      <c r="BO925">
        <v>0</v>
      </c>
      <c r="BP925">
        <v>0</v>
      </c>
      <c r="BW925" t="str">
        <f>"18:40:35.801"</f>
        <v>18:40:35.801</v>
      </c>
      <c r="BZ925">
        <v>0</v>
      </c>
      <c r="CA925">
        <v>4096</v>
      </c>
      <c r="CB925">
        <v>216</v>
      </c>
      <c r="CC925">
        <v>624.375</v>
      </c>
      <c r="CD925">
        <v>1</v>
      </c>
      <c r="CE925">
        <v>1</v>
      </c>
      <c r="CF925">
        <v>0</v>
      </c>
      <c r="CG925">
        <v>1</v>
      </c>
      <c r="CH925">
        <v>0</v>
      </c>
      <c r="CI925">
        <v>0</v>
      </c>
      <c r="CJ925">
        <v>0</v>
      </c>
      <c r="CK925">
        <v>2</v>
      </c>
      <c r="CL925">
        <v>0</v>
      </c>
      <c r="CM925">
        <v>2</v>
      </c>
      <c r="CN925">
        <v>0</v>
      </c>
      <c r="CO925">
        <v>2</v>
      </c>
      <c r="CP925" t="s">
        <v>119</v>
      </c>
      <c r="CQ925">
        <v>145</v>
      </c>
      <c r="CR925">
        <v>1</v>
      </c>
      <c r="CW925">
        <v>8994158</v>
      </c>
      <c r="CY925">
        <v>0</v>
      </c>
      <c r="CZ925">
        <v>0</v>
      </c>
      <c r="DA925">
        <v>1</v>
      </c>
      <c r="DB925">
        <v>0</v>
      </c>
      <c r="DC925">
        <v>0</v>
      </c>
      <c r="DD925">
        <v>0</v>
      </c>
      <c r="DE925">
        <v>0</v>
      </c>
      <c r="DF925">
        <v>0</v>
      </c>
      <c r="DG925">
        <v>0</v>
      </c>
      <c r="DH925">
        <v>0</v>
      </c>
      <c r="DI925">
        <v>0</v>
      </c>
    </row>
    <row r="926" spans="1:113" x14ac:dyDescent="0.3">
      <c r="A926" t="str">
        <f>"02/13/2022 18:40:37.007"</f>
        <v>02/13/2022 18:40:37.007</v>
      </c>
      <c r="C926" t="str">
        <f t="shared" si="91"/>
        <v>FFDFD7C0</v>
      </c>
      <c r="D926" t="s">
        <v>121</v>
      </c>
      <c r="E926">
        <v>2</v>
      </c>
      <c r="H926">
        <v>158</v>
      </c>
      <c r="I926" t="s">
        <v>120</v>
      </c>
      <c r="J926" t="s">
        <v>122</v>
      </c>
      <c r="K926">
        <v>0</v>
      </c>
      <c r="L926">
        <v>3</v>
      </c>
      <c r="M926">
        <v>0</v>
      </c>
      <c r="N926">
        <v>2</v>
      </c>
      <c r="O926">
        <v>1</v>
      </c>
      <c r="P926">
        <v>0</v>
      </c>
      <c r="Q926">
        <v>0</v>
      </c>
      <c r="S926" t="str">
        <f>"18:40:36.789"</f>
        <v>18:40:36.789</v>
      </c>
      <c r="T926" t="str">
        <f>"18:40:36.689"</f>
        <v>18:40:36.689</v>
      </c>
      <c r="U926" t="str">
        <f t="shared" si="90"/>
        <v>AAB6EE</v>
      </c>
      <c r="V926">
        <v>0</v>
      </c>
      <c r="W926">
        <v>0</v>
      </c>
      <c r="X926">
        <v>4</v>
      </c>
      <c r="Z926">
        <v>0</v>
      </c>
      <c r="AA926">
        <v>8</v>
      </c>
      <c r="AB926">
        <v>3</v>
      </c>
      <c r="AC926">
        <v>0</v>
      </c>
      <c r="AD926">
        <v>10</v>
      </c>
      <c r="AE926">
        <v>0</v>
      </c>
      <c r="AF926">
        <v>0</v>
      </c>
      <c r="AG926">
        <v>2</v>
      </c>
      <c r="AH926">
        <v>1</v>
      </c>
      <c r="AI926" t="s">
        <v>739</v>
      </c>
      <c r="AJ926">
        <v>35.319628999999999</v>
      </c>
      <c r="AK926" t="s">
        <v>740</v>
      </c>
      <c r="AL926">
        <v>-76.162548000000001</v>
      </c>
      <c r="AM926">
        <v>25</v>
      </c>
      <c r="AN926">
        <v>3450</v>
      </c>
      <c r="AO926" t="s">
        <v>118</v>
      </c>
      <c r="AP926">
        <v>-173</v>
      </c>
      <c r="AQ926">
        <v>-135</v>
      </c>
      <c r="AR926">
        <v>64</v>
      </c>
      <c r="AZ926">
        <v>4516</v>
      </c>
      <c r="BA926">
        <v>1</v>
      </c>
      <c r="BB926" t="str">
        <f t="shared" si="92"/>
        <v xml:space="preserve">N79NX   </v>
      </c>
      <c r="BC926">
        <v>1</v>
      </c>
      <c r="BE926">
        <v>0</v>
      </c>
      <c r="BF926">
        <v>0</v>
      </c>
      <c r="BG926">
        <v>0</v>
      </c>
      <c r="BH926">
        <v>3325</v>
      </c>
      <c r="BI926">
        <v>0</v>
      </c>
      <c r="BJ926">
        <v>0</v>
      </c>
      <c r="BK926">
        <v>0</v>
      </c>
      <c r="BL926">
        <v>0</v>
      </c>
      <c r="BO926">
        <v>0</v>
      </c>
      <c r="BP926">
        <v>0</v>
      </c>
      <c r="BW926" t="str">
        <f>"18:40:36.791"</f>
        <v>18:40:36.791</v>
      </c>
      <c r="BZ926">
        <v>0</v>
      </c>
      <c r="CA926">
        <v>4096</v>
      </c>
      <c r="CB926">
        <v>216</v>
      </c>
      <c r="CC926">
        <v>624.375</v>
      </c>
      <c r="CD926">
        <v>1</v>
      </c>
      <c r="CE926">
        <v>1</v>
      </c>
      <c r="CF926">
        <v>0</v>
      </c>
      <c r="CG926">
        <v>1</v>
      </c>
      <c r="CH926">
        <v>0</v>
      </c>
      <c r="CI926">
        <v>0</v>
      </c>
      <c r="CJ926">
        <v>0</v>
      </c>
      <c r="CK926">
        <v>2</v>
      </c>
      <c r="CL926">
        <v>0</v>
      </c>
      <c r="CM926">
        <v>2</v>
      </c>
      <c r="CN926">
        <v>0</v>
      </c>
      <c r="CO926">
        <v>3</v>
      </c>
      <c r="CP926" t="s">
        <v>119</v>
      </c>
      <c r="CQ926">
        <v>145</v>
      </c>
      <c r="CR926">
        <v>1</v>
      </c>
      <c r="CW926">
        <v>8994551</v>
      </c>
      <c r="CY926">
        <v>0</v>
      </c>
      <c r="CZ926">
        <v>0</v>
      </c>
      <c r="DA926">
        <v>0</v>
      </c>
      <c r="DB926">
        <v>0</v>
      </c>
      <c r="DC926">
        <v>0</v>
      </c>
      <c r="DD926">
        <v>0</v>
      </c>
      <c r="DE926">
        <v>0</v>
      </c>
      <c r="DF926">
        <v>0</v>
      </c>
      <c r="DG926">
        <v>0</v>
      </c>
      <c r="DH926">
        <v>0</v>
      </c>
      <c r="DI926">
        <v>0</v>
      </c>
    </row>
    <row r="927" spans="1:113" x14ac:dyDescent="0.3">
      <c r="A927" t="str">
        <f>"02/13/2022 18:40:37.007"</f>
        <v>02/13/2022 18:40:37.007</v>
      </c>
      <c r="C927" t="str">
        <f t="shared" si="91"/>
        <v>FFDFD7C0</v>
      </c>
      <c r="D927" t="s">
        <v>113</v>
      </c>
      <c r="E927">
        <v>3</v>
      </c>
      <c r="F927">
        <v>1003</v>
      </c>
      <c r="G927" t="s">
        <v>114</v>
      </c>
      <c r="J927" t="s">
        <v>115</v>
      </c>
      <c r="K927">
        <v>0</v>
      </c>
      <c r="L927">
        <v>3</v>
      </c>
      <c r="M927">
        <v>0</v>
      </c>
      <c r="N927">
        <v>2</v>
      </c>
      <c r="O927">
        <v>1</v>
      </c>
      <c r="P927">
        <v>0</v>
      </c>
      <c r="Q927">
        <v>0</v>
      </c>
      <c r="S927" t="str">
        <f>"18:40:36.789"</f>
        <v>18:40:36.789</v>
      </c>
      <c r="T927" t="str">
        <f>"18:40:36.689"</f>
        <v>18:40:36.689</v>
      </c>
      <c r="U927" t="str">
        <f t="shared" si="90"/>
        <v>AAB6EE</v>
      </c>
      <c r="V927">
        <v>0</v>
      </c>
      <c r="W927">
        <v>0</v>
      </c>
      <c r="X927">
        <v>4</v>
      </c>
      <c r="Z927">
        <v>0</v>
      </c>
      <c r="AA927">
        <v>8</v>
      </c>
      <c r="AB927">
        <v>3</v>
      </c>
      <c r="AC927">
        <v>0</v>
      </c>
      <c r="AD927">
        <v>10</v>
      </c>
      <c r="AE927">
        <v>0</v>
      </c>
      <c r="AF927">
        <v>0</v>
      </c>
      <c r="AG927">
        <v>2</v>
      </c>
      <c r="AH927">
        <v>1</v>
      </c>
      <c r="AI927" t="s">
        <v>739</v>
      </c>
      <c r="AJ927">
        <v>35.319628999999999</v>
      </c>
      <c r="AK927" t="s">
        <v>740</v>
      </c>
      <c r="AL927">
        <v>-76.162548000000001</v>
      </c>
      <c r="AM927">
        <v>25</v>
      </c>
      <c r="AN927">
        <v>3450</v>
      </c>
      <c r="AO927" t="s">
        <v>118</v>
      </c>
      <c r="AP927">
        <v>-173</v>
      </c>
      <c r="AQ927">
        <v>-135</v>
      </c>
      <c r="AR927">
        <v>64</v>
      </c>
      <c r="AZ927">
        <v>4516</v>
      </c>
      <c r="BA927">
        <v>1</v>
      </c>
      <c r="BB927" t="str">
        <f t="shared" si="92"/>
        <v xml:space="preserve">N79NX   </v>
      </c>
      <c r="BC927">
        <v>1</v>
      </c>
      <c r="BE927">
        <v>0</v>
      </c>
      <c r="BF927">
        <v>0</v>
      </c>
      <c r="BG927">
        <v>0</v>
      </c>
      <c r="BH927">
        <v>3325</v>
      </c>
      <c r="BI927">
        <v>0</v>
      </c>
      <c r="BJ927">
        <v>0</v>
      </c>
      <c r="BK927">
        <v>0</v>
      </c>
      <c r="BL927">
        <v>0</v>
      </c>
      <c r="BO927">
        <v>0</v>
      </c>
      <c r="BP927">
        <v>0</v>
      </c>
      <c r="BW927" t="str">
        <f>"18:40:36.791"</f>
        <v>18:40:36.791</v>
      </c>
      <c r="BZ927">
        <v>0</v>
      </c>
      <c r="CA927">
        <v>4096</v>
      </c>
      <c r="CB927">
        <v>216</v>
      </c>
      <c r="CC927">
        <v>624.375</v>
      </c>
      <c r="CD927">
        <v>1</v>
      </c>
      <c r="CE927">
        <v>1</v>
      </c>
      <c r="CF927">
        <v>0</v>
      </c>
      <c r="CG927">
        <v>1</v>
      </c>
      <c r="CH927">
        <v>0</v>
      </c>
      <c r="CI927">
        <v>0</v>
      </c>
      <c r="CJ927">
        <v>0</v>
      </c>
      <c r="CK927">
        <v>2</v>
      </c>
      <c r="CL927">
        <v>0</v>
      </c>
      <c r="CM927">
        <v>2</v>
      </c>
      <c r="CN927">
        <v>0</v>
      </c>
      <c r="CO927">
        <v>3</v>
      </c>
      <c r="CP927" t="s">
        <v>119</v>
      </c>
      <c r="CQ927">
        <v>145</v>
      </c>
      <c r="CR927">
        <v>1</v>
      </c>
      <c r="CW927">
        <v>8994551</v>
      </c>
      <c r="CY927">
        <v>0</v>
      </c>
      <c r="CZ927">
        <v>0</v>
      </c>
      <c r="DA927">
        <v>1</v>
      </c>
      <c r="DB927">
        <v>0</v>
      </c>
      <c r="DC927">
        <v>0</v>
      </c>
      <c r="DD927">
        <v>0</v>
      </c>
      <c r="DE927">
        <v>0</v>
      </c>
      <c r="DF927">
        <v>0</v>
      </c>
      <c r="DG927">
        <v>0</v>
      </c>
      <c r="DH927">
        <v>0</v>
      </c>
      <c r="DI927">
        <v>0</v>
      </c>
    </row>
    <row r="928" spans="1:113" x14ac:dyDescent="0.3">
      <c r="A928" t="str">
        <f>"02/13/2022 18:40:37.007"</f>
        <v>02/13/2022 18:40:37.007</v>
      </c>
      <c r="C928" t="str">
        <f t="shared" si="91"/>
        <v>FFDFD7C0</v>
      </c>
      <c r="D928" t="s">
        <v>113</v>
      </c>
      <c r="E928">
        <v>4</v>
      </c>
      <c r="F928">
        <v>1004</v>
      </c>
      <c r="G928" t="s">
        <v>120</v>
      </c>
      <c r="J928" t="s">
        <v>115</v>
      </c>
      <c r="K928">
        <v>0</v>
      </c>
      <c r="L928">
        <v>3</v>
      </c>
      <c r="M928">
        <v>0</v>
      </c>
      <c r="N928">
        <v>2</v>
      </c>
      <c r="O928">
        <v>1</v>
      </c>
      <c r="P928">
        <v>0</v>
      </c>
      <c r="Q928">
        <v>0</v>
      </c>
      <c r="S928" t="str">
        <f>"18:40:36.789"</f>
        <v>18:40:36.789</v>
      </c>
      <c r="T928" t="str">
        <f>"18:40:36.689"</f>
        <v>18:40:36.689</v>
      </c>
      <c r="U928" t="str">
        <f t="shared" si="90"/>
        <v>AAB6EE</v>
      </c>
      <c r="V928">
        <v>0</v>
      </c>
      <c r="W928">
        <v>0</v>
      </c>
      <c r="X928">
        <v>4</v>
      </c>
      <c r="Z928">
        <v>0</v>
      </c>
      <c r="AA928">
        <v>8</v>
      </c>
      <c r="AB928">
        <v>3</v>
      </c>
      <c r="AC928">
        <v>0</v>
      </c>
      <c r="AD928">
        <v>10</v>
      </c>
      <c r="AE928">
        <v>0</v>
      </c>
      <c r="AF928">
        <v>0</v>
      </c>
      <c r="AG928">
        <v>2</v>
      </c>
      <c r="AH928">
        <v>1</v>
      </c>
      <c r="AI928" t="s">
        <v>739</v>
      </c>
      <c r="AJ928">
        <v>35.319628999999999</v>
      </c>
      <c r="AK928" t="s">
        <v>740</v>
      </c>
      <c r="AL928">
        <v>-76.162548000000001</v>
      </c>
      <c r="AM928">
        <v>25</v>
      </c>
      <c r="AN928">
        <v>3450</v>
      </c>
      <c r="AO928" t="s">
        <v>118</v>
      </c>
      <c r="AP928">
        <v>-173</v>
      </c>
      <c r="AQ928">
        <v>-135</v>
      </c>
      <c r="AR928">
        <v>64</v>
      </c>
      <c r="AZ928">
        <v>4516</v>
      </c>
      <c r="BA928">
        <v>1</v>
      </c>
      <c r="BB928" t="str">
        <f t="shared" si="92"/>
        <v xml:space="preserve">N79NX   </v>
      </c>
      <c r="BC928">
        <v>1</v>
      </c>
      <c r="BE928">
        <v>0</v>
      </c>
      <c r="BF928">
        <v>0</v>
      </c>
      <c r="BG928">
        <v>0</v>
      </c>
      <c r="BH928">
        <v>3325</v>
      </c>
      <c r="BI928">
        <v>0</v>
      </c>
      <c r="BJ928">
        <v>0</v>
      </c>
      <c r="BK928">
        <v>0</v>
      </c>
      <c r="BL928">
        <v>0</v>
      </c>
      <c r="BO928">
        <v>0</v>
      </c>
      <c r="BP928">
        <v>0</v>
      </c>
      <c r="BW928" t="str">
        <f>"18:40:36.791"</f>
        <v>18:40:36.791</v>
      </c>
      <c r="BZ928">
        <v>0</v>
      </c>
      <c r="CA928">
        <v>4096</v>
      </c>
      <c r="CB928">
        <v>216</v>
      </c>
      <c r="CC928">
        <v>624.375</v>
      </c>
      <c r="CD928">
        <v>1</v>
      </c>
      <c r="CE928">
        <v>1</v>
      </c>
      <c r="CF928">
        <v>0</v>
      </c>
      <c r="CG928">
        <v>1</v>
      </c>
      <c r="CH928">
        <v>0</v>
      </c>
      <c r="CI928">
        <v>0</v>
      </c>
      <c r="CJ928">
        <v>0</v>
      </c>
      <c r="CK928">
        <v>2</v>
      </c>
      <c r="CL928">
        <v>0</v>
      </c>
      <c r="CM928">
        <v>2</v>
      </c>
      <c r="CN928">
        <v>0</v>
      </c>
      <c r="CO928">
        <v>3</v>
      </c>
      <c r="CP928" t="s">
        <v>119</v>
      </c>
      <c r="CQ928">
        <v>145</v>
      </c>
      <c r="CR928">
        <v>1</v>
      </c>
      <c r="CW928">
        <v>8994551</v>
      </c>
      <c r="CY928">
        <v>0</v>
      </c>
      <c r="CZ928">
        <v>0</v>
      </c>
      <c r="DA928">
        <v>1</v>
      </c>
      <c r="DB928">
        <v>0</v>
      </c>
      <c r="DC928">
        <v>0</v>
      </c>
      <c r="DD928">
        <v>0</v>
      </c>
      <c r="DE928">
        <v>0</v>
      </c>
      <c r="DF928">
        <v>0</v>
      </c>
      <c r="DG928">
        <v>0</v>
      </c>
      <c r="DH928">
        <v>0</v>
      </c>
      <c r="DI928">
        <v>0</v>
      </c>
    </row>
    <row r="929" spans="1:113" x14ac:dyDescent="0.3">
      <c r="A929" t="str">
        <f>"02/13/2022 18:40:37.929"</f>
        <v>02/13/2022 18:40:37.929</v>
      </c>
      <c r="C929" t="str">
        <f t="shared" si="91"/>
        <v>FFDFD7C0</v>
      </c>
      <c r="D929" t="s">
        <v>121</v>
      </c>
      <c r="E929">
        <v>2</v>
      </c>
      <c r="H929">
        <v>158</v>
      </c>
      <c r="I929" t="s">
        <v>120</v>
      </c>
      <c r="J929" t="s">
        <v>122</v>
      </c>
      <c r="K929">
        <v>0</v>
      </c>
      <c r="L929">
        <v>3</v>
      </c>
      <c r="M929">
        <v>0</v>
      </c>
      <c r="N929">
        <v>2</v>
      </c>
      <c r="O929">
        <v>1</v>
      </c>
      <c r="P929">
        <v>0</v>
      </c>
      <c r="Q929">
        <v>0</v>
      </c>
      <c r="S929" t="str">
        <f>"18:40:37.719"</f>
        <v>18:40:37.719</v>
      </c>
      <c r="T929" t="str">
        <f>"18:40:37.219"</f>
        <v>18:40:37.219</v>
      </c>
      <c r="U929" t="str">
        <f t="shared" si="90"/>
        <v>AAB6EE</v>
      </c>
      <c r="V929">
        <v>0</v>
      </c>
      <c r="W929">
        <v>0</v>
      </c>
      <c r="X929">
        <v>4</v>
      </c>
      <c r="Z929">
        <v>0</v>
      </c>
      <c r="AA929">
        <v>8</v>
      </c>
      <c r="AB929">
        <v>3</v>
      </c>
      <c r="AC929">
        <v>0</v>
      </c>
      <c r="AD929">
        <v>10</v>
      </c>
      <c r="AE929">
        <v>0</v>
      </c>
      <c r="AF929">
        <v>0</v>
      </c>
      <c r="AG929">
        <v>2</v>
      </c>
      <c r="AH929">
        <v>1</v>
      </c>
      <c r="AI929" t="s">
        <v>741</v>
      </c>
      <c r="AJ929">
        <v>35.319028000000003</v>
      </c>
      <c r="AK929" t="s">
        <v>742</v>
      </c>
      <c r="AL929">
        <v>-76.163514000000006</v>
      </c>
      <c r="AM929">
        <v>25</v>
      </c>
      <c r="AN929">
        <v>3450</v>
      </c>
      <c r="AO929" t="s">
        <v>118</v>
      </c>
      <c r="AP929">
        <v>-175</v>
      </c>
      <c r="AQ929">
        <v>-133</v>
      </c>
      <c r="AR929">
        <v>0</v>
      </c>
      <c r="AZ929">
        <v>4516</v>
      </c>
      <c r="BA929">
        <v>1</v>
      </c>
      <c r="BB929" t="str">
        <f t="shared" si="92"/>
        <v xml:space="preserve">N79NX   </v>
      </c>
      <c r="BC929">
        <v>1</v>
      </c>
      <c r="BE929">
        <v>0</v>
      </c>
      <c r="BF929">
        <v>0</v>
      </c>
      <c r="BG929">
        <v>0</v>
      </c>
      <c r="BH929">
        <v>3300</v>
      </c>
      <c r="BI929">
        <v>0</v>
      </c>
      <c r="BJ929">
        <v>0</v>
      </c>
      <c r="BK929">
        <v>0</v>
      </c>
      <c r="BL929">
        <v>0</v>
      </c>
      <c r="BO929">
        <v>0</v>
      </c>
      <c r="BP929">
        <v>0</v>
      </c>
      <c r="BW929" t="str">
        <f>"18:40:37.721"</f>
        <v>18:40:37.721</v>
      </c>
      <c r="BZ929">
        <v>0</v>
      </c>
      <c r="CA929">
        <v>4096</v>
      </c>
      <c r="CB929">
        <v>216</v>
      </c>
      <c r="CC929">
        <v>583.59379999999999</v>
      </c>
      <c r="CD929">
        <v>1</v>
      </c>
      <c r="CE929">
        <v>1</v>
      </c>
      <c r="CF929">
        <v>0</v>
      </c>
      <c r="CG929">
        <v>1</v>
      </c>
      <c r="CH929">
        <v>0</v>
      </c>
      <c r="CI929">
        <v>0</v>
      </c>
      <c r="CJ929">
        <v>0</v>
      </c>
      <c r="CK929">
        <v>2</v>
      </c>
      <c r="CL929">
        <v>0</v>
      </c>
      <c r="CM929">
        <v>2</v>
      </c>
      <c r="CN929">
        <v>0</v>
      </c>
      <c r="CO929">
        <v>2</v>
      </c>
      <c r="CP929" t="s">
        <v>119</v>
      </c>
      <c r="CQ929">
        <v>145</v>
      </c>
      <c r="CR929">
        <v>1</v>
      </c>
      <c r="CW929">
        <v>8994978</v>
      </c>
      <c r="CY929">
        <v>0</v>
      </c>
      <c r="CZ929">
        <v>0</v>
      </c>
      <c r="DA929">
        <v>0</v>
      </c>
      <c r="DB929">
        <v>0</v>
      </c>
      <c r="DC929">
        <v>0</v>
      </c>
      <c r="DD929">
        <v>0</v>
      </c>
      <c r="DE929">
        <v>0</v>
      </c>
      <c r="DF929">
        <v>0</v>
      </c>
      <c r="DG929">
        <v>0</v>
      </c>
      <c r="DH929">
        <v>0</v>
      </c>
      <c r="DI929">
        <v>0</v>
      </c>
    </row>
    <row r="930" spans="1:113" x14ac:dyDescent="0.3">
      <c r="A930" t="str">
        <f>"02/13/2022 18:40:37.929"</f>
        <v>02/13/2022 18:40:37.929</v>
      </c>
      <c r="C930" t="str">
        <f t="shared" si="91"/>
        <v>FFDFD7C0</v>
      </c>
      <c r="D930" t="s">
        <v>113</v>
      </c>
      <c r="E930">
        <v>3</v>
      </c>
      <c r="F930">
        <v>1003</v>
      </c>
      <c r="G930" t="s">
        <v>114</v>
      </c>
      <c r="J930" t="s">
        <v>115</v>
      </c>
      <c r="K930">
        <v>0</v>
      </c>
      <c r="L930">
        <v>3</v>
      </c>
      <c r="M930">
        <v>0</v>
      </c>
      <c r="N930">
        <v>2</v>
      </c>
      <c r="O930">
        <v>1</v>
      </c>
      <c r="P930">
        <v>0</v>
      </c>
      <c r="Q930">
        <v>0</v>
      </c>
      <c r="S930" t="str">
        <f>"18:40:37.719"</f>
        <v>18:40:37.719</v>
      </c>
      <c r="T930" t="str">
        <f>"18:40:37.219"</f>
        <v>18:40:37.219</v>
      </c>
      <c r="U930" t="str">
        <f t="shared" si="90"/>
        <v>AAB6EE</v>
      </c>
      <c r="V930">
        <v>0</v>
      </c>
      <c r="W930">
        <v>0</v>
      </c>
      <c r="X930">
        <v>4</v>
      </c>
      <c r="Z930">
        <v>0</v>
      </c>
      <c r="AA930">
        <v>8</v>
      </c>
      <c r="AB930">
        <v>3</v>
      </c>
      <c r="AC930">
        <v>0</v>
      </c>
      <c r="AD930">
        <v>10</v>
      </c>
      <c r="AE930">
        <v>0</v>
      </c>
      <c r="AF930">
        <v>0</v>
      </c>
      <c r="AG930">
        <v>2</v>
      </c>
      <c r="AH930">
        <v>1</v>
      </c>
      <c r="AI930" t="s">
        <v>741</v>
      </c>
      <c r="AJ930">
        <v>35.319028000000003</v>
      </c>
      <c r="AK930" t="s">
        <v>742</v>
      </c>
      <c r="AL930">
        <v>-76.163514000000006</v>
      </c>
      <c r="AM930">
        <v>25</v>
      </c>
      <c r="AN930">
        <v>3450</v>
      </c>
      <c r="AO930" t="s">
        <v>118</v>
      </c>
      <c r="AP930">
        <v>-175</v>
      </c>
      <c r="AQ930">
        <v>-133</v>
      </c>
      <c r="AR930">
        <v>0</v>
      </c>
      <c r="AZ930">
        <v>4516</v>
      </c>
      <c r="BA930">
        <v>1</v>
      </c>
      <c r="BB930" t="str">
        <f t="shared" si="92"/>
        <v xml:space="preserve">N79NX   </v>
      </c>
      <c r="BC930">
        <v>1</v>
      </c>
      <c r="BE930">
        <v>0</v>
      </c>
      <c r="BF930">
        <v>0</v>
      </c>
      <c r="BG930">
        <v>0</v>
      </c>
      <c r="BH930">
        <v>3300</v>
      </c>
      <c r="BI930">
        <v>0</v>
      </c>
      <c r="BJ930">
        <v>0</v>
      </c>
      <c r="BK930">
        <v>0</v>
      </c>
      <c r="BL930">
        <v>0</v>
      </c>
      <c r="BO930">
        <v>0</v>
      </c>
      <c r="BP930">
        <v>0</v>
      </c>
      <c r="BW930" t="str">
        <f>"18:40:37.721"</f>
        <v>18:40:37.721</v>
      </c>
      <c r="BZ930">
        <v>0</v>
      </c>
      <c r="CA930">
        <v>4096</v>
      </c>
      <c r="CB930">
        <v>216</v>
      </c>
      <c r="CC930">
        <v>583.59379999999999</v>
      </c>
      <c r="CD930">
        <v>1</v>
      </c>
      <c r="CE930">
        <v>1</v>
      </c>
      <c r="CF930">
        <v>0</v>
      </c>
      <c r="CG930">
        <v>1</v>
      </c>
      <c r="CH930">
        <v>0</v>
      </c>
      <c r="CI930">
        <v>0</v>
      </c>
      <c r="CJ930">
        <v>0</v>
      </c>
      <c r="CK930">
        <v>2</v>
      </c>
      <c r="CL930">
        <v>0</v>
      </c>
      <c r="CM930">
        <v>2</v>
      </c>
      <c r="CN930">
        <v>0</v>
      </c>
      <c r="CO930">
        <v>2</v>
      </c>
      <c r="CP930" t="s">
        <v>119</v>
      </c>
      <c r="CQ930">
        <v>145</v>
      </c>
      <c r="CR930">
        <v>1</v>
      </c>
      <c r="CW930">
        <v>8994978</v>
      </c>
      <c r="CY930">
        <v>0</v>
      </c>
      <c r="CZ930">
        <v>0</v>
      </c>
      <c r="DA930">
        <v>1</v>
      </c>
      <c r="DB930">
        <v>0</v>
      </c>
      <c r="DC930">
        <v>0</v>
      </c>
      <c r="DD930">
        <v>0</v>
      </c>
      <c r="DE930">
        <v>0</v>
      </c>
      <c r="DF930">
        <v>0</v>
      </c>
      <c r="DG930">
        <v>0</v>
      </c>
      <c r="DH930">
        <v>0</v>
      </c>
      <c r="DI930">
        <v>0</v>
      </c>
    </row>
    <row r="931" spans="1:113" x14ac:dyDescent="0.3">
      <c r="A931" t="str">
        <f>"02/13/2022 18:40:37.929"</f>
        <v>02/13/2022 18:40:37.929</v>
      </c>
      <c r="C931" t="str">
        <f t="shared" si="91"/>
        <v>FFDFD7C0</v>
      </c>
      <c r="D931" t="s">
        <v>113</v>
      </c>
      <c r="E931">
        <v>4</v>
      </c>
      <c r="F931">
        <v>1004</v>
      </c>
      <c r="G931" t="s">
        <v>120</v>
      </c>
      <c r="J931" t="s">
        <v>115</v>
      </c>
      <c r="K931">
        <v>0</v>
      </c>
      <c r="L931">
        <v>3</v>
      </c>
      <c r="M931">
        <v>0</v>
      </c>
      <c r="N931">
        <v>2</v>
      </c>
      <c r="O931">
        <v>1</v>
      </c>
      <c r="P931">
        <v>0</v>
      </c>
      <c r="Q931">
        <v>0</v>
      </c>
      <c r="S931" t="str">
        <f>"18:40:37.719"</f>
        <v>18:40:37.719</v>
      </c>
      <c r="T931" t="str">
        <f>"18:40:37.219"</f>
        <v>18:40:37.219</v>
      </c>
      <c r="U931" t="str">
        <f t="shared" si="90"/>
        <v>AAB6EE</v>
      </c>
      <c r="V931">
        <v>0</v>
      </c>
      <c r="W931">
        <v>0</v>
      </c>
      <c r="X931">
        <v>4</v>
      </c>
      <c r="Z931">
        <v>0</v>
      </c>
      <c r="AA931">
        <v>8</v>
      </c>
      <c r="AB931">
        <v>3</v>
      </c>
      <c r="AC931">
        <v>0</v>
      </c>
      <c r="AD931">
        <v>10</v>
      </c>
      <c r="AE931">
        <v>0</v>
      </c>
      <c r="AF931">
        <v>0</v>
      </c>
      <c r="AG931">
        <v>2</v>
      </c>
      <c r="AH931">
        <v>1</v>
      </c>
      <c r="AI931" t="s">
        <v>741</v>
      </c>
      <c r="AJ931">
        <v>35.319028000000003</v>
      </c>
      <c r="AK931" t="s">
        <v>742</v>
      </c>
      <c r="AL931">
        <v>-76.163514000000006</v>
      </c>
      <c r="AM931">
        <v>25</v>
      </c>
      <c r="AN931">
        <v>3450</v>
      </c>
      <c r="AO931" t="s">
        <v>118</v>
      </c>
      <c r="AP931">
        <v>-175</v>
      </c>
      <c r="AQ931">
        <v>-133</v>
      </c>
      <c r="AR931">
        <v>0</v>
      </c>
      <c r="AZ931">
        <v>4516</v>
      </c>
      <c r="BA931">
        <v>1</v>
      </c>
      <c r="BB931" t="str">
        <f t="shared" si="92"/>
        <v xml:space="preserve">N79NX   </v>
      </c>
      <c r="BC931">
        <v>1</v>
      </c>
      <c r="BE931">
        <v>0</v>
      </c>
      <c r="BF931">
        <v>0</v>
      </c>
      <c r="BG931">
        <v>0</v>
      </c>
      <c r="BH931">
        <v>3300</v>
      </c>
      <c r="BI931">
        <v>0</v>
      </c>
      <c r="BJ931">
        <v>0</v>
      </c>
      <c r="BK931">
        <v>0</v>
      </c>
      <c r="BL931">
        <v>0</v>
      </c>
      <c r="BO931">
        <v>0</v>
      </c>
      <c r="BP931">
        <v>0</v>
      </c>
      <c r="BW931" t="str">
        <f>"18:40:37.721"</f>
        <v>18:40:37.721</v>
      </c>
      <c r="BZ931">
        <v>0</v>
      </c>
      <c r="CA931">
        <v>4096</v>
      </c>
      <c r="CB931">
        <v>216</v>
      </c>
      <c r="CC931">
        <v>583.59379999999999</v>
      </c>
      <c r="CD931">
        <v>1</v>
      </c>
      <c r="CE931">
        <v>1</v>
      </c>
      <c r="CF931">
        <v>0</v>
      </c>
      <c r="CG931">
        <v>1</v>
      </c>
      <c r="CH931">
        <v>0</v>
      </c>
      <c r="CI931">
        <v>0</v>
      </c>
      <c r="CJ931">
        <v>0</v>
      </c>
      <c r="CK931">
        <v>2</v>
      </c>
      <c r="CL931">
        <v>0</v>
      </c>
      <c r="CM931">
        <v>2</v>
      </c>
      <c r="CN931">
        <v>0</v>
      </c>
      <c r="CO931">
        <v>2</v>
      </c>
      <c r="CP931" t="s">
        <v>119</v>
      </c>
      <c r="CQ931">
        <v>145</v>
      </c>
      <c r="CR931">
        <v>1</v>
      </c>
      <c r="CW931">
        <v>8994978</v>
      </c>
      <c r="CY931">
        <v>0</v>
      </c>
      <c r="CZ931">
        <v>0</v>
      </c>
      <c r="DA931">
        <v>1</v>
      </c>
      <c r="DB931">
        <v>0</v>
      </c>
      <c r="DC931">
        <v>0</v>
      </c>
      <c r="DD931">
        <v>0</v>
      </c>
      <c r="DE931">
        <v>0</v>
      </c>
      <c r="DF931">
        <v>0</v>
      </c>
      <c r="DG931">
        <v>0</v>
      </c>
      <c r="DH931">
        <v>0</v>
      </c>
      <c r="DI931">
        <v>0</v>
      </c>
    </row>
    <row r="932" spans="1:113" x14ac:dyDescent="0.3">
      <c r="A932" t="str">
        <f>"02/13/2022 18:40:38.992"</f>
        <v>02/13/2022 18:40:38.992</v>
      </c>
      <c r="C932" t="str">
        <f t="shared" si="91"/>
        <v>FFDFD7C0</v>
      </c>
      <c r="D932" t="s">
        <v>113</v>
      </c>
      <c r="E932">
        <v>3</v>
      </c>
      <c r="F932">
        <v>1003</v>
      </c>
      <c r="G932" t="s">
        <v>114</v>
      </c>
      <c r="J932" t="s">
        <v>115</v>
      </c>
      <c r="K932">
        <v>0</v>
      </c>
      <c r="L932">
        <v>3</v>
      </c>
      <c r="M932">
        <v>0</v>
      </c>
      <c r="N932">
        <v>2</v>
      </c>
      <c r="O932">
        <v>1</v>
      </c>
      <c r="P932">
        <v>0</v>
      </c>
      <c r="Q932">
        <v>0</v>
      </c>
      <c r="S932" t="str">
        <f>"18:40:38.789"</f>
        <v>18:40:38.789</v>
      </c>
      <c r="T932" t="str">
        <f>"18:40:38.589"</f>
        <v>18:40:38.589</v>
      </c>
      <c r="U932" t="str">
        <f t="shared" si="90"/>
        <v>AAB6EE</v>
      </c>
      <c r="V932">
        <v>0</v>
      </c>
      <c r="W932">
        <v>0</v>
      </c>
      <c r="X932">
        <v>4</v>
      </c>
      <c r="Z932">
        <v>0</v>
      </c>
      <c r="AA932">
        <v>8</v>
      </c>
      <c r="AB932">
        <v>3</v>
      </c>
      <c r="AC932">
        <v>0</v>
      </c>
      <c r="AD932">
        <v>10</v>
      </c>
      <c r="AE932">
        <v>0</v>
      </c>
      <c r="AF932">
        <v>0</v>
      </c>
      <c r="AG932">
        <v>2</v>
      </c>
      <c r="AH932">
        <v>1</v>
      </c>
      <c r="AI932" t="s">
        <v>743</v>
      </c>
      <c r="AJ932">
        <v>35.318427</v>
      </c>
      <c r="AK932" t="s">
        <v>744</v>
      </c>
      <c r="AL932">
        <v>-76.164544000000006</v>
      </c>
      <c r="AM932">
        <v>25</v>
      </c>
      <c r="AN932">
        <v>3450</v>
      </c>
      <c r="AO932" t="s">
        <v>118</v>
      </c>
      <c r="AP932">
        <v>-182</v>
      </c>
      <c r="AQ932">
        <v>-122</v>
      </c>
      <c r="AR932">
        <v>0</v>
      </c>
      <c r="AZ932">
        <v>4516</v>
      </c>
      <c r="BA932">
        <v>1</v>
      </c>
      <c r="BB932" t="str">
        <f t="shared" si="92"/>
        <v xml:space="preserve">N79NX   </v>
      </c>
      <c r="BC932">
        <v>1</v>
      </c>
      <c r="BE932">
        <v>0</v>
      </c>
      <c r="BF932">
        <v>0</v>
      </c>
      <c r="BG932">
        <v>0</v>
      </c>
      <c r="BH932">
        <v>3325</v>
      </c>
      <c r="BI932">
        <v>0</v>
      </c>
      <c r="BJ932">
        <v>0</v>
      </c>
      <c r="BK932">
        <v>0</v>
      </c>
      <c r="BL932">
        <v>0</v>
      </c>
      <c r="BO932">
        <v>0</v>
      </c>
      <c r="BP932">
        <v>0</v>
      </c>
      <c r="BW932" t="str">
        <f>"18:40:38.791"</f>
        <v>18:40:38.791</v>
      </c>
      <c r="BZ932">
        <v>0</v>
      </c>
      <c r="CA932">
        <v>4096</v>
      </c>
      <c r="CB932">
        <v>216</v>
      </c>
      <c r="CC932">
        <v>487.96879999999999</v>
      </c>
      <c r="CD932">
        <v>1</v>
      </c>
      <c r="CE932">
        <v>1</v>
      </c>
      <c r="CF932">
        <v>0</v>
      </c>
      <c r="CG932">
        <v>1</v>
      </c>
      <c r="CH932">
        <v>0</v>
      </c>
      <c r="CI932">
        <v>0</v>
      </c>
      <c r="CJ932">
        <v>0</v>
      </c>
      <c r="CK932">
        <v>2</v>
      </c>
      <c r="CL932">
        <v>0</v>
      </c>
      <c r="CM932">
        <v>2</v>
      </c>
      <c r="CN932">
        <v>0</v>
      </c>
      <c r="CO932">
        <v>2</v>
      </c>
      <c r="CP932" t="s">
        <v>119</v>
      </c>
      <c r="CQ932">
        <v>145</v>
      </c>
      <c r="CR932">
        <v>1</v>
      </c>
      <c r="CW932">
        <v>8995486</v>
      </c>
      <c r="CY932">
        <v>0</v>
      </c>
      <c r="CZ932">
        <v>0</v>
      </c>
      <c r="DA932">
        <v>0</v>
      </c>
      <c r="DB932">
        <v>0</v>
      </c>
      <c r="DC932">
        <v>0</v>
      </c>
      <c r="DD932">
        <v>0</v>
      </c>
      <c r="DE932">
        <v>0</v>
      </c>
      <c r="DF932">
        <v>0</v>
      </c>
      <c r="DG932">
        <v>0</v>
      </c>
      <c r="DH932">
        <v>0</v>
      </c>
      <c r="DI932">
        <v>0</v>
      </c>
    </row>
    <row r="933" spans="1:113" x14ac:dyDescent="0.3">
      <c r="A933" t="str">
        <f>"02/13/2022 18:40:38.992"</f>
        <v>02/13/2022 18:40:38.992</v>
      </c>
      <c r="C933" t="str">
        <f t="shared" si="91"/>
        <v>FFDFD7C0</v>
      </c>
      <c r="D933" t="s">
        <v>121</v>
      </c>
      <c r="E933">
        <v>2</v>
      </c>
      <c r="H933">
        <v>158</v>
      </c>
      <c r="I933" t="s">
        <v>120</v>
      </c>
      <c r="J933" t="s">
        <v>122</v>
      </c>
      <c r="K933">
        <v>0</v>
      </c>
      <c r="L933">
        <v>3</v>
      </c>
      <c r="M933">
        <v>0</v>
      </c>
      <c r="N933">
        <v>2</v>
      </c>
      <c r="O933">
        <v>1</v>
      </c>
      <c r="P933">
        <v>0</v>
      </c>
      <c r="Q933">
        <v>0</v>
      </c>
      <c r="S933" t="str">
        <f>"18:40:38.789"</f>
        <v>18:40:38.789</v>
      </c>
      <c r="T933" t="str">
        <f>"18:40:38.589"</f>
        <v>18:40:38.589</v>
      </c>
      <c r="U933" t="str">
        <f t="shared" si="90"/>
        <v>AAB6EE</v>
      </c>
      <c r="V933">
        <v>0</v>
      </c>
      <c r="W933">
        <v>0</v>
      </c>
      <c r="X933">
        <v>4</v>
      </c>
      <c r="Z933">
        <v>0</v>
      </c>
      <c r="AA933">
        <v>8</v>
      </c>
      <c r="AB933">
        <v>3</v>
      </c>
      <c r="AC933">
        <v>0</v>
      </c>
      <c r="AD933">
        <v>10</v>
      </c>
      <c r="AE933">
        <v>0</v>
      </c>
      <c r="AF933">
        <v>0</v>
      </c>
      <c r="AG933">
        <v>2</v>
      </c>
      <c r="AH933">
        <v>1</v>
      </c>
      <c r="AI933" t="s">
        <v>743</v>
      </c>
      <c r="AJ933">
        <v>35.318427</v>
      </c>
      <c r="AK933" t="s">
        <v>744</v>
      </c>
      <c r="AL933">
        <v>-76.164544000000006</v>
      </c>
      <c r="AM933">
        <v>25</v>
      </c>
      <c r="AN933">
        <v>3450</v>
      </c>
      <c r="AO933" t="s">
        <v>118</v>
      </c>
      <c r="AP933">
        <v>-182</v>
      </c>
      <c r="AQ933">
        <v>-122</v>
      </c>
      <c r="AR933">
        <v>0</v>
      </c>
      <c r="AZ933">
        <v>4516</v>
      </c>
      <c r="BA933">
        <v>1</v>
      </c>
      <c r="BB933" t="str">
        <f t="shared" si="92"/>
        <v xml:space="preserve">N79NX   </v>
      </c>
      <c r="BC933">
        <v>1</v>
      </c>
      <c r="BE933">
        <v>0</v>
      </c>
      <c r="BF933">
        <v>0</v>
      </c>
      <c r="BG933">
        <v>0</v>
      </c>
      <c r="BH933">
        <v>3325</v>
      </c>
      <c r="BI933">
        <v>0</v>
      </c>
      <c r="BJ933">
        <v>0</v>
      </c>
      <c r="BK933">
        <v>0</v>
      </c>
      <c r="BL933">
        <v>0</v>
      </c>
      <c r="BO933">
        <v>0</v>
      </c>
      <c r="BP933">
        <v>0</v>
      </c>
      <c r="BW933" t="str">
        <f>"18:40:38.791"</f>
        <v>18:40:38.791</v>
      </c>
      <c r="BZ933">
        <v>0</v>
      </c>
      <c r="CA933">
        <v>4096</v>
      </c>
      <c r="CB933">
        <v>216</v>
      </c>
      <c r="CC933">
        <v>487.96879999999999</v>
      </c>
      <c r="CD933">
        <v>1</v>
      </c>
      <c r="CE933">
        <v>1</v>
      </c>
      <c r="CF933">
        <v>0</v>
      </c>
      <c r="CG933">
        <v>1</v>
      </c>
      <c r="CH933">
        <v>0</v>
      </c>
      <c r="CI933">
        <v>0</v>
      </c>
      <c r="CJ933">
        <v>0</v>
      </c>
      <c r="CK933">
        <v>2</v>
      </c>
      <c r="CL933">
        <v>0</v>
      </c>
      <c r="CM933">
        <v>2</v>
      </c>
      <c r="CN933">
        <v>0</v>
      </c>
      <c r="CO933">
        <v>2</v>
      </c>
      <c r="CP933" t="s">
        <v>119</v>
      </c>
      <c r="CQ933">
        <v>145</v>
      </c>
      <c r="CR933">
        <v>1</v>
      </c>
      <c r="CW933">
        <v>8995486</v>
      </c>
      <c r="CY933">
        <v>0</v>
      </c>
      <c r="CZ933">
        <v>0</v>
      </c>
      <c r="DA933">
        <v>1</v>
      </c>
      <c r="DB933">
        <v>0</v>
      </c>
      <c r="DC933">
        <v>0</v>
      </c>
      <c r="DD933">
        <v>0</v>
      </c>
      <c r="DE933">
        <v>0</v>
      </c>
      <c r="DF933">
        <v>0</v>
      </c>
      <c r="DG933">
        <v>0</v>
      </c>
      <c r="DH933">
        <v>0</v>
      </c>
      <c r="DI933">
        <v>0</v>
      </c>
    </row>
    <row r="934" spans="1:113" x14ac:dyDescent="0.3">
      <c r="A934" t="str">
        <f>"02/13/2022 18:40:38.992"</f>
        <v>02/13/2022 18:40:38.992</v>
      </c>
      <c r="C934" t="str">
        <f t="shared" si="91"/>
        <v>FFDFD7C0</v>
      </c>
      <c r="D934" t="s">
        <v>113</v>
      </c>
      <c r="E934">
        <v>4</v>
      </c>
      <c r="F934">
        <v>1004</v>
      </c>
      <c r="G934" t="s">
        <v>120</v>
      </c>
      <c r="J934" t="s">
        <v>115</v>
      </c>
      <c r="K934">
        <v>0</v>
      </c>
      <c r="L934">
        <v>3</v>
      </c>
      <c r="M934">
        <v>0</v>
      </c>
      <c r="N934">
        <v>2</v>
      </c>
      <c r="O934">
        <v>1</v>
      </c>
      <c r="P934">
        <v>0</v>
      </c>
      <c r="Q934">
        <v>0</v>
      </c>
      <c r="S934" t="str">
        <f>"18:40:38.789"</f>
        <v>18:40:38.789</v>
      </c>
      <c r="T934" t="str">
        <f>"18:40:38.589"</f>
        <v>18:40:38.589</v>
      </c>
      <c r="U934" t="str">
        <f t="shared" si="90"/>
        <v>AAB6EE</v>
      </c>
      <c r="V934">
        <v>0</v>
      </c>
      <c r="W934">
        <v>0</v>
      </c>
      <c r="X934">
        <v>4</v>
      </c>
      <c r="Z934">
        <v>0</v>
      </c>
      <c r="AA934">
        <v>8</v>
      </c>
      <c r="AB934">
        <v>3</v>
      </c>
      <c r="AC934">
        <v>0</v>
      </c>
      <c r="AD934">
        <v>10</v>
      </c>
      <c r="AE934">
        <v>0</v>
      </c>
      <c r="AF934">
        <v>0</v>
      </c>
      <c r="AG934">
        <v>2</v>
      </c>
      <c r="AH934">
        <v>1</v>
      </c>
      <c r="AI934" t="s">
        <v>743</v>
      </c>
      <c r="AJ934">
        <v>35.318427</v>
      </c>
      <c r="AK934" t="s">
        <v>744</v>
      </c>
      <c r="AL934">
        <v>-76.164544000000006</v>
      </c>
      <c r="AM934">
        <v>25</v>
      </c>
      <c r="AN934">
        <v>3450</v>
      </c>
      <c r="AO934" t="s">
        <v>118</v>
      </c>
      <c r="AP934">
        <v>-182</v>
      </c>
      <c r="AQ934">
        <v>-122</v>
      </c>
      <c r="AR934">
        <v>0</v>
      </c>
      <c r="AZ934">
        <v>4516</v>
      </c>
      <c r="BA934">
        <v>1</v>
      </c>
      <c r="BB934" t="str">
        <f t="shared" si="92"/>
        <v xml:space="preserve">N79NX   </v>
      </c>
      <c r="BC934">
        <v>1</v>
      </c>
      <c r="BE934">
        <v>0</v>
      </c>
      <c r="BF934">
        <v>0</v>
      </c>
      <c r="BG934">
        <v>0</v>
      </c>
      <c r="BH934">
        <v>3325</v>
      </c>
      <c r="BI934">
        <v>0</v>
      </c>
      <c r="BJ934">
        <v>0</v>
      </c>
      <c r="BK934">
        <v>0</v>
      </c>
      <c r="BL934">
        <v>0</v>
      </c>
      <c r="BO934">
        <v>0</v>
      </c>
      <c r="BP934">
        <v>0</v>
      </c>
      <c r="BW934" t="str">
        <f>"18:40:38.791"</f>
        <v>18:40:38.791</v>
      </c>
      <c r="BZ934">
        <v>0</v>
      </c>
      <c r="CA934">
        <v>4096</v>
      </c>
      <c r="CB934">
        <v>216</v>
      </c>
      <c r="CC934">
        <v>487.96879999999999</v>
      </c>
      <c r="CD934">
        <v>1</v>
      </c>
      <c r="CE934">
        <v>1</v>
      </c>
      <c r="CF934">
        <v>0</v>
      </c>
      <c r="CG934">
        <v>1</v>
      </c>
      <c r="CH934">
        <v>0</v>
      </c>
      <c r="CI934">
        <v>0</v>
      </c>
      <c r="CJ934">
        <v>0</v>
      </c>
      <c r="CK934">
        <v>2</v>
      </c>
      <c r="CL934">
        <v>0</v>
      </c>
      <c r="CM934">
        <v>2</v>
      </c>
      <c r="CN934">
        <v>0</v>
      </c>
      <c r="CO934">
        <v>2</v>
      </c>
      <c r="CP934" t="s">
        <v>119</v>
      </c>
      <c r="CQ934">
        <v>145</v>
      </c>
      <c r="CR934">
        <v>1</v>
      </c>
      <c r="CW934">
        <v>8995486</v>
      </c>
      <c r="CY934">
        <v>0</v>
      </c>
      <c r="CZ934">
        <v>0</v>
      </c>
      <c r="DA934">
        <v>1</v>
      </c>
      <c r="DB934">
        <v>0</v>
      </c>
      <c r="DC934">
        <v>0</v>
      </c>
      <c r="DD934">
        <v>0</v>
      </c>
      <c r="DE934">
        <v>0</v>
      </c>
      <c r="DF934">
        <v>0</v>
      </c>
      <c r="DG934">
        <v>0</v>
      </c>
      <c r="DH934">
        <v>0</v>
      </c>
      <c r="DI934">
        <v>0</v>
      </c>
    </row>
    <row r="935" spans="1:113" x14ac:dyDescent="0.3">
      <c r="A935" t="str">
        <f>"02/13/2022 18:40:39.916"</f>
        <v>02/13/2022 18:40:39.916</v>
      </c>
      <c r="C935" t="str">
        <f t="shared" si="91"/>
        <v>FFDFD7C0</v>
      </c>
      <c r="D935" t="s">
        <v>113</v>
      </c>
      <c r="E935">
        <v>4</v>
      </c>
      <c r="F935">
        <v>1004</v>
      </c>
      <c r="G935" t="s">
        <v>120</v>
      </c>
      <c r="J935" t="s">
        <v>115</v>
      </c>
      <c r="K935">
        <v>0</v>
      </c>
      <c r="L935">
        <v>3</v>
      </c>
      <c r="M935">
        <v>0</v>
      </c>
      <c r="N935">
        <v>2</v>
      </c>
      <c r="O935">
        <v>1</v>
      </c>
      <c r="P935">
        <v>0</v>
      </c>
      <c r="Q935">
        <v>0</v>
      </c>
      <c r="S935" t="str">
        <f>"18:40:39.656"</f>
        <v>18:40:39.656</v>
      </c>
      <c r="T935" t="str">
        <f>"18:40:39.556"</f>
        <v>18:40:39.556</v>
      </c>
      <c r="U935" t="str">
        <f t="shared" si="90"/>
        <v>AAB6EE</v>
      </c>
      <c r="V935">
        <v>0</v>
      </c>
      <c r="W935">
        <v>0</v>
      </c>
      <c r="X935">
        <v>4</v>
      </c>
      <c r="Z935">
        <v>0</v>
      </c>
      <c r="AA935">
        <v>8</v>
      </c>
      <c r="AB935">
        <v>3</v>
      </c>
      <c r="AC935">
        <v>0</v>
      </c>
      <c r="AD935">
        <v>10</v>
      </c>
      <c r="AE935">
        <v>0</v>
      </c>
      <c r="AF935">
        <v>0</v>
      </c>
      <c r="AG935">
        <v>2</v>
      </c>
      <c r="AH935">
        <v>1</v>
      </c>
      <c r="AI935" t="s">
        <v>745</v>
      </c>
      <c r="AJ935">
        <v>35.317976000000002</v>
      </c>
      <c r="AK935" t="s">
        <v>746</v>
      </c>
      <c r="AL935">
        <v>-76.165531000000001</v>
      </c>
      <c r="AM935">
        <v>25</v>
      </c>
      <c r="AN935">
        <v>3450</v>
      </c>
      <c r="AO935" t="s">
        <v>118</v>
      </c>
      <c r="AP935">
        <v>-187</v>
      </c>
      <c r="AQ935">
        <v>-115</v>
      </c>
      <c r="AR935">
        <v>64</v>
      </c>
      <c r="AZ935">
        <v>4516</v>
      </c>
      <c r="BA935">
        <v>1</v>
      </c>
      <c r="BB935" t="str">
        <f t="shared" si="92"/>
        <v xml:space="preserve">N79NX   </v>
      </c>
      <c r="BC935">
        <v>1</v>
      </c>
      <c r="BE935">
        <v>0</v>
      </c>
      <c r="BF935">
        <v>0</v>
      </c>
      <c r="BG935">
        <v>0</v>
      </c>
      <c r="BH935">
        <v>3300</v>
      </c>
      <c r="BI935">
        <v>0</v>
      </c>
      <c r="BJ935">
        <v>0</v>
      </c>
      <c r="BK935">
        <v>0</v>
      </c>
      <c r="BL935">
        <v>0</v>
      </c>
      <c r="BO935">
        <v>0</v>
      </c>
      <c r="BP935">
        <v>0</v>
      </c>
      <c r="BW935" t="str">
        <f>"18:40:39.661"</f>
        <v>18:40:39.661</v>
      </c>
      <c r="BZ935">
        <v>0</v>
      </c>
      <c r="CA935">
        <v>4096</v>
      </c>
      <c r="CB935">
        <v>216</v>
      </c>
      <c r="CC935">
        <v>487.96879999999999</v>
      </c>
      <c r="CD935">
        <v>1</v>
      </c>
      <c r="CE935">
        <v>1</v>
      </c>
      <c r="CF935">
        <v>0</v>
      </c>
      <c r="CG935">
        <v>1</v>
      </c>
      <c r="CH935">
        <v>0</v>
      </c>
      <c r="CI935">
        <v>0</v>
      </c>
      <c r="CJ935">
        <v>0</v>
      </c>
      <c r="CK935">
        <v>2</v>
      </c>
      <c r="CL935">
        <v>0</v>
      </c>
      <c r="CM935">
        <v>2</v>
      </c>
      <c r="CN935">
        <v>0</v>
      </c>
      <c r="CO935">
        <v>1</v>
      </c>
      <c r="CP935" t="s">
        <v>119</v>
      </c>
      <c r="CQ935">
        <v>145</v>
      </c>
      <c r="CR935">
        <v>1</v>
      </c>
      <c r="CW935">
        <v>8995909</v>
      </c>
      <c r="CY935">
        <v>0</v>
      </c>
      <c r="CZ935">
        <v>0</v>
      </c>
      <c r="DA935">
        <v>0</v>
      </c>
      <c r="DB935">
        <v>0</v>
      </c>
      <c r="DC935">
        <v>0</v>
      </c>
      <c r="DD935">
        <v>0</v>
      </c>
      <c r="DE935">
        <v>0</v>
      </c>
      <c r="DF935">
        <v>0</v>
      </c>
      <c r="DG935">
        <v>0</v>
      </c>
      <c r="DH935">
        <v>0</v>
      </c>
      <c r="DI935">
        <v>0</v>
      </c>
    </row>
    <row r="936" spans="1:113" x14ac:dyDescent="0.3">
      <c r="A936" t="str">
        <f>"02/13/2022 18:40:39.916"</f>
        <v>02/13/2022 18:40:39.916</v>
      </c>
      <c r="C936" t="str">
        <f t="shared" si="91"/>
        <v>FFDFD7C0</v>
      </c>
      <c r="D936" t="s">
        <v>113</v>
      </c>
      <c r="E936">
        <v>3</v>
      </c>
      <c r="F936">
        <v>1003</v>
      </c>
      <c r="G936" t="s">
        <v>114</v>
      </c>
      <c r="J936" t="s">
        <v>115</v>
      </c>
      <c r="K936">
        <v>0</v>
      </c>
      <c r="L936">
        <v>3</v>
      </c>
      <c r="M936">
        <v>0</v>
      </c>
      <c r="N936">
        <v>2</v>
      </c>
      <c r="O936">
        <v>1</v>
      </c>
      <c r="P936">
        <v>0</v>
      </c>
      <c r="Q936">
        <v>0</v>
      </c>
      <c r="S936" t="str">
        <f>"18:40:39.656"</f>
        <v>18:40:39.656</v>
      </c>
      <c r="T936" t="str">
        <f>"18:40:39.556"</f>
        <v>18:40:39.556</v>
      </c>
      <c r="U936" t="str">
        <f t="shared" si="90"/>
        <v>AAB6EE</v>
      </c>
      <c r="V936">
        <v>0</v>
      </c>
      <c r="W936">
        <v>0</v>
      </c>
      <c r="X936">
        <v>4</v>
      </c>
      <c r="Z936">
        <v>0</v>
      </c>
      <c r="AA936">
        <v>8</v>
      </c>
      <c r="AB936">
        <v>3</v>
      </c>
      <c r="AC936">
        <v>0</v>
      </c>
      <c r="AD936">
        <v>10</v>
      </c>
      <c r="AE936">
        <v>0</v>
      </c>
      <c r="AF936">
        <v>0</v>
      </c>
      <c r="AG936">
        <v>2</v>
      </c>
      <c r="AH936">
        <v>1</v>
      </c>
      <c r="AI936" t="s">
        <v>745</v>
      </c>
      <c r="AJ936">
        <v>35.317976000000002</v>
      </c>
      <c r="AK936" t="s">
        <v>746</v>
      </c>
      <c r="AL936">
        <v>-76.165531000000001</v>
      </c>
      <c r="AM936">
        <v>25</v>
      </c>
      <c r="AN936">
        <v>3450</v>
      </c>
      <c r="AO936" t="s">
        <v>118</v>
      </c>
      <c r="AP936">
        <v>-187</v>
      </c>
      <c r="AQ936">
        <v>-115</v>
      </c>
      <c r="AR936">
        <v>64</v>
      </c>
      <c r="AZ936">
        <v>4516</v>
      </c>
      <c r="BA936">
        <v>1</v>
      </c>
      <c r="BB936" t="str">
        <f t="shared" si="92"/>
        <v xml:space="preserve">N79NX   </v>
      </c>
      <c r="BC936">
        <v>1</v>
      </c>
      <c r="BE936">
        <v>0</v>
      </c>
      <c r="BF936">
        <v>0</v>
      </c>
      <c r="BG936">
        <v>0</v>
      </c>
      <c r="BH936">
        <v>3300</v>
      </c>
      <c r="BI936">
        <v>0</v>
      </c>
      <c r="BJ936">
        <v>0</v>
      </c>
      <c r="BK936">
        <v>0</v>
      </c>
      <c r="BL936">
        <v>0</v>
      </c>
      <c r="BO936">
        <v>0</v>
      </c>
      <c r="BP936">
        <v>0</v>
      </c>
      <c r="BW936" t="str">
        <f>"18:40:39.661"</f>
        <v>18:40:39.661</v>
      </c>
      <c r="BZ936">
        <v>0</v>
      </c>
      <c r="CA936">
        <v>4096</v>
      </c>
      <c r="CB936">
        <v>216</v>
      </c>
      <c r="CC936">
        <v>487.96879999999999</v>
      </c>
      <c r="CD936">
        <v>1</v>
      </c>
      <c r="CE936">
        <v>1</v>
      </c>
      <c r="CF936">
        <v>0</v>
      </c>
      <c r="CG936">
        <v>1</v>
      </c>
      <c r="CH936">
        <v>0</v>
      </c>
      <c r="CI936">
        <v>0</v>
      </c>
      <c r="CJ936">
        <v>0</v>
      </c>
      <c r="CK936">
        <v>2</v>
      </c>
      <c r="CL936">
        <v>0</v>
      </c>
      <c r="CM936">
        <v>2</v>
      </c>
      <c r="CN936">
        <v>0</v>
      </c>
      <c r="CO936">
        <v>1</v>
      </c>
      <c r="CP936" t="s">
        <v>119</v>
      </c>
      <c r="CQ936">
        <v>145</v>
      </c>
      <c r="CR936">
        <v>1</v>
      </c>
      <c r="CW936">
        <v>8995909</v>
      </c>
      <c r="CY936">
        <v>0</v>
      </c>
      <c r="CZ936">
        <v>0</v>
      </c>
      <c r="DA936">
        <v>1</v>
      </c>
      <c r="DB936">
        <v>0</v>
      </c>
      <c r="DC936">
        <v>0</v>
      </c>
      <c r="DD936">
        <v>0</v>
      </c>
      <c r="DE936">
        <v>0</v>
      </c>
      <c r="DF936">
        <v>0</v>
      </c>
      <c r="DG936">
        <v>0</v>
      </c>
      <c r="DH936">
        <v>0</v>
      </c>
      <c r="DI936">
        <v>0</v>
      </c>
    </row>
    <row r="937" spans="1:113" x14ac:dyDescent="0.3">
      <c r="A937" t="str">
        <f>"02/13/2022 18:40:39.916"</f>
        <v>02/13/2022 18:40:39.916</v>
      </c>
      <c r="C937" t="str">
        <f t="shared" si="91"/>
        <v>FFDFD7C0</v>
      </c>
      <c r="D937" t="s">
        <v>121</v>
      </c>
      <c r="E937">
        <v>2</v>
      </c>
      <c r="H937">
        <v>158</v>
      </c>
      <c r="I937" t="s">
        <v>120</v>
      </c>
      <c r="J937" t="s">
        <v>122</v>
      </c>
      <c r="K937">
        <v>0</v>
      </c>
      <c r="L937">
        <v>3</v>
      </c>
      <c r="M937">
        <v>0</v>
      </c>
      <c r="N937">
        <v>2</v>
      </c>
      <c r="O937">
        <v>1</v>
      </c>
      <c r="P937">
        <v>0</v>
      </c>
      <c r="Q937">
        <v>0</v>
      </c>
      <c r="S937" t="str">
        <f>"18:40:39.656"</f>
        <v>18:40:39.656</v>
      </c>
      <c r="T937" t="str">
        <f>"18:40:39.556"</f>
        <v>18:40:39.556</v>
      </c>
      <c r="U937" t="str">
        <f t="shared" si="90"/>
        <v>AAB6EE</v>
      </c>
      <c r="V937">
        <v>0</v>
      </c>
      <c r="W937">
        <v>0</v>
      </c>
      <c r="X937">
        <v>4</v>
      </c>
      <c r="Z937">
        <v>0</v>
      </c>
      <c r="AA937">
        <v>8</v>
      </c>
      <c r="AB937">
        <v>3</v>
      </c>
      <c r="AC937">
        <v>0</v>
      </c>
      <c r="AD937">
        <v>10</v>
      </c>
      <c r="AE937">
        <v>0</v>
      </c>
      <c r="AF937">
        <v>0</v>
      </c>
      <c r="AG937">
        <v>2</v>
      </c>
      <c r="AH937">
        <v>1</v>
      </c>
      <c r="AI937" t="s">
        <v>745</v>
      </c>
      <c r="AJ937">
        <v>35.317976000000002</v>
      </c>
      <c r="AK937" t="s">
        <v>746</v>
      </c>
      <c r="AL937">
        <v>-76.165531000000001</v>
      </c>
      <c r="AM937">
        <v>25</v>
      </c>
      <c r="AN937">
        <v>3450</v>
      </c>
      <c r="AO937" t="s">
        <v>118</v>
      </c>
      <c r="AP937">
        <v>-187</v>
      </c>
      <c r="AQ937">
        <v>-115</v>
      </c>
      <c r="AR937">
        <v>64</v>
      </c>
      <c r="AZ937">
        <v>4516</v>
      </c>
      <c r="BA937">
        <v>1</v>
      </c>
      <c r="BB937" t="str">
        <f t="shared" si="92"/>
        <v xml:space="preserve">N79NX   </v>
      </c>
      <c r="BC937">
        <v>1</v>
      </c>
      <c r="BE937">
        <v>0</v>
      </c>
      <c r="BF937">
        <v>0</v>
      </c>
      <c r="BG937">
        <v>0</v>
      </c>
      <c r="BH937">
        <v>3300</v>
      </c>
      <c r="BI937">
        <v>0</v>
      </c>
      <c r="BJ937">
        <v>0</v>
      </c>
      <c r="BK937">
        <v>0</v>
      </c>
      <c r="BL937">
        <v>0</v>
      </c>
      <c r="BO937">
        <v>0</v>
      </c>
      <c r="BP937">
        <v>0</v>
      </c>
      <c r="BW937" t="str">
        <f>"18:40:39.661"</f>
        <v>18:40:39.661</v>
      </c>
      <c r="BZ937">
        <v>0</v>
      </c>
      <c r="CA937">
        <v>4096</v>
      </c>
      <c r="CB937">
        <v>216</v>
      </c>
      <c r="CC937">
        <v>487.96879999999999</v>
      </c>
      <c r="CD937">
        <v>1</v>
      </c>
      <c r="CE937">
        <v>1</v>
      </c>
      <c r="CF937">
        <v>0</v>
      </c>
      <c r="CG937">
        <v>1</v>
      </c>
      <c r="CH937">
        <v>0</v>
      </c>
      <c r="CI937">
        <v>0</v>
      </c>
      <c r="CJ937">
        <v>0</v>
      </c>
      <c r="CK937">
        <v>2</v>
      </c>
      <c r="CL937">
        <v>0</v>
      </c>
      <c r="CM937">
        <v>2</v>
      </c>
      <c r="CN937">
        <v>0</v>
      </c>
      <c r="CO937">
        <v>1</v>
      </c>
      <c r="CP937" t="s">
        <v>119</v>
      </c>
      <c r="CQ937">
        <v>145</v>
      </c>
      <c r="CR937">
        <v>1</v>
      </c>
      <c r="CW937">
        <v>8995909</v>
      </c>
      <c r="CY937">
        <v>0</v>
      </c>
      <c r="CZ937">
        <v>0</v>
      </c>
      <c r="DA937">
        <v>1</v>
      </c>
      <c r="DB937">
        <v>0</v>
      </c>
      <c r="DC937">
        <v>0</v>
      </c>
      <c r="DD937">
        <v>0</v>
      </c>
      <c r="DE937">
        <v>0</v>
      </c>
      <c r="DF937">
        <v>0</v>
      </c>
      <c r="DG937">
        <v>0</v>
      </c>
      <c r="DH937">
        <v>0</v>
      </c>
      <c r="DI937">
        <v>0</v>
      </c>
    </row>
    <row r="938" spans="1:113" x14ac:dyDescent="0.3">
      <c r="A938" t="str">
        <f>"02/13/2022 18:40:40.870"</f>
        <v>02/13/2022 18:40:40.870</v>
      </c>
      <c r="C938" t="str">
        <f t="shared" si="91"/>
        <v>FFDFD7C0</v>
      </c>
      <c r="D938" t="s">
        <v>113</v>
      </c>
      <c r="E938">
        <v>3</v>
      </c>
      <c r="F938">
        <v>1003</v>
      </c>
      <c r="G938" t="s">
        <v>114</v>
      </c>
      <c r="J938" t="s">
        <v>115</v>
      </c>
      <c r="K938">
        <v>0</v>
      </c>
      <c r="L938">
        <v>3</v>
      </c>
      <c r="M938">
        <v>0</v>
      </c>
      <c r="N938">
        <v>2</v>
      </c>
      <c r="O938">
        <v>1</v>
      </c>
      <c r="P938">
        <v>0</v>
      </c>
      <c r="Q938">
        <v>0</v>
      </c>
      <c r="S938" t="str">
        <f t="shared" ref="S938:T940" si="95">"18:40:40.586"</f>
        <v>18:40:40.586</v>
      </c>
      <c r="T938" t="str">
        <f t="shared" si="95"/>
        <v>18:40:40.586</v>
      </c>
      <c r="U938" t="str">
        <f t="shared" si="90"/>
        <v>AAB6EE</v>
      </c>
      <c r="V938">
        <v>0</v>
      </c>
      <c r="W938">
        <v>0</v>
      </c>
      <c r="X938">
        <v>4</v>
      </c>
      <c r="Z938">
        <v>0</v>
      </c>
      <c r="AA938">
        <v>8</v>
      </c>
      <c r="AB938">
        <v>3</v>
      </c>
      <c r="AC938">
        <v>0</v>
      </c>
      <c r="AD938">
        <v>10</v>
      </c>
      <c r="AE938">
        <v>0</v>
      </c>
      <c r="AF938">
        <v>0</v>
      </c>
      <c r="AG938">
        <v>2</v>
      </c>
      <c r="AH938">
        <v>1</v>
      </c>
      <c r="AI938" t="s">
        <v>747</v>
      </c>
      <c r="AJ938">
        <v>35.317526000000001</v>
      </c>
      <c r="AK938" t="s">
        <v>748</v>
      </c>
      <c r="AL938">
        <v>-76.166495999999995</v>
      </c>
      <c r="AM938">
        <v>25</v>
      </c>
      <c r="AN938">
        <v>3450</v>
      </c>
      <c r="AO938" t="s">
        <v>118</v>
      </c>
      <c r="AP938">
        <v>-191</v>
      </c>
      <c r="AQ938">
        <v>-109</v>
      </c>
      <c r="AR938">
        <v>64</v>
      </c>
      <c r="AZ938">
        <v>4516</v>
      </c>
      <c r="BA938">
        <v>1</v>
      </c>
      <c r="BB938" t="str">
        <f t="shared" si="92"/>
        <v xml:space="preserve">N79NX   </v>
      </c>
      <c r="BC938">
        <v>1</v>
      </c>
      <c r="BE938">
        <v>0</v>
      </c>
      <c r="BF938">
        <v>0</v>
      </c>
      <c r="BG938">
        <v>0</v>
      </c>
      <c r="BH938">
        <v>3300</v>
      </c>
      <c r="BI938">
        <v>0</v>
      </c>
      <c r="BJ938">
        <v>0</v>
      </c>
      <c r="BK938">
        <v>0</v>
      </c>
      <c r="BL938">
        <v>0</v>
      </c>
      <c r="BO938">
        <v>0</v>
      </c>
      <c r="BP938">
        <v>0</v>
      </c>
      <c r="BW938" t="str">
        <f>"18:40:40.591"</f>
        <v>18:40:40.591</v>
      </c>
      <c r="BZ938">
        <v>0</v>
      </c>
      <c r="CA938">
        <v>4096</v>
      </c>
      <c r="CB938">
        <v>216</v>
      </c>
      <c r="CC938">
        <v>472.5</v>
      </c>
      <c r="CD938">
        <v>1</v>
      </c>
      <c r="CE938">
        <v>1</v>
      </c>
      <c r="CF938">
        <v>0</v>
      </c>
      <c r="CG938">
        <v>1</v>
      </c>
      <c r="CH938">
        <v>0</v>
      </c>
      <c r="CI938">
        <v>0</v>
      </c>
      <c r="CJ938">
        <v>0</v>
      </c>
      <c r="CK938">
        <v>2</v>
      </c>
      <c r="CL938">
        <v>0</v>
      </c>
      <c r="CM938">
        <v>2</v>
      </c>
      <c r="CN938">
        <v>0</v>
      </c>
      <c r="CO938">
        <v>2</v>
      </c>
      <c r="CP938" t="s">
        <v>119</v>
      </c>
      <c r="CQ938">
        <v>145</v>
      </c>
      <c r="CR938">
        <v>1</v>
      </c>
      <c r="CW938">
        <v>8996303</v>
      </c>
      <c r="CY938">
        <v>0</v>
      </c>
      <c r="CZ938">
        <v>0</v>
      </c>
      <c r="DA938">
        <v>0</v>
      </c>
      <c r="DB938">
        <v>0</v>
      </c>
      <c r="DC938">
        <v>0</v>
      </c>
      <c r="DD938">
        <v>0</v>
      </c>
      <c r="DE938">
        <v>0</v>
      </c>
      <c r="DF938">
        <v>0</v>
      </c>
      <c r="DG938">
        <v>0</v>
      </c>
      <c r="DH938">
        <v>0</v>
      </c>
      <c r="DI938">
        <v>0</v>
      </c>
    </row>
    <row r="939" spans="1:113" x14ac:dyDescent="0.3">
      <c r="A939" t="str">
        <f>"02/13/2022 18:40:40.870"</f>
        <v>02/13/2022 18:40:40.870</v>
      </c>
      <c r="C939" t="str">
        <f t="shared" si="91"/>
        <v>FFDFD7C0</v>
      </c>
      <c r="D939" t="s">
        <v>113</v>
      </c>
      <c r="E939">
        <v>4</v>
      </c>
      <c r="F939">
        <v>1004</v>
      </c>
      <c r="G939" t="s">
        <v>120</v>
      </c>
      <c r="J939" t="s">
        <v>115</v>
      </c>
      <c r="K939">
        <v>0</v>
      </c>
      <c r="L939">
        <v>3</v>
      </c>
      <c r="M939">
        <v>0</v>
      </c>
      <c r="N939">
        <v>2</v>
      </c>
      <c r="O939">
        <v>1</v>
      </c>
      <c r="P939">
        <v>0</v>
      </c>
      <c r="Q939">
        <v>0</v>
      </c>
      <c r="S939" t="str">
        <f t="shared" si="95"/>
        <v>18:40:40.586</v>
      </c>
      <c r="T939" t="str">
        <f t="shared" si="95"/>
        <v>18:40:40.586</v>
      </c>
      <c r="U939" t="str">
        <f t="shared" si="90"/>
        <v>AAB6EE</v>
      </c>
      <c r="V939">
        <v>0</v>
      </c>
      <c r="W939">
        <v>0</v>
      </c>
      <c r="X939">
        <v>4</v>
      </c>
      <c r="Z939">
        <v>0</v>
      </c>
      <c r="AA939">
        <v>8</v>
      </c>
      <c r="AB939">
        <v>3</v>
      </c>
      <c r="AC939">
        <v>0</v>
      </c>
      <c r="AD939">
        <v>10</v>
      </c>
      <c r="AE939">
        <v>0</v>
      </c>
      <c r="AF939">
        <v>0</v>
      </c>
      <c r="AG939">
        <v>2</v>
      </c>
      <c r="AH939">
        <v>1</v>
      </c>
      <c r="AI939" t="s">
        <v>747</v>
      </c>
      <c r="AJ939">
        <v>35.317526000000001</v>
      </c>
      <c r="AK939" t="s">
        <v>748</v>
      </c>
      <c r="AL939">
        <v>-76.166495999999995</v>
      </c>
      <c r="AM939">
        <v>25</v>
      </c>
      <c r="AN939">
        <v>3450</v>
      </c>
      <c r="AO939" t="s">
        <v>118</v>
      </c>
      <c r="AP939">
        <v>-191</v>
      </c>
      <c r="AQ939">
        <v>-109</v>
      </c>
      <c r="AR939">
        <v>64</v>
      </c>
      <c r="AZ939">
        <v>4516</v>
      </c>
      <c r="BA939">
        <v>1</v>
      </c>
      <c r="BB939" t="str">
        <f t="shared" si="92"/>
        <v xml:space="preserve">N79NX   </v>
      </c>
      <c r="BC939">
        <v>1</v>
      </c>
      <c r="BE939">
        <v>0</v>
      </c>
      <c r="BF939">
        <v>0</v>
      </c>
      <c r="BG939">
        <v>0</v>
      </c>
      <c r="BH939">
        <v>3300</v>
      </c>
      <c r="BI939">
        <v>0</v>
      </c>
      <c r="BJ939">
        <v>0</v>
      </c>
      <c r="BK939">
        <v>0</v>
      </c>
      <c r="BL939">
        <v>0</v>
      </c>
      <c r="BO939">
        <v>0</v>
      </c>
      <c r="BP939">
        <v>0</v>
      </c>
      <c r="BW939" t="str">
        <f>"18:40:40.591"</f>
        <v>18:40:40.591</v>
      </c>
      <c r="BZ939">
        <v>0</v>
      </c>
      <c r="CA939">
        <v>4096</v>
      </c>
      <c r="CB939">
        <v>216</v>
      </c>
      <c r="CC939">
        <v>472.5</v>
      </c>
      <c r="CD939">
        <v>1</v>
      </c>
      <c r="CE939">
        <v>1</v>
      </c>
      <c r="CF939">
        <v>0</v>
      </c>
      <c r="CG939">
        <v>1</v>
      </c>
      <c r="CH939">
        <v>0</v>
      </c>
      <c r="CI939">
        <v>0</v>
      </c>
      <c r="CJ939">
        <v>0</v>
      </c>
      <c r="CK939">
        <v>2</v>
      </c>
      <c r="CL939">
        <v>0</v>
      </c>
      <c r="CM939">
        <v>2</v>
      </c>
      <c r="CN939">
        <v>0</v>
      </c>
      <c r="CO939">
        <v>2</v>
      </c>
      <c r="CP939" t="s">
        <v>119</v>
      </c>
      <c r="CQ939">
        <v>145</v>
      </c>
      <c r="CR939">
        <v>1</v>
      </c>
      <c r="CW939">
        <v>8996303</v>
      </c>
      <c r="CY939">
        <v>0</v>
      </c>
      <c r="CZ939">
        <v>0</v>
      </c>
      <c r="DA939">
        <v>1</v>
      </c>
      <c r="DB939">
        <v>0</v>
      </c>
      <c r="DC939">
        <v>0</v>
      </c>
      <c r="DD939">
        <v>0</v>
      </c>
      <c r="DE939">
        <v>0</v>
      </c>
      <c r="DF939">
        <v>0</v>
      </c>
      <c r="DG939">
        <v>0</v>
      </c>
      <c r="DH939">
        <v>0</v>
      </c>
      <c r="DI939">
        <v>0</v>
      </c>
    </row>
    <row r="940" spans="1:113" x14ac:dyDescent="0.3">
      <c r="A940" t="str">
        <f>"02/13/2022 18:40:40.870"</f>
        <v>02/13/2022 18:40:40.870</v>
      </c>
      <c r="C940" t="str">
        <f t="shared" si="91"/>
        <v>FFDFD7C0</v>
      </c>
      <c r="D940" t="s">
        <v>121</v>
      </c>
      <c r="E940">
        <v>2</v>
      </c>
      <c r="H940">
        <v>158</v>
      </c>
      <c r="I940" t="s">
        <v>120</v>
      </c>
      <c r="J940" t="s">
        <v>122</v>
      </c>
      <c r="K940">
        <v>0</v>
      </c>
      <c r="L940">
        <v>3</v>
      </c>
      <c r="M940">
        <v>0</v>
      </c>
      <c r="N940">
        <v>2</v>
      </c>
      <c r="O940">
        <v>1</v>
      </c>
      <c r="P940">
        <v>0</v>
      </c>
      <c r="Q940">
        <v>0</v>
      </c>
      <c r="S940" t="str">
        <f t="shared" si="95"/>
        <v>18:40:40.586</v>
      </c>
      <c r="T940" t="str">
        <f t="shared" si="95"/>
        <v>18:40:40.586</v>
      </c>
      <c r="U940" t="str">
        <f t="shared" si="90"/>
        <v>AAB6EE</v>
      </c>
      <c r="V940">
        <v>0</v>
      </c>
      <c r="W940">
        <v>0</v>
      </c>
      <c r="X940">
        <v>4</v>
      </c>
      <c r="Z940">
        <v>0</v>
      </c>
      <c r="AA940">
        <v>8</v>
      </c>
      <c r="AB940">
        <v>3</v>
      </c>
      <c r="AC940">
        <v>0</v>
      </c>
      <c r="AD940">
        <v>10</v>
      </c>
      <c r="AE940">
        <v>0</v>
      </c>
      <c r="AF940">
        <v>0</v>
      </c>
      <c r="AG940">
        <v>2</v>
      </c>
      <c r="AH940">
        <v>1</v>
      </c>
      <c r="AI940" t="s">
        <v>747</v>
      </c>
      <c r="AJ940">
        <v>35.317526000000001</v>
      </c>
      <c r="AK940" t="s">
        <v>748</v>
      </c>
      <c r="AL940">
        <v>-76.166495999999995</v>
      </c>
      <c r="AM940">
        <v>25</v>
      </c>
      <c r="AN940">
        <v>3450</v>
      </c>
      <c r="AO940" t="s">
        <v>118</v>
      </c>
      <c r="AP940">
        <v>-191</v>
      </c>
      <c r="AQ940">
        <v>-109</v>
      </c>
      <c r="AR940">
        <v>64</v>
      </c>
      <c r="AZ940">
        <v>4516</v>
      </c>
      <c r="BA940">
        <v>1</v>
      </c>
      <c r="BB940" t="str">
        <f t="shared" si="92"/>
        <v xml:space="preserve">N79NX   </v>
      </c>
      <c r="BC940">
        <v>1</v>
      </c>
      <c r="BE940">
        <v>0</v>
      </c>
      <c r="BF940">
        <v>0</v>
      </c>
      <c r="BG940">
        <v>0</v>
      </c>
      <c r="BH940">
        <v>3300</v>
      </c>
      <c r="BI940">
        <v>0</v>
      </c>
      <c r="BJ940">
        <v>0</v>
      </c>
      <c r="BK940">
        <v>0</v>
      </c>
      <c r="BL940">
        <v>0</v>
      </c>
      <c r="BO940">
        <v>0</v>
      </c>
      <c r="BP940">
        <v>0</v>
      </c>
      <c r="BW940" t="str">
        <f>"18:40:40.591"</f>
        <v>18:40:40.591</v>
      </c>
      <c r="BZ940">
        <v>0</v>
      </c>
      <c r="CA940">
        <v>4096</v>
      </c>
      <c r="CB940">
        <v>216</v>
      </c>
      <c r="CC940">
        <v>472.5</v>
      </c>
      <c r="CD940">
        <v>1</v>
      </c>
      <c r="CE940">
        <v>1</v>
      </c>
      <c r="CF940">
        <v>0</v>
      </c>
      <c r="CG940">
        <v>1</v>
      </c>
      <c r="CH940">
        <v>0</v>
      </c>
      <c r="CI940">
        <v>0</v>
      </c>
      <c r="CJ940">
        <v>0</v>
      </c>
      <c r="CK940">
        <v>2</v>
      </c>
      <c r="CL940">
        <v>0</v>
      </c>
      <c r="CM940">
        <v>2</v>
      </c>
      <c r="CN940">
        <v>0</v>
      </c>
      <c r="CO940">
        <v>2</v>
      </c>
      <c r="CP940" t="s">
        <v>119</v>
      </c>
      <c r="CQ940">
        <v>145</v>
      </c>
      <c r="CR940">
        <v>1</v>
      </c>
      <c r="CW940">
        <v>8996303</v>
      </c>
      <c r="CY940">
        <v>0</v>
      </c>
      <c r="CZ940">
        <v>0</v>
      </c>
      <c r="DA940">
        <v>1</v>
      </c>
      <c r="DB940">
        <v>0</v>
      </c>
      <c r="DC940">
        <v>0</v>
      </c>
      <c r="DD940">
        <v>0</v>
      </c>
      <c r="DE940">
        <v>0</v>
      </c>
      <c r="DF940">
        <v>0</v>
      </c>
      <c r="DG940">
        <v>0</v>
      </c>
      <c r="DH940">
        <v>0</v>
      </c>
      <c r="DI940">
        <v>0</v>
      </c>
    </row>
    <row r="941" spans="1:113" x14ac:dyDescent="0.3">
      <c r="A941" t="str">
        <f>"02/13/2022 18:40:41.667"</f>
        <v>02/13/2022 18:40:41.667</v>
      </c>
      <c r="C941" t="str">
        <f t="shared" si="91"/>
        <v>FFDFD7C0</v>
      </c>
      <c r="D941" t="s">
        <v>113</v>
      </c>
      <c r="E941">
        <v>3</v>
      </c>
      <c r="F941">
        <v>1003</v>
      </c>
      <c r="G941" t="s">
        <v>114</v>
      </c>
      <c r="J941" t="s">
        <v>115</v>
      </c>
      <c r="K941">
        <v>0</v>
      </c>
      <c r="L941">
        <v>3</v>
      </c>
      <c r="M941">
        <v>0</v>
      </c>
      <c r="N941">
        <v>2</v>
      </c>
      <c r="O941">
        <v>1</v>
      </c>
      <c r="P941">
        <v>0</v>
      </c>
      <c r="Q941">
        <v>0</v>
      </c>
      <c r="S941" t="str">
        <f t="shared" ref="S941:T943" si="96">"18:40:41.500"</f>
        <v>18:40:41.500</v>
      </c>
      <c r="T941" t="str">
        <f t="shared" si="96"/>
        <v>18:40:41.500</v>
      </c>
      <c r="U941" t="str">
        <f t="shared" si="90"/>
        <v>AAB6EE</v>
      </c>
      <c r="V941">
        <v>0</v>
      </c>
      <c r="W941">
        <v>0</v>
      </c>
      <c r="X941">
        <v>4</v>
      </c>
      <c r="Z941">
        <v>0</v>
      </c>
      <c r="AA941">
        <v>8</v>
      </c>
      <c r="AB941">
        <v>3</v>
      </c>
      <c r="AC941">
        <v>0</v>
      </c>
      <c r="AD941">
        <v>10</v>
      </c>
      <c r="AE941">
        <v>0</v>
      </c>
      <c r="AF941">
        <v>0</v>
      </c>
      <c r="AG941">
        <v>2</v>
      </c>
      <c r="AH941">
        <v>1</v>
      </c>
      <c r="AI941" t="s">
        <v>749</v>
      </c>
      <c r="AJ941">
        <v>35.317096999999997</v>
      </c>
      <c r="AK941" t="s">
        <v>750</v>
      </c>
      <c r="AL941">
        <v>-76.167462</v>
      </c>
      <c r="AM941">
        <v>25</v>
      </c>
      <c r="AN941">
        <v>3450</v>
      </c>
      <c r="AO941" t="s">
        <v>118</v>
      </c>
      <c r="AP941">
        <v>-194</v>
      </c>
      <c r="AQ941">
        <v>-103</v>
      </c>
      <c r="AR941">
        <v>0</v>
      </c>
      <c r="AZ941">
        <v>4516</v>
      </c>
      <c r="BA941">
        <v>1</v>
      </c>
      <c r="BB941" t="str">
        <f t="shared" si="92"/>
        <v xml:space="preserve">N79NX   </v>
      </c>
      <c r="BC941">
        <v>1</v>
      </c>
      <c r="BE941">
        <v>0</v>
      </c>
      <c r="BF941">
        <v>0</v>
      </c>
      <c r="BG941">
        <v>0</v>
      </c>
      <c r="BH941">
        <v>3300</v>
      </c>
      <c r="BI941">
        <v>0</v>
      </c>
      <c r="BJ941">
        <v>0</v>
      </c>
      <c r="BK941">
        <v>0</v>
      </c>
      <c r="BL941">
        <v>0</v>
      </c>
      <c r="BO941">
        <v>0</v>
      </c>
      <c r="BP941">
        <v>0</v>
      </c>
      <c r="BW941" t="str">
        <f>"18:40:41.501"</f>
        <v>18:40:41.501</v>
      </c>
      <c r="BZ941">
        <v>0</v>
      </c>
      <c r="CA941">
        <v>4096</v>
      </c>
      <c r="CB941">
        <v>216</v>
      </c>
      <c r="CC941">
        <v>472.5</v>
      </c>
      <c r="CD941">
        <v>1</v>
      </c>
      <c r="CE941">
        <v>1</v>
      </c>
      <c r="CF941">
        <v>0</v>
      </c>
      <c r="CG941">
        <v>1</v>
      </c>
      <c r="CH941">
        <v>0</v>
      </c>
      <c r="CI941">
        <v>0</v>
      </c>
      <c r="CJ941">
        <v>0</v>
      </c>
      <c r="CK941">
        <v>2</v>
      </c>
      <c r="CL941">
        <v>0</v>
      </c>
      <c r="CM941">
        <v>2</v>
      </c>
      <c r="CN941">
        <v>0</v>
      </c>
      <c r="CO941">
        <v>2</v>
      </c>
      <c r="CP941" t="s">
        <v>119</v>
      </c>
      <c r="CQ941">
        <v>145</v>
      </c>
      <c r="CR941">
        <v>1</v>
      </c>
      <c r="CW941">
        <v>8996679</v>
      </c>
      <c r="CY941">
        <v>0</v>
      </c>
      <c r="CZ941">
        <v>0</v>
      </c>
      <c r="DA941">
        <v>0</v>
      </c>
      <c r="DB941">
        <v>0</v>
      </c>
      <c r="DC941">
        <v>0</v>
      </c>
      <c r="DD941">
        <v>0</v>
      </c>
      <c r="DE941">
        <v>0</v>
      </c>
      <c r="DF941">
        <v>0</v>
      </c>
      <c r="DG941">
        <v>0</v>
      </c>
      <c r="DH941">
        <v>0</v>
      </c>
      <c r="DI941">
        <v>0</v>
      </c>
    </row>
    <row r="942" spans="1:113" x14ac:dyDescent="0.3">
      <c r="A942" t="str">
        <f>"02/13/2022 18:40:41.667"</f>
        <v>02/13/2022 18:40:41.667</v>
      </c>
      <c r="C942" t="str">
        <f t="shared" si="91"/>
        <v>FFDFD7C0</v>
      </c>
      <c r="D942" t="s">
        <v>113</v>
      </c>
      <c r="E942">
        <v>4</v>
      </c>
      <c r="F942">
        <v>1004</v>
      </c>
      <c r="G942" t="s">
        <v>120</v>
      </c>
      <c r="J942" t="s">
        <v>115</v>
      </c>
      <c r="K942">
        <v>0</v>
      </c>
      <c r="L942">
        <v>3</v>
      </c>
      <c r="M942">
        <v>0</v>
      </c>
      <c r="N942">
        <v>2</v>
      </c>
      <c r="O942">
        <v>1</v>
      </c>
      <c r="P942">
        <v>0</v>
      </c>
      <c r="Q942">
        <v>0</v>
      </c>
      <c r="S942" t="str">
        <f t="shared" si="96"/>
        <v>18:40:41.500</v>
      </c>
      <c r="T942" t="str">
        <f t="shared" si="96"/>
        <v>18:40:41.500</v>
      </c>
      <c r="U942" t="str">
        <f t="shared" si="90"/>
        <v>AAB6EE</v>
      </c>
      <c r="V942">
        <v>0</v>
      </c>
      <c r="W942">
        <v>0</v>
      </c>
      <c r="X942">
        <v>4</v>
      </c>
      <c r="Z942">
        <v>0</v>
      </c>
      <c r="AA942">
        <v>8</v>
      </c>
      <c r="AB942">
        <v>3</v>
      </c>
      <c r="AC942">
        <v>0</v>
      </c>
      <c r="AD942">
        <v>10</v>
      </c>
      <c r="AE942">
        <v>0</v>
      </c>
      <c r="AF942">
        <v>0</v>
      </c>
      <c r="AG942">
        <v>2</v>
      </c>
      <c r="AH942">
        <v>1</v>
      </c>
      <c r="AI942" t="s">
        <v>749</v>
      </c>
      <c r="AJ942">
        <v>35.317096999999997</v>
      </c>
      <c r="AK942" t="s">
        <v>750</v>
      </c>
      <c r="AL942">
        <v>-76.167462</v>
      </c>
      <c r="AM942">
        <v>25</v>
      </c>
      <c r="AN942">
        <v>3450</v>
      </c>
      <c r="AO942" t="s">
        <v>118</v>
      </c>
      <c r="AP942">
        <v>-194</v>
      </c>
      <c r="AQ942">
        <v>-103</v>
      </c>
      <c r="AR942">
        <v>0</v>
      </c>
      <c r="AZ942">
        <v>4516</v>
      </c>
      <c r="BA942">
        <v>1</v>
      </c>
      <c r="BB942" t="str">
        <f t="shared" si="92"/>
        <v xml:space="preserve">N79NX   </v>
      </c>
      <c r="BC942">
        <v>1</v>
      </c>
      <c r="BE942">
        <v>0</v>
      </c>
      <c r="BF942">
        <v>0</v>
      </c>
      <c r="BG942">
        <v>0</v>
      </c>
      <c r="BH942">
        <v>3300</v>
      </c>
      <c r="BI942">
        <v>0</v>
      </c>
      <c r="BJ942">
        <v>0</v>
      </c>
      <c r="BK942">
        <v>0</v>
      </c>
      <c r="BL942">
        <v>0</v>
      </c>
      <c r="BO942">
        <v>0</v>
      </c>
      <c r="BP942">
        <v>0</v>
      </c>
      <c r="BW942" t="str">
        <f>"18:40:41.501"</f>
        <v>18:40:41.501</v>
      </c>
      <c r="BZ942">
        <v>0</v>
      </c>
      <c r="CA942">
        <v>4096</v>
      </c>
      <c r="CB942">
        <v>216</v>
      </c>
      <c r="CC942">
        <v>472.5</v>
      </c>
      <c r="CD942">
        <v>1</v>
      </c>
      <c r="CE942">
        <v>1</v>
      </c>
      <c r="CF942">
        <v>0</v>
      </c>
      <c r="CG942">
        <v>1</v>
      </c>
      <c r="CH942">
        <v>0</v>
      </c>
      <c r="CI942">
        <v>0</v>
      </c>
      <c r="CJ942">
        <v>0</v>
      </c>
      <c r="CK942">
        <v>2</v>
      </c>
      <c r="CL942">
        <v>0</v>
      </c>
      <c r="CM942">
        <v>2</v>
      </c>
      <c r="CN942">
        <v>0</v>
      </c>
      <c r="CO942">
        <v>2</v>
      </c>
      <c r="CP942" t="s">
        <v>119</v>
      </c>
      <c r="CQ942">
        <v>145</v>
      </c>
      <c r="CR942">
        <v>1</v>
      </c>
      <c r="CW942">
        <v>8996679</v>
      </c>
      <c r="CY942">
        <v>0</v>
      </c>
      <c r="CZ942">
        <v>0</v>
      </c>
      <c r="DA942">
        <v>1</v>
      </c>
      <c r="DB942">
        <v>0</v>
      </c>
      <c r="DC942">
        <v>0</v>
      </c>
      <c r="DD942">
        <v>0</v>
      </c>
      <c r="DE942">
        <v>0</v>
      </c>
      <c r="DF942">
        <v>0</v>
      </c>
      <c r="DG942">
        <v>0</v>
      </c>
      <c r="DH942">
        <v>0</v>
      </c>
      <c r="DI942">
        <v>0</v>
      </c>
    </row>
    <row r="943" spans="1:113" x14ac:dyDescent="0.3">
      <c r="A943" t="str">
        <f>"02/13/2022 18:40:41.667"</f>
        <v>02/13/2022 18:40:41.667</v>
      </c>
      <c r="C943" t="str">
        <f t="shared" si="91"/>
        <v>FFDFD7C0</v>
      </c>
      <c r="D943" t="s">
        <v>121</v>
      </c>
      <c r="E943">
        <v>2</v>
      </c>
      <c r="H943">
        <v>158</v>
      </c>
      <c r="I943" t="s">
        <v>120</v>
      </c>
      <c r="J943" t="s">
        <v>122</v>
      </c>
      <c r="K943">
        <v>0</v>
      </c>
      <c r="L943">
        <v>3</v>
      </c>
      <c r="M943">
        <v>0</v>
      </c>
      <c r="N943">
        <v>2</v>
      </c>
      <c r="O943">
        <v>1</v>
      </c>
      <c r="P943">
        <v>0</v>
      </c>
      <c r="Q943">
        <v>0</v>
      </c>
      <c r="S943" t="str">
        <f t="shared" si="96"/>
        <v>18:40:41.500</v>
      </c>
      <c r="T943" t="str">
        <f t="shared" si="96"/>
        <v>18:40:41.500</v>
      </c>
      <c r="U943" t="str">
        <f t="shared" si="90"/>
        <v>AAB6EE</v>
      </c>
      <c r="V943">
        <v>0</v>
      </c>
      <c r="W943">
        <v>0</v>
      </c>
      <c r="X943">
        <v>4</v>
      </c>
      <c r="Z943">
        <v>0</v>
      </c>
      <c r="AA943">
        <v>8</v>
      </c>
      <c r="AB943">
        <v>3</v>
      </c>
      <c r="AC943">
        <v>0</v>
      </c>
      <c r="AD943">
        <v>10</v>
      </c>
      <c r="AE943">
        <v>0</v>
      </c>
      <c r="AF943">
        <v>0</v>
      </c>
      <c r="AG943">
        <v>2</v>
      </c>
      <c r="AH943">
        <v>1</v>
      </c>
      <c r="AI943" t="s">
        <v>749</v>
      </c>
      <c r="AJ943">
        <v>35.317096999999997</v>
      </c>
      <c r="AK943" t="s">
        <v>750</v>
      </c>
      <c r="AL943">
        <v>-76.167462</v>
      </c>
      <c r="AM943">
        <v>25</v>
      </c>
      <c r="AN943">
        <v>3450</v>
      </c>
      <c r="AO943" t="s">
        <v>118</v>
      </c>
      <c r="AP943">
        <v>-194</v>
      </c>
      <c r="AQ943">
        <v>-103</v>
      </c>
      <c r="AR943">
        <v>0</v>
      </c>
      <c r="AZ943">
        <v>4516</v>
      </c>
      <c r="BA943">
        <v>1</v>
      </c>
      <c r="BB943" t="str">
        <f t="shared" si="92"/>
        <v xml:space="preserve">N79NX   </v>
      </c>
      <c r="BC943">
        <v>1</v>
      </c>
      <c r="BE943">
        <v>0</v>
      </c>
      <c r="BF943">
        <v>0</v>
      </c>
      <c r="BG943">
        <v>0</v>
      </c>
      <c r="BH943">
        <v>3300</v>
      </c>
      <c r="BI943">
        <v>0</v>
      </c>
      <c r="BJ943">
        <v>0</v>
      </c>
      <c r="BK943">
        <v>0</v>
      </c>
      <c r="BL943">
        <v>0</v>
      </c>
      <c r="BO943">
        <v>0</v>
      </c>
      <c r="BP943">
        <v>0</v>
      </c>
      <c r="BW943" t="str">
        <f>"18:40:41.501"</f>
        <v>18:40:41.501</v>
      </c>
      <c r="BZ943">
        <v>0</v>
      </c>
      <c r="CA943">
        <v>4096</v>
      </c>
      <c r="CB943">
        <v>216</v>
      </c>
      <c r="CC943">
        <v>472.5</v>
      </c>
      <c r="CD943">
        <v>1</v>
      </c>
      <c r="CE943">
        <v>1</v>
      </c>
      <c r="CF943">
        <v>0</v>
      </c>
      <c r="CG943">
        <v>1</v>
      </c>
      <c r="CH943">
        <v>0</v>
      </c>
      <c r="CI943">
        <v>0</v>
      </c>
      <c r="CJ943">
        <v>0</v>
      </c>
      <c r="CK943">
        <v>2</v>
      </c>
      <c r="CL943">
        <v>0</v>
      </c>
      <c r="CM943">
        <v>2</v>
      </c>
      <c r="CN943">
        <v>0</v>
      </c>
      <c r="CO943">
        <v>2</v>
      </c>
      <c r="CP943" t="s">
        <v>119</v>
      </c>
      <c r="CQ943">
        <v>145</v>
      </c>
      <c r="CR943">
        <v>1</v>
      </c>
      <c r="CW943">
        <v>8996679</v>
      </c>
      <c r="CY943">
        <v>0</v>
      </c>
      <c r="CZ943">
        <v>0</v>
      </c>
      <c r="DA943">
        <v>1</v>
      </c>
      <c r="DB943">
        <v>0</v>
      </c>
      <c r="DC943">
        <v>0</v>
      </c>
      <c r="DD943">
        <v>0</v>
      </c>
      <c r="DE943">
        <v>0</v>
      </c>
      <c r="DF943">
        <v>0</v>
      </c>
      <c r="DG943">
        <v>0</v>
      </c>
      <c r="DH943">
        <v>0</v>
      </c>
      <c r="DI943">
        <v>0</v>
      </c>
    </row>
    <row r="944" spans="1:113" x14ac:dyDescent="0.3">
      <c r="A944" t="str">
        <f>"02/13/2022 18:40:43.355"</f>
        <v>02/13/2022 18:40:43.355</v>
      </c>
      <c r="C944" t="str">
        <f t="shared" si="91"/>
        <v>FFDFD7C0</v>
      </c>
      <c r="D944" t="s">
        <v>121</v>
      </c>
      <c r="E944">
        <v>2</v>
      </c>
      <c r="H944">
        <v>158</v>
      </c>
      <c r="I944" t="s">
        <v>120</v>
      </c>
      <c r="J944" t="s">
        <v>122</v>
      </c>
      <c r="K944">
        <v>0</v>
      </c>
      <c r="L944">
        <v>3</v>
      </c>
      <c r="M944">
        <v>0</v>
      </c>
      <c r="N944">
        <v>2</v>
      </c>
      <c r="O944">
        <v>1</v>
      </c>
      <c r="P944">
        <v>0</v>
      </c>
      <c r="Q944">
        <v>0</v>
      </c>
      <c r="S944" t="str">
        <f>"18:40:43.125"</f>
        <v>18:40:43.125</v>
      </c>
      <c r="T944" t="str">
        <f>"18:40:42.825"</f>
        <v>18:40:42.825</v>
      </c>
      <c r="U944" t="str">
        <f t="shared" si="90"/>
        <v>AAB6EE</v>
      </c>
      <c r="V944">
        <v>0</v>
      </c>
      <c r="W944">
        <v>0</v>
      </c>
      <c r="X944">
        <v>4</v>
      </c>
      <c r="Z944">
        <v>0</v>
      </c>
      <c r="AA944">
        <v>8</v>
      </c>
      <c r="AB944">
        <v>3</v>
      </c>
      <c r="AC944">
        <v>0</v>
      </c>
      <c r="AD944">
        <v>10</v>
      </c>
      <c r="AE944">
        <v>0</v>
      </c>
      <c r="AF944">
        <v>0</v>
      </c>
      <c r="AG944">
        <v>2</v>
      </c>
      <c r="AH944">
        <v>1</v>
      </c>
      <c r="AI944" t="s">
        <v>751</v>
      </c>
      <c r="AJ944">
        <v>35.316280999999996</v>
      </c>
      <c r="AK944" t="s">
        <v>752</v>
      </c>
      <c r="AL944">
        <v>-76.169349999999994</v>
      </c>
      <c r="AM944">
        <v>25</v>
      </c>
      <c r="AN944">
        <v>3450</v>
      </c>
      <c r="AO944" t="s">
        <v>118</v>
      </c>
      <c r="AP944">
        <v>-197</v>
      </c>
      <c r="AQ944">
        <v>-98</v>
      </c>
      <c r="AR944">
        <v>-128</v>
      </c>
      <c r="AZ944">
        <v>4516</v>
      </c>
      <c r="BA944">
        <v>1</v>
      </c>
      <c r="BB944" t="str">
        <f t="shared" si="92"/>
        <v xml:space="preserve">N79NX   </v>
      </c>
      <c r="BC944">
        <v>1</v>
      </c>
      <c r="BE944">
        <v>0</v>
      </c>
      <c r="BF944">
        <v>0</v>
      </c>
      <c r="BG944">
        <v>0</v>
      </c>
      <c r="BH944">
        <v>3300</v>
      </c>
      <c r="BI944">
        <v>0</v>
      </c>
      <c r="BJ944">
        <v>0</v>
      </c>
      <c r="BK944">
        <v>0</v>
      </c>
      <c r="BL944">
        <v>0</v>
      </c>
      <c r="BO944">
        <v>0</v>
      </c>
      <c r="BP944">
        <v>0</v>
      </c>
      <c r="BW944" t="str">
        <f>"18:40:43.131"</f>
        <v>18:40:43.131</v>
      </c>
      <c r="BZ944">
        <v>0</v>
      </c>
      <c r="CA944">
        <v>4096</v>
      </c>
      <c r="CB944">
        <v>216</v>
      </c>
      <c r="CC944">
        <v>472.5</v>
      </c>
      <c r="CD944">
        <v>1</v>
      </c>
      <c r="CE944">
        <v>1</v>
      </c>
      <c r="CF944">
        <v>0</v>
      </c>
      <c r="CG944">
        <v>1</v>
      </c>
      <c r="CH944">
        <v>0</v>
      </c>
      <c r="CI944">
        <v>0</v>
      </c>
      <c r="CJ944">
        <v>0</v>
      </c>
      <c r="CK944">
        <v>2</v>
      </c>
      <c r="CL944">
        <v>0</v>
      </c>
      <c r="CM944">
        <v>2</v>
      </c>
      <c r="CN944">
        <v>0</v>
      </c>
      <c r="CO944">
        <v>5</v>
      </c>
      <c r="CP944" t="s">
        <v>119</v>
      </c>
      <c r="CQ944">
        <v>145</v>
      </c>
      <c r="CR944">
        <v>1</v>
      </c>
      <c r="CW944">
        <v>8997467</v>
      </c>
      <c r="CY944">
        <v>0</v>
      </c>
      <c r="CZ944">
        <v>0</v>
      </c>
      <c r="DA944">
        <v>0</v>
      </c>
      <c r="DB944">
        <v>0</v>
      </c>
      <c r="DC944">
        <v>0</v>
      </c>
      <c r="DD944">
        <v>0</v>
      </c>
      <c r="DE944">
        <v>0</v>
      </c>
      <c r="DF944">
        <v>0</v>
      </c>
      <c r="DG944">
        <v>0</v>
      </c>
      <c r="DH944">
        <v>0</v>
      </c>
      <c r="DI944">
        <v>0</v>
      </c>
    </row>
    <row r="945" spans="1:113" x14ac:dyDescent="0.3">
      <c r="A945" t="str">
        <f>"02/13/2022 18:40:43.370"</f>
        <v>02/13/2022 18:40:43.370</v>
      </c>
      <c r="C945" t="str">
        <f t="shared" si="91"/>
        <v>FFDFD7C0</v>
      </c>
      <c r="D945" t="s">
        <v>113</v>
      </c>
      <c r="E945">
        <v>3</v>
      </c>
      <c r="F945">
        <v>1003</v>
      </c>
      <c r="G945" t="s">
        <v>114</v>
      </c>
      <c r="J945" t="s">
        <v>115</v>
      </c>
      <c r="K945">
        <v>0</v>
      </c>
      <c r="L945">
        <v>3</v>
      </c>
      <c r="M945">
        <v>0</v>
      </c>
      <c r="N945">
        <v>2</v>
      </c>
      <c r="O945">
        <v>1</v>
      </c>
      <c r="P945">
        <v>0</v>
      </c>
      <c r="Q945">
        <v>0</v>
      </c>
      <c r="S945" t="str">
        <f>"18:40:43.125"</f>
        <v>18:40:43.125</v>
      </c>
      <c r="T945" t="str">
        <f>"18:40:42.825"</f>
        <v>18:40:42.825</v>
      </c>
      <c r="U945" t="str">
        <f t="shared" si="90"/>
        <v>AAB6EE</v>
      </c>
      <c r="V945">
        <v>0</v>
      </c>
      <c r="W945">
        <v>0</v>
      </c>
      <c r="X945">
        <v>4</v>
      </c>
      <c r="Z945">
        <v>0</v>
      </c>
      <c r="AA945">
        <v>8</v>
      </c>
      <c r="AB945">
        <v>3</v>
      </c>
      <c r="AC945">
        <v>0</v>
      </c>
      <c r="AD945">
        <v>10</v>
      </c>
      <c r="AE945">
        <v>0</v>
      </c>
      <c r="AF945">
        <v>0</v>
      </c>
      <c r="AG945">
        <v>2</v>
      </c>
      <c r="AH945">
        <v>1</v>
      </c>
      <c r="AI945" t="s">
        <v>751</v>
      </c>
      <c r="AJ945">
        <v>35.316280999999996</v>
      </c>
      <c r="AK945" t="s">
        <v>752</v>
      </c>
      <c r="AL945">
        <v>-76.169349999999994</v>
      </c>
      <c r="AM945">
        <v>25</v>
      </c>
      <c r="AN945">
        <v>3450</v>
      </c>
      <c r="AO945" t="s">
        <v>118</v>
      </c>
      <c r="AP945">
        <v>-197</v>
      </c>
      <c r="AQ945">
        <v>-98</v>
      </c>
      <c r="AR945">
        <v>-128</v>
      </c>
      <c r="AZ945">
        <v>4516</v>
      </c>
      <c r="BA945">
        <v>1</v>
      </c>
      <c r="BB945" t="str">
        <f t="shared" si="92"/>
        <v xml:space="preserve">N79NX   </v>
      </c>
      <c r="BC945">
        <v>1</v>
      </c>
      <c r="BE945">
        <v>0</v>
      </c>
      <c r="BF945">
        <v>0</v>
      </c>
      <c r="BG945">
        <v>0</v>
      </c>
      <c r="BH945">
        <v>3300</v>
      </c>
      <c r="BI945">
        <v>0</v>
      </c>
      <c r="BJ945">
        <v>0</v>
      </c>
      <c r="BK945">
        <v>0</v>
      </c>
      <c r="BL945">
        <v>0</v>
      </c>
      <c r="BO945">
        <v>0</v>
      </c>
      <c r="BP945">
        <v>0</v>
      </c>
      <c r="BW945" t="str">
        <f>"18:40:43.131"</f>
        <v>18:40:43.131</v>
      </c>
      <c r="BZ945">
        <v>0</v>
      </c>
      <c r="CA945">
        <v>4096</v>
      </c>
      <c r="CB945">
        <v>216</v>
      </c>
      <c r="CC945">
        <v>472.5</v>
      </c>
      <c r="CD945">
        <v>1</v>
      </c>
      <c r="CE945">
        <v>1</v>
      </c>
      <c r="CF945">
        <v>0</v>
      </c>
      <c r="CG945">
        <v>1</v>
      </c>
      <c r="CH945">
        <v>0</v>
      </c>
      <c r="CI945">
        <v>0</v>
      </c>
      <c r="CJ945">
        <v>0</v>
      </c>
      <c r="CK945">
        <v>2</v>
      </c>
      <c r="CL945">
        <v>0</v>
      </c>
      <c r="CM945">
        <v>2</v>
      </c>
      <c r="CN945">
        <v>0</v>
      </c>
      <c r="CO945">
        <v>5</v>
      </c>
      <c r="CP945" t="s">
        <v>119</v>
      </c>
      <c r="CQ945">
        <v>145</v>
      </c>
      <c r="CR945">
        <v>1</v>
      </c>
      <c r="CW945">
        <v>8997467</v>
      </c>
      <c r="CY945">
        <v>0</v>
      </c>
      <c r="CZ945">
        <v>0</v>
      </c>
      <c r="DA945">
        <v>1</v>
      </c>
      <c r="DB945">
        <v>0</v>
      </c>
      <c r="DC945">
        <v>0</v>
      </c>
      <c r="DD945">
        <v>0</v>
      </c>
      <c r="DE945">
        <v>0</v>
      </c>
      <c r="DF945">
        <v>0</v>
      </c>
      <c r="DG945">
        <v>0</v>
      </c>
      <c r="DH945">
        <v>0</v>
      </c>
      <c r="DI945">
        <v>0</v>
      </c>
    </row>
    <row r="946" spans="1:113" x14ac:dyDescent="0.3">
      <c r="A946" t="str">
        <f>"02/13/2022 18:40:43.370"</f>
        <v>02/13/2022 18:40:43.370</v>
      </c>
      <c r="C946" t="str">
        <f t="shared" si="91"/>
        <v>FFDFD7C0</v>
      </c>
      <c r="D946" t="s">
        <v>113</v>
      </c>
      <c r="E946">
        <v>4</v>
      </c>
      <c r="F946">
        <v>1004</v>
      </c>
      <c r="G946" t="s">
        <v>120</v>
      </c>
      <c r="J946" t="s">
        <v>115</v>
      </c>
      <c r="K946">
        <v>0</v>
      </c>
      <c r="L946">
        <v>3</v>
      </c>
      <c r="M946">
        <v>0</v>
      </c>
      <c r="N946">
        <v>2</v>
      </c>
      <c r="O946">
        <v>1</v>
      </c>
      <c r="P946">
        <v>0</v>
      </c>
      <c r="Q946">
        <v>0</v>
      </c>
      <c r="S946" t="str">
        <f>"18:40:43.125"</f>
        <v>18:40:43.125</v>
      </c>
      <c r="T946" t="str">
        <f>"18:40:42.825"</f>
        <v>18:40:42.825</v>
      </c>
      <c r="U946" t="str">
        <f t="shared" si="90"/>
        <v>AAB6EE</v>
      </c>
      <c r="V946">
        <v>0</v>
      </c>
      <c r="W946">
        <v>0</v>
      </c>
      <c r="X946">
        <v>4</v>
      </c>
      <c r="Z946">
        <v>0</v>
      </c>
      <c r="AA946">
        <v>8</v>
      </c>
      <c r="AB946">
        <v>3</v>
      </c>
      <c r="AC946">
        <v>0</v>
      </c>
      <c r="AD946">
        <v>10</v>
      </c>
      <c r="AE946">
        <v>0</v>
      </c>
      <c r="AF946">
        <v>0</v>
      </c>
      <c r="AG946">
        <v>2</v>
      </c>
      <c r="AH946">
        <v>1</v>
      </c>
      <c r="AI946" t="s">
        <v>751</v>
      </c>
      <c r="AJ946">
        <v>35.316280999999996</v>
      </c>
      <c r="AK946" t="s">
        <v>752</v>
      </c>
      <c r="AL946">
        <v>-76.169349999999994</v>
      </c>
      <c r="AM946">
        <v>25</v>
      </c>
      <c r="AN946">
        <v>3450</v>
      </c>
      <c r="AO946" t="s">
        <v>118</v>
      </c>
      <c r="AP946">
        <v>-197</v>
      </c>
      <c r="AQ946">
        <v>-98</v>
      </c>
      <c r="AR946">
        <v>-128</v>
      </c>
      <c r="AZ946">
        <v>4516</v>
      </c>
      <c r="BA946">
        <v>1</v>
      </c>
      <c r="BB946" t="str">
        <f t="shared" si="92"/>
        <v xml:space="preserve">N79NX   </v>
      </c>
      <c r="BC946">
        <v>1</v>
      </c>
      <c r="BE946">
        <v>0</v>
      </c>
      <c r="BF946">
        <v>0</v>
      </c>
      <c r="BG946">
        <v>0</v>
      </c>
      <c r="BH946">
        <v>3300</v>
      </c>
      <c r="BI946">
        <v>0</v>
      </c>
      <c r="BJ946">
        <v>0</v>
      </c>
      <c r="BK946">
        <v>0</v>
      </c>
      <c r="BL946">
        <v>0</v>
      </c>
      <c r="BO946">
        <v>0</v>
      </c>
      <c r="BP946">
        <v>0</v>
      </c>
      <c r="BW946" t="str">
        <f>"18:40:43.131"</f>
        <v>18:40:43.131</v>
      </c>
      <c r="BZ946">
        <v>0</v>
      </c>
      <c r="CA946">
        <v>4096</v>
      </c>
      <c r="CB946">
        <v>216</v>
      </c>
      <c r="CC946">
        <v>472.5</v>
      </c>
      <c r="CD946">
        <v>1</v>
      </c>
      <c r="CE946">
        <v>1</v>
      </c>
      <c r="CF946">
        <v>0</v>
      </c>
      <c r="CG946">
        <v>1</v>
      </c>
      <c r="CH946">
        <v>0</v>
      </c>
      <c r="CI946">
        <v>0</v>
      </c>
      <c r="CJ946">
        <v>0</v>
      </c>
      <c r="CK946">
        <v>2</v>
      </c>
      <c r="CL946">
        <v>0</v>
      </c>
      <c r="CM946">
        <v>2</v>
      </c>
      <c r="CN946">
        <v>0</v>
      </c>
      <c r="CO946">
        <v>5</v>
      </c>
      <c r="CP946" t="s">
        <v>119</v>
      </c>
      <c r="CQ946">
        <v>145</v>
      </c>
      <c r="CR946">
        <v>1</v>
      </c>
      <c r="CW946">
        <v>8997467</v>
      </c>
      <c r="CY946">
        <v>0</v>
      </c>
      <c r="CZ946">
        <v>0</v>
      </c>
      <c r="DA946">
        <v>1</v>
      </c>
      <c r="DB946">
        <v>0</v>
      </c>
      <c r="DC946">
        <v>0</v>
      </c>
      <c r="DD946">
        <v>0</v>
      </c>
      <c r="DE946">
        <v>0</v>
      </c>
      <c r="DF946">
        <v>0</v>
      </c>
      <c r="DG946">
        <v>0</v>
      </c>
      <c r="DH946">
        <v>0</v>
      </c>
      <c r="DI946">
        <v>0</v>
      </c>
    </row>
    <row r="947" spans="1:113" x14ac:dyDescent="0.3">
      <c r="A947" t="str">
        <f>"02/13/2022 18:40:44.450"</f>
        <v>02/13/2022 18:40:44.450</v>
      </c>
      <c r="C947" t="str">
        <f t="shared" si="91"/>
        <v>FFDFD7C0</v>
      </c>
      <c r="D947" t="s">
        <v>113</v>
      </c>
      <c r="E947">
        <v>3</v>
      </c>
      <c r="F947">
        <v>1003</v>
      </c>
      <c r="G947" t="s">
        <v>114</v>
      </c>
      <c r="J947" t="s">
        <v>115</v>
      </c>
      <c r="K947">
        <v>0</v>
      </c>
      <c r="L947">
        <v>3</v>
      </c>
      <c r="M947">
        <v>0</v>
      </c>
      <c r="N947">
        <v>2</v>
      </c>
      <c r="O947">
        <v>1</v>
      </c>
      <c r="P947">
        <v>0</v>
      </c>
      <c r="Q947">
        <v>0</v>
      </c>
      <c r="S947" t="str">
        <f>"18:40:44.250"</f>
        <v>18:40:44.250</v>
      </c>
      <c r="T947" t="str">
        <f>"18:40:43.850"</f>
        <v>18:40:43.850</v>
      </c>
      <c r="U947" t="str">
        <f t="shared" si="90"/>
        <v>AAB6EE</v>
      </c>
      <c r="V947">
        <v>0</v>
      </c>
      <c r="W947">
        <v>0</v>
      </c>
      <c r="X947">
        <v>4</v>
      </c>
      <c r="Z947">
        <v>0</v>
      </c>
      <c r="AA947">
        <v>8</v>
      </c>
      <c r="AB947">
        <v>3</v>
      </c>
      <c r="AC947">
        <v>0</v>
      </c>
      <c r="AD947">
        <v>10</v>
      </c>
      <c r="AE947">
        <v>0</v>
      </c>
      <c r="AF947">
        <v>0</v>
      </c>
      <c r="AG947">
        <v>2</v>
      </c>
      <c r="AH947">
        <v>1</v>
      </c>
      <c r="AI947" t="s">
        <v>753</v>
      </c>
      <c r="AJ947">
        <v>35.315787999999998</v>
      </c>
      <c r="AK947" t="s">
        <v>754</v>
      </c>
      <c r="AL947">
        <v>-76.170552000000001</v>
      </c>
      <c r="AM947">
        <v>25</v>
      </c>
      <c r="AN947">
        <v>3450</v>
      </c>
      <c r="AO947" t="s">
        <v>118</v>
      </c>
      <c r="AP947">
        <v>-198</v>
      </c>
      <c r="AQ947">
        <v>-95</v>
      </c>
      <c r="AR947">
        <v>-192</v>
      </c>
      <c r="AZ947">
        <v>4516</v>
      </c>
      <c r="BA947">
        <v>1</v>
      </c>
      <c r="BB947" t="str">
        <f t="shared" si="92"/>
        <v xml:space="preserve">N79NX   </v>
      </c>
      <c r="BC947">
        <v>1</v>
      </c>
      <c r="BE947">
        <v>0</v>
      </c>
      <c r="BF947">
        <v>0</v>
      </c>
      <c r="BG947">
        <v>0</v>
      </c>
      <c r="BH947">
        <v>3300</v>
      </c>
      <c r="BI947">
        <v>0</v>
      </c>
      <c r="BJ947">
        <v>0</v>
      </c>
      <c r="BK947">
        <v>0</v>
      </c>
      <c r="BL947">
        <v>0</v>
      </c>
      <c r="BO947">
        <v>0</v>
      </c>
      <c r="BP947">
        <v>0</v>
      </c>
      <c r="BW947" t="str">
        <f>"18:40:44.251"</f>
        <v>18:40:44.251</v>
      </c>
      <c r="BZ947">
        <v>0</v>
      </c>
      <c r="CA947">
        <v>4096</v>
      </c>
      <c r="CB947">
        <v>216</v>
      </c>
      <c r="CC947">
        <v>472.5</v>
      </c>
      <c r="CD947">
        <v>1</v>
      </c>
      <c r="CE947">
        <v>1</v>
      </c>
      <c r="CF947">
        <v>0</v>
      </c>
      <c r="CG947">
        <v>1</v>
      </c>
      <c r="CH947">
        <v>0</v>
      </c>
      <c r="CI947">
        <v>0</v>
      </c>
      <c r="CJ947">
        <v>0</v>
      </c>
      <c r="CK947">
        <v>2</v>
      </c>
      <c r="CL947">
        <v>0</v>
      </c>
      <c r="CM947">
        <v>2</v>
      </c>
      <c r="CN947">
        <v>0</v>
      </c>
      <c r="CO947">
        <v>4</v>
      </c>
      <c r="CP947" t="s">
        <v>119</v>
      </c>
      <c r="CQ947">
        <v>145</v>
      </c>
      <c r="CR947">
        <v>1</v>
      </c>
      <c r="CW947">
        <v>8998017</v>
      </c>
      <c r="CY947">
        <v>0</v>
      </c>
      <c r="CZ947">
        <v>0</v>
      </c>
      <c r="DA947">
        <v>0</v>
      </c>
      <c r="DB947">
        <v>0</v>
      </c>
      <c r="DC947">
        <v>0</v>
      </c>
      <c r="DD947">
        <v>0</v>
      </c>
      <c r="DE947">
        <v>0</v>
      </c>
      <c r="DF947">
        <v>0</v>
      </c>
      <c r="DG947">
        <v>0</v>
      </c>
      <c r="DH947">
        <v>0</v>
      </c>
      <c r="DI947">
        <v>0</v>
      </c>
    </row>
    <row r="948" spans="1:113" x14ac:dyDescent="0.3">
      <c r="A948" t="str">
        <f>"02/13/2022 18:40:44.450"</f>
        <v>02/13/2022 18:40:44.450</v>
      </c>
      <c r="C948" t="str">
        <f t="shared" si="91"/>
        <v>FFDFD7C0</v>
      </c>
      <c r="D948" t="s">
        <v>113</v>
      </c>
      <c r="E948">
        <v>4</v>
      </c>
      <c r="F948">
        <v>1004</v>
      </c>
      <c r="G948" t="s">
        <v>120</v>
      </c>
      <c r="J948" t="s">
        <v>115</v>
      </c>
      <c r="K948">
        <v>0</v>
      </c>
      <c r="L948">
        <v>3</v>
      </c>
      <c r="M948">
        <v>0</v>
      </c>
      <c r="N948">
        <v>2</v>
      </c>
      <c r="O948">
        <v>1</v>
      </c>
      <c r="P948">
        <v>0</v>
      </c>
      <c r="Q948">
        <v>0</v>
      </c>
      <c r="S948" t="str">
        <f>"18:40:44.250"</f>
        <v>18:40:44.250</v>
      </c>
      <c r="T948" t="str">
        <f>"18:40:43.850"</f>
        <v>18:40:43.850</v>
      </c>
      <c r="U948" t="str">
        <f t="shared" si="90"/>
        <v>AAB6EE</v>
      </c>
      <c r="V948">
        <v>0</v>
      </c>
      <c r="W948">
        <v>0</v>
      </c>
      <c r="X948">
        <v>4</v>
      </c>
      <c r="Z948">
        <v>0</v>
      </c>
      <c r="AA948">
        <v>8</v>
      </c>
      <c r="AB948">
        <v>3</v>
      </c>
      <c r="AC948">
        <v>0</v>
      </c>
      <c r="AD948">
        <v>10</v>
      </c>
      <c r="AE948">
        <v>0</v>
      </c>
      <c r="AF948">
        <v>0</v>
      </c>
      <c r="AG948">
        <v>2</v>
      </c>
      <c r="AH948">
        <v>1</v>
      </c>
      <c r="AI948" t="s">
        <v>753</v>
      </c>
      <c r="AJ948">
        <v>35.315787999999998</v>
      </c>
      <c r="AK948" t="s">
        <v>754</v>
      </c>
      <c r="AL948">
        <v>-76.170552000000001</v>
      </c>
      <c r="AM948">
        <v>25</v>
      </c>
      <c r="AN948">
        <v>3450</v>
      </c>
      <c r="AO948" t="s">
        <v>118</v>
      </c>
      <c r="AP948">
        <v>-198</v>
      </c>
      <c r="AQ948">
        <v>-95</v>
      </c>
      <c r="AR948">
        <v>-192</v>
      </c>
      <c r="AZ948">
        <v>4516</v>
      </c>
      <c r="BA948">
        <v>1</v>
      </c>
      <c r="BB948" t="str">
        <f t="shared" si="92"/>
        <v xml:space="preserve">N79NX   </v>
      </c>
      <c r="BC948">
        <v>1</v>
      </c>
      <c r="BE948">
        <v>0</v>
      </c>
      <c r="BF948">
        <v>0</v>
      </c>
      <c r="BG948">
        <v>0</v>
      </c>
      <c r="BH948">
        <v>3300</v>
      </c>
      <c r="BI948">
        <v>0</v>
      </c>
      <c r="BJ948">
        <v>0</v>
      </c>
      <c r="BK948">
        <v>0</v>
      </c>
      <c r="BL948">
        <v>0</v>
      </c>
      <c r="BO948">
        <v>0</v>
      </c>
      <c r="BP948">
        <v>0</v>
      </c>
      <c r="BW948" t="str">
        <f>"18:40:44.251"</f>
        <v>18:40:44.251</v>
      </c>
      <c r="BZ948">
        <v>0</v>
      </c>
      <c r="CA948">
        <v>4096</v>
      </c>
      <c r="CB948">
        <v>216</v>
      </c>
      <c r="CC948">
        <v>472.5</v>
      </c>
      <c r="CD948">
        <v>1</v>
      </c>
      <c r="CE948">
        <v>1</v>
      </c>
      <c r="CF948">
        <v>0</v>
      </c>
      <c r="CG948">
        <v>1</v>
      </c>
      <c r="CH948">
        <v>0</v>
      </c>
      <c r="CI948">
        <v>0</v>
      </c>
      <c r="CJ948">
        <v>0</v>
      </c>
      <c r="CK948">
        <v>2</v>
      </c>
      <c r="CL948">
        <v>0</v>
      </c>
      <c r="CM948">
        <v>2</v>
      </c>
      <c r="CN948">
        <v>0</v>
      </c>
      <c r="CO948">
        <v>4</v>
      </c>
      <c r="CP948" t="s">
        <v>119</v>
      </c>
      <c r="CQ948">
        <v>145</v>
      </c>
      <c r="CR948">
        <v>1</v>
      </c>
      <c r="CW948">
        <v>8998017</v>
      </c>
      <c r="CY948">
        <v>0</v>
      </c>
      <c r="CZ948">
        <v>0</v>
      </c>
      <c r="DA948">
        <v>1</v>
      </c>
      <c r="DB948">
        <v>0</v>
      </c>
      <c r="DC948">
        <v>0</v>
      </c>
      <c r="DD948">
        <v>0</v>
      </c>
      <c r="DE948">
        <v>0</v>
      </c>
      <c r="DF948">
        <v>0</v>
      </c>
      <c r="DG948">
        <v>0</v>
      </c>
      <c r="DH948">
        <v>0</v>
      </c>
      <c r="DI948">
        <v>0</v>
      </c>
    </row>
    <row r="949" spans="1:113" x14ac:dyDescent="0.3">
      <c r="A949" t="str">
        <f>"02/13/2022 18:40:44.450"</f>
        <v>02/13/2022 18:40:44.450</v>
      </c>
      <c r="C949" t="str">
        <f t="shared" si="91"/>
        <v>FFDFD7C0</v>
      </c>
      <c r="D949" t="s">
        <v>121</v>
      </c>
      <c r="E949">
        <v>2</v>
      </c>
      <c r="H949">
        <v>158</v>
      </c>
      <c r="I949" t="s">
        <v>120</v>
      </c>
      <c r="J949" t="s">
        <v>122</v>
      </c>
      <c r="K949">
        <v>0</v>
      </c>
      <c r="L949">
        <v>3</v>
      </c>
      <c r="M949">
        <v>0</v>
      </c>
      <c r="N949">
        <v>2</v>
      </c>
      <c r="O949">
        <v>1</v>
      </c>
      <c r="P949">
        <v>0</v>
      </c>
      <c r="Q949">
        <v>0</v>
      </c>
      <c r="S949" t="str">
        <f>"18:40:44.250"</f>
        <v>18:40:44.250</v>
      </c>
      <c r="T949" t="str">
        <f>"18:40:43.850"</f>
        <v>18:40:43.850</v>
      </c>
      <c r="U949" t="str">
        <f t="shared" si="90"/>
        <v>AAB6EE</v>
      </c>
      <c r="V949">
        <v>0</v>
      </c>
      <c r="W949">
        <v>0</v>
      </c>
      <c r="X949">
        <v>4</v>
      </c>
      <c r="Z949">
        <v>0</v>
      </c>
      <c r="AA949">
        <v>8</v>
      </c>
      <c r="AB949">
        <v>3</v>
      </c>
      <c r="AC949">
        <v>0</v>
      </c>
      <c r="AD949">
        <v>10</v>
      </c>
      <c r="AE949">
        <v>0</v>
      </c>
      <c r="AF949">
        <v>0</v>
      </c>
      <c r="AG949">
        <v>2</v>
      </c>
      <c r="AH949">
        <v>1</v>
      </c>
      <c r="AI949" t="s">
        <v>753</v>
      </c>
      <c r="AJ949">
        <v>35.315787999999998</v>
      </c>
      <c r="AK949" t="s">
        <v>754</v>
      </c>
      <c r="AL949">
        <v>-76.170552000000001</v>
      </c>
      <c r="AM949">
        <v>25</v>
      </c>
      <c r="AN949">
        <v>3450</v>
      </c>
      <c r="AO949" t="s">
        <v>118</v>
      </c>
      <c r="AP949">
        <v>-198</v>
      </c>
      <c r="AQ949">
        <v>-95</v>
      </c>
      <c r="AR949">
        <v>-192</v>
      </c>
      <c r="AZ949">
        <v>4516</v>
      </c>
      <c r="BA949">
        <v>1</v>
      </c>
      <c r="BB949" t="str">
        <f t="shared" si="92"/>
        <v xml:space="preserve">N79NX   </v>
      </c>
      <c r="BC949">
        <v>1</v>
      </c>
      <c r="BE949">
        <v>0</v>
      </c>
      <c r="BF949">
        <v>0</v>
      </c>
      <c r="BG949">
        <v>0</v>
      </c>
      <c r="BH949">
        <v>3300</v>
      </c>
      <c r="BI949">
        <v>0</v>
      </c>
      <c r="BJ949">
        <v>0</v>
      </c>
      <c r="BK949">
        <v>0</v>
      </c>
      <c r="BL949">
        <v>0</v>
      </c>
      <c r="BO949">
        <v>0</v>
      </c>
      <c r="BP949">
        <v>0</v>
      </c>
      <c r="BW949" t="str">
        <f>"18:40:44.251"</f>
        <v>18:40:44.251</v>
      </c>
      <c r="BZ949">
        <v>0</v>
      </c>
      <c r="CA949">
        <v>4096</v>
      </c>
      <c r="CB949">
        <v>216</v>
      </c>
      <c r="CC949">
        <v>472.5</v>
      </c>
      <c r="CD949">
        <v>1</v>
      </c>
      <c r="CE949">
        <v>1</v>
      </c>
      <c r="CF949">
        <v>0</v>
      </c>
      <c r="CG949">
        <v>1</v>
      </c>
      <c r="CH949">
        <v>0</v>
      </c>
      <c r="CI949">
        <v>0</v>
      </c>
      <c r="CJ949">
        <v>0</v>
      </c>
      <c r="CK949">
        <v>2</v>
      </c>
      <c r="CL949">
        <v>0</v>
      </c>
      <c r="CM949">
        <v>2</v>
      </c>
      <c r="CN949">
        <v>0</v>
      </c>
      <c r="CO949">
        <v>4</v>
      </c>
      <c r="CP949" t="s">
        <v>119</v>
      </c>
      <c r="CQ949">
        <v>145</v>
      </c>
      <c r="CR949">
        <v>1</v>
      </c>
      <c r="CW949">
        <v>8998017</v>
      </c>
      <c r="CY949">
        <v>0</v>
      </c>
      <c r="CZ949">
        <v>0</v>
      </c>
      <c r="DA949">
        <v>1</v>
      </c>
      <c r="DB949">
        <v>0</v>
      </c>
      <c r="DC949">
        <v>0</v>
      </c>
      <c r="DD949">
        <v>0</v>
      </c>
      <c r="DE949">
        <v>0</v>
      </c>
      <c r="DF949">
        <v>0</v>
      </c>
      <c r="DG949">
        <v>0</v>
      </c>
      <c r="DH949">
        <v>0</v>
      </c>
      <c r="DI949">
        <v>0</v>
      </c>
    </row>
    <row r="950" spans="1:113" x14ac:dyDescent="0.3">
      <c r="A950" t="str">
        <f>"02/13/2022 18:40:45.513"</f>
        <v>02/13/2022 18:40:45.513</v>
      </c>
      <c r="C950" t="str">
        <f t="shared" si="91"/>
        <v>FFDFD7C0</v>
      </c>
      <c r="D950" t="s">
        <v>113</v>
      </c>
      <c r="E950">
        <v>3</v>
      </c>
      <c r="F950">
        <v>1003</v>
      </c>
      <c r="G950" t="s">
        <v>114</v>
      </c>
      <c r="J950" t="s">
        <v>115</v>
      </c>
      <c r="K950">
        <v>0</v>
      </c>
      <c r="L950">
        <v>3</v>
      </c>
      <c r="M950">
        <v>0</v>
      </c>
      <c r="N950">
        <v>2</v>
      </c>
      <c r="O950">
        <v>1</v>
      </c>
      <c r="P950">
        <v>0</v>
      </c>
      <c r="Q950">
        <v>0</v>
      </c>
      <c r="S950" t="str">
        <f>"18:40:45.297"</f>
        <v>18:40:45.297</v>
      </c>
      <c r="T950" t="str">
        <f>"18:40:44.897"</f>
        <v>18:40:44.897</v>
      </c>
      <c r="U950" t="str">
        <f t="shared" si="90"/>
        <v>AAB6EE</v>
      </c>
      <c r="V950">
        <v>0</v>
      </c>
      <c r="W950">
        <v>0</v>
      </c>
      <c r="X950">
        <v>4</v>
      </c>
      <c r="Z950">
        <v>0</v>
      </c>
      <c r="AA950">
        <v>8</v>
      </c>
      <c r="AB950">
        <v>3</v>
      </c>
      <c r="AC950">
        <v>0</v>
      </c>
      <c r="AD950">
        <v>10</v>
      </c>
      <c r="AE950">
        <v>0</v>
      </c>
      <c r="AF950">
        <v>0</v>
      </c>
      <c r="AG950">
        <v>2</v>
      </c>
      <c r="AH950">
        <v>1</v>
      </c>
      <c r="AI950" t="s">
        <v>755</v>
      </c>
      <c r="AJ950">
        <v>35.315359000000001</v>
      </c>
      <c r="AK950" t="s">
        <v>756</v>
      </c>
      <c r="AL950">
        <v>-76.171710000000004</v>
      </c>
      <c r="AM950">
        <v>25</v>
      </c>
      <c r="AN950">
        <v>3450</v>
      </c>
      <c r="AO950" t="s">
        <v>118</v>
      </c>
      <c r="AP950">
        <v>-199</v>
      </c>
      <c r="AQ950">
        <v>-93</v>
      </c>
      <c r="AR950">
        <v>-192</v>
      </c>
      <c r="AZ950">
        <v>4516</v>
      </c>
      <c r="BA950">
        <v>1</v>
      </c>
      <c r="BB950" t="str">
        <f t="shared" si="92"/>
        <v xml:space="preserve">N79NX   </v>
      </c>
      <c r="BC950">
        <v>1</v>
      </c>
      <c r="BE950">
        <v>0</v>
      </c>
      <c r="BF950">
        <v>0</v>
      </c>
      <c r="BG950">
        <v>0</v>
      </c>
      <c r="BH950">
        <v>3325</v>
      </c>
      <c r="BI950">
        <v>0</v>
      </c>
      <c r="BJ950">
        <v>0</v>
      </c>
      <c r="BK950">
        <v>0</v>
      </c>
      <c r="BL950">
        <v>0</v>
      </c>
      <c r="BO950">
        <v>0</v>
      </c>
      <c r="BP950">
        <v>0</v>
      </c>
      <c r="BW950" t="str">
        <f>"18:40:45.301"</f>
        <v>18:40:45.301</v>
      </c>
      <c r="BZ950">
        <v>0</v>
      </c>
      <c r="CA950">
        <v>4096</v>
      </c>
      <c r="CB950">
        <v>216</v>
      </c>
      <c r="CC950">
        <v>472.5</v>
      </c>
      <c r="CD950">
        <v>1</v>
      </c>
      <c r="CE950">
        <v>1</v>
      </c>
      <c r="CF950">
        <v>0</v>
      </c>
      <c r="CG950">
        <v>1</v>
      </c>
      <c r="CH950">
        <v>0</v>
      </c>
      <c r="CI950">
        <v>0</v>
      </c>
      <c r="CJ950">
        <v>0</v>
      </c>
      <c r="CK950">
        <v>2</v>
      </c>
      <c r="CL950">
        <v>0</v>
      </c>
      <c r="CM950">
        <v>2</v>
      </c>
      <c r="CN950">
        <v>0</v>
      </c>
      <c r="CO950">
        <v>4</v>
      </c>
      <c r="CP950" t="s">
        <v>119</v>
      </c>
      <c r="CQ950">
        <v>145</v>
      </c>
      <c r="CR950">
        <v>1</v>
      </c>
      <c r="CW950">
        <v>8998439</v>
      </c>
      <c r="CY950">
        <v>0</v>
      </c>
      <c r="CZ950">
        <v>0</v>
      </c>
      <c r="DA950">
        <v>0</v>
      </c>
      <c r="DB950">
        <v>0</v>
      </c>
      <c r="DC950">
        <v>0</v>
      </c>
      <c r="DD950">
        <v>0</v>
      </c>
      <c r="DE950">
        <v>0</v>
      </c>
      <c r="DF950">
        <v>0</v>
      </c>
      <c r="DG950">
        <v>0</v>
      </c>
      <c r="DH950">
        <v>0</v>
      </c>
      <c r="DI950">
        <v>0</v>
      </c>
    </row>
    <row r="951" spans="1:113" x14ac:dyDescent="0.3">
      <c r="A951" t="str">
        <f>"02/13/2022 18:40:45.513"</f>
        <v>02/13/2022 18:40:45.513</v>
      </c>
      <c r="C951" t="str">
        <f t="shared" si="91"/>
        <v>FFDFD7C0</v>
      </c>
      <c r="D951" t="s">
        <v>113</v>
      </c>
      <c r="E951">
        <v>4</v>
      </c>
      <c r="F951">
        <v>1004</v>
      </c>
      <c r="G951" t="s">
        <v>120</v>
      </c>
      <c r="J951" t="s">
        <v>115</v>
      </c>
      <c r="K951">
        <v>0</v>
      </c>
      <c r="L951">
        <v>3</v>
      </c>
      <c r="M951">
        <v>0</v>
      </c>
      <c r="N951">
        <v>2</v>
      </c>
      <c r="O951">
        <v>1</v>
      </c>
      <c r="P951">
        <v>0</v>
      </c>
      <c r="Q951">
        <v>0</v>
      </c>
      <c r="S951" t="str">
        <f>"18:40:45.297"</f>
        <v>18:40:45.297</v>
      </c>
      <c r="T951" t="str">
        <f>"18:40:44.897"</f>
        <v>18:40:44.897</v>
      </c>
      <c r="U951" t="str">
        <f t="shared" si="90"/>
        <v>AAB6EE</v>
      </c>
      <c r="V951">
        <v>0</v>
      </c>
      <c r="W951">
        <v>0</v>
      </c>
      <c r="X951">
        <v>4</v>
      </c>
      <c r="Z951">
        <v>0</v>
      </c>
      <c r="AA951">
        <v>8</v>
      </c>
      <c r="AB951">
        <v>3</v>
      </c>
      <c r="AC951">
        <v>0</v>
      </c>
      <c r="AD951">
        <v>10</v>
      </c>
      <c r="AE951">
        <v>0</v>
      </c>
      <c r="AF951">
        <v>0</v>
      </c>
      <c r="AG951">
        <v>2</v>
      </c>
      <c r="AH951">
        <v>1</v>
      </c>
      <c r="AI951" t="s">
        <v>755</v>
      </c>
      <c r="AJ951">
        <v>35.315359000000001</v>
      </c>
      <c r="AK951" t="s">
        <v>756</v>
      </c>
      <c r="AL951">
        <v>-76.171710000000004</v>
      </c>
      <c r="AM951">
        <v>25</v>
      </c>
      <c r="AN951">
        <v>3450</v>
      </c>
      <c r="AO951" t="s">
        <v>118</v>
      </c>
      <c r="AP951">
        <v>-199</v>
      </c>
      <c r="AQ951">
        <v>-93</v>
      </c>
      <c r="AR951">
        <v>-192</v>
      </c>
      <c r="AZ951">
        <v>4516</v>
      </c>
      <c r="BA951">
        <v>1</v>
      </c>
      <c r="BB951" t="str">
        <f t="shared" si="92"/>
        <v xml:space="preserve">N79NX   </v>
      </c>
      <c r="BC951">
        <v>1</v>
      </c>
      <c r="BE951">
        <v>0</v>
      </c>
      <c r="BF951">
        <v>0</v>
      </c>
      <c r="BG951">
        <v>0</v>
      </c>
      <c r="BH951">
        <v>3325</v>
      </c>
      <c r="BI951">
        <v>0</v>
      </c>
      <c r="BJ951">
        <v>0</v>
      </c>
      <c r="BK951">
        <v>0</v>
      </c>
      <c r="BL951">
        <v>0</v>
      </c>
      <c r="BO951">
        <v>0</v>
      </c>
      <c r="BP951">
        <v>0</v>
      </c>
      <c r="BW951" t="str">
        <f>"18:40:45.301"</f>
        <v>18:40:45.301</v>
      </c>
      <c r="BZ951">
        <v>0</v>
      </c>
      <c r="CA951">
        <v>4096</v>
      </c>
      <c r="CB951">
        <v>216</v>
      </c>
      <c r="CC951">
        <v>472.5</v>
      </c>
      <c r="CD951">
        <v>1</v>
      </c>
      <c r="CE951">
        <v>1</v>
      </c>
      <c r="CF951">
        <v>0</v>
      </c>
      <c r="CG951">
        <v>1</v>
      </c>
      <c r="CH951">
        <v>0</v>
      </c>
      <c r="CI951">
        <v>0</v>
      </c>
      <c r="CJ951">
        <v>0</v>
      </c>
      <c r="CK951">
        <v>2</v>
      </c>
      <c r="CL951">
        <v>0</v>
      </c>
      <c r="CM951">
        <v>2</v>
      </c>
      <c r="CN951">
        <v>0</v>
      </c>
      <c r="CO951">
        <v>4</v>
      </c>
      <c r="CP951" t="s">
        <v>119</v>
      </c>
      <c r="CQ951">
        <v>145</v>
      </c>
      <c r="CR951">
        <v>1</v>
      </c>
      <c r="CW951">
        <v>8998439</v>
      </c>
      <c r="CY951">
        <v>0</v>
      </c>
      <c r="CZ951">
        <v>0</v>
      </c>
      <c r="DA951">
        <v>1</v>
      </c>
      <c r="DB951">
        <v>0</v>
      </c>
      <c r="DC951">
        <v>0</v>
      </c>
      <c r="DD951">
        <v>0</v>
      </c>
      <c r="DE951">
        <v>0</v>
      </c>
      <c r="DF951">
        <v>0</v>
      </c>
      <c r="DG951">
        <v>0</v>
      </c>
      <c r="DH951">
        <v>0</v>
      </c>
      <c r="DI951">
        <v>0</v>
      </c>
    </row>
    <row r="952" spans="1:113" x14ac:dyDescent="0.3">
      <c r="A952" t="str">
        <f>"02/13/2022 18:40:45.513"</f>
        <v>02/13/2022 18:40:45.513</v>
      </c>
      <c r="C952" t="str">
        <f t="shared" si="91"/>
        <v>FFDFD7C0</v>
      </c>
      <c r="D952" t="s">
        <v>121</v>
      </c>
      <c r="E952">
        <v>2</v>
      </c>
      <c r="H952">
        <v>158</v>
      </c>
      <c r="I952" t="s">
        <v>120</v>
      </c>
      <c r="J952" t="s">
        <v>122</v>
      </c>
      <c r="K952">
        <v>0</v>
      </c>
      <c r="L952">
        <v>3</v>
      </c>
      <c r="M952">
        <v>0</v>
      </c>
      <c r="N952">
        <v>2</v>
      </c>
      <c r="O952">
        <v>1</v>
      </c>
      <c r="P952">
        <v>0</v>
      </c>
      <c r="Q952">
        <v>0</v>
      </c>
      <c r="S952" t="str">
        <f>"18:40:45.297"</f>
        <v>18:40:45.297</v>
      </c>
      <c r="T952" t="str">
        <f>"18:40:44.897"</f>
        <v>18:40:44.897</v>
      </c>
      <c r="U952" t="str">
        <f t="shared" si="90"/>
        <v>AAB6EE</v>
      </c>
      <c r="V952">
        <v>0</v>
      </c>
      <c r="W952">
        <v>0</v>
      </c>
      <c r="X952">
        <v>4</v>
      </c>
      <c r="Z952">
        <v>0</v>
      </c>
      <c r="AA952">
        <v>8</v>
      </c>
      <c r="AB952">
        <v>3</v>
      </c>
      <c r="AC952">
        <v>0</v>
      </c>
      <c r="AD952">
        <v>10</v>
      </c>
      <c r="AE952">
        <v>0</v>
      </c>
      <c r="AF952">
        <v>0</v>
      </c>
      <c r="AG952">
        <v>2</v>
      </c>
      <c r="AH952">
        <v>1</v>
      </c>
      <c r="AI952" t="s">
        <v>755</v>
      </c>
      <c r="AJ952">
        <v>35.315359000000001</v>
      </c>
      <c r="AK952" t="s">
        <v>756</v>
      </c>
      <c r="AL952">
        <v>-76.171710000000004</v>
      </c>
      <c r="AM952">
        <v>25</v>
      </c>
      <c r="AN952">
        <v>3450</v>
      </c>
      <c r="AO952" t="s">
        <v>118</v>
      </c>
      <c r="AP952">
        <v>-199</v>
      </c>
      <c r="AQ952">
        <v>-93</v>
      </c>
      <c r="AR952">
        <v>-192</v>
      </c>
      <c r="AZ952">
        <v>4516</v>
      </c>
      <c r="BA952">
        <v>1</v>
      </c>
      <c r="BB952" t="str">
        <f t="shared" si="92"/>
        <v xml:space="preserve">N79NX   </v>
      </c>
      <c r="BC952">
        <v>1</v>
      </c>
      <c r="BE952">
        <v>0</v>
      </c>
      <c r="BF952">
        <v>0</v>
      </c>
      <c r="BG952">
        <v>0</v>
      </c>
      <c r="BH952">
        <v>3325</v>
      </c>
      <c r="BI952">
        <v>0</v>
      </c>
      <c r="BJ952">
        <v>0</v>
      </c>
      <c r="BK952">
        <v>0</v>
      </c>
      <c r="BL952">
        <v>0</v>
      </c>
      <c r="BO952">
        <v>0</v>
      </c>
      <c r="BP952">
        <v>0</v>
      </c>
      <c r="BW952" t="str">
        <f>"18:40:45.301"</f>
        <v>18:40:45.301</v>
      </c>
      <c r="BZ952">
        <v>0</v>
      </c>
      <c r="CA952">
        <v>4096</v>
      </c>
      <c r="CB952">
        <v>216</v>
      </c>
      <c r="CC952">
        <v>472.5</v>
      </c>
      <c r="CD952">
        <v>1</v>
      </c>
      <c r="CE952">
        <v>1</v>
      </c>
      <c r="CF952">
        <v>0</v>
      </c>
      <c r="CG952">
        <v>1</v>
      </c>
      <c r="CH952">
        <v>0</v>
      </c>
      <c r="CI952">
        <v>0</v>
      </c>
      <c r="CJ952">
        <v>0</v>
      </c>
      <c r="CK952">
        <v>2</v>
      </c>
      <c r="CL952">
        <v>0</v>
      </c>
      <c r="CM952">
        <v>2</v>
      </c>
      <c r="CN952">
        <v>0</v>
      </c>
      <c r="CO952">
        <v>4</v>
      </c>
      <c r="CP952" t="s">
        <v>119</v>
      </c>
      <c r="CQ952">
        <v>145</v>
      </c>
      <c r="CR952">
        <v>1</v>
      </c>
      <c r="CW952">
        <v>8998439</v>
      </c>
      <c r="CY952">
        <v>0</v>
      </c>
      <c r="CZ952">
        <v>0</v>
      </c>
      <c r="DA952">
        <v>1</v>
      </c>
      <c r="DB952">
        <v>0</v>
      </c>
      <c r="DC952">
        <v>0</v>
      </c>
      <c r="DD952">
        <v>0</v>
      </c>
      <c r="DE952">
        <v>0</v>
      </c>
      <c r="DF952">
        <v>0</v>
      </c>
      <c r="DG952">
        <v>0</v>
      </c>
      <c r="DH952">
        <v>0</v>
      </c>
      <c r="DI952">
        <v>0</v>
      </c>
    </row>
    <row r="953" spans="1:113" x14ac:dyDescent="0.3">
      <c r="A953" t="str">
        <f>"02/13/2022 18:40:46.655"</f>
        <v>02/13/2022 18:40:46.655</v>
      </c>
      <c r="C953" t="str">
        <f t="shared" si="91"/>
        <v>FFDFD7C0</v>
      </c>
      <c r="D953" t="s">
        <v>113</v>
      </c>
      <c r="E953">
        <v>4</v>
      </c>
      <c r="F953">
        <v>1004</v>
      </c>
      <c r="G953" t="s">
        <v>120</v>
      </c>
      <c r="J953" t="s">
        <v>115</v>
      </c>
      <c r="K953">
        <v>0</v>
      </c>
      <c r="L953">
        <v>3</v>
      </c>
      <c r="M953">
        <v>0</v>
      </c>
      <c r="N953">
        <v>2</v>
      </c>
      <c r="O953">
        <v>1</v>
      </c>
      <c r="P953">
        <v>0</v>
      </c>
      <c r="Q953">
        <v>0</v>
      </c>
      <c r="S953" t="str">
        <f>"18:40:46.375"</f>
        <v>18:40:46.375</v>
      </c>
      <c r="T953" t="str">
        <f>"18:40:46.275"</f>
        <v>18:40:46.275</v>
      </c>
      <c r="U953" t="str">
        <f t="shared" si="90"/>
        <v>AAB6EE</v>
      </c>
      <c r="V953">
        <v>0</v>
      </c>
      <c r="W953">
        <v>0</v>
      </c>
      <c r="X953">
        <v>4</v>
      </c>
      <c r="Z953">
        <v>0</v>
      </c>
      <c r="AA953">
        <v>8</v>
      </c>
      <c r="AB953">
        <v>3</v>
      </c>
      <c r="AC953">
        <v>0</v>
      </c>
      <c r="AD953">
        <v>10</v>
      </c>
      <c r="AE953">
        <v>0</v>
      </c>
      <c r="AF953">
        <v>0</v>
      </c>
      <c r="AG953">
        <v>2</v>
      </c>
      <c r="AH953">
        <v>1</v>
      </c>
      <c r="AI953" t="s">
        <v>757</v>
      </c>
      <c r="AJ953">
        <v>35.314908000000003</v>
      </c>
      <c r="AK953" t="s">
        <v>758</v>
      </c>
      <c r="AL953">
        <v>-76.172955000000002</v>
      </c>
      <c r="AM953">
        <v>25</v>
      </c>
      <c r="AN953">
        <v>3450</v>
      </c>
      <c r="AO953" t="s">
        <v>118</v>
      </c>
      <c r="AP953">
        <v>-200</v>
      </c>
      <c r="AQ953">
        <v>-93</v>
      </c>
      <c r="AR953">
        <v>-192</v>
      </c>
      <c r="AZ953">
        <v>4516</v>
      </c>
      <c r="BA953">
        <v>1</v>
      </c>
      <c r="BB953" t="str">
        <f t="shared" si="92"/>
        <v xml:space="preserve">N79NX   </v>
      </c>
      <c r="BC953">
        <v>1</v>
      </c>
      <c r="BE953">
        <v>0</v>
      </c>
      <c r="BF953">
        <v>0</v>
      </c>
      <c r="BG953">
        <v>0</v>
      </c>
      <c r="BH953">
        <v>3325</v>
      </c>
      <c r="BI953">
        <v>0</v>
      </c>
      <c r="BJ953">
        <v>0</v>
      </c>
      <c r="BK953">
        <v>0</v>
      </c>
      <c r="BL953">
        <v>0</v>
      </c>
      <c r="BO953">
        <v>0</v>
      </c>
      <c r="BP953">
        <v>0</v>
      </c>
      <c r="BW953" t="str">
        <f>"18:40:46.381"</f>
        <v>18:40:46.381</v>
      </c>
      <c r="BZ953">
        <v>0</v>
      </c>
      <c r="CA953">
        <v>4096</v>
      </c>
      <c r="CB953">
        <v>216</v>
      </c>
      <c r="CC953">
        <v>469.6875</v>
      </c>
      <c r="CD953">
        <v>1</v>
      </c>
      <c r="CE953">
        <v>1</v>
      </c>
      <c r="CF953">
        <v>0</v>
      </c>
      <c r="CG953">
        <v>1</v>
      </c>
      <c r="CH953">
        <v>0</v>
      </c>
      <c r="CI953">
        <v>0</v>
      </c>
      <c r="CJ953">
        <v>0</v>
      </c>
      <c r="CK953">
        <v>2</v>
      </c>
      <c r="CL953">
        <v>0</v>
      </c>
      <c r="CM953">
        <v>2</v>
      </c>
      <c r="CN953">
        <v>0</v>
      </c>
      <c r="CO953">
        <v>4</v>
      </c>
      <c r="CP953" t="s">
        <v>119</v>
      </c>
      <c r="CQ953">
        <v>145</v>
      </c>
      <c r="CR953">
        <v>1</v>
      </c>
      <c r="CW953">
        <v>8998943</v>
      </c>
      <c r="CY953">
        <v>0</v>
      </c>
      <c r="CZ953">
        <v>0</v>
      </c>
      <c r="DA953">
        <v>0</v>
      </c>
      <c r="DB953">
        <v>0</v>
      </c>
      <c r="DC953">
        <v>0</v>
      </c>
      <c r="DD953">
        <v>0</v>
      </c>
      <c r="DE953">
        <v>0</v>
      </c>
      <c r="DF953">
        <v>0</v>
      </c>
      <c r="DG953">
        <v>0</v>
      </c>
      <c r="DH953">
        <v>0</v>
      </c>
      <c r="DI953">
        <v>0</v>
      </c>
    </row>
    <row r="954" spans="1:113" x14ac:dyDescent="0.3">
      <c r="A954" t="str">
        <f>"02/13/2022 18:40:46.655"</f>
        <v>02/13/2022 18:40:46.655</v>
      </c>
      <c r="C954" t="str">
        <f t="shared" si="91"/>
        <v>FFDFD7C0</v>
      </c>
      <c r="D954" t="s">
        <v>113</v>
      </c>
      <c r="E954">
        <v>3</v>
      </c>
      <c r="F954">
        <v>1003</v>
      </c>
      <c r="G954" t="s">
        <v>114</v>
      </c>
      <c r="J954" t="s">
        <v>115</v>
      </c>
      <c r="K954">
        <v>0</v>
      </c>
      <c r="L954">
        <v>3</v>
      </c>
      <c r="M954">
        <v>0</v>
      </c>
      <c r="N954">
        <v>2</v>
      </c>
      <c r="O954">
        <v>1</v>
      </c>
      <c r="P954">
        <v>0</v>
      </c>
      <c r="Q954">
        <v>0</v>
      </c>
      <c r="S954" t="str">
        <f>"18:40:46.375"</f>
        <v>18:40:46.375</v>
      </c>
      <c r="T954" t="str">
        <f>"18:40:46.275"</f>
        <v>18:40:46.275</v>
      </c>
      <c r="U954" t="str">
        <f t="shared" si="90"/>
        <v>AAB6EE</v>
      </c>
      <c r="V954">
        <v>0</v>
      </c>
      <c r="W954">
        <v>0</v>
      </c>
      <c r="X954">
        <v>4</v>
      </c>
      <c r="Z954">
        <v>0</v>
      </c>
      <c r="AA954">
        <v>8</v>
      </c>
      <c r="AB954">
        <v>3</v>
      </c>
      <c r="AC954">
        <v>0</v>
      </c>
      <c r="AD954">
        <v>10</v>
      </c>
      <c r="AE954">
        <v>0</v>
      </c>
      <c r="AF954">
        <v>0</v>
      </c>
      <c r="AG954">
        <v>2</v>
      </c>
      <c r="AH954">
        <v>1</v>
      </c>
      <c r="AI954" t="s">
        <v>757</v>
      </c>
      <c r="AJ954">
        <v>35.314908000000003</v>
      </c>
      <c r="AK954" t="s">
        <v>758</v>
      </c>
      <c r="AL954">
        <v>-76.172955000000002</v>
      </c>
      <c r="AM954">
        <v>25</v>
      </c>
      <c r="AN954">
        <v>3450</v>
      </c>
      <c r="AO954" t="s">
        <v>118</v>
      </c>
      <c r="AP954">
        <v>-200</v>
      </c>
      <c r="AQ954">
        <v>-93</v>
      </c>
      <c r="AR954">
        <v>-192</v>
      </c>
      <c r="AZ954">
        <v>4516</v>
      </c>
      <c r="BA954">
        <v>1</v>
      </c>
      <c r="BB954" t="str">
        <f t="shared" si="92"/>
        <v xml:space="preserve">N79NX   </v>
      </c>
      <c r="BC954">
        <v>1</v>
      </c>
      <c r="BE954">
        <v>0</v>
      </c>
      <c r="BF954">
        <v>0</v>
      </c>
      <c r="BG954">
        <v>0</v>
      </c>
      <c r="BH954">
        <v>3325</v>
      </c>
      <c r="BI954">
        <v>0</v>
      </c>
      <c r="BJ954">
        <v>0</v>
      </c>
      <c r="BK954">
        <v>0</v>
      </c>
      <c r="BL954">
        <v>0</v>
      </c>
      <c r="BO954">
        <v>0</v>
      </c>
      <c r="BP954">
        <v>0</v>
      </c>
      <c r="BW954" t="str">
        <f>"18:40:46.381"</f>
        <v>18:40:46.381</v>
      </c>
      <c r="BZ954">
        <v>0</v>
      </c>
      <c r="CA954">
        <v>4096</v>
      </c>
      <c r="CB954">
        <v>216</v>
      </c>
      <c r="CC954">
        <v>469.6875</v>
      </c>
      <c r="CD954">
        <v>1</v>
      </c>
      <c r="CE954">
        <v>1</v>
      </c>
      <c r="CF954">
        <v>0</v>
      </c>
      <c r="CG954">
        <v>1</v>
      </c>
      <c r="CH954">
        <v>0</v>
      </c>
      <c r="CI954">
        <v>0</v>
      </c>
      <c r="CJ954">
        <v>0</v>
      </c>
      <c r="CK954">
        <v>2</v>
      </c>
      <c r="CL954">
        <v>0</v>
      </c>
      <c r="CM954">
        <v>2</v>
      </c>
      <c r="CN954">
        <v>0</v>
      </c>
      <c r="CO954">
        <v>4</v>
      </c>
      <c r="CP954" t="s">
        <v>119</v>
      </c>
      <c r="CQ954">
        <v>145</v>
      </c>
      <c r="CR954">
        <v>1</v>
      </c>
      <c r="CW954">
        <v>8998943</v>
      </c>
      <c r="CY954">
        <v>0</v>
      </c>
      <c r="CZ954">
        <v>0</v>
      </c>
      <c r="DA954">
        <v>1</v>
      </c>
      <c r="DB954">
        <v>0</v>
      </c>
      <c r="DC954">
        <v>0</v>
      </c>
      <c r="DD954">
        <v>0</v>
      </c>
      <c r="DE954">
        <v>0</v>
      </c>
      <c r="DF954">
        <v>0</v>
      </c>
      <c r="DG954">
        <v>0</v>
      </c>
      <c r="DH954">
        <v>0</v>
      </c>
      <c r="DI954">
        <v>0</v>
      </c>
    </row>
    <row r="955" spans="1:113" x14ac:dyDescent="0.3">
      <c r="A955" t="str">
        <f>"02/13/2022 18:40:46.655"</f>
        <v>02/13/2022 18:40:46.655</v>
      </c>
      <c r="C955" t="str">
        <f t="shared" si="91"/>
        <v>FFDFD7C0</v>
      </c>
      <c r="D955" t="s">
        <v>121</v>
      </c>
      <c r="E955">
        <v>2</v>
      </c>
      <c r="H955">
        <v>158</v>
      </c>
      <c r="I955" t="s">
        <v>120</v>
      </c>
      <c r="J955" t="s">
        <v>122</v>
      </c>
      <c r="K955">
        <v>0</v>
      </c>
      <c r="L955">
        <v>3</v>
      </c>
      <c r="M955">
        <v>0</v>
      </c>
      <c r="N955">
        <v>2</v>
      </c>
      <c r="O955">
        <v>1</v>
      </c>
      <c r="P955">
        <v>0</v>
      </c>
      <c r="Q955">
        <v>0</v>
      </c>
      <c r="S955" t="str">
        <f>"18:40:46.375"</f>
        <v>18:40:46.375</v>
      </c>
      <c r="T955" t="str">
        <f>"18:40:46.275"</f>
        <v>18:40:46.275</v>
      </c>
      <c r="U955" t="str">
        <f t="shared" si="90"/>
        <v>AAB6EE</v>
      </c>
      <c r="V955">
        <v>0</v>
      </c>
      <c r="W955">
        <v>0</v>
      </c>
      <c r="X955">
        <v>4</v>
      </c>
      <c r="Z955">
        <v>0</v>
      </c>
      <c r="AA955">
        <v>8</v>
      </c>
      <c r="AB955">
        <v>3</v>
      </c>
      <c r="AC955">
        <v>0</v>
      </c>
      <c r="AD955">
        <v>10</v>
      </c>
      <c r="AE955">
        <v>0</v>
      </c>
      <c r="AF955">
        <v>0</v>
      </c>
      <c r="AG955">
        <v>2</v>
      </c>
      <c r="AH955">
        <v>1</v>
      </c>
      <c r="AI955" t="s">
        <v>757</v>
      </c>
      <c r="AJ955">
        <v>35.314908000000003</v>
      </c>
      <c r="AK955" t="s">
        <v>758</v>
      </c>
      <c r="AL955">
        <v>-76.172955000000002</v>
      </c>
      <c r="AM955">
        <v>25</v>
      </c>
      <c r="AN955">
        <v>3450</v>
      </c>
      <c r="AO955" t="s">
        <v>118</v>
      </c>
      <c r="AP955">
        <v>-200</v>
      </c>
      <c r="AQ955">
        <v>-93</v>
      </c>
      <c r="AR955">
        <v>-192</v>
      </c>
      <c r="AZ955">
        <v>4516</v>
      </c>
      <c r="BA955">
        <v>1</v>
      </c>
      <c r="BB955" t="str">
        <f t="shared" si="92"/>
        <v xml:space="preserve">N79NX   </v>
      </c>
      <c r="BC955">
        <v>1</v>
      </c>
      <c r="BE955">
        <v>0</v>
      </c>
      <c r="BF955">
        <v>0</v>
      </c>
      <c r="BG955">
        <v>0</v>
      </c>
      <c r="BH955">
        <v>3325</v>
      </c>
      <c r="BI955">
        <v>0</v>
      </c>
      <c r="BJ955">
        <v>0</v>
      </c>
      <c r="BK955">
        <v>0</v>
      </c>
      <c r="BL955">
        <v>0</v>
      </c>
      <c r="BO955">
        <v>0</v>
      </c>
      <c r="BP955">
        <v>0</v>
      </c>
      <c r="BW955" t="str">
        <f>"18:40:46.381"</f>
        <v>18:40:46.381</v>
      </c>
      <c r="BZ955">
        <v>0</v>
      </c>
      <c r="CA955">
        <v>4096</v>
      </c>
      <c r="CB955">
        <v>216</v>
      </c>
      <c r="CC955">
        <v>469.6875</v>
      </c>
      <c r="CD955">
        <v>1</v>
      </c>
      <c r="CE955">
        <v>1</v>
      </c>
      <c r="CF955">
        <v>0</v>
      </c>
      <c r="CG955">
        <v>1</v>
      </c>
      <c r="CH955">
        <v>0</v>
      </c>
      <c r="CI955">
        <v>0</v>
      </c>
      <c r="CJ955">
        <v>0</v>
      </c>
      <c r="CK955">
        <v>2</v>
      </c>
      <c r="CL955">
        <v>0</v>
      </c>
      <c r="CM955">
        <v>2</v>
      </c>
      <c r="CN955">
        <v>0</v>
      </c>
      <c r="CO955">
        <v>4</v>
      </c>
      <c r="CP955" t="s">
        <v>119</v>
      </c>
      <c r="CQ955">
        <v>145</v>
      </c>
      <c r="CR955">
        <v>1</v>
      </c>
      <c r="CW955">
        <v>8998943</v>
      </c>
      <c r="CY955">
        <v>0</v>
      </c>
      <c r="CZ955">
        <v>0</v>
      </c>
      <c r="DA955">
        <v>1</v>
      </c>
      <c r="DB955">
        <v>0</v>
      </c>
      <c r="DC955">
        <v>0</v>
      </c>
      <c r="DD955">
        <v>0</v>
      </c>
      <c r="DE955">
        <v>0</v>
      </c>
      <c r="DF955">
        <v>0</v>
      </c>
      <c r="DG955">
        <v>0</v>
      </c>
      <c r="DH955">
        <v>0</v>
      </c>
      <c r="DI955">
        <v>0</v>
      </c>
    </row>
    <row r="956" spans="1:113" x14ac:dyDescent="0.3">
      <c r="A956" t="str">
        <f>"02/13/2022 18:40:47.765"</f>
        <v>02/13/2022 18:40:47.765</v>
      </c>
      <c r="C956" t="str">
        <f t="shared" si="91"/>
        <v>FFDFD7C0</v>
      </c>
      <c r="D956" t="s">
        <v>113</v>
      </c>
      <c r="E956">
        <v>3</v>
      </c>
      <c r="F956">
        <v>1003</v>
      </c>
      <c r="G956" t="s">
        <v>114</v>
      </c>
      <c r="J956" t="s">
        <v>115</v>
      </c>
      <c r="K956">
        <v>0</v>
      </c>
      <c r="L956">
        <v>3</v>
      </c>
      <c r="M956">
        <v>0</v>
      </c>
      <c r="N956">
        <v>2</v>
      </c>
      <c r="O956">
        <v>1</v>
      </c>
      <c r="P956">
        <v>0</v>
      </c>
      <c r="Q956">
        <v>0</v>
      </c>
      <c r="S956" t="str">
        <f>"18:40:47.500"</f>
        <v>18:40:47.500</v>
      </c>
      <c r="T956" t="str">
        <f>"18:40:47.300"</f>
        <v>18:40:47.300</v>
      </c>
      <c r="U956" t="str">
        <f t="shared" si="90"/>
        <v>AAB6EE</v>
      </c>
      <c r="V956">
        <v>0</v>
      </c>
      <c r="W956">
        <v>0</v>
      </c>
      <c r="X956">
        <v>4</v>
      </c>
      <c r="Z956">
        <v>0</v>
      </c>
      <c r="AA956">
        <v>8</v>
      </c>
      <c r="AB956">
        <v>3</v>
      </c>
      <c r="AC956">
        <v>0</v>
      </c>
      <c r="AD956">
        <v>10</v>
      </c>
      <c r="AE956">
        <v>0</v>
      </c>
      <c r="AF956">
        <v>0</v>
      </c>
      <c r="AG956">
        <v>2</v>
      </c>
      <c r="AH956">
        <v>1</v>
      </c>
      <c r="AI956" t="s">
        <v>759</v>
      </c>
      <c r="AJ956">
        <v>35.314436000000001</v>
      </c>
      <c r="AK956" t="s">
        <v>760</v>
      </c>
      <c r="AL956">
        <v>-76.174177999999998</v>
      </c>
      <c r="AM956">
        <v>25</v>
      </c>
      <c r="AN956">
        <v>3450</v>
      </c>
      <c r="AO956" t="s">
        <v>118</v>
      </c>
      <c r="AP956">
        <v>-199</v>
      </c>
      <c r="AQ956">
        <v>-94</v>
      </c>
      <c r="AR956">
        <v>-192</v>
      </c>
      <c r="AZ956">
        <v>4516</v>
      </c>
      <c r="BA956">
        <v>1</v>
      </c>
      <c r="BB956" t="str">
        <f t="shared" si="92"/>
        <v xml:space="preserve">N79NX   </v>
      </c>
      <c r="BC956">
        <v>1</v>
      </c>
      <c r="BE956">
        <v>0</v>
      </c>
      <c r="BF956">
        <v>0</v>
      </c>
      <c r="BG956">
        <v>0</v>
      </c>
      <c r="BH956">
        <v>3325</v>
      </c>
      <c r="BI956">
        <v>0</v>
      </c>
      <c r="BJ956">
        <v>0</v>
      </c>
      <c r="BK956">
        <v>0</v>
      </c>
      <c r="BL956">
        <v>0</v>
      </c>
      <c r="BO956">
        <v>0</v>
      </c>
      <c r="BP956">
        <v>0</v>
      </c>
      <c r="BW956" t="str">
        <f>"18:40:47.501"</f>
        <v>18:40:47.501</v>
      </c>
      <c r="BZ956">
        <v>0</v>
      </c>
      <c r="CA956">
        <v>4096</v>
      </c>
      <c r="CB956">
        <v>216</v>
      </c>
      <c r="CC956">
        <v>471.09379999999999</v>
      </c>
      <c r="CD956">
        <v>1</v>
      </c>
      <c r="CE956">
        <v>1</v>
      </c>
      <c r="CF956">
        <v>0</v>
      </c>
      <c r="CG956">
        <v>1</v>
      </c>
      <c r="CH956">
        <v>0</v>
      </c>
      <c r="CI956">
        <v>0</v>
      </c>
      <c r="CJ956">
        <v>0</v>
      </c>
      <c r="CK956">
        <v>2</v>
      </c>
      <c r="CL956">
        <v>0</v>
      </c>
      <c r="CM956">
        <v>2</v>
      </c>
      <c r="CN956">
        <v>0</v>
      </c>
      <c r="CO956">
        <v>3</v>
      </c>
      <c r="CP956" t="s">
        <v>119</v>
      </c>
      <c r="CQ956">
        <v>145</v>
      </c>
      <c r="CR956">
        <v>1</v>
      </c>
      <c r="CW956">
        <v>8999467</v>
      </c>
      <c r="CY956">
        <v>0</v>
      </c>
      <c r="CZ956">
        <v>0</v>
      </c>
      <c r="DA956">
        <v>0</v>
      </c>
      <c r="DB956">
        <v>0</v>
      </c>
      <c r="DC956">
        <v>0</v>
      </c>
      <c r="DD956">
        <v>0</v>
      </c>
      <c r="DE956">
        <v>0</v>
      </c>
      <c r="DF956">
        <v>0</v>
      </c>
      <c r="DG956">
        <v>0</v>
      </c>
      <c r="DH956">
        <v>0</v>
      </c>
      <c r="DI956">
        <v>0</v>
      </c>
    </row>
    <row r="957" spans="1:113" x14ac:dyDescent="0.3">
      <c r="A957" t="str">
        <f>"02/13/2022 18:40:47.765"</f>
        <v>02/13/2022 18:40:47.765</v>
      </c>
      <c r="C957" t="str">
        <f t="shared" si="91"/>
        <v>FFDFD7C0</v>
      </c>
      <c r="D957" t="s">
        <v>113</v>
      </c>
      <c r="E957">
        <v>4</v>
      </c>
      <c r="F957">
        <v>1004</v>
      </c>
      <c r="G957" t="s">
        <v>120</v>
      </c>
      <c r="J957" t="s">
        <v>115</v>
      </c>
      <c r="K957">
        <v>0</v>
      </c>
      <c r="L957">
        <v>3</v>
      </c>
      <c r="M957">
        <v>0</v>
      </c>
      <c r="N957">
        <v>2</v>
      </c>
      <c r="O957">
        <v>1</v>
      </c>
      <c r="P957">
        <v>0</v>
      </c>
      <c r="Q957">
        <v>0</v>
      </c>
      <c r="S957" t="str">
        <f>"18:40:47.500"</f>
        <v>18:40:47.500</v>
      </c>
      <c r="T957" t="str">
        <f>"18:40:47.300"</f>
        <v>18:40:47.300</v>
      </c>
      <c r="U957" t="str">
        <f t="shared" si="90"/>
        <v>AAB6EE</v>
      </c>
      <c r="V957">
        <v>0</v>
      </c>
      <c r="W957">
        <v>0</v>
      </c>
      <c r="X957">
        <v>4</v>
      </c>
      <c r="Z957">
        <v>0</v>
      </c>
      <c r="AA957">
        <v>8</v>
      </c>
      <c r="AB957">
        <v>3</v>
      </c>
      <c r="AC957">
        <v>0</v>
      </c>
      <c r="AD957">
        <v>10</v>
      </c>
      <c r="AE957">
        <v>0</v>
      </c>
      <c r="AF957">
        <v>0</v>
      </c>
      <c r="AG957">
        <v>2</v>
      </c>
      <c r="AH957">
        <v>1</v>
      </c>
      <c r="AI957" t="s">
        <v>759</v>
      </c>
      <c r="AJ957">
        <v>35.314436000000001</v>
      </c>
      <c r="AK957" t="s">
        <v>760</v>
      </c>
      <c r="AL957">
        <v>-76.174177999999998</v>
      </c>
      <c r="AM957">
        <v>25</v>
      </c>
      <c r="AN957">
        <v>3450</v>
      </c>
      <c r="AO957" t="s">
        <v>118</v>
      </c>
      <c r="AP957">
        <v>-199</v>
      </c>
      <c r="AQ957">
        <v>-94</v>
      </c>
      <c r="AR957">
        <v>-192</v>
      </c>
      <c r="AZ957">
        <v>4516</v>
      </c>
      <c r="BA957">
        <v>1</v>
      </c>
      <c r="BB957" t="str">
        <f t="shared" si="92"/>
        <v xml:space="preserve">N79NX   </v>
      </c>
      <c r="BC957">
        <v>1</v>
      </c>
      <c r="BE957">
        <v>0</v>
      </c>
      <c r="BF957">
        <v>0</v>
      </c>
      <c r="BG957">
        <v>0</v>
      </c>
      <c r="BH957">
        <v>3325</v>
      </c>
      <c r="BI957">
        <v>0</v>
      </c>
      <c r="BJ957">
        <v>0</v>
      </c>
      <c r="BK957">
        <v>0</v>
      </c>
      <c r="BL957">
        <v>0</v>
      </c>
      <c r="BO957">
        <v>0</v>
      </c>
      <c r="BP957">
        <v>0</v>
      </c>
      <c r="BW957" t="str">
        <f>"18:40:47.501"</f>
        <v>18:40:47.501</v>
      </c>
      <c r="BZ957">
        <v>0</v>
      </c>
      <c r="CA957">
        <v>4096</v>
      </c>
      <c r="CB957">
        <v>216</v>
      </c>
      <c r="CC957">
        <v>471.09379999999999</v>
      </c>
      <c r="CD957">
        <v>1</v>
      </c>
      <c r="CE957">
        <v>1</v>
      </c>
      <c r="CF957">
        <v>0</v>
      </c>
      <c r="CG957">
        <v>1</v>
      </c>
      <c r="CH957">
        <v>0</v>
      </c>
      <c r="CI957">
        <v>0</v>
      </c>
      <c r="CJ957">
        <v>0</v>
      </c>
      <c r="CK957">
        <v>2</v>
      </c>
      <c r="CL957">
        <v>0</v>
      </c>
      <c r="CM957">
        <v>2</v>
      </c>
      <c r="CN957">
        <v>0</v>
      </c>
      <c r="CO957">
        <v>3</v>
      </c>
      <c r="CP957" t="s">
        <v>119</v>
      </c>
      <c r="CQ957">
        <v>145</v>
      </c>
      <c r="CR957">
        <v>1</v>
      </c>
      <c r="CW957">
        <v>8999467</v>
      </c>
      <c r="CY957">
        <v>0</v>
      </c>
      <c r="CZ957">
        <v>0</v>
      </c>
      <c r="DA957">
        <v>1</v>
      </c>
      <c r="DB957">
        <v>0</v>
      </c>
      <c r="DC957">
        <v>0</v>
      </c>
      <c r="DD957">
        <v>0</v>
      </c>
      <c r="DE957">
        <v>0</v>
      </c>
      <c r="DF957">
        <v>0</v>
      </c>
      <c r="DG957">
        <v>0</v>
      </c>
      <c r="DH957">
        <v>0</v>
      </c>
      <c r="DI957">
        <v>0</v>
      </c>
    </row>
    <row r="958" spans="1:113" x14ac:dyDescent="0.3">
      <c r="A958" t="str">
        <f>"02/13/2022 18:40:47.765"</f>
        <v>02/13/2022 18:40:47.765</v>
      </c>
      <c r="C958" t="str">
        <f t="shared" si="91"/>
        <v>FFDFD7C0</v>
      </c>
      <c r="D958" t="s">
        <v>121</v>
      </c>
      <c r="E958">
        <v>2</v>
      </c>
      <c r="H958">
        <v>158</v>
      </c>
      <c r="I958" t="s">
        <v>120</v>
      </c>
      <c r="J958" t="s">
        <v>122</v>
      </c>
      <c r="K958">
        <v>0</v>
      </c>
      <c r="L958">
        <v>3</v>
      </c>
      <c r="M958">
        <v>0</v>
      </c>
      <c r="N958">
        <v>2</v>
      </c>
      <c r="O958">
        <v>1</v>
      </c>
      <c r="P958">
        <v>0</v>
      </c>
      <c r="Q958">
        <v>0</v>
      </c>
      <c r="S958" t="str">
        <f>"18:40:47.500"</f>
        <v>18:40:47.500</v>
      </c>
      <c r="T958" t="str">
        <f>"18:40:47.300"</f>
        <v>18:40:47.300</v>
      </c>
      <c r="U958" t="str">
        <f t="shared" si="90"/>
        <v>AAB6EE</v>
      </c>
      <c r="V958">
        <v>0</v>
      </c>
      <c r="W958">
        <v>0</v>
      </c>
      <c r="X958">
        <v>4</v>
      </c>
      <c r="Z958">
        <v>0</v>
      </c>
      <c r="AA958">
        <v>8</v>
      </c>
      <c r="AB958">
        <v>3</v>
      </c>
      <c r="AC958">
        <v>0</v>
      </c>
      <c r="AD958">
        <v>10</v>
      </c>
      <c r="AE958">
        <v>0</v>
      </c>
      <c r="AF958">
        <v>0</v>
      </c>
      <c r="AG958">
        <v>2</v>
      </c>
      <c r="AH958">
        <v>1</v>
      </c>
      <c r="AI958" t="s">
        <v>759</v>
      </c>
      <c r="AJ958">
        <v>35.314436000000001</v>
      </c>
      <c r="AK958" t="s">
        <v>760</v>
      </c>
      <c r="AL958">
        <v>-76.174177999999998</v>
      </c>
      <c r="AM958">
        <v>25</v>
      </c>
      <c r="AN958">
        <v>3450</v>
      </c>
      <c r="AO958" t="s">
        <v>118</v>
      </c>
      <c r="AP958">
        <v>-199</v>
      </c>
      <c r="AQ958">
        <v>-94</v>
      </c>
      <c r="AR958">
        <v>-192</v>
      </c>
      <c r="AZ958">
        <v>4516</v>
      </c>
      <c r="BA958">
        <v>1</v>
      </c>
      <c r="BB958" t="str">
        <f t="shared" si="92"/>
        <v xml:space="preserve">N79NX   </v>
      </c>
      <c r="BC958">
        <v>1</v>
      </c>
      <c r="BE958">
        <v>0</v>
      </c>
      <c r="BF958">
        <v>0</v>
      </c>
      <c r="BG958">
        <v>0</v>
      </c>
      <c r="BH958">
        <v>3325</v>
      </c>
      <c r="BI958">
        <v>0</v>
      </c>
      <c r="BJ958">
        <v>0</v>
      </c>
      <c r="BK958">
        <v>0</v>
      </c>
      <c r="BL958">
        <v>0</v>
      </c>
      <c r="BO958">
        <v>0</v>
      </c>
      <c r="BP958">
        <v>0</v>
      </c>
      <c r="BW958" t="str">
        <f>"18:40:47.501"</f>
        <v>18:40:47.501</v>
      </c>
      <c r="BZ958">
        <v>0</v>
      </c>
      <c r="CA958">
        <v>4096</v>
      </c>
      <c r="CB958">
        <v>216</v>
      </c>
      <c r="CC958">
        <v>471.09379999999999</v>
      </c>
      <c r="CD958">
        <v>1</v>
      </c>
      <c r="CE958">
        <v>1</v>
      </c>
      <c r="CF958">
        <v>0</v>
      </c>
      <c r="CG958">
        <v>1</v>
      </c>
      <c r="CH958">
        <v>0</v>
      </c>
      <c r="CI958">
        <v>0</v>
      </c>
      <c r="CJ958">
        <v>0</v>
      </c>
      <c r="CK958">
        <v>2</v>
      </c>
      <c r="CL958">
        <v>0</v>
      </c>
      <c r="CM958">
        <v>2</v>
      </c>
      <c r="CN958">
        <v>0</v>
      </c>
      <c r="CO958">
        <v>3</v>
      </c>
      <c r="CP958" t="s">
        <v>119</v>
      </c>
      <c r="CQ958">
        <v>145</v>
      </c>
      <c r="CR958">
        <v>1</v>
      </c>
      <c r="CW958">
        <v>8999467</v>
      </c>
      <c r="CY958">
        <v>0</v>
      </c>
      <c r="CZ958">
        <v>0</v>
      </c>
      <c r="DA958">
        <v>1</v>
      </c>
      <c r="DB958">
        <v>0</v>
      </c>
      <c r="DC958">
        <v>0</v>
      </c>
      <c r="DD958">
        <v>0</v>
      </c>
      <c r="DE958">
        <v>0</v>
      </c>
      <c r="DF958">
        <v>0</v>
      </c>
      <c r="DG958">
        <v>0</v>
      </c>
      <c r="DH958">
        <v>0</v>
      </c>
      <c r="DI958">
        <v>0</v>
      </c>
    </row>
    <row r="959" spans="1:113" x14ac:dyDescent="0.3">
      <c r="A959" t="str">
        <f>"02/13/2022 18:40:48.843"</f>
        <v>02/13/2022 18:40:48.843</v>
      </c>
      <c r="C959" t="str">
        <f t="shared" si="91"/>
        <v>FFDFD7C0</v>
      </c>
      <c r="D959" t="s">
        <v>121</v>
      </c>
      <c r="E959">
        <v>2</v>
      </c>
      <c r="H959">
        <v>158</v>
      </c>
      <c r="I959" t="s">
        <v>120</v>
      </c>
      <c r="J959" t="s">
        <v>122</v>
      </c>
      <c r="K959">
        <v>0</v>
      </c>
      <c r="L959">
        <v>3</v>
      </c>
      <c r="M959">
        <v>0</v>
      </c>
      <c r="N959">
        <v>2</v>
      </c>
      <c r="O959">
        <v>1</v>
      </c>
      <c r="P959">
        <v>0</v>
      </c>
      <c r="Q959">
        <v>0</v>
      </c>
      <c r="S959" t="str">
        <f>"18:40:48.625"</f>
        <v>18:40:48.625</v>
      </c>
      <c r="T959" t="str">
        <f>"18:40:48.325"</f>
        <v>18:40:48.325</v>
      </c>
      <c r="U959" t="str">
        <f t="shared" si="90"/>
        <v>AAB6EE</v>
      </c>
      <c r="V959">
        <v>0</v>
      </c>
      <c r="W959">
        <v>0</v>
      </c>
      <c r="X959">
        <v>4</v>
      </c>
      <c r="Z959">
        <v>0</v>
      </c>
      <c r="AA959">
        <v>8</v>
      </c>
      <c r="AB959">
        <v>3</v>
      </c>
      <c r="AC959">
        <v>0</v>
      </c>
      <c r="AD959">
        <v>10</v>
      </c>
      <c r="AE959">
        <v>0</v>
      </c>
      <c r="AF959">
        <v>0</v>
      </c>
      <c r="AG959">
        <v>2</v>
      </c>
      <c r="AH959">
        <v>1</v>
      </c>
      <c r="AI959" t="s">
        <v>761</v>
      </c>
      <c r="AJ959">
        <v>35.313878000000003</v>
      </c>
      <c r="AK959" t="s">
        <v>762</v>
      </c>
      <c r="AL959">
        <v>-76.175507999999994</v>
      </c>
      <c r="AM959">
        <v>25</v>
      </c>
      <c r="AN959">
        <v>3450</v>
      </c>
      <c r="AO959" t="s">
        <v>118</v>
      </c>
      <c r="AP959">
        <v>-198</v>
      </c>
      <c r="AQ959">
        <v>-96</v>
      </c>
      <c r="AR959">
        <v>-192</v>
      </c>
      <c r="AZ959">
        <v>4516</v>
      </c>
      <c r="BA959">
        <v>1</v>
      </c>
      <c r="BB959" t="str">
        <f t="shared" si="92"/>
        <v xml:space="preserve">N79NX   </v>
      </c>
      <c r="BC959">
        <v>1</v>
      </c>
      <c r="BE959">
        <v>0</v>
      </c>
      <c r="BF959">
        <v>0</v>
      </c>
      <c r="BG959">
        <v>0</v>
      </c>
      <c r="BH959">
        <v>3325</v>
      </c>
      <c r="BI959">
        <v>0</v>
      </c>
      <c r="BJ959">
        <v>0</v>
      </c>
      <c r="BK959">
        <v>0</v>
      </c>
      <c r="BL959">
        <v>0</v>
      </c>
      <c r="BO959">
        <v>0</v>
      </c>
      <c r="BP959">
        <v>0</v>
      </c>
      <c r="BW959" t="str">
        <f>"18:40:48.631"</f>
        <v>18:40:48.631</v>
      </c>
      <c r="BZ959">
        <v>0</v>
      </c>
      <c r="CA959">
        <v>4096</v>
      </c>
      <c r="CB959">
        <v>216</v>
      </c>
      <c r="CC959">
        <v>486.5625</v>
      </c>
      <c r="CD959">
        <v>1</v>
      </c>
      <c r="CE959">
        <v>1</v>
      </c>
      <c r="CF959">
        <v>0</v>
      </c>
      <c r="CG959">
        <v>1</v>
      </c>
      <c r="CH959">
        <v>0</v>
      </c>
      <c r="CI959">
        <v>0</v>
      </c>
      <c r="CJ959">
        <v>0</v>
      </c>
      <c r="CK959">
        <v>2</v>
      </c>
      <c r="CL959">
        <v>0</v>
      </c>
      <c r="CM959">
        <v>2</v>
      </c>
      <c r="CN959">
        <v>0</v>
      </c>
      <c r="CO959">
        <v>3</v>
      </c>
      <c r="CP959" t="s">
        <v>119</v>
      </c>
      <c r="CQ959">
        <v>145</v>
      </c>
      <c r="CR959">
        <v>1</v>
      </c>
      <c r="CW959">
        <v>9000008</v>
      </c>
      <c r="CY959">
        <v>0</v>
      </c>
      <c r="CZ959">
        <v>0</v>
      </c>
      <c r="DA959">
        <v>0</v>
      </c>
      <c r="DB959">
        <v>0</v>
      </c>
      <c r="DC959">
        <v>0</v>
      </c>
      <c r="DD959">
        <v>0</v>
      </c>
      <c r="DE959">
        <v>0</v>
      </c>
      <c r="DF959">
        <v>0</v>
      </c>
      <c r="DG959">
        <v>0</v>
      </c>
      <c r="DH959">
        <v>0</v>
      </c>
      <c r="DI959">
        <v>0</v>
      </c>
    </row>
    <row r="960" spans="1:113" x14ac:dyDescent="0.3">
      <c r="A960" t="str">
        <f>"02/13/2022 18:40:48.858"</f>
        <v>02/13/2022 18:40:48.858</v>
      </c>
      <c r="C960" t="str">
        <f t="shared" si="91"/>
        <v>FFDFD7C0</v>
      </c>
      <c r="D960" t="s">
        <v>113</v>
      </c>
      <c r="E960">
        <v>3</v>
      </c>
      <c r="F960">
        <v>1003</v>
      </c>
      <c r="G960" t="s">
        <v>114</v>
      </c>
      <c r="J960" t="s">
        <v>115</v>
      </c>
      <c r="K960">
        <v>0</v>
      </c>
      <c r="L960">
        <v>3</v>
      </c>
      <c r="M960">
        <v>0</v>
      </c>
      <c r="N960">
        <v>2</v>
      </c>
      <c r="O960">
        <v>1</v>
      </c>
      <c r="P960">
        <v>0</v>
      </c>
      <c r="Q960">
        <v>0</v>
      </c>
      <c r="S960" t="str">
        <f>"18:40:48.625"</f>
        <v>18:40:48.625</v>
      </c>
      <c r="T960" t="str">
        <f>"18:40:48.325"</f>
        <v>18:40:48.325</v>
      </c>
      <c r="U960" t="str">
        <f t="shared" si="90"/>
        <v>AAB6EE</v>
      </c>
      <c r="V960">
        <v>0</v>
      </c>
      <c r="W960">
        <v>0</v>
      </c>
      <c r="X960">
        <v>4</v>
      </c>
      <c r="Z960">
        <v>0</v>
      </c>
      <c r="AA960">
        <v>8</v>
      </c>
      <c r="AB960">
        <v>3</v>
      </c>
      <c r="AC960">
        <v>0</v>
      </c>
      <c r="AD960">
        <v>10</v>
      </c>
      <c r="AE960">
        <v>0</v>
      </c>
      <c r="AF960">
        <v>0</v>
      </c>
      <c r="AG960">
        <v>2</v>
      </c>
      <c r="AH960">
        <v>1</v>
      </c>
      <c r="AI960" t="s">
        <v>761</v>
      </c>
      <c r="AJ960">
        <v>35.313878000000003</v>
      </c>
      <c r="AK960" t="s">
        <v>762</v>
      </c>
      <c r="AL960">
        <v>-76.175507999999994</v>
      </c>
      <c r="AM960">
        <v>25</v>
      </c>
      <c r="AN960">
        <v>3450</v>
      </c>
      <c r="AO960" t="s">
        <v>118</v>
      </c>
      <c r="AP960">
        <v>-198</v>
      </c>
      <c r="AQ960">
        <v>-96</v>
      </c>
      <c r="AR960">
        <v>-192</v>
      </c>
      <c r="AZ960">
        <v>4516</v>
      </c>
      <c r="BA960">
        <v>1</v>
      </c>
      <c r="BB960" t="str">
        <f t="shared" si="92"/>
        <v xml:space="preserve">N79NX   </v>
      </c>
      <c r="BC960">
        <v>1</v>
      </c>
      <c r="BE960">
        <v>0</v>
      </c>
      <c r="BF960">
        <v>0</v>
      </c>
      <c r="BG960">
        <v>0</v>
      </c>
      <c r="BH960">
        <v>3325</v>
      </c>
      <c r="BI960">
        <v>0</v>
      </c>
      <c r="BJ960">
        <v>0</v>
      </c>
      <c r="BK960">
        <v>0</v>
      </c>
      <c r="BL960">
        <v>0</v>
      </c>
      <c r="BO960">
        <v>0</v>
      </c>
      <c r="BP960">
        <v>0</v>
      </c>
      <c r="BW960" t="str">
        <f>"18:40:48.631"</f>
        <v>18:40:48.631</v>
      </c>
      <c r="BZ960">
        <v>0</v>
      </c>
      <c r="CA960">
        <v>4096</v>
      </c>
      <c r="CB960">
        <v>216</v>
      </c>
      <c r="CC960">
        <v>486.5625</v>
      </c>
      <c r="CD960">
        <v>1</v>
      </c>
      <c r="CE960">
        <v>1</v>
      </c>
      <c r="CF960">
        <v>0</v>
      </c>
      <c r="CG960">
        <v>1</v>
      </c>
      <c r="CH960">
        <v>0</v>
      </c>
      <c r="CI960">
        <v>0</v>
      </c>
      <c r="CJ960">
        <v>0</v>
      </c>
      <c r="CK960">
        <v>2</v>
      </c>
      <c r="CL960">
        <v>0</v>
      </c>
      <c r="CM960">
        <v>2</v>
      </c>
      <c r="CN960">
        <v>0</v>
      </c>
      <c r="CO960">
        <v>3</v>
      </c>
      <c r="CP960" t="s">
        <v>119</v>
      </c>
      <c r="CQ960">
        <v>145</v>
      </c>
      <c r="CR960">
        <v>1</v>
      </c>
      <c r="CW960">
        <v>9000008</v>
      </c>
      <c r="CY960">
        <v>0</v>
      </c>
      <c r="CZ960">
        <v>0</v>
      </c>
      <c r="DA960">
        <v>1</v>
      </c>
      <c r="DB960">
        <v>0</v>
      </c>
      <c r="DC960">
        <v>0</v>
      </c>
      <c r="DD960">
        <v>0</v>
      </c>
      <c r="DE960">
        <v>0</v>
      </c>
      <c r="DF960">
        <v>0</v>
      </c>
      <c r="DG960">
        <v>0</v>
      </c>
      <c r="DH960">
        <v>0</v>
      </c>
      <c r="DI960">
        <v>0</v>
      </c>
    </row>
    <row r="961" spans="1:113" x14ac:dyDescent="0.3">
      <c r="A961" t="str">
        <f>"02/13/2022 18:40:48.858"</f>
        <v>02/13/2022 18:40:48.858</v>
      </c>
      <c r="C961" t="str">
        <f t="shared" si="91"/>
        <v>FFDFD7C0</v>
      </c>
      <c r="D961" t="s">
        <v>113</v>
      </c>
      <c r="E961">
        <v>4</v>
      </c>
      <c r="F961">
        <v>1004</v>
      </c>
      <c r="G961" t="s">
        <v>120</v>
      </c>
      <c r="J961" t="s">
        <v>115</v>
      </c>
      <c r="K961">
        <v>0</v>
      </c>
      <c r="L961">
        <v>3</v>
      </c>
      <c r="M961">
        <v>0</v>
      </c>
      <c r="N961">
        <v>2</v>
      </c>
      <c r="O961">
        <v>1</v>
      </c>
      <c r="P961">
        <v>0</v>
      </c>
      <c r="Q961">
        <v>0</v>
      </c>
      <c r="S961" t="str">
        <f>"18:40:48.625"</f>
        <v>18:40:48.625</v>
      </c>
      <c r="T961" t="str">
        <f>"18:40:48.325"</f>
        <v>18:40:48.325</v>
      </c>
      <c r="U961" t="str">
        <f t="shared" si="90"/>
        <v>AAB6EE</v>
      </c>
      <c r="V961">
        <v>0</v>
      </c>
      <c r="W961">
        <v>0</v>
      </c>
      <c r="X961">
        <v>4</v>
      </c>
      <c r="Z961">
        <v>0</v>
      </c>
      <c r="AA961">
        <v>8</v>
      </c>
      <c r="AB961">
        <v>3</v>
      </c>
      <c r="AC961">
        <v>0</v>
      </c>
      <c r="AD961">
        <v>10</v>
      </c>
      <c r="AE961">
        <v>0</v>
      </c>
      <c r="AF961">
        <v>0</v>
      </c>
      <c r="AG961">
        <v>2</v>
      </c>
      <c r="AH961">
        <v>1</v>
      </c>
      <c r="AI961" t="s">
        <v>761</v>
      </c>
      <c r="AJ961">
        <v>35.313878000000003</v>
      </c>
      <c r="AK961" t="s">
        <v>762</v>
      </c>
      <c r="AL961">
        <v>-76.175507999999994</v>
      </c>
      <c r="AM961">
        <v>25</v>
      </c>
      <c r="AN961">
        <v>3450</v>
      </c>
      <c r="AO961" t="s">
        <v>118</v>
      </c>
      <c r="AP961">
        <v>-198</v>
      </c>
      <c r="AQ961">
        <v>-96</v>
      </c>
      <c r="AR961">
        <v>-192</v>
      </c>
      <c r="AZ961">
        <v>4516</v>
      </c>
      <c r="BA961">
        <v>1</v>
      </c>
      <c r="BB961" t="str">
        <f t="shared" si="92"/>
        <v xml:space="preserve">N79NX   </v>
      </c>
      <c r="BC961">
        <v>1</v>
      </c>
      <c r="BE961">
        <v>0</v>
      </c>
      <c r="BF961">
        <v>0</v>
      </c>
      <c r="BG961">
        <v>0</v>
      </c>
      <c r="BH961">
        <v>3325</v>
      </c>
      <c r="BI961">
        <v>0</v>
      </c>
      <c r="BJ961">
        <v>0</v>
      </c>
      <c r="BK961">
        <v>0</v>
      </c>
      <c r="BL961">
        <v>0</v>
      </c>
      <c r="BO961">
        <v>0</v>
      </c>
      <c r="BP961">
        <v>0</v>
      </c>
      <c r="BW961" t="str">
        <f>"18:40:48.631"</f>
        <v>18:40:48.631</v>
      </c>
      <c r="BZ961">
        <v>0</v>
      </c>
      <c r="CA961">
        <v>4096</v>
      </c>
      <c r="CB961">
        <v>216</v>
      </c>
      <c r="CC961">
        <v>486.5625</v>
      </c>
      <c r="CD961">
        <v>1</v>
      </c>
      <c r="CE961">
        <v>1</v>
      </c>
      <c r="CF961">
        <v>0</v>
      </c>
      <c r="CG961">
        <v>1</v>
      </c>
      <c r="CH961">
        <v>0</v>
      </c>
      <c r="CI961">
        <v>0</v>
      </c>
      <c r="CJ961">
        <v>0</v>
      </c>
      <c r="CK961">
        <v>2</v>
      </c>
      <c r="CL961">
        <v>0</v>
      </c>
      <c r="CM961">
        <v>2</v>
      </c>
      <c r="CN961">
        <v>0</v>
      </c>
      <c r="CO961">
        <v>3</v>
      </c>
      <c r="CP961" t="s">
        <v>119</v>
      </c>
      <c r="CQ961">
        <v>145</v>
      </c>
      <c r="CR961">
        <v>1</v>
      </c>
      <c r="CW961">
        <v>9000008</v>
      </c>
      <c r="CY961">
        <v>0</v>
      </c>
      <c r="CZ961">
        <v>0</v>
      </c>
      <c r="DA961">
        <v>1</v>
      </c>
      <c r="DB961">
        <v>0</v>
      </c>
      <c r="DC961">
        <v>0</v>
      </c>
      <c r="DD961">
        <v>0</v>
      </c>
      <c r="DE961">
        <v>0</v>
      </c>
      <c r="DF961">
        <v>0</v>
      </c>
      <c r="DG961">
        <v>0</v>
      </c>
      <c r="DH961">
        <v>0</v>
      </c>
      <c r="DI961">
        <v>0</v>
      </c>
    </row>
    <row r="962" spans="1:113" x14ac:dyDescent="0.3">
      <c r="A962" t="str">
        <f>"02/13/2022 18:40:50.298"</f>
        <v>02/13/2022 18:40:50.298</v>
      </c>
      <c r="C962" t="str">
        <f t="shared" si="91"/>
        <v>FFDFD7C0</v>
      </c>
      <c r="D962" t="s">
        <v>113</v>
      </c>
      <c r="E962">
        <v>3</v>
      </c>
      <c r="F962">
        <v>1003</v>
      </c>
      <c r="G962" t="s">
        <v>114</v>
      </c>
      <c r="J962" t="s">
        <v>115</v>
      </c>
      <c r="K962">
        <v>0</v>
      </c>
      <c r="L962">
        <v>3</v>
      </c>
      <c r="M962">
        <v>0</v>
      </c>
      <c r="N962">
        <v>2</v>
      </c>
      <c r="O962">
        <v>1</v>
      </c>
      <c r="P962">
        <v>0</v>
      </c>
      <c r="Q962">
        <v>0</v>
      </c>
      <c r="S962" t="str">
        <f t="shared" ref="S962:T964" si="97">"18:40:50.086"</f>
        <v>18:40:50.086</v>
      </c>
      <c r="T962" t="str">
        <f t="shared" si="97"/>
        <v>18:40:50.086</v>
      </c>
      <c r="U962" t="str">
        <f t="shared" ref="U962:U1025" si="98">"AAB6EE"</f>
        <v>AAB6EE</v>
      </c>
      <c r="V962">
        <v>0</v>
      </c>
      <c r="W962">
        <v>0</v>
      </c>
      <c r="X962">
        <v>4</v>
      </c>
      <c r="Z962">
        <v>0</v>
      </c>
      <c r="AA962">
        <v>8</v>
      </c>
      <c r="AB962">
        <v>3</v>
      </c>
      <c r="AC962">
        <v>0</v>
      </c>
      <c r="AD962">
        <v>10</v>
      </c>
      <c r="AE962">
        <v>0</v>
      </c>
      <c r="AF962">
        <v>0</v>
      </c>
      <c r="AG962">
        <v>2</v>
      </c>
      <c r="AH962">
        <v>1</v>
      </c>
      <c r="AI962" t="s">
        <v>763</v>
      </c>
      <c r="AJ962">
        <v>35.313234000000001</v>
      </c>
      <c r="AK962" t="s">
        <v>764</v>
      </c>
      <c r="AL962">
        <v>-76.177096000000006</v>
      </c>
      <c r="AM962">
        <v>25</v>
      </c>
      <c r="AN962">
        <v>3450</v>
      </c>
      <c r="AO962" t="s">
        <v>118</v>
      </c>
      <c r="AP962">
        <v>-195</v>
      </c>
      <c r="AQ962">
        <v>-102</v>
      </c>
      <c r="AR962">
        <v>-192</v>
      </c>
      <c r="AZ962">
        <v>4516</v>
      </c>
      <c r="BA962">
        <v>1</v>
      </c>
      <c r="BB962" t="str">
        <f t="shared" si="92"/>
        <v xml:space="preserve">N79NX   </v>
      </c>
      <c r="BC962">
        <v>1</v>
      </c>
      <c r="BE962">
        <v>0</v>
      </c>
      <c r="BF962">
        <v>0</v>
      </c>
      <c r="BG962">
        <v>0</v>
      </c>
      <c r="BH962">
        <v>3325</v>
      </c>
      <c r="BI962">
        <v>0</v>
      </c>
      <c r="BJ962">
        <v>0</v>
      </c>
      <c r="BK962">
        <v>0</v>
      </c>
      <c r="BL962">
        <v>0</v>
      </c>
      <c r="BO962">
        <v>0</v>
      </c>
      <c r="BP962">
        <v>0</v>
      </c>
      <c r="BW962" t="str">
        <f>"18:40:50.091"</f>
        <v>18:40:50.091</v>
      </c>
      <c r="BZ962">
        <v>0</v>
      </c>
      <c r="CA962">
        <v>4096</v>
      </c>
      <c r="CB962">
        <v>216</v>
      </c>
      <c r="CC962">
        <v>487.96879999999999</v>
      </c>
      <c r="CD962">
        <v>1</v>
      </c>
      <c r="CE962">
        <v>1</v>
      </c>
      <c r="CF962">
        <v>0</v>
      </c>
      <c r="CG962">
        <v>1</v>
      </c>
      <c r="CH962">
        <v>0</v>
      </c>
      <c r="CI962">
        <v>0</v>
      </c>
      <c r="CJ962">
        <v>0</v>
      </c>
      <c r="CK962">
        <v>2</v>
      </c>
      <c r="CL962">
        <v>0</v>
      </c>
      <c r="CM962">
        <v>2</v>
      </c>
      <c r="CN962">
        <v>0</v>
      </c>
      <c r="CO962">
        <v>4</v>
      </c>
      <c r="CP962" t="s">
        <v>119</v>
      </c>
      <c r="CQ962">
        <v>145</v>
      </c>
      <c r="CR962">
        <v>1</v>
      </c>
      <c r="CW962">
        <v>9000611</v>
      </c>
      <c r="CY962">
        <v>0</v>
      </c>
      <c r="CZ962">
        <v>0</v>
      </c>
      <c r="DA962">
        <v>0</v>
      </c>
      <c r="DB962">
        <v>0</v>
      </c>
      <c r="DC962">
        <v>0</v>
      </c>
      <c r="DD962">
        <v>0</v>
      </c>
      <c r="DE962">
        <v>0</v>
      </c>
      <c r="DF962">
        <v>0</v>
      </c>
      <c r="DG962">
        <v>0</v>
      </c>
      <c r="DH962">
        <v>0</v>
      </c>
      <c r="DI962">
        <v>0</v>
      </c>
    </row>
    <row r="963" spans="1:113" x14ac:dyDescent="0.3">
      <c r="A963" t="str">
        <f>"02/13/2022 18:40:50.298"</f>
        <v>02/13/2022 18:40:50.298</v>
      </c>
      <c r="C963" t="str">
        <f t="shared" si="91"/>
        <v>FFDFD7C0</v>
      </c>
      <c r="D963" t="s">
        <v>113</v>
      </c>
      <c r="E963">
        <v>4</v>
      </c>
      <c r="F963">
        <v>1004</v>
      </c>
      <c r="G963" t="s">
        <v>120</v>
      </c>
      <c r="J963" t="s">
        <v>115</v>
      </c>
      <c r="K963">
        <v>0</v>
      </c>
      <c r="L963">
        <v>3</v>
      </c>
      <c r="M963">
        <v>0</v>
      </c>
      <c r="N963">
        <v>2</v>
      </c>
      <c r="O963">
        <v>1</v>
      </c>
      <c r="P963">
        <v>0</v>
      </c>
      <c r="Q963">
        <v>0</v>
      </c>
      <c r="S963" t="str">
        <f t="shared" si="97"/>
        <v>18:40:50.086</v>
      </c>
      <c r="T963" t="str">
        <f t="shared" si="97"/>
        <v>18:40:50.086</v>
      </c>
      <c r="U963" t="str">
        <f t="shared" si="98"/>
        <v>AAB6EE</v>
      </c>
      <c r="V963">
        <v>0</v>
      </c>
      <c r="W963">
        <v>0</v>
      </c>
      <c r="X963">
        <v>4</v>
      </c>
      <c r="Z963">
        <v>0</v>
      </c>
      <c r="AA963">
        <v>8</v>
      </c>
      <c r="AB963">
        <v>3</v>
      </c>
      <c r="AC963">
        <v>0</v>
      </c>
      <c r="AD963">
        <v>10</v>
      </c>
      <c r="AE963">
        <v>0</v>
      </c>
      <c r="AF963">
        <v>0</v>
      </c>
      <c r="AG963">
        <v>2</v>
      </c>
      <c r="AH963">
        <v>1</v>
      </c>
      <c r="AI963" t="s">
        <v>763</v>
      </c>
      <c r="AJ963">
        <v>35.313234000000001</v>
      </c>
      <c r="AK963" t="s">
        <v>764</v>
      </c>
      <c r="AL963">
        <v>-76.177096000000006</v>
      </c>
      <c r="AM963">
        <v>25</v>
      </c>
      <c r="AN963">
        <v>3450</v>
      </c>
      <c r="AO963" t="s">
        <v>118</v>
      </c>
      <c r="AP963">
        <v>-195</v>
      </c>
      <c r="AQ963">
        <v>-102</v>
      </c>
      <c r="AR963">
        <v>-192</v>
      </c>
      <c r="AZ963">
        <v>4516</v>
      </c>
      <c r="BA963">
        <v>1</v>
      </c>
      <c r="BB963" t="str">
        <f t="shared" si="92"/>
        <v xml:space="preserve">N79NX   </v>
      </c>
      <c r="BC963">
        <v>1</v>
      </c>
      <c r="BE963">
        <v>0</v>
      </c>
      <c r="BF963">
        <v>0</v>
      </c>
      <c r="BG963">
        <v>0</v>
      </c>
      <c r="BH963">
        <v>3325</v>
      </c>
      <c r="BI963">
        <v>0</v>
      </c>
      <c r="BJ963">
        <v>0</v>
      </c>
      <c r="BK963">
        <v>0</v>
      </c>
      <c r="BL963">
        <v>0</v>
      </c>
      <c r="BO963">
        <v>0</v>
      </c>
      <c r="BP963">
        <v>0</v>
      </c>
      <c r="BW963" t="str">
        <f>"18:40:50.091"</f>
        <v>18:40:50.091</v>
      </c>
      <c r="BZ963">
        <v>0</v>
      </c>
      <c r="CA963">
        <v>4096</v>
      </c>
      <c r="CB963">
        <v>216</v>
      </c>
      <c r="CC963">
        <v>487.96879999999999</v>
      </c>
      <c r="CD963">
        <v>1</v>
      </c>
      <c r="CE963">
        <v>1</v>
      </c>
      <c r="CF963">
        <v>0</v>
      </c>
      <c r="CG963">
        <v>1</v>
      </c>
      <c r="CH963">
        <v>0</v>
      </c>
      <c r="CI963">
        <v>0</v>
      </c>
      <c r="CJ963">
        <v>0</v>
      </c>
      <c r="CK963">
        <v>2</v>
      </c>
      <c r="CL963">
        <v>0</v>
      </c>
      <c r="CM963">
        <v>2</v>
      </c>
      <c r="CN963">
        <v>0</v>
      </c>
      <c r="CO963">
        <v>4</v>
      </c>
      <c r="CP963" t="s">
        <v>119</v>
      </c>
      <c r="CQ963">
        <v>145</v>
      </c>
      <c r="CR963">
        <v>1</v>
      </c>
      <c r="CW963">
        <v>9000611</v>
      </c>
      <c r="CY963">
        <v>0</v>
      </c>
      <c r="CZ963">
        <v>0</v>
      </c>
      <c r="DA963">
        <v>1</v>
      </c>
      <c r="DB963">
        <v>0</v>
      </c>
      <c r="DC963">
        <v>0</v>
      </c>
      <c r="DD963">
        <v>0</v>
      </c>
      <c r="DE963">
        <v>0</v>
      </c>
      <c r="DF963">
        <v>0</v>
      </c>
      <c r="DG963">
        <v>0</v>
      </c>
      <c r="DH963">
        <v>0</v>
      </c>
      <c r="DI963">
        <v>0</v>
      </c>
    </row>
    <row r="964" spans="1:113" x14ac:dyDescent="0.3">
      <c r="A964" t="str">
        <f>"02/13/2022 18:40:50.329"</f>
        <v>02/13/2022 18:40:50.329</v>
      </c>
      <c r="C964" t="str">
        <f t="shared" si="91"/>
        <v>FFDFD7C0</v>
      </c>
      <c r="D964" t="s">
        <v>121</v>
      </c>
      <c r="E964">
        <v>2</v>
      </c>
      <c r="H964">
        <v>158</v>
      </c>
      <c r="I964" t="s">
        <v>120</v>
      </c>
      <c r="J964" t="s">
        <v>122</v>
      </c>
      <c r="K964">
        <v>0</v>
      </c>
      <c r="L964">
        <v>3</v>
      </c>
      <c r="M964">
        <v>0</v>
      </c>
      <c r="N964">
        <v>2</v>
      </c>
      <c r="O964">
        <v>1</v>
      </c>
      <c r="P964">
        <v>0</v>
      </c>
      <c r="Q964">
        <v>0</v>
      </c>
      <c r="S964" t="str">
        <f t="shared" si="97"/>
        <v>18:40:50.086</v>
      </c>
      <c r="T964" t="str">
        <f t="shared" si="97"/>
        <v>18:40:50.086</v>
      </c>
      <c r="U964" t="str">
        <f t="shared" si="98"/>
        <v>AAB6EE</v>
      </c>
      <c r="V964">
        <v>0</v>
      </c>
      <c r="W964">
        <v>0</v>
      </c>
      <c r="X964">
        <v>4</v>
      </c>
      <c r="Z964">
        <v>0</v>
      </c>
      <c r="AA964">
        <v>8</v>
      </c>
      <c r="AB964">
        <v>3</v>
      </c>
      <c r="AC964">
        <v>0</v>
      </c>
      <c r="AD964">
        <v>10</v>
      </c>
      <c r="AE964">
        <v>0</v>
      </c>
      <c r="AF964">
        <v>0</v>
      </c>
      <c r="AG964">
        <v>2</v>
      </c>
      <c r="AH964">
        <v>1</v>
      </c>
      <c r="AI964" t="s">
        <v>763</v>
      </c>
      <c r="AJ964">
        <v>35.313234000000001</v>
      </c>
      <c r="AK964" t="s">
        <v>764</v>
      </c>
      <c r="AL964">
        <v>-76.177096000000006</v>
      </c>
      <c r="AM964">
        <v>25</v>
      </c>
      <c r="AN964">
        <v>3450</v>
      </c>
      <c r="AO964" t="s">
        <v>118</v>
      </c>
      <c r="AP964">
        <v>-195</v>
      </c>
      <c r="AQ964">
        <v>-102</v>
      </c>
      <c r="AR964">
        <v>-192</v>
      </c>
      <c r="AZ964">
        <v>4516</v>
      </c>
      <c r="BA964">
        <v>1</v>
      </c>
      <c r="BB964" t="str">
        <f t="shared" si="92"/>
        <v xml:space="preserve">N79NX   </v>
      </c>
      <c r="BC964">
        <v>1</v>
      </c>
      <c r="BE964">
        <v>0</v>
      </c>
      <c r="BF964">
        <v>0</v>
      </c>
      <c r="BG964">
        <v>0</v>
      </c>
      <c r="BH964">
        <v>3325</v>
      </c>
      <c r="BI964">
        <v>0</v>
      </c>
      <c r="BJ964">
        <v>0</v>
      </c>
      <c r="BK964">
        <v>0</v>
      </c>
      <c r="BL964">
        <v>0</v>
      </c>
      <c r="BO964">
        <v>0</v>
      </c>
      <c r="BP964">
        <v>0</v>
      </c>
      <c r="BW964" t="str">
        <f>"18:40:50.091"</f>
        <v>18:40:50.091</v>
      </c>
      <c r="BZ964">
        <v>0</v>
      </c>
      <c r="CA964">
        <v>4096</v>
      </c>
      <c r="CB964">
        <v>216</v>
      </c>
      <c r="CC964">
        <v>487.96879999999999</v>
      </c>
      <c r="CD964">
        <v>1</v>
      </c>
      <c r="CE964">
        <v>1</v>
      </c>
      <c r="CF964">
        <v>0</v>
      </c>
      <c r="CG964">
        <v>1</v>
      </c>
      <c r="CH964">
        <v>0</v>
      </c>
      <c r="CI964">
        <v>0</v>
      </c>
      <c r="CJ964">
        <v>0</v>
      </c>
      <c r="CK964">
        <v>2</v>
      </c>
      <c r="CL964">
        <v>0</v>
      </c>
      <c r="CM964">
        <v>2</v>
      </c>
      <c r="CN964">
        <v>0</v>
      </c>
      <c r="CO964">
        <v>4</v>
      </c>
      <c r="CP964" t="s">
        <v>119</v>
      </c>
      <c r="CQ964">
        <v>145</v>
      </c>
      <c r="CR964">
        <v>1</v>
      </c>
      <c r="CW964">
        <v>9000611</v>
      </c>
      <c r="CY964">
        <v>0</v>
      </c>
      <c r="CZ964">
        <v>0</v>
      </c>
      <c r="DA964">
        <v>1</v>
      </c>
      <c r="DB964">
        <v>0</v>
      </c>
      <c r="DC964">
        <v>0</v>
      </c>
      <c r="DD964">
        <v>0</v>
      </c>
      <c r="DE964">
        <v>0</v>
      </c>
      <c r="DF964">
        <v>0</v>
      </c>
      <c r="DG964">
        <v>0</v>
      </c>
      <c r="DH964">
        <v>0</v>
      </c>
      <c r="DI964">
        <v>0</v>
      </c>
    </row>
    <row r="965" spans="1:113" x14ac:dyDescent="0.3">
      <c r="A965" t="str">
        <f>"02/13/2022 18:40:51.237"</f>
        <v>02/13/2022 18:40:51.237</v>
      </c>
      <c r="C965" t="str">
        <f t="shared" ref="C965:C1028" si="99">"FFDFD7C0"</f>
        <v>FFDFD7C0</v>
      </c>
      <c r="D965" t="s">
        <v>121</v>
      </c>
      <c r="E965">
        <v>2</v>
      </c>
      <c r="H965">
        <v>158</v>
      </c>
      <c r="I965" t="s">
        <v>120</v>
      </c>
      <c r="J965" t="s">
        <v>122</v>
      </c>
      <c r="K965">
        <v>0</v>
      </c>
      <c r="L965">
        <v>3</v>
      </c>
      <c r="M965">
        <v>0</v>
      </c>
      <c r="N965">
        <v>2</v>
      </c>
      <c r="O965">
        <v>1</v>
      </c>
      <c r="P965">
        <v>0</v>
      </c>
      <c r="Q965">
        <v>0</v>
      </c>
      <c r="S965" t="str">
        <f>"18:40:51.000"</f>
        <v>18:40:51.000</v>
      </c>
      <c r="T965" t="str">
        <f>"18:40:50.600"</f>
        <v>18:40:50.600</v>
      </c>
      <c r="U965" t="str">
        <f t="shared" si="98"/>
        <v>AAB6EE</v>
      </c>
      <c r="V965">
        <v>0</v>
      </c>
      <c r="W965">
        <v>0</v>
      </c>
      <c r="X965">
        <v>4</v>
      </c>
      <c r="Z965">
        <v>0</v>
      </c>
      <c r="AA965">
        <v>8</v>
      </c>
      <c r="AB965">
        <v>3</v>
      </c>
      <c r="AC965">
        <v>0</v>
      </c>
      <c r="AD965">
        <v>10</v>
      </c>
      <c r="AE965">
        <v>0</v>
      </c>
      <c r="AF965">
        <v>0</v>
      </c>
      <c r="AG965">
        <v>2</v>
      </c>
      <c r="AH965">
        <v>1</v>
      </c>
      <c r="AI965" t="s">
        <v>765</v>
      </c>
      <c r="AJ965">
        <v>35.312804999999997</v>
      </c>
      <c r="AK965" t="s">
        <v>766</v>
      </c>
      <c r="AL965">
        <v>-76.178061999999997</v>
      </c>
      <c r="AM965">
        <v>25</v>
      </c>
      <c r="AN965">
        <v>3450</v>
      </c>
      <c r="AO965" t="s">
        <v>118</v>
      </c>
      <c r="AP965">
        <v>-193</v>
      </c>
      <c r="AQ965">
        <v>-105</v>
      </c>
      <c r="AR965">
        <v>-128</v>
      </c>
      <c r="AZ965">
        <v>4516</v>
      </c>
      <c r="BA965">
        <v>1</v>
      </c>
      <c r="BB965" t="str">
        <f t="shared" ref="BB965:BB1028" si="100">"N79NX   "</f>
        <v xml:space="preserve">N79NX   </v>
      </c>
      <c r="BC965">
        <v>1</v>
      </c>
      <c r="BE965">
        <v>0</v>
      </c>
      <c r="BF965">
        <v>0</v>
      </c>
      <c r="BG965">
        <v>0</v>
      </c>
      <c r="BH965">
        <v>3300</v>
      </c>
      <c r="BI965">
        <v>0</v>
      </c>
      <c r="BJ965">
        <v>0</v>
      </c>
      <c r="BK965">
        <v>0</v>
      </c>
      <c r="BL965">
        <v>0</v>
      </c>
      <c r="BO965">
        <v>0</v>
      </c>
      <c r="BP965">
        <v>0</v>
      </c>
      <c r="BW965" t="str">
        <f>"18:40:51.001"</f>
        <v>18:40:51.001</v>
      </c>
      <c r="BZ965">
        <v>0</v>
      </c>
      <c r="CA965">
        <v>4096</v>
      </c>
      <c r="CB965">
        <v>216</v>
      </c>
      <c r="CC965">
        <v>487.96879999999999</v>
      </c>
      <c r="CD965">
        <v>1</v>
      </c>
      <c r="CE965">
        <v>1</v>
      </c>
      <c r="CF965">
        <v>0</v>
      </c>
      <c r="CG965">
        <v>1</v>
      </c>
      <c r="CH965">
        <v>0</v>
      </c>
      <c r="CI965">
        <v>0</v>
      </c>
      <c r="CJ965">
        <v>0</v>
      </c>
      <c r="CK965">
        <v>2</v>
      </c>
      <c r="CL965">
        <v>0</v>
      </c>
      <c r="CM965">
        <v>2</v>
      </c>
      <c r="CN965">
        <v>0</v>
      </c>
      <c r="CO965">
        <v>4</v>
      </c>
      <c r="CP965" t="s">
        <v>119</v>
      </c>
      <c r="CQ965">
        <v>145</v>
      </c>
      <c r="CR965">
        <v>1</v>
      </c>
      <c r="CW965">
        <v>9001020</v>
      </c>
      <c r="CY965">
        <v>0</v>
      </c>
      <c r="CZ965">
        <v>0</v>
      </c>
      <c r="DA965">
        <v>0</v>
      </c>
      <c r="DB965">
        <v>0</v>
      </c>
      <c r="DC965">
        <v>0</v>
      </c>
      <c r="DD965">
        <v>0</v>
      </c>
      <c r="DE965">
        <v>0</v>
      </c>
      <c r="DF965">
        <v>0</v>
      </c>
      <c r="DG965">
        <v>0</v>
      </c>
      <c r="DH965">
        <v>0</v>
      </c>
      <c r="DI965">
        <v>0</v>
      </c>
    </row>
    <row r="966" spans="1:113" x14ac:dyDescent="0.3">
      <c r="A966" t="str">
        <f>"02/13/2022 18:40:51.237"</f>
        <v>02/13/2022 18:40:51.237</v>
      </c>
      <c r="C966" t="str">
        <f t="shared" si="99"/>
        <v>FFDFD7C0</v>
      </c>
      <c r="D966" t="s">
        <v>113</v>
      </c>
      <c r="E966">
        <v>3</v>
      </c>
      <c r="F966">
        <v>1003</v>
      </c>
      <c r="G966" t="s">
        <v>114</v>
      </c>
      <c r="J966" t="s">
        <v>115</v>
      </c>
      <c r="K966">
        <v>0</v>
      </c>
      <c r="L966">
        <v>3</v>
      </c>
      <c r="M966">
        <v>0</v>
      </c>
      <c r="N966">
        <v>2</v>
      </c>
      <c r="O966">
        <v>1</v>
      </c>
      <c r="P966">
        <v>0</v>
      </c>
      <c r="Q966">
        <v>0</v>
      </c>
      <c r="S966" t="str">
        <f>"18:40:51.000"</f>
        <v>18:40:51.000</v>
      </c>
      <c r="T966" t="str">
        <f>"18:40:50.600"</f>
        <v>18:40:50.600</v>
      </c>
      <c r="U966" t="str">
        <f t="shared" si="98"/>
        <v>AAB6EE</v>
      </c>
      <c r="V966">
        <v>0</v>
      </c>
      <c r="W966">
        <v>0</v>
      </c>
      <c r="X966">
        <v>4</v>
      </c>
      <c r="Z966">
        <v>0</v>
      </c>
      <c r="AA966">
        <v>8</v>
      </c>
      <c r="AB966">
        <v>3</v>
      </c>
      <c r="AC966">
        <v>0</v>
      </c>
      <c r="AD966">
        <v>10</v>
      </c>
      <c r="AE966">
        <v>0</v>
      </c>
      <c r="AF966">
        <v>0</v>
      </c>
      <c r="AG966">
        <v>2</v>
      </c>
      <c r="AH966">
        <v>1</v>
      </c>
      <c r="AI966" t="s">
        <v>765</v>
      </c>
      <c r="AJ966">
        <v>35.312804999999997</v>
      </c>
      <c r="AK966" t="s">
        <v>766</v>
      </c>
      <c r="AL966">
        <v>-76.178061999999997</v>
      </c>
      <c r="AM966">
        <v>25</v>
      </c>
      <c r="AN966">
        <v>3450</v>
      </c>
      <c r="AO966" t="s">
        <v>118</v>
      </c>
      <c r="AP966">
        <v>-193</v>
      </c>
      <c r="AQ966">
        <v>-105</v>
      </c>
      <c r="AR966">
        <v>-128</v>
      </c>
      <c r="AZ966">
        <v>4516</v>
      </c>
      <c r="BA966">
        <v>1</v>
      </c>
      <c r="BB966" t="str">
        <f t="shared" si="100"/>
        <v xml:space="preserve">N79NX   </v>
      </c>
      <c r="BC966">
        <v>1</v>
      </c>
      <c r="BE966">
        <v>0</v>
      </c>
      <c r="BF966">
        <v>0</v>
      </c>
      <c r="BG966">
        <v>0</v>
      </c>
      <c r="BH966">
        <v>3300</v>
      </c>
      <c r="BI966">
        <v>0</v>
      </c>
      <c r="BJ966">
        <v>0</v>
      </c>
      <c r="BK966">
        <v>0</v>
      </c>
      <c r="BL966">
        <v>0</v>
      </c>
      <c r="BO966">
        <v>0</v>
      </c>
      <c r="BP966">
        <v>0</v>
      </c>
      <c r="BW966" t="str">
        <f>"18:40:51.001"</f>
        <v>18:40:51.001</v>
      </c>
      <c r="BZ966">
        <v>0</v>
      </c>
      <c r="CA966">
        <v>4096</v>
      </c>
      <c r="CB966">
        <v>216</v>
      </c>
      <c r="CC966">
        <v>487.96879999999999</v>
      </c>
      <c r="CD966">
        <v>1</v>
      </c>
      <c r="CE966">
        <v>1</v>
      </c>
      <c r="CF966">
        <v>0</v>
      </c>
      <c r="CG966">
        <v>1</v>
      </c>
      <c r="CH966">
        <v>0</v>
      </c>
      <c r="CI966">
        <v>0</v>
      </c>
      <c r="CJ966">
        <v>0</v>
      </c>
      <c r="CK966">
        <v>2</v>
      </c>
      <c r="CL966">
        <v>0</v>
      </c>
      <c r="CM966">
        <v>2</v>
      </c>
      <c r="CN966">
        <v>0</v>
      </c>
      <c r="CO966">
        <v>4</v>
      </c>
      <c r="CP966" t="s">
        <v>119</v>
      </c>
      <c r="CQ966">
        <v>145</v>
      </c>
      <c r="CR966">
        <v>1</v>
      </c>
      <c r="CW966">
        <v>9001020</v>
      </c>
      <c r="CY966">
        <v>0</v>
      </c>
      <c r="CZ966">
        <v>0</v>
      </c>
      <c r="DA966">
        <v>1</v>
      </c>
      <c r="DB966">
        <v>0</v>
      </c>
      <c r="DC966">
        <v>0</v>
      </c>
      <c r="DD966">
        <v>0</v>
      </c>
      <c r="DE966">
        <v>0</v>
      </c>
      <c r="DF966">
        <v>0</v>
      </c>
      <c r="DG966">
        <v>0</v>
      </c>
      <c r="DH966">
        <v>0</v>
      </c>
      <c r="DI966">
        <v>0</v>
      </c>
    </row>
    <row r="967" spans="1:113" x14ac:dyDescent="0.3">
      <c r="A967" t="str">
        <f>"02/13/2022 18:40:51.237"</f>
        <v>02/13/2022 18:40:51.237</v>
      </c>
      <c r="C967" t="str">
        <f t="shared" si="99"/>
        <v>FFDFD7C0</v>
      </c>
      <c r="D967" t="s">
        <v>113</v>
      </c>
      <c r="E967">
        <v>4</v>
      </c>
      <c r="F967">
        <v>1004</v>
      </c>
      <c r="G967" t="s">
        <v>120</v>
      </c>
      <c r="J967" t="s">
        <v>115</v>
      </c>
      <c r="K967">
        <v>0</v>
      </c>
      <c r="L967">
        <v>3</v>
      </c>
      <c r="M967">
        <v>0</v>
      </c>
      <c r="N967">
        <v>2</v>
      </c>
      <c r="O967">
        <v>1</v>
      </c>
      <c r="P967">
        <v>0</v>
      </c>
      <c r="Q967">
        <v>0</v>
      </c>
      <c r="S967" t="str">
        <f>"18:40:51.000"</f>
        <v>18:40:51.000</v>
      </c>
      <c r="T967" t="str">
        <f>"18:40:50.600"</f>
        <v>18:40:50.600</v>
      </c>
      <c r="U967" t="str">
        <f t="shared" si="98"/>
        <v>AAB6EE</v>
      </c>
      <c r="V967">
        <v>0</v>
      </c>
      <c r="W967">
        <v>0</v>
      </c>
      <c r="X967">
        <v>4</v>
      </c>
      <c r="Z967">
        <v>0</v>
      </c>
      <c r="AA967">
        <v>8</v>
      </c>
      <c r="AB967">
        <v>3</v>
      </c>
      <c r="AC967">
        <v>0</v>
      </c>
      <c r="AD967">
        <v>10</v>
      </c>
      <c r="AE967">
        <v>0</v>
      </c>
      <c r="AF967">
        <v>0</v>
      </c>
      <c r="AG967">
        <v>2</v>
      </c>
      <c r="AH967">
        <v>1</v>
      </c>
      <c r="AI967" t="s">
        <v>765</v>
      </c>
      <c r="AJ967">
        <v>35.312804999999997</v>
      </c>
      <c r="AK967" t="s">
        <v>766</v>
      </c>
      <c r="AL967">
        <v>-76.178061999999997</v>
      </c>
      <c r="AM967">
        <v>25</v>
      </c>
      <c r="AN967">
        <v>3450</v>
      </c>
      <c r="AO967" t="s">
        <v>118</v>
      </c>
      <c r="AP967">
        <v>-193</v>
      </c>
      <c r="AQ967">
        <v>-105</v>
      </c>
      <c r="AR967">
        <v>-128</v>
      </c>
      <c r="AZ967">
        <v>4516</v>
      </c>
      <c r="BA967">
        <v>1</v>
      </c>
      <c r="BB967" t="str">
        <f t="shared" si="100"/>
        <v xml:space="preserve">N79NX   </v>
      </c>
      <c r="BC967">
        <v>1</v>
      </c>
      <c r="BE967">
        <v>0</v>
      </c>
      <c r="BF967">
        <v>0</v>
      </c>
      <c r="BG967">
        <v>0</v>
      </c>
      <c r="BH967">
        <v>3300</v>
      </c>
      <c r="BI967">
        <v>0</v>
      </c>
      <c r="BJ967">
        <v>0</v>
      </c>
      <c r="BK967">
        <v>0</v>
      </c>
      <c r="BL967">
        <v>0</v>
      </c>
      <c r="BO967">
        <v>0</v>
      </c>
      <c r="BP967">
        <v>0</v>
      </c>
      <c r="BW967" t="str">
        <f>"18:40:51.001"</f>
        <v>18:40:51.001</v>
      </c>
      <c r="BZ967">
        <v>0</v>
      </c>
      <c r="CA967">
        <v>4096</v>
      </c>
      <c r="CB967">
        <v>216</v>
      </c>
      <c r="CC967">
        <v>487.96879999999999</v>
      </c>
      <c r="CD967">
        <v>1</v>
      </c>
      <c r="CE967">
        <v>1</v>
      </c>
      <c r="CF967">
        <v>0</v>
      </c>
      <c r="CG967">
        <v>1</v>
      </c>
      <c r="CH967">
        <v>0</v>
      </c>
      <c r="CI967">
        <v>0</v>
      </c>
      <c r="CJ967">
        <v>0</v>
      </c>
      <c r="CK967">
        <v>2</v>
      </c>
      <c r="CL967">
        <v>0</v>
      </c>
      <c r="CM967">
        <v>2</v>
      </c>
      <c r="CN967">
        <v>0</v>
      </c>
      <c r="CO967">
        <v>4</v>
      </c>
      <c r="CP967" t="s">
        <v>119</v>
      </c>
      <c r="CQ967">
        <v>145</v>
      </c>
      <c r="CR967">
        <v>1</v>
      </c>
      <c r="CW967">
        <v>9001020</v>
      </c>
      <c r="CY967">
        <v>0</v>
      </c>
      <c r="CZ967">
        <v>0</v>
      </c>
      <c r="DA967">
        <v>1</v>
      </c>
      <c r="DB967">
        <v>0</v>
      </c>
      <c r="DC967">
        <v>0</v>
      </c>
      <c r="DD967">
        <v>0</v>
      </c>
      <c r="DE967">
        <v>0</v>
      </c>
      <c r="DF967">
        <v>0</v>
      </c>
      <c r="DG967">
        <v>0</v>
      </c>
      <c r="DH967">
        <v>0</v>
      </c>
      <c r="DI967">
        <v>0</v>
      </c>
    </row>
    <row r="968" spans="1:113" x14ac:dyDescent="0.3">
      <c r="A968" t="str">
        <f>"02/13/2022 18:40:52.237"</f>
        <v>02/13/2022 18:40:52.237</v>
      </c>
      <c r="C968" t="str">
        <f t="shared" si="99"/>
        <v>FFDFD7C0</v>
      </c>
      <c r="D968" t="s">
        <v>121</v>
      </c>
      <c r="E968">
        <v>2</v>
      </c>
      <c r="H968">
        <v>158</v>
      </c>
      <c r="I968" t="s">
        <v>120</v>
      </c>
      <c r="J968" t="s">
        <v>122</v>
      </c>
      <c r="K968">
        <v>0</v>
      </c>
      <c r="L968">
        <v>3</v>
      </c>
      <c r="M968">
        <v>0</v>
      </c>
      <c r="N968">
        <v>2</v>
      </c>
      <c r="O968">
        <v>1</v>
      </c>
      <c r="P968">
        <v>0</v>
      </c>
      <c r="Q968">
        <v>0</v>
      </c>
      <c r="S968" t="str">
        <f t="shared" ref="S968:T970" si="101">"18:40:52.047"</f>
        <v>18:40:52.047</v>
      </c>
      <c r="T968" t="str">
        <f t="shared" si="101"/>
        <v>18:40:52.047</v>
      </c>
      <c r="U968" t="str">
        <f t="shared" si="98"/>
        <v>AAB6EE</v>
      </c>
      <c r="V968">
        <v>0</v>
      </c>
      <c r="W968">
        <v>0</v>
      </c>
      <c r="X968">
        <v>4</v>
      </c>
      <c r="Z968">
        <v>0</v>
      </c>
      <c r="AA968">
        <v>8</v>
      </c>
      <c r="AB968">
        <v>3</v>
      </c>
      <c r="AC968">
        <v>0</v>
      </c>
      <c r="AD968">
        <v>10</v>
      </c>
      <c r="AE968">
        <v>0</v>
      </c>
      <c r="AF968">
        <v>0</v>
      </c>
      <c r="AG968">
        <v>2</v>
      </c>
      <c r="AH968">
        <v>1</v>
      </c>
      <c r="AI968" t="s">
        <v>767</v>
      </c>
      <c r="AJ968">
        <v>35.312204000000001</v>
      </c>
      <c r="AK968" t="s">
        <v>768</v>
      </c>
      <c r="AL968">
        <v>-76.179264000000003</v>
      </c>
      <c r="AM968">
        <v>25</v>
      </c>
      <c r="AN968">
        <v>3425</v>
      </c>
      <c r="AO968" t="s">
        <v>118</v>
      </c>
      <c r="AP968">
        <v>-187</v>
      </c>
      <c r="AQ968">
        <v>-116</v>
      </c>
      <c r="AR968">
        <v>-64</v>
      </c>
      <c r="AZ968">
        <v>4516</v>
      </c>
      <c r="BA968">
        <v>1</v>
      </c>
      <c r="BB968" t="str">
        <f t="shared" si="100"/>
        <v xml:space="preserve">N79NX   </v>
      </c>
      <c r="BC968">
        <v>1</v>
      </c>
      <c r="BE968">
        <v>0</v>
      </c>
      <c r="BF968">
        <v>0</v>
      </c>
      <c r="BG968">
        <v>0</v>
      </c>
      <c r="BH968">
        <v>3275</v>
      </c>
      <c r="BI968">
        <v>0</v>
      </c>
      <c r="BJ968">
        <v>0</v>
      </c>
      <c r="BK968">
        <v>0</v>
      </c>
      <c r="BL968">
        <v>0</v>
      </c>
      <c r="BO968">
        <v>0</v>
      </c>
      <c r="BP968">
        <v>0</v>
      </c>
      <c r="BW968" t="str">
        <f>"18:40:52.051"</f>
        <v>18:40:52.051</v>
      </c>
      <c r="BZ968">
        <v>0</v>
      </c>
      <c r="CA968">
        <v>4096</v>
      </c>
      <c r="CB968">
        <v>216</v>
      </c>
      <c r="CC968">
        <v>487.96879999999999</v>
      </c>
      <c r="CD968">
        <v>1</v>
      </c>
      <c r="CE968">
        <v>1</v>
      </c>
      <c r="CF968">
        <v>0</v>
      </c>
      <c r="CG968">
        <v>1</v>
      </c>
      <c r="CH968">
        <v>0</v>
      </c>
      <c r="CI968">
        <v>0</v>
      </c>
      <c r="CJ968">
        <v>0</v>
      </c>
      <c r="CK968">
        <v>2</v>
      </c>
      <c r="CL968">
        <v>0</v>
      </c>
      <c r="CM968">
        <v>2</v>
      </c>
      <c r="CN968">
        <v>0</v>
      </c>
      <c r="CO968">
        <v>4</v>
      </c>
      <c r="CP968" t="s">
        <v>119</v>
      </c>
      <c r="CQ968">
        <v>145</v>
      </c>
      <c r="CR968">
        <v>1</v>
      </c>
      <c r="CW968">
        <v>9001523</v>
      </c>
      <c r="CY968">
        <v>0</v>
      </c>
      <c r="CZ968">
        <v>0</v>
      </c>
      <c r="DA968">
        <v>0</v>
      </c>
      <c r="DB968">
        <v>0</v>
      </c>
      <c r="DC968">
        <v>0</v>
      </c>
      <c r="DD968">
        <v>0</v>
      </c>
      <c r="DE968">
        <v>0</v>
      </c>
      <c r="DF968">
        <v>0</v>
      </c>
      <c r="DG968">
        <v>0</v>
      </c>
      <c r="DH968">
        <v>0</v>
      </c>
      <c r="DI968">
        <v>0</v>
      </c>
    </row>
    <row r="969" spans="1:113" x14ac:dyDescent="0.3">
      <c r="A969" t="str">
        <f>"02/13/2022 18:40:52.284"</f>
        <v>02/13/2022 18:40:52.284</v>
      </c>
      <c r="C969" t="str">
        <f t="shared" si="99"/>
        <v>FFDFD7C0</v>
      </c>
      <c r="D969" t="s">
        <v>113</v>
      </c>
      <c r="E969">
        <v>3</v>
      </c>
      <c r="F969">
        <v>1003</v>
      </c>
      <c r="G969" t="s">
        <v>114</v>
      </c>
      <c r="J969" t="s">
        <v>115</v>
      </c>
      <c r="K969">
        <v>0</v>
      </c>
      <c r="L969">
        <v>3</v>
      </c>
      <c r="M969">
        <v>0</v>
      </c>
      <c r="N969">
        <v>2</v>
      </c>
      <c r="O969">
        <v>1</v>
      </c>
      <c r="P969">
        <v>0</v>
      </c>
      <c r="Q969">
        <v>0</v>
      </c>
      <c r="S969" t="str">
        <f t="shared" si="101"/>
        <v>18:40:52.047</v>
      </c>
      <c r="T969" t="str">
        <f t="shared" si="101"/>
        <v>18:40:52.047</v>
      </c>
      <c r="U969" t="str">
        <f t="shared" si="98"/>
        <v>AAB6EE</v>
      </c>
      <c r="V969">
        <v>0</v>
      </c>
      <c r="W969">
        <v>0</v>
      </c>
      <c r="X969">
        <v>4</v>
      </c>
      <c r="Z969">
        <v>0</v>
      </c>
      <c r="AA969">
        <v>8</v>
      </c>
      <c r="AB969">
        <v>3</v>
      </c>
      <c r="AC969">
        <v>0</v>
      </c>
      <c r="AD969">
        <v>10</v>
      </c>
      <c r="AE969">
        <v>0</v>
      </c>
      <c r="AF969">
        <v>0</v>
      </c>
      <c r="AG969">
        <v>2</v>
      </c>
      <c r="AH969">
        <v>1</v>
      </c>
      <c r="AI969" t="s">
        <v>767</v>
      </c>
      <c r="AJ969">
        <v>35.312204000000001</v>
      </c>
      <c r="AK969" t="s">
        <v>768</v>
      </c>
      <c r="AL969">
        <v>-76.179264000000003</v>
      </c>
      <c r="AM969">
        <v>25</v>
      </c>
      <c r="AN969">
        <v>3425</v>
      </c>
      <c r="AO969" t="s">
        <v>118</v>
      </c>
      <c r="AP969">
        <v>-187</v>
      </c>
      <c r="AQ969">
        <v>-116</v>
      </c>
      <c r="AR969">
        <v>-64</v>
      </c>
      <c r="AZ969">
        <v>4516</v>
      </c>
      <c r="BA969">
        <v>1</v>
      </c>
      <c r="BB969" t="str">
        <f t="shared" si="100"/>
        <v xml:space="preserve">N79NX   </v>
      </c>
      <c r="BC969">
        <v>1</v>
      </c>
      <c r="BE969">
        <v>0</v>
      </c>
      <c r="BF969">
        <v>0</v>
      </c>
      <c r="BG969">
        <v>0</v>
      </c>
      <c r="BH969">
        <v>3275</v>
      </c>
      <c r="BI969">
        <v>0</v>
      </c>
      <c r="BJ969">
        <v>0</v>
      </c>
      <c r="BK969">
        <v>0</v>
      </c>
      <c r="BL969">
        <v>0</v>
      </c>
      <c r="BO969">
        <v>0</v>
      </c>
      <c r="BP969">
        <v>0</v>
      </c>
      <c r="BW969" t="str">
        <f>"18:40:52.051"</f>
        <v>18:40:52.051</v>
      </c>
      <c r="BZ969">
        <v>0</v>
      </c>
      <c r="CA969">
        <v>4096</v>
      </c>
      <c r="CB969">
        <v>216</v>
      </c>
      <c r="CC969">
        <v>487.96879999999999</v>
      </c>
      <c r="CD969">
        <v>1</v>
      </c>
      <c r="CE969">
        <v>1</v>
      </c>
      <c r="CF969">
        <v>0</v>
      </c>
      <c r="CG969">
        <v>1</v>
      </c>
      <c r="CH969">
        <v>0</v>
      </c>
      <c r="CI969">
        <v>0</v>
      </c>
      <c r="CJ969">
        <v>0</v>
      </c>
      <c r="CK969">
        <v>2</v>
      </c>
      <c r="CL969">
        <v>0</v>
      </c>
      <c r="CM969">
        <v>2</v>
      </c>
      <c r="CN969">
        <v>0</v>
      </c>
      <c r="CO969">
        <v>4</v>
      </c>
      <c r="CP969" t="s">
        <v>119</v>
      </c>
      <c r="CQ969">
        <v>145</v>
      </c>
      <c r="CR969">
        <v>1</v>
      </c>
      <c r="CW969">
        <v>9001523</v>
      </c>
      <c r="CY969">
        <v>0</v>
      </c>
      <c r="CZ969">
        <v>0</v>
      </c>
      <c r="DA969">
        <v>1</v>
      </c>
      <c r="DB969">
        <v>0</v>
      </c>
      <c r="DC969">
        <v>0</v>
      </c>
      <c r="DD969">
        <v>0</v>
      </c>
      <c r="DE969">
        <v>0</v>
      </c>
      <c r="DF969">
        <v>0</v>
      </c>
      <c r="DG969">
        <v>0</v>
      </c>
      <c r="DH969">
        <v>0</v>
      </c>
      <c r="DI969">
        <v>0</v>
      </c>
    </row>
    <row r="970" spans="1:113" x14ac:dyDescent="0.3">
      <c r="A970" t="str">
        <f>"02/13/2022 18:40:52.299"</f>
        <v>02/13/2022 18:40:52.299</v>
      </c>
      <c r="C970" t="str">
        <f t="shared" si="99"/>
        <v>FFDFD7C0</v>
      </c>
      <c r="D970" t="s">
        <v>113</v>
      </c>
      <c r="E970">
        <v>4</v>
      </c>
      <c r="F970">
        <v>1004</v>
      </c>
      <c r="G970" t="s">
        <v>120</v>
      </c>
      <c r="J970" t="s">
        <v>115</v>
      </c>
      <c r="K970">
        <v>0</v>
      </c>
      <c r="L970">
        <v>3</v>
      </c>
      <c r="M970">
        <v>0</v>
      </c>
      <c r="N970">
        <v>2</v>
      </c>
      <c r="O970">
        <v>1</v>
      </c>
      <c r="P970">
        <v>0</v>
      </c>
      <c r="Q970">
        <v>0</v>
      </c>
      <c r="S970" t="str">
        <f t="shared" si="101"/>
        <v>18:40:52.047</v>
      </c>
      <c r="T970" t="str">
        <f t="shared" si="101"/>
        <v>18:40:52.047</v>
      </c>
      <c r="U970" t="str">
        <f t="shared" si="98"/>
        <v>AAB6EE</v>
      </c>
      <c r="V970">
        <v>0</v>
      </c>
      <c r="W970">
        <v>0</v>
      </c>
      <c r="X970">
        <v>4</v>
      </c>
      <c r="Z970">
        <v>0</v>
      </c>
      <c r="AA970">
        <v>8</v>
      </c>
      <c r="AB970">
        <v>3</v>
      </c>
      <c r="AC970">
        <v>0</v>
      </c>
      <c r="AD970">
        <v>10</v>
      </c>
      <c r="AE970">
        <v>0</v>
      </c>
      <c r="AF970">
        <v>0</v>
      </c>
      <c r="AG970">
        <v>2</v>
      </c>
      <c r="AH970">
        <v>1</v>
      </c>
      <c r="AI970" t="s">
        <v>767</v>
      </c>
      <c r="AJ970">
        <v>35.312204000000001</v>
      </c>
      <c r="AK970" t="s">
        <v>768</v>
      </c>
      <c r="AL970">
        <v>-76.179264000000003</v>
      </c>
      <c r="AM970">
        <v>25</v>
      </c>
      <c r="AN970">
        <v>3425</v>
      </c>
      <c r="AO970" t="s">
        <v>118</v>
      </c>
      <c r="AP970">
        <v>-187</v>
      </c>
      <c r="AQ970">
        <v>-116</v>
      </c>
      <c r="AR970">
        <v>-64</v>
      </c>
      <c r="AZ970">
        <v>4516</v>
      </c>
      <c r="BA970">
        <v>1</v>
      </c>
      <c r="BB970" t="str">
        <f t="shared" si="100"/>
        <v xml:space="preserve">N79NX   </v>
      </c>
      <c r="BC970">
        <v>1</v>
      </c>
      <c r="BE970">
        <v>0</v>
      </c>
      <c r="BF970">
        <v>0</v>
      </c>
      <c r="BG970">
        <v>0</v>
      </c>
      <c r="BH970">
        <v>3275</v>
      </c>
      <c r="BI970">
        <v>0</v>
      </c>
      <c r="BJ970">
        <v>0</v>
      </c>
      <c r="BK970">
        <v>0</v>
      </c>
      <c r="BL970">
        <v>0</v>
      </c>
      <c r="BO970">
        <v>0</v>
      </c>
      <c r="BP970">
        <v>0</v>
      </c>
      <c r="BW970" t="str">
        <f>"18:40:52.051"</f>
        <v>18:40:52.051</v>
      </c>
      <c r="BZ970">
        <v>0</v>
      </c>
      <c r="CA970">
        <v>4096</v>
      </c>
      <c r="CB970">
        <v>216</v>
      </c>
      <c r="CC970">
        <v>487.96879999999999</v>
      </c>
      <c r="CD970">
        <v>1</v>
      </c>
      <c r="CE970">
        <v>1</v>
      </c>
      <c r="CF970">
        <v>0</v>
      </c>
      <c r="CG970">
        <v>1</v>
      </c>
      <c r="CH970">
        <v>0</v>
      </c>
      <c r="CI970">
        <v>0</v>
      </c>
      <c r="CJ970">
        <v>0</v>
      </c>
      <c r="CK970">
        <v>2</v>
      </c>
      <c r="CL970">
        <v>0</v>
      </c>
      <c r="CM970">
        <v>2</v>
      </c>
      <c r="CN970">
        <v>0</v>
      </c>
      <c r="CO970">
        <v>4</v>
      </c>
      <c r="CP970" t="s">
        <v>119</v>
      </c>
      <c r="CQ970">
        <v>145</v>
      </c>
      <c r="CR970">
        <v>1</v>
      </c>
      <c r="CW970">
        <v>9001523</v>
      </c>
      <c r="CY970">
        <v>0</v>
      </c>
      <c r="CZ970">
        <v>0</v>
      </c>
      <c r="DA970">
        <v>1</v>
      </c>
      <c r="DB970">
        <v>0</v>
      </c>
      <c r="DC970">
        <v>0</v>
      </c>
      <c r="DD970">
        <v>0</v>
      </c>
      <c r="DE970">
        <v>0</v>
      </c>
      <c r="DF970">
        <v>0</v>
      </c>
      <c r="DG970">
        <v>0</v>
      </c>
      <c r="DH970">
        <v>0</v>
      </c>
      <c r="DI970">
        <v>0</v>
      </c>
    </row>
    <row r="971" spans="1:113" x14ac:dyDescent="0.3">
      <c r="A971" t="str">
        <f>"02/13/2022 18:40:53.221"</f>
        <v>02/13/2022 18:40:53.221</v>
      </c>
      <c r="C971" t="str">
        <f t="shared" si="99"/>
        <v>FFDFD7C0</v>
      </c>
      <c r="D971" t="s">
        <v>121</v>
      </c>
      <c r="E971">
        <v>2</v>
      </c>
      <c r="H971">
        <v>158</v>
      </c>
      <c r="I971" t="s">
        <v>120</v>
      </c>
      <c r="J971" t="s">
        <v>122</v>
      </c>
      <c r="K971">
        <v>0</v>
      </c>
      <c r="L971">
        <v>3</v>
      </c>
      <c r="M971">
        <v>0</v>
      </c>
      <c r="N971">
        <v>2</v>
      </c>
      <c r="O971">
        <v>1</v>
      </c>
      <c r="P971">
        <v>0</v>
      </c>
      <c r="Q971">
        <v>0</v>
      </c>
      <c r="S971" t="str">
        <f t="shared" ref="S971:T973" si="102">"18:40:52.977"</f>
        <v>18:40:52.977</v>
      </c>
      <c r="T971" t="str">
        <f t="shared" si="102"/>
        <v>18:40:52.977</v>
      </c>
      <c r="U971" t="str">
        <f t="shared" si="98"/>
        <v>AAB6EE</v>
      </c>
      <c r="V971">
        <v>0</v>
      </c>
      <c r="W971">
        <v>0</v>
      </c>
      <c r="X971">
        <v>4</v>
      </c>
      <c r="Z971">
        <v>0</v>
      </c>
      <c r="AA971">
        <v>8</v>
      </c>
      <c r="AB971">
        <v>3</v>
      </c>
      <c r="AC971">
        <v>0</v>
      </c>
      <c r="AD971">
        <v>10</v>
      </c>
      <c r="AE971">
        <v>0</v>
      </c>
      <c r="AF971">
        <v>0</v>
      </c>
      <c r="AG971">
        <v>2</v>
      </c>
      <c r="AH971">
        <v>1</v>
      </c>
      <c r="AI971" t="s">
        <v>769</v>
      </c>
      <c r="AJ971">
        <v>35.311711000000003</v>
      </c>
      <c r="AK971" t="s">
        <v>770</v>
      </c>
      <c r="AL971">
        <v>-76.180165000000002</v>
      </c>
      <c r="AM971">
        <v>25</v>
      </c>
      <c r="AN971">
        <v>3425</v>
      </c>
      <c r="AO971" t="s">
        <v>118</v>
      </c>
      <c r="AP971">
        <v>-183</v>
      </c>
      <c r="AQ971">
        <v>-122</v>
      </c>
      <c r="AR971">
        <v>-64</v>
      </c>
      <c r="AZ971">
        <v>4516</v>
      </c>
      <c r="BA971">
        <v>1</v>
      </c>
      <c r="BB971" t="str">
        <f t="shared" si="100"/>
        <v xml:space="preserve">N79NX   </v>
      </c>
      <c r="BC971">
        <v>1</v>
      </c>
      <c r="BE971">
        <v>0</v>
      </c>
      <c r="BF971">
        <v>0</v>
      </c>
      <c r="BG971">
        <v>0</v>
      </c>
      <c r="BH971">
        <v>3275</v>
      </c>
      <c r="BI971">
        <v>0</v>
      </c>
      <c r="BJ971">
        <v>0</v>
      </c>
      <c r="BK971">
        <v>0</v>
      </c>
      <c r="BL971">
        <v>0</v>
      </c>
      <c r="BO971">
        <v>0</v>
      </c>
      <c r="BP971">
        <v>0</v>
      </c>
      <c r="BW971" t="str">
        <f>"18:40:52.981"</f>
        <v>18:40:52.981</v>
      </c>
      <c r="BZ971">
        <v>0</v>
      </c>
      <c r="CA971">
        <v>4096</v>
      </c>
      <c r="CB971">
        <v>216</v>
      </c>
      <c r="CC971">
        <v>487.96879999999999</v>
      </c>
      <c r="CD971">
        <v>1</v>
      </c>
      <c r="CE971">
        <v>1</v>
      </c>
      <c r="CF971">
        <v>0</v>
      </c>
      <c r="CG971">
        <v>1</v>
      </c>
      <c r="CH971">
        <v>0</v>
      </c>
      <c r="CI971">
        <v>0</v>
      </c>
      <c r="CJ971">
        <v>0</v>
      </c>
      <c r="CK971">
        <v>2</v>
      </c>
      <c r="CL971">
        <v>0</v>
      </c>
      <c r="CM971">
        <v>2</v>
      </c>
      <c r="CN971">
        <v>0</v>
      </c>
      <c r="CO971">
        <v>3</v>
      </c>
      <c r="CP971" t="s">
        <v>119</v>
      </c>
      <c r="CQ971">
        <v>145</v>
      </c>
      <c r="CR971">
        <v>1</v>
      </c>
      <c r="CW971">
        <v>9001960</v>
      </c>
      <c r="CY971">
        <v>0</v>
      </c>
      <c r="CZ971">
        <v>0</v>
      </c>
      <c r="DA971">
        <v>0</v>
      </c>
      <c r="DB971">
        <v>0</v>
      </c>
      <c r="DC971">
        <v>0</v>
      </c>
      <c r="DD971">
        <v>0</v>
      </c>
      <c r="DE971">
        <v>0</v>
      </c>
      <c r="DF971">
        <v>0</v>
      </c>
      <c r="DG971">
        <v>0</v>
      </c>
      <c r="DH971">
        <v>0</v>
      </c>
      <c r="DI971">
        <v>0</v>
      </c>
    </row>
    <row r="972" spans="1:113" x14ac:dyDescent="0.3">
      <c r="A972" t="str">
        <f>"02/13/2022 18:40:53.221"</f>
        <v>02/13/2022 18:40:53.221</v>
      </c>
      <c r="C972" t="str">
        <f t="shared" si="99"/>
        <v>FFDFD7C0</v>
      </c>
      <c r="D972" t="s">
        <v>113</v>
      </c>
      <c r="E972">
        <v>3</v>
      </c>
      <c r="F972">
        <v>1003</v>
      </c>
      <c r="G972" t="s">
        <v>114</v>
      </c>
      <c r="J972" t="s">
        <v>115</v>
      </c>
      <c r="K972">
        <v>0</v>
      </c>
      <c r="L972">
        <v>3</v>
      </c>
      <c r="M972">
        <v>0</v>
      </c>
      <c r="N972">
        <v>2</v>
      </c>
      <c r="O972">
        <v>1</v>
      </c>
      <c r="P972">
        <v>0</v>
      </c>
      <c r="Q972">
        <v>0</v>
      </c>
      <c r="S972" t="str">
        <f t="shared" si="102"/>
        <v>18:40:52.977</v>
      </c>
      <c r="T972" t="str">
        <f t="shared" si="102"/>
        <v>18:40:52.977</v>
      </c>
      <c r="U972" t="str">
        <f t="shared" si="98"/>
        <v>AAB6EE</v>
      </c>
      <c r="V972">
        <v>0</v>
      </c>
      <c r="W972">
        <v>0</v>
      </c>
      <c r="X972">
        <v>4</v>
      </c>
      <c r="Z972">
        <v>0</v>
      </c>
      <c r="AA972">
        <v>8</v>
      </c>
      <c r="AB972">
        <v>3</v>
      </c>
      <c r="AC972">
        <v>0</v>
      </c>
      <c r="AD972">
        <v>10</v>
      </c>
      <c r="AE972">
        <v>0</v>
      </c>
      <c r="AF972">
        <v>0</v>
      </c>
      <c r="AG972">
        <v>2</v>
      </c>
      <c r="AH972">
        <v>1</v>
      </c>
      <c r="AI972" t="s">
        <v>769</v>
      </c>
      <c r="AJ972">
        <v>35.311711000000003</v>
      </c>
      <c r="AK972" t="s">
        <v>770</v>
      </c>
      <c r="AL972">
        <v>-76.180165000000002</v>
      </c>
      <c r="AM972">
        <v>25</v>
      </c>
      <c r="AN972">
        <v>3425</v>
      </c>
      <c r="AO972" t="s">
        <v>118</v>
      </c>
      <c r="AP972">
        <v>-183</v>
      </c>
      <c r="AQ972">
        <v>-122</v>
      </c>
      <c r="AR972">
        <v>-64</v>
      </c>
      <c r="AZ972">
        <v>4516</v>
      </c>
      <c r="BA972">
        <v>1</v>
      </c>
      <c r="BB972" t="str">
        <f t="shared" si="100"/>
        <v xml:space="preserve">N79NX   </v>
      </c>
      <c r="BC972">
        <v>1</v>
      </c>
      <c r="BE972">
        <v>0</v>
      </c>
      <c r="BF972">
        <v>0</v>
      </c>
      <c r="BG972">
        <v>0</v>
      </c>
      <c r="BH972">
        <v>3275</v>
      </c>
      <c r="BI972">
        <v>0</v>
      </c>
      <c r="BJ972">
        <v>0</v>
      </c>
      <c r="BK972">
        <v>0</v>
      </c>
      <c r="BL972">
        <v>0</v>
      </c>
      <c r="BO972">
        <v>0</v>
      </c>
      <c r="BP972">
        <v>0</v>
      </c>
      <c r="BW972" t="str">
        <f>"18:40:52.981"</f>
        <v>18:40:52.981</v>
      </c>
      <c r="BZ972">
        <v>0</v>
      </c>
      <c r="CA972">
        <v>4096</v>
      </c>
      <c r="CB972">
        <v>216</v>
      </c>
      <c r="CC972">
        <v>487.96879999999999</v>
      </c>
      <c r="CD972">
        <v>1</v>
      </c>
      <c r="CE972">
        <v>1</v>
      </c>
      <c r="CF972">
        <v>0</v>
      </c>
      <c r="CG972">
        <v>1</v>
      </c>
      <c r="CH972">
        <v>0</v>
      </c>
      <c r="CI972">
        <v>0</v>
      </c>
      <c r="CJ972">
        <v>0</v>
      </c>
      <c r="CK972">
        <v>2</v>
      </c>
      <c r="CL972">
        <v>0</v>
      </c>
      <c r="CM972">
        <v>2</v>
      </c>
      <c r="CN972">
        <v>0</v>
      </c>
      <c r="CO972">
        <v>3</v>
      </c>
      <c r="CP972" t="s">
        <v>119</v>
      </c>
      <c r="CQ972">
        <v>145</v>
      </c>
      <c r="CR972">
        <v>1</v>
      </c>
      <c r="CW972">
        <v>9001960</v>
      </c>
      <c r="CY972">
        <v>0</v>
      </c>
      <c r="CZ972">
        <v>0</v>
      </c>
      <c r="DA972">
        <v>1</v>
      </c>
      <c r="DB972">
        <v>0</v>
      </c>
      <c r="DC972">
        <v>0</v>
      </c>
      <c r="DD972">
        <v>0</v>
      </c>
      <c r="DE972">
        <v>0</v>
      </c>
      <c r="DF972">
        <v>0</v>
      </c>
      <c r="DG972">
        <v>0</v>
      </c>
      <c r="DH972">
        <v>0</v>
      </c>
      <c r="DI972">
        <v>0</v>
      </c>
    </row>
    <row r="973" spans="1:113" x14ac:dyDescent="0.3">
      <c r="A973" t="str">
        <f>"02/13/2022 18:40:53.221"</f>
        <v>02/13/2022 18:40:53.221</v>
      </c>
      <c r="C973" t="str">
        <f t="shared" si="99"/>
        <v>FFDFD7C0</v>
      </c>
      <c r="D973" t="s">
        <v>113</v>
      </c>
      <c r="E973">
        <v>4</v>
      </c>
      <c r="F973">
        <v>1004</v>
      </c>
      <c r="G973" t="s">
        <v>120</v>
      </c>
      <c r="J973" t="s">
        <v>115</v>
      </c>
      <c r="K973">
        <v>0</v>
      </c>
      <c r="L973">
        <v>3</v>
      </c>
      <c r="M973">
        <v>0</v>
      </c>
      <c r="N973">
        <v>2</v>
      </c>
      <c r="O973">
        <v>1</v>
      </c>
      <c r="P973">
        <v>0</v>
      </c>
      <c r="Q973">
        <v>0</v>
      </c>
      <c r="S973" t="str">
        <f t="shared" si="102"/>
        <v>18:40:52.977</v>
      </c>
      <c r="T973" t="str">
        <f t="shared" si="102"/>
        <v>18:40:52.977</v>
      </c>
      <c r="U973" t="str">
        <f t="shared" si="98"/>
        <v>AAB6EE</v>
      </c>
      <c r="V973">
        <v>0</v>
      </c>
      <c r="W973">
        <v>0</v>
      </c>
      <c r="X973">
        <v>4</v>
      </c>
      <c r="Z973">
        <v>0</v>
      </c>
      <c r="AA973">
        <v>8</v>
      </c>
      <c r="AB973">
        <v>3</v>
      </c>
      <c r="AC973">
        <v>0</v>
      </c>
      <c r="AD973">
        <v>10</v>
      </c>
      <c r="AE973">
        <v>0</v>
      </c>
      <c r="AF973">
        <v>0</v>
      </c>
      <c r="AG973">
        <v>2</v>
      </c>
      <c r="AH973">
        <v>1</v>
      </c>
      <c r="AI973" t="s">
        <v>769</v>
      </c>
      <c r="AJ973">
        <v>35.311711000000003</v>
      </c>
      <c r="AK973" t="s">
        <v>770</v>
      </c>
      <c r="AL973">
        <v>-76.180165000000002</v>
      </c>
      <c r="AM973">
        <v>25</v>
      </c>
      <c r="AN973">
        <v>3425</v>
      </c>
      <c r="AO973" t="s">
        <v>118</v>
      </c>
      <c r="AP973">
        <v>-183</v>
      </c>
      <c r="AQ973">
        <v>-122</v>
      </c>
      <c r="AR973">
        <v>-64</v>
      </c>
      <c r="AZ973">
        <v>4516</v>
      </c>
      <c r="BA973">
        <v>1</v>
      </c>
      <c r="BB973" t="str">
        <f t="shared" si="100"/>
        <v xml:space="preserve">N79NX   </v>
      </c>
      <c r="BC973">
        <v>1</v>
      </c>
      <c r="BE973">
        <v>0</v>
      </c>
      <c r="BF973">
        <v>0</v>
      </c>
      <c r="BG973">
        <v>0</v>
      </c>
      <c r="BH973">
        <v>3275</v>
      </c>
      <c r="BI973">
        <v>0</v>
      </c>
      <c r="BJ973">
        <v>0</v>
      </c>
      <c r="BK973">
        <v>0</v>
      </c>
      <c r="BL973">
        <v>0</v>
      </c>
      <c r="BO973">
        <v>0</v>
      </c>
      <c r="BP973">
        <v>0</v>
      </c>
      <c r="BW973" t="str">
        <f>"18:40:52.981"</f>
        <v>18:40:52.981</v>
      </c>
      <c r="BZ973">
        <v>0</v>
      </c>
      <c r="CA973">
        <v>4096</v>
      </c>
      <c r="CB973">
        <v>216</v>
      </c>
      <c r="CC973">
        <v>487.96879999999999</v>
      </c>
      <c r="CD973">
        <v>1</v>
      </c>
      <c r="CE973">
        <v>1</v>
      </c>
      <c r="CF973">
        <v>0</v>
      </c>
      <c r="CG973">
        <v>1</v>
      </c>
      <c r="CH973">
        <v>0</v>
      </c>
      <c r="CI973">
        <v>0</v>
      </c>
      <c r="CJ973">
        <v>0</v>
      </c>
      <c r="CK973">
        <v>2</v>
      </c>
      <c r="CL973">
        <v>0</v>
      </c>
      <c r="CM973">
        <v>2</v>
      </c>
      <c r="CN973">
        <v>0</v>
      </c>
      <c r="CO973">
        <v>3</v>
      </c>
      <c r="CP973" t="s">
        <v>119</v>
      </c>
      <c r="CQ973">
        <v>145</v>
      </c>
      <c r="CR973">
        <v>1</v>
      </c>
      <c r="CW973">
        <v>9001960</v>
      </c>
      <c r="CY973">
        <v>0</v>
      </c>
      <c r="CZ973">
        <v>0</v>
      </c>
      <c r="DA973">
        <v>1</v>
      </c>
      <c r="DB973">
        <v>0</v>
      </c>
      <c r="DC973">
        <v>0</v>
      </c>
      <c r="DD973">
        <v>0</v>
      </c>
      <c r="DE973">
        <v>0</v>
      </c>
      <c r="DF973">
        <v>0</v>
      </c>
      <c r="DG973">
        <v>0</v>
      </c>
      <c r="DH973">
        <v>0</v>
      </c>
      <c r="DI973">
        <v>0</v>
      </c>
    </row>
    <row r="974" spans="1:113" x14ac:dyDescent="0.3">
      <c r="A974" t="str">
        <f>"02/13/2022 18:40:54.143"</f>
        <v>02/13/2022 18:40:54.143</v>
      </c>
      <c r="C974" t="str">
        <f t="shared" si="99"/>
        <v>FFDFD7C0</v>
      </c>
      <c r="D974" t="s">
        <v>121</v>
      </c>
      <c r="E974">
        <v>2</v>
      </c>
      <c r="H974">
        <v>158</v>
      </c>
      <c r="I974" t="s">
        <v>120</v>
      </c>
      <c r="J974" t="s">
        <v>122</v>
      </c>
      <c r="K974">
        <v>0</v>
      </c>
      <c r="L974">
        <v>3</v>
      </c>
      <c r="M974">
        <v>0</v>
      </c>
      <c r="N974">
        <v>2</v>
      </c>
      <c r="O974">
        <v>1</v>
      </c>
      <c r="P974">
        <v>0</v>
      </c>
      <c r="Q974">
        <v>0</v>
      </c>
      <c r="S974" t="str">
        <f>"18:40:53.914"</f>
        <v>18:40:53.914</v>
      </c>
      <c r="T974" t="str">
        <f>"18:40:53.514"</f>
        <v>18:40:53.514</v>
      </c>
      <c r="U974" t="str">
        <f t="shared" si="98"/>
        <v>AAB6EE</v>
      </c>
      <c r="V974">
        <v>0</v>
      </c>
      <c r="W974">
        <v>0</v>
      </c>
      <c r="X974">
        <v>4</v>
      </c>
      <c r="Z974">
        <v>0</v>
      </c>
      <c r="AA974">
        <v>8</v>
      </c>
      <c r="AB974">
        <v>3</v>
      </c>
      <c r="AC974">
        <v>0</v>
      </c>
      <c r="AD974">
        <v>10</v>
      </c>
      <c r="AE974">
        <v>0</v>
      </c>
      <c r="AF974">
        <v>0</v>
      </c>
      <c r="AG974">
        <v>2</v>
      </c>
      <c r="AH974">
        <v>1</v>
      </c>
      <c r="AI974" t="s">
        <v>771</v>
      </c>
      <c r="AJ974">
        <v>35.311109999999999</v>
      </c>
      <c r="AK974" t="s">
        <v>772</v>
      </c>
      <c r="AL974">
        <v>-76.181195000000002</v>
      </c>
      <c r="AM974">
        <v>25</v>
      </c>
      <c r="AN974">
        <v>3425</v>
      </c>
      <c r="AO974" t="s">
        <v>118</v>
      </c>
      <c r="AP974">
        <v>-180</v>
      </c>
      <c r="AQ974">
        <v>-127</v>
      </c>
      <c r="AR974">
        <v>0</v>
      </c>
      <c r="AZ974">
        <v>4516</v>
      </c>
      <c r="BA974">
        <v>1</v>
      </c>
      <c r="BB974" t="str">
        <f t="shared" si="100"/>
        <v xml:space="preserve">N79NX   </v>
      </c>
      <c r="BC974">
        <v>1</v>
      </c>
      <c r="BE974">
        <v>0</v>
      </c>
      <c r="BF974">
        <v>0</v>
      </c>
      <c r="BG974">
        <v>0</v>
      </c>
      <c r="BH974">
        <v>3275</v>
      </c>
      <c r="BI974">
        <v>0</v>
      </c>
      <c r="BJ974">
        <v>0</v>
      </c>
      <c r="BK974">
        <v>0</v>
      </c>
      <c r="BL974">
        <v>0</v>
      </c>
      <c r="BO974">
        <v>0</v>
      </c>
      <c r="BP974">
        <v>0</v>
      </c>
      <c r="BW974" t="str">
        <f>"18:40:53.921"</f>
        <v>18:40:53.921</v>
      </c>
      <c r="BZ974">
        <v>0</v>
      </c>
      <c r="CA974">
        <v>4096</v>
      </c>
      <c r="CB974">
        <v>216</v>
      </c>
      <c r="CC974">
        <v>487.96879999999999</v>
      </c>
      <c r="CD974">
        <v>1</v>
      </c>
      <c r="CE974">
        <v>1</v>
      </c>
      <c r="CF974">
        <v>0</v>
      </c>
      <c r="CG974">
        <v>1</v>
      </c>
      <c r="CH974">
        <v>0</v>
      </c>
      <c r="CI974">
        <v>0</v>
      </c>
      <c r="CJ974">
        <v>0</v>
      </c>
      <c r="CK974">
        <v>2</v>
      </c>
      <c r="CL974">
        <v>0</v>
      </c>
      <c r="CM974">
        <v>2</v>
      </c>
      <c r="CN974">
        <v>0</v>
      </c>
      <c r="CO974">
        <v>3</v>
      </c>
      <c r="CP974" t="s">
        <v>119</v>
      </c>
      <c r="CQ974">
        <v>145</v>
      </c>
      <c r="CR974">
        <v>1</v>
      </c>
      <c r="CW974">
        <v>9002400</v>
      </c>
      <c r="CY974">
        <v>0</v>
      </c>
      <c r="CZ974">
        <v>0</v>
      </c>
      <c r="DA974">
        <v>0</v>
      </c>
      <c r="DB974">
        <v>0</v>
      </c>
      <c r="DC974">
        <v>0</v>
      </c>
      <c r="DD974">
        <v>0</v>
      </c>
      <c r="DE974">
        <v>0</v>
      </c>
      <c r="DF974">
        <v>0</v>
      </c>
      <c r="DG974">
        <v>0</v>
      </c>
      <c r="DH974">
        <v>0</v>
      </c>
      <c r="DI974">
        <v>0</v>
      </c>
    </row>
    <row r="975" spans="1:113" x14ac:dyDescent="0.3">
      <c r="A975" t="str">
        <f>"02/13/2022 18:40:54.143"</f>
        <v>02/13/2022 18:40:54.143</v>
      </c>
      <c r="C975" t="str">
        <f t="shared" si="99"/>
        <v>FFDFD7C0</v>
      </c>
      <c r="D975" t="s">
        <v>113</v>
      </c>
      <c r="E975">
        <v>3</v>
      </c>
      <c r="F975">
        <v>1003</v>
      </c>
      <c r="G975" t="s">
        <v>114</v>
      </c>
      <c r="J975" t="s">
        <v>115</v>
      </c>
      <c r="K975">
        <v>0</v>
      </c>
      <c r="L975">
        <v>3</v>
      </c>
      <c r="M975">
        <v>0</v>
      </c>
      <c r="N975">
        <v>2</v>
      </c>
      <c r="O975">
        <v>1</v>
      </c>
      <c r="P975">
        <v>0</v>
      </c>
      <c r="Q975">
        <v>0</v>
      </c>
      <c r="S975" t="str">
        <f>"18:40:53.914"</f>
        <v>18:40:53.914</v>
      </c>
      <c r="T975" t="str">
        <f>"18:40:53.514"</f>
        <v>18:40:53.514</v>
      </c>
      <c r="U975" t="str">
        <f t="shared" si="98"/>
        <v>AAB6EE</v>
      </c>
      <c r="V975">
        <v>0</v>
      </c>
      <c r="W975">
        <v>0</v>
      </c>
      <c r="X975">
        <v>4</v>
      </c>
      <c r="Z975">
        <v>0</v>
      </c>
      <c r="AA975">
        <v>8</v>
      </c>
      <c r="AB975">
        <v>3</v>
      </c>
      <c r="AC975">
        <v>0</v>
      </c>
      <c r="AD975">
        <v>10</v>
      </c>
      <c r="AE975">
        <v>0</v>
      </c>
      <c r="AF975">
        <v>0</v>
      </c>
      <c r="AG975">
        <v>2</v>
      </c>
      <c r="AH975">
        <v>1</v>
      </c>
      <c r="AI975" t="s">
        <v>771</v>
      </c>
      <c r="AJ975">
        <v>35.311109999999999</v>
      </c>
      <c r="AK975" t="s">
        <v>772</v>
      </c>
      <c r="AL975">
        <v>-76.181195000000002</v>
      </c>
      <c r="AM975">
        <v>25</v>
      </c>
      <c r="AN975">
        <v>3425</v>
      </c>
      <c r="AO975" t="s">
        <v>118</v>
      </c>
      <c r="AP975">
        <v>-180</v>
      </c>
      <c r="AQ975">
        <v>-127</v>
      </c>
      <c r="AR975">
        <v>0</v>
      </c>
      <c r="AZ975">
        <v>4516</v>
      </c>
      <c r="BA975">
        <v>1</v>
      </c>
      <c r="BB975" t="str">
        <f t="shared" si="100"/>
        <v xml:space="preserve">N79NX   </v>
      </c>
      <c r="BC975">
        <v>1</v>
      </c>
      <c r="BE975">
        <v>0</v>
      </c>
      <c r="BF975">
        <v>0</v>
      </c>
      <c r="BG975">
        <v>0</v>
      </c>
      <c r="BH975">
        <v>3275</v>
      </c>
      <c r="BI975">
        <v>0</v>
      </c>
      <c r="BJ975">
        <v>0</v>
      </c>
      <c r="BK975">
        <v>0</v>
      </c>
      <c r="BL975">
        <v>0</v>
      </c>
      <c r="BO975">
        <v>0</v>
      </c>
      <c r="BP975">
        <v>0</v>
      </c>
      <c r="BW975" t="str">
        <f>"18:40:53.921"</f>
        <v>18:40:53.921</v>
      </c>
      <c r="BZ975">
        <v>0</v>
      </c>
      <c r="CA975">
        <v>4096</v>
      </c>
      <c r="CB975">
        <v>216</v>
      </c>
      <c r="CC975">
        <v>487.96879999999999</v>
      </c>
      <c r="CD975">
        <v>1</v>
      </c>
      <c r="CE975">
        <v>1</v>
      </c>
      <c r="CF975">
        <v>0</v>
      </c>
      <c r="CG975">
        <v>1</v>
      </c>
      <c r="CH975">
        <v>0</v>
      </c>
      <c r="CI975">
        <v>0</v>
      </c>
      <c r="CJ975">
        <v>0</v>
      </c>
      <c r="CK975">
        <v>2</v>
      </c>
      <c r="CL975">
        <v>0</v>
      </c>
      <c r="CM975">
        <v>2</v>
      </c>
      <c r="CN975">
        <v>0</v>
      </c>
      <c r="CO975">
        <v>3</v>
      </c>
      <c r="CP975" t="s">
        <v>119</v>
      </c>
      <c r="CQ975">
        <v>145</v>
      </c>
      <c r="CR975">
        <v>1</v>
      </c>
      <c r="CW975">
        <v>9002400</v>
      </c>
      <c r="CY975">
        <v>0</v>
      </c>
      <c r="CZ975">
        <v>0</v>
      </c>
      <c r="DA975">
        <v>1</v>
      </c>
      <c r="DB975">
        <v>0</v>
      </c>
      <c r="DC975">
        <v>0</v>
      </c>
      <c r="DD975">
        <v>0</v>
      </c>
      <c r="DE975">
        <v>0</v>
      </c>
      <c r="DF975">
        <v>0</v>
      </c>
      <c r="DG975">
        <v>0</v>
      </c>
      <c r="DH975">
        <v>0</v>
      </c>
      <c r="DI975">
        <v>0</v>
      </c>
    </row>
    <row r="976" spans="1:113" x14ac:dyDescent="0.3">
      <c r="A976" t="str">
        <f>"02/13/2022 18:40:54.143"</f>
        <v>02/13/2022 18:40:54.143</v>
      </c>
      <c r="C976" t="str">
        <f t="shared" si="99"/>
        <v>FFDFD7C0</v>
      </c>
      <c r="D976" t="s">
        <v>113</v>
      </c>
      <c r="E976">
        <v>4</v>
      </c>
      <c r="F976">
        <v>1004</v>
      </c>
      <c r="G976" t="s">
        <v>120</v>
      </c>
      <c r="J976" t="s">
        <v>115</v>
      </c>
      <c r="K976">
        <v>0</v>
      </c>
      <c r="L976">
        <v>3</v>
      </c>
      <c r="M976">
        <v>0</v>
      </c>
      <c r="N976">
        <v>2</v>
      </c>
      <c r="O976">
        <v>1</v>
      </c>
      <c r="P976">
        <v>0</v>
      </c>
      <c r="Q976">
        <v>0</v>
      </c>
      <c r="S976" t="str">
        <f>"18:40:53.914"</f>
        <v>18:40:53.914</v>
      </c>
      <c r="T976" t="str">
        <f>"18:40:53.514"</f>
        <v>18:40:53.514</v>
      </c>
      <c r="U976" t="str">
        <f t="shared" si="98"/>
        <v>AAB6EE</v>
      </c>
      <c r="V976">
        <v>0</v>
      </c>
      <c r="W976">
        <v>0</v>
      </c>
      <c r="X976">
        <v>4</v>
      </c>
      <c r="Z976">
        <v>0</v>
      </c>
      <c r="AA976">
        <v>8</v>
      </c>
      <c r="AB976">
        <v>3</v>
      </c>
      <c r="AC976">
        <v>0</v>
      </c>
      <c r="AD976">
        <v>10</v>
      </c>
      <c r="AE976">
        <v>0</v>
      </c>
      <c r="AF976">
        <v>0</v>
      </c>
      <c r="AG976">
        <v>2</v>
      </c>
      <c r="AH976">
        <v>1</v>
      </c>
      <c r="AI976" t="s">
        <v>771</v>
      </c>
      <c r="AJ976">
        <v>35.311109999999999</v>
      </c>
      <c r="AK976" t="s">
        <v>772</v>
      </c>
      <c r="AL976">
        <v>-76.181195000000002</v>
      </c>
      <c r="AM976">
        <v>25</v>
      </c>
      <c r="AN976">
        <v>3425</v>
      </c>
      <c r="AO976" t="s">
        <v>118</v>
      </c>
      <c r="AP976">
        <v>-180</v>
      </c>
      <c r="AQ976">
        <v>-127</v>
      </c>
      <c r="AR976">
        <v>0</v>
      </c>
      <c r="AZ976">
        <v>4516</v>
      </c>
      <c r="BA976">
        <v>1</v>
      </c>
      <c r="BB976" t="str">
        <f t="shared" si="100"/>
        <v xml:space="preserve">N79NX   </v>
      </c>
      <c r="BC976">
        <v>1</v>
      </c>
      <c r="BE976">
        <v>0</v>
      </c>
      <c r="BF976">
        <v>0</v>
      </c>
      <c r="BG976">
        <v>0</v>
      </c>
      <c r="BH976">
        <v>3275</v>
      </c>
      <c r="BI976">
        <v>0</v>
      </c>
      <c r="BJ976">
        <v>0</v>
      </c>
      <c r="BK976">
        <v>0</v>
      </c>
      <c r="BL976">
        <v>0</v>
      </c>
      <c r="BO976">
        <v>0</v>
      </c>
      <c r="BP976">
        <v>0</v>
      </c>
      <c r="BW976" t="str">
        <f>"18:40:53.921"</f>
        <v>18:40:53.921</v>
      </c>
      <c r="BZ976">
        <v>0</v>
      </c>
      <c r="CA976">
        <v>4096</v>
      </c>
      <c r="CB976">
        <v>216</v>
      </c>
      <c r="CC976">
        <v>487.96879999999999</v>
      </c>
      <c r="CD976">
        <v>1</v>
      </c>
      <c r="CE976">
        <v>1</v>
      </c>
      <c r="CF976">
        <v>0</v>
      </c>
      <c r="CG976">
        <v>1</v>
      </c>
      <c r="CH976">
        <v>0</v>
      </c>
      <c r="CI976">
        <v>0</v>
      </c>
      <c r="CJ976">
        <v>0</v>
      </c>
      <c r="CK976">
        <v>2</v>
      </c>
      <c r="CL976">
        <v>0</v>
      </c>
      <c r="CM976">
        <v>2</v>
      </c>
      <c r="CN976">
        <v>0</v>
      </c>
      <c r="CO976">
        <v>3</v>
      </c>
      <c r="CP976" t="s">
        <v>119</v>
      </c>
      <c r="CQ976">
        <v>145</v>
      </c>
      <c r="CR976">
        <v>1</v>
      </c>
      <c r="CW976">
        <v>9002400</v>
      </c>
      <c r="CY976">
        <v>0</v>
      </c>
      <c r="CZ976">
        <v>0</v>
      </c>
      <c r="DA976">
        <v>1</v>
      </c>
      <c r="DB976">
        <v>0</v>
      </c>
      <c r="DC976">
        <v>0</v>
      </c>
      <c r="DD976">
        <v>0</v>
      </c>
      <c r="DE976">
        <v>0</v>
      </c>
      <c r="DF976">
        <v>0</v>
      </c>
      <c r="DG976">
        <v>0</v>
      </c>
      <c r="DH976">
        <v>0</v>
      </c>
      <c r="DI976">
        <v>0</v>
      </c>
    </row>
    <row r="977" spans="1:113" x14ac:dyDescent="0.3">
      <c r="A977" t="str">
        <f>"02/13/2022 18:40:55.005"</f>
        <v>02/13/2022 18:40:55.005</v>
      </c>
      <c r="C977" t="str">
        <f t="shared" si="99"/>
        <v>FFDFD7C0</v>
      </c>
      <c r="D977" t="s">
        <v>113</v>
      </c>
      <c r="E977">
        <v>3</v>
      </c>
      <c r="F977">
        <v>1003</v>
      </c>
      <c r="G977" t="s">
        <v>114</v>
      </c>
      <c r="J977" t="s">
        <v>115</v>
      </c>
      <c r="K977">
        <v>0</v>
      </c>
      <c r="L977">
        <v>3</v>
      </c>
      <c r="M977">
        <v>0</v>
      </c>
      <c r="N977">
        <v>2</v>
      </c>
      <c r="O977">
        <v>1</v>
      </c>
      <c r="P977">
        <v>0</v>
      </c>
      <c r="Q977">
        <v>0</v>
      </c>
      <c r="S977" t="str">
        <f>"18:40:54.750"</f>
        <v>18:40:54.750</v>
      </c>
      <c r="T977" t="str">
        <f>"18:40:54.050"</f>
        <v>18:40:54.050</v>
      </c>
      <c r="U977" t="str">
        <f t="shared" si="98"/>
        <v>AAB6EE</v>
      </c>
      <c r="V977">
        <v>0</v>
      </c>
      <c r="W977">
        <v>0</v>
      </c>
      <c r="X977">
        <v>4</v>
      </c>
      <c r="Z977">
        <v>0</v>
      </c>
      <c r="AA977">
        <v>8</v>
      </c>
      <c r="AB977">
        <v>3</v>
      </c>
      <c r="AC977">
        <v>0</v>
      </c>
      <c r="AD977">
        <v>10</v>
      </c>
      <c r="AE977">
        <v>0</v>
      </c>
      <c r="AF977">
        <v>0</v>
      </c>
      <c r="AG977">
        <v>2</v>
      </c>
      <c r="AH977">
        <v>1</v>
      </c>
      <c r="AI977" t="s">
        <v>773</v>
      </c>
      <c r="AJ977">
        <v>35.310616000000003</v>
      </c>
      <c r="AK977" t="s">
        <v>774</v>
      </c>
      <c r="AL977">
        <v>-76.181945999999996</v>
      </c>
      <c r="AM977">
        <v>25</v>
      </c>
      <c r="AN977">
        <v>3425</v>
      </c>
      <c r="AO977" t="s">
        <v>118</v>
      </c>
      <c r="AP977">
        <v>-177</v>
      </c>
      <c r="AQ977">
        <v>-130</v>
      </c>
      <c r="AR977">
        <v>0</v>
      </c>
      <c r="AZ977">
        <v>4516</v>
      </c>
      <c r="BA977">
        <v>1</v>
      </c>
      <c r="BB977" t="str">
        <f t="shared" si="100"/>
        <v xml:space="preserve">N79NX   </v>
      </c>
      <c r="BC977">
        <v>1</v>
      </c>
      <c r="BE977">
        <v>0</v>
      </c>
      <c r="BF977">
        <v>0</v>
      </c>
      <c r="BG977">
        <v>0</v>
      </c>
      <c r="BH977">
        <v>3275</v>
      </c>
      <c r="BI977">
        <v>0</v>
      </c>
      <c r="BJ977">
        <v>0</v>
      </c>
      <c r="BK977">
        <v>0</v>
      </c>
      <c r="BL977">
        <v>0</v>
      </c>
      <c r="BO977">
        <v>0</v>
      </c>
      <c r="BP977">
        <v>0</v>
      </c>
      <c r="BW977" t="str">
        <f>"18:40:54.751"</f>
        <v>18:40:54.751</v>
      </c>
      <c r="BZ977">
        <v>0</v>
      </c>
      <c r="CA977">
        <v>4096</v>
      </c>
      <c r="CB977">
        <v>216</v>
      </c>
      <c r="CC977">
        <v>487.96879999999999</v>
      </c>
      <c r="CD977">
        <v>1</v>
      </c>
      <c r="CE977">
        <v>1</v>
      </c>
      <c r="CF977">
        <v>0</v>
      </c>
      <c r="CG977">
        <v>1</v>
      </c>
      <c r="CH977">
        <v>0</v>
      </c>
      <c r="CI977">
        <v>0</v>
      </c>
      <c r="CJ977">
        <v>0</v>
      </c>
      <c r="CK977">
        <v>2</v>
      </c>
      <c r="CL977">
        <v>0</v>
      </c>
      <c r="CM977">
        <v>2</v>
      </c>
      <c r="CN977">
        <v>0</v>
      </c>
      <c r="CO977">
        <v>4</v>
      </c>
      <c r="CP977" t="s">
        <v>119</v>
      </c>
      <c r="CQ977">
        <v>145</v>
      </c>
      <c r="CR977">
        <v>1</v>
      </c>
      <c r="CW977">
        <v>9002712</v>
      </c>
      <c r="CY977">
        <v>0</v>
      </c>
      <c r="CZ977">
        <v>0</v>
      </c>
      <c r="DA977">
        <v>0</v>
      </c>
      <c r="DB977">
        <v>0</v>
      </c>
      <c r="DC977">
        <v>0</v>
      </c>
      <c r="DD977">
        <v>0</v>
      </c>
      <c r="DE977">
        <v>0</v>
      </c>
      <c r="DF977">
        <v>0</v>
      </c>
      <c r="DG977">
        <v>0</v>
      </c>
      <c r="DH977">
        <v>0</v>
      </c>
      <c r="DI977">
        <v>0</v>
      </c>
    </row>
    <row r="978" spans="1:113" x14ac:dyDescent="0.3">
      <c r="A978" t="str">
        <f>"02/13/2022 18:40:55.005"</f>
        <v>02/13/2022 18:40:55.005</v>
      </c>
      <c r="C978" t="str">
        <f t="shared" si="99"/>
        <v>FFDFD7C0</v>
      </c>
      <c r="D978" t="s">
        <v>121</v>
      </c>
      <c r="E978">
        <v>2</v>
      </c>
      <c r="H978">
        <v>158</v>
      </c>
      <c r="I978" t="s">
        <v>120</v>
      </c>
      <c r="J978" t="s">
        <v>122</v>
      </c>
      <c r="K978">
        <v>0</v>
      </c>
      <c r="L978">
        <v>3</v>
      </c>
      <c r="M978">
        <v>0</v>
      </c>
      <c r="N978">
        <v>2</v>
      </c>
      <c r="O978">
        <v>1</v>
      </c>
      <c r="P978">
        <v>0</v>
      </c>
      <c r="Q978">
        <v>0</v>
      </c>
      <c r="S978" t="str">
        <f>"18:40:54.750"</f>
        <v>18:40:54.750</v>
      </c>
      <c r="T978" t="str">
        <f>"18:40:54.050"</f>
        <v>18:40:54.050</v>
      </c>
      <c r="U978" t="str">
        <f t="shared" si="98"/>
        <v>AAB6EE</v>
      </c>
      <c r="V978">
        <v>0</v>
      </c>
      <c r="W978">
        <v>0</v>
      </c>
      <c r="X978">
        <v>4</v>
      </c>
      <c r="Z978">
        <v>0</v>
      </c>
      <c r="AA978">
        <v>8</v>
      </c>
      <c r="AB978">
        <v>3</v>
      </c>
      <c r="AC978">
        <v>0</v>
      </c>
      <c r="AD978">
        <v>10</v>
      </c>
      <c r="AE978">
        <v>0</v>
      </c>
      <c r="AF978">
        <v>0</v>
      </c>
      <c r="AG978">
        <v>2</v>
      </c>
      <c r="AH978">
        <v>1</v>
      </c>
      <c r="AI978" t="s">
        <v>773</v>
      </c>
      <c r="AJ978">
        <v>35.310616000000003</v>
      </c>
      <c r="AK978" t="s">
        <v>774</v>
      </c>
      <c r="AL978">
        <v>-76.181945999999996</v>
      </c>
      <c r="AM978">
        <v>25</v>
      </c>
      <c r="AN978">
        <v>3425</v>
      </c>
      <c r="AO978" t="s">
        <v>118</v>
      </c>
      <c r="AP978">
        <v>-177</v>
      </c>
      <c r="AQ978">
        <v>-130</v>
      </c>
      <c r="AR978">
        <v>0</v>
      </c>
      <c r="AZ978">
        <v>4516</v>
      </c>
      <c r="BA978">
        <v>1</v>
      </c>
      <c r="BB978" t="str">
        <f t="shared" si="100"/>
        <v xml:space="preserve">N79NX   </v>
      </c>
      <c r="BC978">
        <v>1</v>
      </c>
      <c r="BE978">
        <v>0</v>
      </c>
      <c r="BF978">
        <v>0</v>
      </c>
      <c r="BG978">
        <v>0</v>
      </c>
      <c r="BH978">
        <v>3275</v>
      </c>
      <c r="BI978">
        <v>0</v>
      </c>
      <c r="BJ978">
        <v>0</v>
      </c>
      <c r="BK978">
        <v>0</v>
      </c>
      <c r="BL978">
        <v>0</v>
      </c>
      <c r="BO978">
        <v>0</v>
      </c>
      <c r="BP978">
        <v>0</v>
      </c>
      <c r="BW978" t="str">
        <f>"18:40:54.751"</f>
        <v>18:40:54.751</v>
      </c>
      <c r="BZ978">
        <v>0</v>
      </c>
      <c r="CA978">
        <v>4096</v>
      </c>
      <c r="CB978">
        <v>216</v>
      </c>
      <c r="CC978">
        <v>487.96879999999999</v>
      </c>
      <c r="CD978">
        <v>1</v>
      </c>
      <c r="CE978">
        <v>1</v>
      </c>
      <c r="CF978">
        <v>0</v>
      </c>
      <c r="CG978">
        <v>1</v>
      </c>
      <c r="CH978">
        <v>0</v>
      </c>
      <c r="CI978">
        <v>0</v>
      </c>
      <c r="CJ978">
        <v>0</v>
      </c>
      <c r="CK978">
        <v>2</v>
      </c>
      <c r="CL978">
        <v>0</v>
      </c>
      <c r="CM978">
        <v>2</v>
      </c>
      <c r="CN978">
        <v>0</v>
      </c>
      <c r="CO978">
        <v>4</v>
      </c>
      <c r="CP978" t="s">
        <v>119</v>
      </c>
      <c r="CQ978">
        <v>145</v>
      </c>
      <c r="CR978">
        <v>1</v>
      </c>
      <c r="CW978">
        <v>9002712</v>
      </c>
      <c r="CY978">
        <v>0</v>
      </c>
      <c r="CZ978">
        <v>0</v>
      </c>
      <c r="DA978">
        <v>1</v>
      </c>
      <c r="DB978">
        <v>0</v>
      </c>
      <c r="DC978">
        <v>0</v>
      </c>
      <c r="DD978">
        <v>0</v>
      </c>
      <c r="DE978">
        <v>0</v>
      </c>
      <c r="DF978">
        <v>0</v>
      </c>
      <c r="DG978">
        <v>0</v>
      </c>
      <c r="DH978">
        <v>0</v>
      </c>
      <c r="DI978">
        <v>0</v>
      </c>
    </row>
    <row r="979" spans="1:113" x14ac:dyDescent="0.3">
      <c r="A979" t="str">
        <f>"02/13/2022 18:40:55.005"</f>
        <v>02/13/2022 18:40:55.005</v>
      </c>
      <c r="C979" t="str">
        <f t="shared" si="99"/>
        <v>FFDFD7C0</v>
      </c>
      <c r="D979" t="s">
        <v>113</v>
      </c>
      <c r="E979">
        <v>4</v>
      </c>
      <c r="F979">
        <v>1004</v>
      </c>
      <c r="G979" t="s">
        <v>120</v>
      </c>
      <c r="J979" t="s">
        <v>115</v>
      </c>
      <c r="K979">
        <v>0</v>
      </c>
      <c r="L979">
        <v>3</v>
      </c>
      <c r="M979">
        <v>0</v>
      </c>
      <c r="N979">
        <v>2</v>
      </c>
      <c r="O979">
        <v>1</v>
      </c>
      <c r="P979">
        <v>0</v>
      </c>
      <c r="Q979">
        <v>0</v>
      </c>
      <c r="S979" t="str">
        <f>"18:40:54.750"</f>
        <v>18:40:54.750</v>
      </c>
      <c r="T979" t="str">
        <f>"18:40:54.050"</f>
        <v>18:40:54.050</v>
      </c>
      <c r="U979" t="str">
        <f t="shared" si="98"/>
        <v>AAB6EE</v>
      </c>
      <c r="V979">
        <v>0</v>
      </c>
      <c r="W979">
        <v>0</v>
      </c>
      <c r="X979">
        <v>4</v>
      </c>
      <c r="Z979">
        <v>0</v>
      </c>
      <c r="AA979">
        <v>8</v>
      </c>
      <c r="AB979">
        <v>3</v>
      </c>
      <c r="AC979">
        <v>0</v>
      </c>
      <c r="AD979">
        <v>10</v>
      </c>
      <c r="AE979">
        <v>0</v>
      </c>
      <c r="AF979">
        <v>0</v>
      </c>
      <c r="AG979">
        <v>2</v>
      </c>
      <c r="AH979">
        <v>1</v>
      </c>
      <c r="AI979" t="s">
        <v>773</v>
      </c>
      <c r="AJ979">
        <v>35.310616000000003</v>
      </c>
      <c r="AK979" t="s">
        <v>774</v>
      </c>
      <c r="AL979">
        <v>-76.181945999999996</v>
      </c>
      <c r="AM979">
        <v>25</v>
      </c>
      <c r="AN979">
        <v>3425</v>
      </c>
      <c r="AO979" t="s">
        <v>118</v>
      </c>
      <c r="AP979">
        <v>-177</v>
      </c>
      <c r="AQ979">
        <v>-130</v>
      </c>
      <c r="AR979">
        <v>0</v>
      </c>
      <c r="AZ979">
        <v>4516</v>
      </c>
      <c r="BA979">
        <v>1</v>
      </c>
      <c r="BB979" t="str">
        <f t="shared" si="100"/>
        <v xml:space="preserve">N79NX   </v>
      </c>
      <c r="BC979">
        <v>1</v>
      </c>
      <c r="BE979">
        <v>0</v>
      </c>
      <c r="BF979">
        <v>0</v>
      </c>
      <c r="BG979">
        <v>0</v>
      </c>
      <c r="BH979">
        <v>3275</v>
      </c>
      <c r="BI979">
        <v>0</v>
      </c>
      <c r="BJ979">
        <v>0</v>
      </c>
      <c r="BK979">
        <v>0</v>
      </c>
      <c r="BL979">
        <v>0</v>
      </c>
      <c r="BO979">
        <v>0</v>
      </c>
      <c r="BP979">
        <v>0</v>
      </c>
      <c r="BW979" t="str">
        <f>"18:40:54.751"</f>
        <v>18:40:54.751</v>
      </c>
      <c r="BZ979">
        <v>0</v>
      </c>
      <c r="CA979">
        <v>4096</v>
      </c>
      <c r="CB979">
        <v>216</v>
      </c>
      <c r="CC979">
        <v>487.96879999999999</v>
      </c>
      <c r="CD979">
        <v>1</v>
      </c>
      <c r="CE979">
        <v>1</v>
      </c>
      <c r="CF979">
        <v>0</v>
      </c>
      <c r="CG979">
        <v>1</v>
      </c>
      <c r="CH979">
        <v>0</v>
      </c>
      <c r="CI979">
        <v>0</v>
      </c>
      <c r="CJ979">
        <v>0</v>
      </c>
      <c r="CK979">
        <v>2</v>
      </c>
      <c r="CL979">
        <v>0</v>
      </c>
      <c r="CM979">
        <v>2</v>
      </c>
      <c r="CN979">
        <v>0</v>
      </c>
      <c r="CO979">
        <v>4</v>
      </c>
      <c r="CP979" t="s">
        <v>119</v>
      </c>
      <c r="CQ979">
        <v>145</v>
      </c>
      <c r="CR979">
        <v>1</v>
      </c>
      <c r="CW979">
        <v>9002712</v>
      </c>
      <c r="CY979">
        <v>0</v>
      </c>
      <c r="CZ979">
        <v>0</v>
      </c>
      <c r="DA979">
        <v>1</v>
      </c>
      <c r="DB979">
        <v>0</v>
      </c>
      <c r="DC979">
        <v>0</v>
      </c>
      <c r="DD979">
        <v>0</v>
      </c>
      <c r="DE979">
        <v>0</v>
      </c>
      <c r="DF979">
        <v>0</v>
      </c>
      <c r="DG979">
        <v>0</v>
      </c>
      <c r="DH979">
        <v>0</v>
      </c>
      <c r="DI979">
        <v>0</v>
      </c>
    </row>
    <row r="980" spans="1:113" x14ac:dyDescent="0.3">
      <c r="A980" t="str">
        <f>"02/13/2022 18:40:55.945"</f>
        <v>02/13/2022 18:40:55.945</v>
      </c>
      <c r="C980" t="str">
        <f t="shared" si="99"/>
        <v>FFDFD7C0</v>
      </c>
      <c r="D980" t="s">
        <v>113</v>
      </c>
      <c r="E980">
        <v>3</v>
      </c>
      <c r="F980">
        <v>1003</v>
      </c>
      <c r="G980" t="s">
        <v>114</v>
      </c>
      <c r="J980" t="s">
        <v>115</v>
      </c>
      <c r="K980">
        <v>0</v>
      </c>
      <c r="L980">
        <v>3</v>
      </c>
      <c r="M980">
        <v>0</v>
      </c>
      <c r="N980">
        <v>2</v>
      </c>
      <c r="O980">
        <v>1</v>
      </c>
      <c r="P980">
        <v>0</v>
      </c>
      <c r="Q980">
        <v>0</v>
      </c>
      <c r="S980" t="str">
        <f>"18:40:55.734"</f>
        <v>18:40:55.734</v>
      </c>
      <c r="T980" t="str">
        <f>"18:40:55.534"</f>
        <v>18:40:55.534</v>
      </c>
      <c r="U980" t="str">
        <f t="shared" si="98"/>
        <v>AAB6EE</v>
      </c>
      <c r="V980">
        <v>0</v>
      </c>
      <c r="W980">
        <v>0</v>
      </c>
      <c r="X980">
        <v>4</v>
      </c>
      <c r="Z980">
        <v>0</v>
      </c>
      <c r="AA980">
        <v>8</v>
      </c>
      <c r="AB980">
        <v>3</v>
      </c>
      <c r="AC980">
        <v>0</v>
      </c>
      <c r="AD980">
        <v>10</v>
      </c>
      <c r="AE980">
        <v>0</v>
      </c>
      <c r="AF980">
        <v>0</v>
      </c>
      <c r="AG980">
        <v>2</v>
      </c>
      <c r="AH980">
        <v>1</v>
      </c>
      <c r="AI980" t="s">
        <v>775</v>
      </c>
      <c r="AJ980">
        <v>35.309972999999999</v>
      </c>
      <c r="AK980" t="s">
        <v>776</v>
      </c>
      <c r="AL980">
        <v>-76.182911000000004</v>
      </c>
      <c r="AM980">
        <v>25</v>
      </c>
      <c r="AN980">
        <v>3425</v>
      </c>
      <c r="AO980" t="s">
        <v>118</v>
      </c>
      <c r="AP980">
        <v>-167</v>
      </c>
      <c r="AQ980">
        <v>-143</v>
      </c>
      <c r="AR980">
        <v>0</v>
      </c>
      <c r="AZ980">
        <v>4516</v>
      </c>
      <c r="BA980">
        <v>1</v>
      </c>
      <c r="BB980" t="str">
        <f t="shared" si="100"/>
        <v xml:space="preserve">N79NX   </v>
      </c>
      <c r="BC980">
        <v>1</v>
      </c>
      <c r="BE980">
        <v>0</v>
      </c>
      <c r="BF980">
        <v>0</v>
      </c>
      <c r="BG980">
        <v>0</v>
      </c>
      <c r="BH980">
        <v>3275</v>
      </c>
      <c r="BI980">
        <v>0</v>
      </c>
      <c r="BJ980">
        <v>0</v>
      </c>
      <c r="BK980">
        <v>0</v>
      </c>
      <c r="BL980">
        <v>0</v>
      </c>
      <c r="BO980">
        <v>0</v>
      </c>
      <c r="BP980">
        <v>0</v>
      </c>
      <c r="BW980" t="str">
        <f>"18:40:55.741"</f>
        <v>18:40:55.741</v>
      </c>
      <c r="BZ980">
        <v>0</v>
      </c>
      <c r="CA980">
        <v>4096</v>
      </c>
      <c r="CB980">
        <v>216</v>
      </c>
      <c r="CC980">
        <v>487.96879999999999</v>
      </c>
      <c r="CD980">
        <v>1</v>
      </c>
      <c r="CE980">
        <v>1</v>
      </c>
      <c r="CF980">
        <v>0</v>
      </c>
      <c r="CG980">
        <v>1</v>
      </c>
      <c r="CH980">
        <v>0</v>
      </c>
      <c r="CI980">
        <v>0</v>
      </c>
      <c r="CJ980">
        <v>0</v>
      </c>
      <c r="CK980">
        <v>2</v>
      </c>
      <c r="CL980">
        <v>0</v>
      </c>
      <c r="CM980">
        <v>2</v>
      </c>
      <c r="CN980">
        <v>0</v>
      </c>
      <c r="CO980">
        <v>4</v>
      </c>
      <c r="CP980" t="s">
        <v>119</v>
      </c>
      <c r="CQ980">
        <v>145</v>
      </c>
      <c r="CR980">
        <v>1</v>
      </c>
      <c r="CW980">
        <v>9003162</v>
      </c>
      <c r="CY980">
        <v>0</v>
      </c>
      <c r="CZ980">
        <v>0</v>
      </c>
      <c r="DA980">
        <v>0</v>
      </c>
      <c r="DB980">
        <v>0</v>
      </c>
      <c r="DC980">
        <v>0</v>
      </c>
      <c r="DD980">
        <v>0</v>
      </c>
      <c r="DE980">
        <v>0</v>
      </c>
      <c r="DF980">
        <v>0</v>
      </c>
      <c r="DG980">
        <v>0</v>
      </c>
      <c r="DH980">
        <v>0</v>
      </c>
      <c r="DI980">
        <v>0</v>
      </c>
    </row>
    <row r="981" spans="1:113" x14ac:dyDescent="0.3">
      <c r="A981" t="str">
        <f>"02/13/2022 18:40:55.945"</f>
        <v>02/13/2022 18:40:55.945</v>
      </c>
      <c r="C981" t="str">
        <f t="shared" si="99"/>
        <v>FFDFD7C0</v>
      </c>
      <c r="D981" t="s">
        <v>113</v>
      </c>
      <c r="E981">
        <v>4</v>
      </c>
      <c r="F981">
        <v>1004</v>
      </c>
      <c r="G981" t="s">
        <v>120</v>
      </c>
      <c r="J981" t="s">
        <v>115</v>
      </c>
      <c r="K981">
        <v>0</v>
      </c>
      <c r="L981">
        <v>3</v>
      </c>
      <c r="M981">
        <v>0</v>
      </c>
      <c r="N981">
        <v>2</v>
      </c>
      <c r="O981">
        <v>1</v>
      </c>
      <c r="P981">
        <v>0</v>
      </c>
      <c r="Q981">
        <v>0</v>
      </c>
      <c r="S981" t="str">
        <f>"18:40:55.734"</f>
        <v>18:40:55.734</v>
      </c>
      <c r="T981" t="str">
        <f>"18:40:55.534"</f>
        <v>18:40:55.534</v>
      </c>
      <c r="U981" t="str">
        <f t="shared" si="98"/>
        <v>AAB6EE</v>
      </c>
      <c r="V981">
        <v>0</v>
      </c>
      <c r="W981">
        <v>0</v>
      </c>
      <c r="X981">
        <v>4</v>
      </c>
      <c r="Z981">
        <v>0</v>
      </c>
      <c r="AA981">
        <v>8</v>
      </c>
      <c r="AB981">
        <v>3</v>
      </c>
      <c r="AC981">
        <v>0</v>
      </c>
      <c r="AD981">
        <v>10</v>
      </c>
      <c r="AE981">
        <v>0</v>
      </c>
      <c r="AF981">
        <v>0</v>
      </c>
      <c r="AG981">
        <v>2</v>
      </c>
      <c r="AH981">
        <v>1</v>
      </c>
      <c r="AI981" t="s">
        <v>775</v>
      </c>
      <c r="AJ981">
        <v>35.309972999999999</v>
      </c>
      <c r="AK981" t="s">
        <v>776</v>
      </c>
      <c r="AL981">
        <v>-76.182911000000004</v>
      </c>
      <c r="AM981">
        <v>25</v>
      </c>
      <c r="AN981">
        <v>3425</v>
      </c>
      <c r="AO981" t="s">
        <v>118</v>
      </c>
      <c r="AP981">
        <v>-167</v>
      </c>
      <c r="AQ981">
        <v>-143</v>
      </c>
      <c r="AR981">
        <v>0</v>
      </c>
      <c r="AZ981">
        <v>4516</v>
      </c>
      <c r="BA981">
        <v>1</v>
      </c>
      <c r="BB981" t="str">
        <f t="shared" si="100"/>
        <v xml:space="preserve">N79NX   </v>
      </c>
      <c r="BC981">
        <v>1</v>
      </c>
      <c r="BE981">
        <v>0</v>
      </c>
      <c r="BF981">
        <v>0</v>
      </c>
      <c r="BG981">
        <v>0</v>
      </c>
      <c r="BH981">
        <v>3275</v>
      </c>
      <c r="BI981">
        <v>0</v>
      </c>
      <c r="BJ981">
        <v>0</v>
      </c>
      <c r="BK981">
        <v>0</v>
      </c>
      <c r="BL981">
        <v>0</v>
      </c>
      <c r="BO981">
        <v>0</v>
      </c>
      <c r="BP981">
        <v>0</v>
      </c>
      <c r="BW981" t="str">
        <f>"18:40:55.741"</f>
        <v>18:40:55.741</v>
      </c>
      <c r="BZ981">
        <v>0</v>
      </c>
      <c r="CA981">
        <v>4096</v>
      </c>
      <c r="CB981">
        <v>216</v>
      </c>
      <c r="CC981">
        <v>487.96879999999999</v>
      </c>
      <c r="CD981">
        <v>1</v>
      </c>
      <c r="CE981">
        <v>1</v>
      </c>
      <c r="CF981">
        <v>0</v>
      </c>
      <c r="CG981">
        <v>1</v>
      </c>
      <c r="CH981">
        <v>0</v>
      </c>
      <c r="CI981">
        <v>0</v>
      </c>
      <c r="CJ981">
        <v>0</v>
      </c>
      <c r="CK981">
        <v>2</v>
      </c>
      <c r="CL981">
        <v>0</v>
      </c>
      <c r="CM981">
        <v>2</v>
      </c>
      <c r="CN981">
        <v>0</v>
      </c>
      <c r="CO981">
        <v>4</v>
      </c>
      <c r="CP981" t="s">
        <v>119</v>
      </c>
      <c r="CQ981">
        <v>145</v>
      </c>
      <c r="CR981">
        <v>1</v>
      </c>
      <c r="CW981">
        <v>9003162</v>
      </c>
      <c r="CY981">
        <v>0</v>
      </c>
      <c r="CZ981">
        <v>0</v>
      </c>
      <c r="DA981">
        <v>1</v>
      </c>
      <c r="DB981">
        <v>0</v>
      </c>
      <c r="DC981">
        <v>0</v>
      </c>
      <c r="DD981">
        <v>0</v>
      </c>
      <c r="DE981">
        <v>0</v>
      </c>
      <c r="DF981">
        <v>0</v>
      </c>
      <c r="DG981">
        <v>0</v>
      </c>
      <c r="DH981">
        <v>0</v>
      </c>
      <c r="DI981">
        <v>0</v>
      </c>
    </row>
    <row r="982" spans="1:113" x14ac:dyDescent="0.3">
      <c r="A982" t="str">
        <f>"02/13/2022 18:40:55.945"</f>
        <v>02/13/2022 18:40:55.945</v>
      </c>
      <c r="C982" t="str">
        <f t="shared" si="99"/>
        <v>FFDFD7C0</v>
      </c>
      <c r="D982" t="s">
        <v>121</v>
      </c>
      <c r="E982">
        <v>2</v>
      </c>
      <c r="H982">
        <v>158</v>
      </c>
      <c r="I982" t="s">
        <v>120</v>
      </c>
      <c r="J982" t="s">
        <v>122</v>
      </c>
      <c r="K982">
        <v>0</v>
      </c>
      <c r="L982">
        <v>3</v>
      </c>
      <c r="M982">
        <v>0</v>
      </c>
      <c r="N982">
        <v>2</v>
      </c>
      <c r="O982">
        <v>1</v>
      </c>
      <c r="P982">
        <v>0</v>
      </c>
      <c r="Q982">
        <v>0</v>
      </c>
      <c r="S982" t="str">
        <f>"18:40:55.734"</f>
        <v>18:40:55.734</v>
      </c>
      <c r="T982" t="str">
        <f>"18:40:55.534"</f>
        <v>18:40:55.534</v>
      </c>
      <c r="U982" t="str">
        <f t="shared" si="98"/>
        <v>AAB6EE</v>
      </c>
      <c r="V982">
        <v>0</v>
      </c>
      <c r="W982">
        <v>0</v>
      </c>
      <c r="X982">
        <v>4</v>
      </c>
      <c r="Z982">
        <v>0</v>
      </c>
      <c r="AA982">
        <v>8</v>
      </c>
      <c r="AB982">
        <v>3</v>
      </c>
      <c r="AC982">
        <v>0</v>
      </c>
      <c r="AD982">
        <v>10</v>
      </c>
      <c r="AE982">
        <v>0</v>
      </c>
      <c r="AF982">
        <v>0</v>
      </c>
      <c r="AG982">
        <v>2</v>
      </c>
      <c r="AH982">
        <v>1</v>
      </c>
      <c r="AI982" t="s">
        <v>775</v>
      </c>
      <c r="AJ982">
        <v>35.309972999999999</v>
      </c>
      <c r="AK982" t="s">
        <v>776</v>
      </c>
      <c r="AL982">
        <v>-76.182911000000004</v>
      </c>
      <c r="AM982">
        <v>25</v>
      </c>
      <c r="AN982">
        <v>3425</v>
      </c>
      <c r="AO982" t="s">
        <v>118</v>
      </c>
      <c r="AP982">
        <v>-167</v>
      </c>
      <c r="AQ982">
        <v>-143</v>
      </c>
      <c r="AR982">
        <v>0</v>
      </c>
      <c r="AZ982">
        <v>4516</v>
      </c>
      <c r="BA982">
        <v>1</v>
      </c>
      <c r="BB982" t="str">
        <f t="shared" si="100"/>
        <v xml:space="preserve">N79NX   </v>
      </c>
      <c r="BC982">
        <v>1</v>
      </c>
      <c r="BE982">
        <v>0</v>
      </c>
      <c r="BF982">
        <v>0</v>
      </c>
      <c r="BG982">
        <v>0</v>
      </c>
      <c r="BH982">
        <v>3275</v>
      </c>
      <c r="BI982">
        <v>0</v>
      </c>
      <c r="BJ982">
        <v>0</v>
      </c>
      <c r="BK982">
        <v>0</v>
      </c>
      <c r="BL982">
        <v>0</v>
      </c>
      <c r="BO982">
        <v>0</v>
      </c>
      <c r="BP982">
        <v>0</v>
      </c>
      <c r="BW982" t="str">
        <f>"18:40:55.741"</f>
        <v>18:40:55.741</v>
      </c>
      <c r="BZ982">
        <v>0</v>
      </c>
      <c r="CA982">
        <v>4096</v>
      </c>
      <c r="CB982">
        <v>216</v>
      </c>
      <c r="CC982">
        <v>487.96879999999999</v>
      </c>
      <c r="CD982">
        <v>1</v>
      </c>
      <c r="CE982">
        <v>1</v>
      </c>
      <c r="CF982">
        <v>0</v>
      </c>
      <c r="CG982">
        <v>1</v>
      </c>
      <c r="CH982">
        <v>0</v>
      </c>
      <c r="CI982">
        <v>0</v>
      </c>
      <c r="CJ982">
        <v>0</v>
      </c>
      <c r="CK982">
        <v>2</v>
      </c>
      <c r="CL982">
        <v>0</v>
      </c>
      <c r="CM982">
        <v>2</v>
      </c>
      <c r="CN982">
        <v>0</v>
      </c>
      <c r="CO982">
        <v>4</v>
      </c>
      <c r="CP982" t="s">
        <v>119</v>
      </c>
      <c r="CQ982">
        <v>145</v>
      </c>
      <c r="CR982">
        <v>1</v>
      </c>
      <c r="CW982">
        <v>9003162</v>
      </c>
      <c r="CY982">
        <v>0</v>
      </c>
      <c r="CZ982">
        <v>0</v>
      </c>
      <c r="DA982">
        <v>1</v>
      </c>
      <c r="DB982">
        <v>0</v>
      </c>
      <c r="DC982">
        <v>0</v>
      </c>
      <c r="DD982">
        <v>0</v>
      </c>
      <c r="DE982">
        <v>0</v>
      </c>
      <c r="DF982">
        <v>0</v>
      </c>
      <c r="DG982">
        <v>0</v>
      </c>
      <c r="DH982">
        <v>0</v>
      </c>
      <c r="DI982">
        <v>0</v>
      </c>
    </row>
    <row r="983" spans="1:113" x14ac:dyDescent="0.3">
      <c r="A983" t="str">
        <f>"02/13/2022 18:40:56.882"</f>
        <v>02/13/2022 18:40:56.882</v>
      </c>
      <c r="C983" t="str">
        <f t="shared" si="99"/>
        <v>FFDFD7C0</v>
      </c>
      <c r="D983" t="s">
        <v>113</v>
      </c>
      <c r="E983">
        <v>3</v>
      </c>
      <c r="F983">
        <v>1003</v>
      </c>
      <c r="G983" t="s">
        <v>114</v>
      </c>
      <c r="J983" t="s">
        <v>115</v>
      </c>
      <c r="K983">
        <v>0</v>
      </c>
      <c r="L983">
        <v>3</v>
      </c>
      <c r="M983">
        <v>0</v>
      </c>
      <c r="N983">
        <v>2</v>
      </c>
      <c r="O983">
        <v>1</v>
      </c>
      <c r="P983">
        <v>0</v>
      </c>
      <c r="Q983">
        <v>0</v>
      </c>
      <c r="S983" t="str">
        <f t="shared" ref="S983:T985" si="103">"18:40:56.664"</f>
        <v>18:40:56.664</v>
      </c>
      <c r="T983" t="str">
        <f t="shared" si="103"/>
        <v>18:40:56.664</v>
      </c>
      <c r="U983" t="str">
        <f t="shared" si="98"/>
        <v>AAB6EE</v>
      </c>
      <c r="V983">
        <v>0</v>
      </c>
      <c r="W983">
        <v>0</v>
      </c>
      <c r="X983">
        <v>4</v>
      </c>
      <c r="Z983">
        <v>0</v>
      </c>
      <c r="AA983">
        <v>8</v>
      </c>
      <c r="AB983">
        <v>3</v>
      </c>
      <c r="AC983">
        <v>0</v>
      </c>
      <c r="AD983">
        <v>10</v>
      </c>
      <c r="AE983">
        <v>0</v>
      </c>
      <c r="AF983">
        <v>0</v>
      </c>
      <c r="AG983">
        <v>2</v>
      </c>
      <c r="AH983">
        <v>1</v>
      </c>
      <c r="AI983" t="s">
        <v>777</v>
      </c>
      <c r="AJ983">
        <v>35.309350000000002</v>
      </c>
      <c r="AK983" t="s">
        <v>778</v>
      </c>
      <c r="AL983">
        <v>-76.183705000000003</v>
      </c>
      <c r="AM983">
        <v>25</v>
      </c>
      <c r="AN983">
        <v>3425</v>
      </c>
      <c r="AO983" t="s">
        <v>118</v>
      </c>
      <c r="AP983">
        <v>-160</v>
      </c>
      <c r="AQ983">
        <v>-150</v>
      </c>
      <c r="AR983">
        <v>64</v>
      </c>
      <c r="AZ983">
        <v>4516</v>
      </c>
      <c r="BA983">
        <v>1</v>
      </c>
      <c r="BB983" t="str">
        <f t="shared" si="100"/>
        <v xml:space="preserve">N79NX   </v>
      </c>
      <c r="BC983">
        <v>1</v>
      </c>
      <c r="BE983">
        <v>0</v>
      </c>
      <c r="BF983">
        <v>0</v>
      </c>
      <c r="BG983">
        <v>0</v>
      </c>
      <c r="BH983">
        <v>3275</v>
      </c>
      <c r="BI983">
        <v>0</v>
      </c>
      <c r="BJ983">
        <v>0</v>
      </c>
      <c r="BK983">
        <v>0</v>
      </c>
      <c r="BL983">
        <v>0</v>
      </c>
      <c r="BO983">
        <v>0</v>
      </c>
      <c r="BP983">
        <v>0</v>
      </c>
      <c r="BW983" t="str">
        <f>"18:40:56.671"</f>
        <v>18:40:56.671</v>
      </c>
      <c r="BZ983">
        <v>0</v>
      </c>
      <c r="CA983">
        <v>4096</v>
      </c>
      <c r="CB983">
        <v>216</v>
      </c>
      <c r="CC983">
        <v>487.96879999999999</v>
      </c>
      <c r="CD983">
        <v>1</v>
      </c>
      <c r="CE983">
        <v>1</v>
      </c>
      <c r="CF983">
        <v>0</v>
      </c>
      <c r="CG983">
        <v>1</v>
      </c>
      <c r="CH983">
        <v>0</v>
      </c>
      <c r="CI983">
        <v>0</v>
      </c>
      <c r="CJ983">
        <v>0</v>
      </c>
      <c r="CK983">
        <v>2</v>
      </c>
      <c r="CL983">
        <v>0</v>
      </c>
      <c r="CM983">
        <v>2</v>
      </c>
      <c r="CN983">
        <v>0</v>
      </c>
      <c r="CO983">
        <v>4</v>
      </c>
      <c r="CP983" t="s">
        <v>119</v>
      </c>
      <c r="CQ983">
        <v>145</v>
      </c>
      <c r="CR983">
        <v>1</v>
      </c>
      <c r="CW983">
        <v>9003555</v>
      </c>
      <c r="CY983">
        <v>0</v>
      </c>
      <c r="CZ983">
        <v>0</v>
      </c>
      <c r="DA983">
        <v>0</v>
      </c>
      <c r="DB983">
        <v>0</v>
      </c>
      <c r="DC983">
        <v>0</v>
      </c>
      <c r="DD983">
        <v>0</v>
      </c>
      <c r="DE983">
        <v>0</v>
      </c>
      <c r="DF983">
        <v>0</v>
      </c>
      <c r="DG983">
        <v>0</v>
      </c>
      <c r="DH983">
        <v>0</v>
      </c>
      <c r="DI983">
        <v>0</v>
      </c>
    </row>
    <row r="984" spans="1:113" x14ac:dyDescent="0.3">
      <c r="A984" t="str">
        <f>"02/13/2022 18:40:56.882"</f>
        <v>02/13/2022 18:40:56.882</v>
      </c>
      <c r="C984" t="str">
        <f t="shared" si="99"/>
        <v>FFDFD7C0</v>
      </c>
      <c r="D984" t="s">
        <v>113</v>
      </c>
      <c r="E984">
        <v>4</v>
      </c>
      <c r="F984">
        <v>1004</v>
      </c>
      <c r="G984" t="s">
        <v>120</v>
      </c>
      <c r="J984" t="s">
        <v>115</v>
      </c>
      <c r="K984">
        <v>0</v>
      </c>
      <c r="L984">
        <v>3</v>
      </c>
      <c r="M984">
        <v>0</v>
      </c>
      <c r="N984">
        <v>2</v>
      </c>
      <c r="O984">
        <v>1</v>
      </c>
      <c r="P984">
        <v>0</v>
      </c>
      <c r="Q984">
        <v>0</v>
      </c>
      <c r="S984" t="str">
        <f t="shared" si="103"/>
        <v>18:40:56.664</v>
      </c>
      <c r="T984" t="str">
        <f t="shared" si="103"/>
        <v>18:40:56.664</v>
      </c>
      <c r="U984" t="str">
        <f t="shared" si="98"/>
        <v>AAB6EE</v>
      </c>
      <c r="V984">
        <v>0</v>
      </c>
      <c r="W984">
        <v>0</v>
      </c>
      <c r="X984">
        <v>4</v>
      </c>
      <c r="Z984">
        <v>0</v>
      </c>
      <c r="AA984">
        <v>8</v>
      </c>
      <c r="AB984">
        <v>3</v>
      </c>
      <c r="AC984">
        <v>0</v>
      </c>
      <c r="AD984">
        <v>10</v>
      </c>
      <c r="AE984">
        <v>0</v>
      </c>
      <c r="AF984">
        <v>0</v>
      </c>
      <c r="AG984">
        <v>2</v>
      </c>
      <c r="AH984">
        <v>1</v>
      </c>
      <c r="AI984" t="s">
        <v>777</v>
      </c>
      <c r="AJ984">
        <v>35.309350000000002</v>
      </c>
      <c r="AK984" t="s">
        <v>778</v>
      </c>
      <c r="AL984">
        <v>-76.183705000000003</v>
      </c>
      <c r="AM984">
        <v>25</v>
      </c>
      <c r="AN984">
        <v>3425</v>
      </c>
      <c r="AO984" t="s">
        <v>118</v>
      </c>
      <c r="AP984">
        <v>-160</v>
      </c>
      <c r="AQ984">
        <v>-150</v>
      </c>
      <c r="AR984">
        <v>64</v>
      </c>
      <c r="AZ984">
        <v>4516</v>
      </c>
      <c r="BA984">
        <v>1</v>
      </c>
      <c r="BB984" t="str">
        <f t="shared" si="100"/>
        <v xml:space="preserve">N79NX   </v>
      </c>
      <c r="BC984">
        <v>1</v>
      </c>
      <c r="BE984">
        <v>0</v>
      </c>
      <c r="BF984">
        <v>0</v>
      </c>
      <c r="BG984">
        <v>0</v>
      </c>
      <c r="BH984">
        <v>3275</v>
      </c>
      <c r="BI984">
        <v>0</v>
      </c>
      <c r="BJ984">
        <v>0</v>
      </c>
      <c r="BK984">
        <v>0</v>
      </c>
      <c r="BL984">
        <v>0</v>
      </c>
      <c r="BO984">
        <v>0</v>
      </c>
      <c r="BP984">
        <v>0</v>
      </c>
      <c r="BW984" t="str">
        <f>"18:40:56.671"</f>
        <v>18:40:56.671</v>
      </c>
      <c r="BZ984">
        <v>0</v>
      </c>
      <c r="CA984">
        <v>4096</v>
      </c>
      <c r="CB984">
        <v>216</v>
      </c>
      <c r="CC984">
        <v>487.96879999999999</v>
      </c>
      <c r="CD984">
        <v>1</v>
      </c>
      <c r="CE984">
        <v>1</v>
      </c>
      <c r="CF984">
        <v>0</v>
      </c>
      <c r="CG984">
        <v>1</v>
      </c>
      <c r="CH984">
        <v>0</v>
      </c>
      <c r="CI984">
        <v>0</v>
      </c>
      <c r="CJ984">
        <v>0</v>
      </c>
      <c r="CK984">
        <v>2</v>
      </c>
      <c r="CL984">
        <v>0</v>
      </c>
      <c r="CM984">
        <v>2</v>
      </c>
      <c r="CN984">
        <v>0</v>
      </c>
      <c r="CO984">
        <v>4</v>
      </c>
      <c r="CP984" t="s">
        <v>119</v>
      </c>
      <c r="CQ984">
        <v>145</v>
      </c>
      <c r="CR984">
        <v>1</v>
      </c>
      <c r="CW984">
        <v>9003555</v>
      </c>
      <c r="CY984">
        <v>0</v>
      </c>
      <c r="CZ984">
        <v>0</v>
      </c>
      <c r="DA984">
        <v>1</v>
      </c>
      <c r="DB984">
        <v>0</v>
      </c>
      <c r="DC984">
        <v>0</v>
      </c>
      <c r="DD984">
        <v>0</v>
      </c>
      <c r="DE984">
        <v>0</v>
      </c>
      <c r="DF984">
        <v>0</v>
      </c>
      <c r="DG984">
        <v>0</v>
      </c>
      <c r="DH984">
        <v>0</v>
      </c>
      <c r="DI984">
        <v>0</v>
      </c>
    </row>
    <row r="985" spans="1:113" x14ac:dyDescent="0.3">
      <c r="A985" t="str">
        <f>"02/13/2022 18:40:56.898"</f>
        <v>02/13/2022 18:40:56.898</v>
      </c>
      <c r="C985" t="str">
        <f t="shared" si="99"/>
        <v>FFDFD7C0</v>
      </c>
      <c r="D985" t="s">
        <v>121</v>
      </c>
      <c r="E985">
        <v>2</v>
      </c>
      <c r="H985">
        <v>158</v>
      </c>
      <c r="I985" t="s">
        <v>120</v>
      </c>
      <c r="J985" t="s">
        <v>122</v>
      </c>
      <c r="K985">
        <v>0</v>
      </c>
      <c r="L985">
        <v>3</v>
      </c>
      <c r="M985">
        <v>0</v>
      </c>
      <c r="N985">
        <v>2</v>
      </c>
      <c r="O985">
        <v>1</v>
      </c>
      <c r="P985">
        <v>0</v>
      </c>
      <c r="Q985">
        <v>0</v>
      </c>
      <c r="S985" t="str">
        <f t="shared" si="103"/>
        <v>18:40:56.664</v>
      </c>
      <c r="T985" t="str">
        <f t="shared" si="103"/>
        <v>18:40:56.664</v>
      </c>
      <c r="U985" t="str">
        <f t="shared" si="98"/>
        <v>AAB6EE</v>
      </c>
      <c r="V985">
        <v>0</v>
      </c>
      <c r="W985">
        <v>0</v>
      </c>
      <c r="X985">
        <v>4</v>
      </c>
      <c r="Z985">
        <v>0</v>
      </c>
      <c r="AA985">
        <v>8</v>
      </c>
      <c r="AB985">
        <v>3</v>
      </c>
      <c r="AC985">
        <v>0</v>
      </c>
      <c r="AD985">
        <v>10</v>
      </c>
      <c r="AE985">
        <v>0</v>
      </c>
      <c r="AF985">
        <v>0</v>
      </c>
      <c r="AG985">
        <v>2</v>
      </c>
      <c r="AH985">
        <v>1</v>
      </c>
      <c r="AI985" t="s">
        <v>777</v>
      </c>
      <c r="AJ985">
        <v>35.309350000000002</v>
      </c>
      <c r="AK985" t="s">
        <v>778</v>
      </c>
      <c r="AL985">
        <v>-76.183705000000003</v>
      </c>
      <c r="AM985">
        <v>25</v>
      </c>
      <c r="AN985">
        <v>3425</v>
      </c>
      <c r="AO985" t="s">
        <v>118</v>
      </c>
      <c r="AP985">
        <v>-160</v>
      </c>
      <c r="AQ985">
        <v>-150</v>
      </c>
      <c r="AR985">
        <v>64</v>
      </c>
      <c r="AZ985">
        <v>4516</v>
      </c>
      <c r="BA985">
        <v>1</v>
      </c>
      <c r="BB985" t="str">
        <f t="shared" si="100"/>
        <v xml:space="preserve">N79NX   </v>
      </c>
      <c r="BC985">
        <v>1</v>
      </c>
      <c r="BE985">
        <v>0</v>
      </c>
      <c r="BF985">
        <v>0</v>
      </c>
      <c r="BG985">
        <v>0</v>
      </c>
      <c r="BH985">
        <v>3275</v>
      </c>
      <c r="BI985">
        <v>0</v>
      </c>
      <c r="BJ985">
        <v>0</v>
      </c>
      <c r="BK985">
        <v>0</v>
      </c>
      <c r="BL985">
        <v>0</v>
      </c>
      <c r="BO985">
        <v>0</v>
      </c>
      <c r="BP985">
        <v>0</v>
      </c>
      <c r="BW985" t="str">
        <f>"18:40:56.671"</f>
        <v>18:40:56.671</v>
      </c>
      <c r="BZ985">
        <v>0</v>
      </c>
      <c r="CA985">
        <v>4096</v>
      </c>
      <c r="CB985">
        <v>216</v>
      </c>
      <c r="CC985">
        <v>487.96879999999999</v>
      </c>
      <c r="CD985">
        <v>1</v>
      </c>
      <c r="CE985">
        <v>1</v>
      </c>
      <c r="CF985">
        <v>0</v>
      </c>
      <c r="CG985">
        <v>1</v>
      </c>
      <c r="CH985">
        <v>0</v>
      </c>
      <c r="CI985">
        <v>0</v>
      </c>
      <c r="CJ985">
        <v>0</v>
      </c>
      <c r="CK985">
        <v>2</v>
      </c>
      <c r="CL985">
        <v>0</v>
      </c>
      <c r="CM985">
        <v>2</v>
      </c>
      <c r="CN985">
        <v>0</v>
      </c>
      <c r="CO985">
        <v>4</v>
      </c>
      <c r="CP985" t="s">
        <v>119</v>
      </c>
      <c r="CQ985">
        <v>145</v>
      </c>
      <c r="CR985">
        <v>1</v>
      </c>
      <c r="CW985">
        <v>9003555</v>
      </c>
      <c r="CY985">
        <v>0</v>
      </c>
      <c r="CZ985">
        <v>0</v>
      </c>
      <c r="DA985">
        <v>1</v>
      </c>
      <c r="DB985">
        <v>0</v>
      </c>
      <c r="DC985">
        <v>0</v>
      </c>
      <c r="DD985">
        <v>0</v>
      </c>
      <c r="DE985">
        <v>0</v>
      </c>
      <c r="DF985">
        <v>0</v>
      </c>
      <c r="DG985">
        <v>0</v>
      </c>
      <c r="DH985">
        <v>0</v>
      </c>
      <c r="DI985">
        <v>0</v>
      </c>
    </row>
    <row r="986" spans="1:113" x14ac:dyDescent="0.3">
      <c r="A986" t="str">
        <f>"02/13/2022 18:40:58.398"</f>
        <v>02/13/2022 18:40:58.398</v>
      </c>
      <c r="C986" t="str">
        <f t="shared" si="99"/>
        <v>FFDFD7C0</v>
      </c>
      <c r="D986" t="s">
        <v>113</v>
      </c>
      <c r="E986">
        <v>3</v>
      </c>
      <c r="F986">
        <v>1003</v>
      </c>
      <c r="G986" t="s">
        <v>114</v>
      </c>
      <c r="J986" t="s">
        <v>115</v>
      </c>
      <c r="K986">
        <v>0</v>
      </c>
      <c r="L986">
        <v>3</v>
      </c>
      <c r="M986">
        <v>0</v>
      </c>
      <c r="N986">
        <v>2</v>
      </c>
      <c r="O986">
        <v>1</v>
      </c>
      <c r="P986">
        <v>0</v>
      </c>
      <c r="Q986">
        <v>0</v>
      </c>
      <c r="S986" t="str">
        <f>"18:40:58.180"</f>
        <v>18:40:58.180</v>
      </c>
      <c r="T986" t="str">
        <f>"18:40:57.580"</f>
        <v>18:40:57.580</v>
      </c>
      <c r="U986" t="str">
        <f t="shared" si="98"/>
        <v>AAB6EE</v>
      </c>
      <c r="V986">
        <v>0</v>
      </c>
      <c r="W986">
        <v>0</v>
      </c>
      <c r="X986">
        <v>4</v>
      </c>
      <c r="Z986">
        <v>0</v>
      </c>
      <c r="AA986">
        <v>8</v>
      </c>
      <c r="AB986">
        <v>3</v>
      </c>
      <c r="AC986">
        <v>0</v>
      </c>
      <c r="AD986">
        <v>10</v>
      </c>
      <c r="AE986">
        <v>0</v>
      </c>
      <c r="AF986">
        <v>0</v>
      </c>
      <c r="AG986">
        <v>2</v>
      </c>
      <c r="AH986">
        <v>1</v>
      </c>
      <c r="AI986" t="s">
        <v>779</v>
      </c>
      <c r="AJ986">
        <v>35.308235000000003</v>
      </c>
      <c r="AK986" t="s">
        <v>780</v>
      </c>
      <c r="AL986">
        <v>-76.185035999999997</v>
      </c>
      <c r="AM986">
        <v>25</v>
      </c>
      <c r="AN986">
        <v>3450</v>
      </c>
      <c r="AO986" t="s">
        <v>118</v>
      </c>
      <c r="AP986">
        <v>-154</v>
      </c>
      <c r="AQ986">
        <v>-157</v>
      </c>
      <c r="AR986">
        <v>64</v>
      </c>
      <c r="AZ986">
        <v>4516</v>
      </c>
      <c r="BA986">
        <v>1</v>
      </c>
      <c r="BB986" t="str">
        <f t="shared" si="100"/>
        <v xml:space="preserve">N79NX   </v>
      </c>
      <c r="BC986">
        <v>1</v>
      </c>
      <c r="BE986">
        <v>0</v>
      </c>
      <c r="BF986">
        <v>0</v>
      </c>
      <c r="BG986">
        <v>0</v>
      </c>
      <c r="BH986">
        <v>3275</v>
      </c>
      <c r="BI986">
        <v>0</v>
      </c>
      <c r="BJ986">
        <v>0</v>
      </c>
      <c r="BK986">
        <v>0</v>
      </c>
      <c r="BL986">
        <v>0</v>
      </c>
      <c r="BO986">
        <v>0</v>
      </c>
      <c r="BP986">
        <v>0</v>
      </c>
      <c r="BW986" t="str">
        <f>"18:40:58.181"</f>
        <v>18:40:58.181</v>
      </c>
      <c r="BZ986">
        <v>0</v>
      </c>
      <c r="CA986">
        <v>4096</v>
      </c>
      <c r="CB986">
        <v>216</v>
      </c>
      <c r="CC986">
        <v>487.96879999999999</v>
      </c>
      <c r="CD986">
        <v>1</v>
      </c>
      <c r="CE986">
        <v>1</v>
      </c>
      <c r="CF986">
        <v>0</v>
      </c>
      <c r="CG986">
        <v>1</v>
      </c>
      <c r="CH986">
        <v>0</v>
      </c>
      <c r="CI986">
        <v>0</v>
      </c>
      <c r="CJ986">
        <v>0</v>
      </c>
      <c r="CK986">
        <v>2</v>
      </c>
      <c r="CL986">
        <v>0</v>
      </c>
      <c r="CM986">
        <v>2</v>
      </c>
      <c r="CN986">
        <v>0</v>
      </c>
      <c r="CO986">
        <v>1</v>
      </c>
      <c r="CP986" t="s">
        <v>119</v>
      </c>
      <c r="CQ986">
        <v>145</v>
      </c>
      <c r="CR986">
        <v>1</v>
      </c>
      <c r="CW986">
        <v>9004253</v>
      </c>
      <c r="CY986">
        <v>0</v>
      </c>
      <c r="CZ986">
        <v>0</v>
      </c>
      <c r="DA986">
        <v>0</v>
      </c>
      <c r="DB986">
        <v>0</v>
      </c>
      <c r="DC986">
        <v>0</v>
      </c>
      <c r="DD986">
        <v>0</v>
      </c>
      <c r="DE986">
        <v>0</v>
      </c>
      <c r="DF986">
        <v>0</v>
      </c>
      <c r="DG986">
        <v>0</v>
      </c>
      <c r="DH986">
        <v>0</v>
      </c>
      <c r="DI986">
        <v>0</v>
      </c>
    </row>
    <row r="987" spans="1:113" x14ac:dyDescent="0.3">
      <c r="A987" t="str">
        <f>"02/13/2022 18:40:58.398"</f>
        <v>02/13/2022 18:40:58.398</v>
      </c>
      <c r="C987" t="str">
        <f t="shared" si="99"/>
        <v>FFDFD7C0</v>
      </c>
      <c r="D987" t="s">
        <v>113</v>
      </c>
      <c r="E987">
        <v>4</v>
      </c>
      <c r="F987">
        <v>1004</v>
      </c>
      <c r="G987" t="s">
        <v>120</v>
      </c>
      <c r="J987" t="s">
        <v>115</v>
      </c>
      <c r="K987">
        <v>0</v>
      </c>
      <c r="L987">
        <v>3</v>
      </c>
      <c r="M987">
        <v>0</v>
      </c>
      <c r="N987">
        <v>2</v>
      </c>
      <c r="O987">
        <v>1</v>
      </c>
      <c r="P987">
        <v>0</v>
      </c>
      <c r="Q987">
        <v>0</v>
      </c>
      <c r="S987" t="str">
        <f>"18:40:58.180"</f>
        <v>18:40:58.180</v>
      </c>
      <c r="T987" t="str">
        <f>"18:40:57.580"</f>
        <v>18:40:57.580</v>
      </c>
      <c r="U987" t="str">
        <f t="shared" si="98"/>
        <v>AAB6EE</v>
      </c>
      <c r="V987">
        <v>0</v>
      </c>
      <c r="W987">
        <v>0</v>
      </c>
      <c r="X987">
        <v>4</v>
      </c>
      <c r="Z987">
        <v>0</v>
      </c>
      <c r="AA987">
        <v>8</v>
      </c>
      <c r="AB987">
        <v>3</v>
      </c>
      <c r="AC987">
        <v>0</v>
      </c>
      <c r="AD987">
        <v>10</v>
      </c>
      <c r="AE987">
        <v>0</v>
      </c>
      <c r="AF987">
        <v>0</v>
      </c>
      <c r="AG987">
        <v>2</v>
      </c>
      <c r="AH987">
        <v>1</v>
      </c>
      <c r="AI987" t="s">
        <v>779</v>
      </c>
      <c r="AJ987">
        <v>35.308235000000003</v>
      </c>
      <c r="AK987" t="s">
        <v>780</v>
      </c>
      <c r="AL987">
        <v>-76.185035999999997</v>
      </c>
      <c r="AM987">
        <v>25</v>
      </c>
      <c r="AN987">
        <v>3450</v>
      </c>
      <c r="AO987" t="s">
        <v>118</v>
      </c>
      <c r="AP987">
        <v>-154</v>
      </c>
      <c r="AQ987">
        <v>-157</v>
      </c>
      <c r="AR987">
        <v>64</v>
      </c>
      <c r="AZ987">
        <v>4516</v>
      </c>
      <c r="BA987">
        <v>1</v>
      </c>
      <c r="BB987" t="str">
        <f t="shared" si="100"/>
        <v xml:space="preserve">N79NX   </v>
      </c>
      <c r="BC987">
        <v>1</v>
      </c>
      <c r="BE987">
        <v>0</v>
      </c>
      <c r="BF987">
        <v>0</v>
      </c>
      <c r="BG987">
        <v>0</v>
      </c>
      <c r="BH987">
        <v>3275</v>
      </c>
      <c r="BI987">
        <v>0</v>
      </c>
      <c r="BJ987">
        <v>0</v>
      </c>
      <c r="BK987">
        <v>0</v>
      </c>
      <c r="BL987">
        <v>0</v>
      </c>
      <c r="BO987">
        <v>0</v>
      </c>
      <c r="BP987">
        <v>0</v>
      </c>
      <c r="BW987" t="str">
        <f>"18:40:58.181"</f>
        <v>18:40:58.181</v>
      </c>
      <c r="BZ987">
        <v>0</v>
      </c>
      <c r="CA987">
        <v>4096</v>
      </c>
      <c r="CB987">
        <v>216</v>
      </c>
      <c r="CC987">
        <v>487.96879999999999</v>
      </c>
      <c r="CD987">
        <v>1</v>
      </c>
      <c r="CE987">
        <v>1</v>
      </c>
      <c r="CF987">
        <v>0</v>
      </c>
      <c r="CG987">
        <v>1</v>
      </c>
      <c r="CH987">
        <v>0</v>
      </c>
      <c r="CI987">
        <v>0</v>
      </c>
      <c r="CJ987">
        <v>0</v>
      </c>
      <c r="CK987">
        <v>2</v>
      </c>
      <c r="CL987">
        <v>0</v>
      </c>
      <c r="CM987">
        <v>2</v>
      </c>
      <c r="CN987">
        <v>0</v>
      </c>
      <c r="CO987">
        <v>1</v>
      </c>
      <c r="CP987" t="s">
        <v>119</v>
      </c>
      <c r="CQ987">
        <v>145</v>
      </c>
      <c r="CR987">
        <v>1</v>
      </c>
      <c r="CW987">
        <v>9004253</v>
      </c>
      <c r="CY987">
        <v>0</v>
      </c>
      <c r="CZ987">
        <v>0</v>
      </c>
      <c r="DA987">
        <v>1</v>
      </c>
      <c r="DB987">
        <v>0</v>
      </c>
      <c r="DC987">
        <v>0</v>
      </c>
      <c r="DD987">
        <v>0</v>
      </c>
      <c r="DE987">
        <v>0</v>
      </c>
      <c r="DF987">
        <v>0</v>
      </c>
      <c r="DG987">
        <v>0</v>
      </c>
      <c r="DH987">
        <v>0</v>
      </c>
      <c r="DI987">
        <v>0</v>
      </c>
    </row>
    <row r="988" spans="1:113" x14ac:dyDescent="0.3">
      <c r="A988" t="str">
        <f>"02/13/2022 18:40:58.429"</f>
        <v>02/13/2022 18:40:58.429</v>
      </c>
      <c r="C988" t="str">
        <f t="shared" si="99"/>
        <v>FFDFD7C0</v>
      </c>
      <c r="D988" t="s">
        <v>121</v>
      </c>
      <c r="E988">
        <v>2</v>
      </c>
      <c r="H988">
        <v>158</v>
      </c>
      <c r="I988" t="s">
        <v>120</v>
      </c>
      <c r="J988" t="s">
        <v>122</v>
      </c>
      <c r="K988">
        <v>0</v>
      </c>
      <c r="L988">
        <v>3</v>
      </c>
      <c r="M988">
        <v>0</v>
      </c>
      <c r="N988">
        <v>2</v>
      </c>
      <c r="O988">
        <v>1</v>
      </c>
      <c r="P988">
        <v>0</v>
      </c>
      <c r="Q988">
        <v>0</v>
      </c>
      <c r="S988" t="str">
        <f>"18:40:58.180"</f>
        <v>18:40:58.180</v>
      </c>
      <c r="T988" t="str">
        <f>"18:40:57.580"</f>
        <v>18:40:57.580</v>
      </c>
      <c r="U988" t="str">
        <f t="shared" si="98"/>
        <v>AAB6EE</v>
      </c>
      <c r="V988">
        <v>0</v>
      </c>
      <c r="W988">
        <v>0</v>
      </c>
      <c r="X988">
        <v>4</v>
      </c>
      <c r="Z988">
        <v>0</v>
      </c>
      <c r="AA988">
        <v>8</v>
      </c>
      <c r="AB988">
        <v>3</v>
      </c>
      <c r="AC988">
        <v>0</v>
      </c>
      <c r="AD988">
        <v>10</v>
      </c>
      <c r="AE988">
        <v>0</v>
      </c>
      <c r="AF988">
        <v>0</v>
      </c>
      <c r="AG988">
        <v>2</v>
      </c>
      <c r="AH988">
        <v>1</v>
      </c>
      <c r="AI988" t="s">
        <v>779</v>
      </c>
      <c r="AJ988">
        <v>35.308235000000003</v>
      </c>
      <c r="AK988" t="s">
        <v>780</v>
      </c>
      <c r="AL988">
        <v>-76.185035999999997</v>
      </c>
      <c r="AM988">
        <v>25</v>
      </c>
      <c r="AN988">
        <v>3450</v>
      </c>
      <c r="AO988" t="s">
        <v>118</v>
      </c>
      <c r="AP988">
        <v>-154</v>
      </c>
      <c r="AQ988">
        <v>-157</v>
      </c>
      <c r="AR988">
        <v>64</v>
      </c>
      <c r="AZ988">
        <v>4516</v>
      </c>
      <c r="BA988">
        <v>1</v>
      </c>
      <c r="BB988" t="str">
        <f t="shared" si="100"/>
        <v xml:space="preserve">N79NX   </v>
      </c>
      <c r="BC988">
        <v>1</v>
      </c>
      <c r="BE988">
        <v>0</v>
      </c>
      <c r="BF988">
        <v>0</v>
      </c>
      <c r="BG988">
        <v>0</v>
      </c>
      <c r="BH988">
        <v>3275</v>
      </c>
      <c r="BI988">
        <v>0</v>
      </c>
      <c r="BJ988">
        <v>0</v>
      </c>
      <c r="BK988">
        <v>0</v>
      </c>
      <c r="BL988">
        <v>0</v>
      </c>
      <c r="BO988">
        <v>0</v>
      </c>
      <c r="BP988">
        <v>0</v>
      </c>
      <c r="BW988" t="str">
        <f>"18:40:58.181"</f>
        <v>18:40:58.181</v>
      </c>
      <c r="BZ988">
        <v>0</v>
      </c>
      <c r="CA988">
        <v>4096</v>
      </c>
      <c r="CB988">
        <v>216</v>
      </c>
      <c r="CC988">
        <v>487.96879999999999</v>
      </c>
      <c r="CD988">
        <v>1</v>
      </c>
      <c r="CE988">
        <v>1</v>
      </c>
      <c r="CF988">
        <v>0</v>
      </c>
      <c r="CG988">
        <v>1</v>
      </c>
      <c r="CH988">
        <v>0</v>
      </c>
      <c r="CI988">
        <v>0</v>
      </c>
      <c r="CJ988">
        <v>0</v>
      </c>
      <c r="CK988">
        <v>2</v>
      </c>
      <c r="CL988">
        <v>0</v>
      </c>
      <c r="CM988">
        <v>2</v>
      </c>
      <c r="CN988">
        <v>0</v>
      </c>
      <c r="CO988">
        <v>1</v>
      </c>
      <c r="CP988" t="s">
        <v>119</v>
      </c>
      <c r="CQ988">
        <v>145</v>
      </c>
      <c r="CR988">
        <v>1</v>
      </c>
      <c r="CW988">
        <v>9004253</v>
      </c>
      <c r="CY988">
        <v>0</v>
      </c>
      <c r="CZ988">
        <v>0</v>
      </c>
      <c r="DA988">
        <v>1</v>
      </c>
      <c r="DB988">
        <v>0</v>
      </c>
      <c r="DC988">
        <v>0</v>
      </c>
      <c r="DD988">
        <v>0</v>
      </c>
      <c r="DE988">
        <v>0</v>
      </c>
      <c r="DF988">
        <v>0</v>
      </c>
      <c r="DG988">
        <v>0</v>
      </c>
      <c r="DH988">
        <v>0</v>
      </c>
      <c r="DI988">
        <v>0</v>
      </c>
    </row>
    <row r="989" spans="1:113" x14ac:dyDescent="0.3">
      <c r="A989" t="str">
        <f>"02/13/2022 18:40:59.320"</f>
        <v>02/13/2022 18:40:59.320</v>
      </c>
      <c r="C989" t="str">
        <f t="shared" si="99"/>
        <v>FFDFD7C0</v>
      </c>
      <c r="D989" t="s">
        <v>121</v>
      </c>
      <c r="E989">
        <v>2</v>
      </c>
      <c r="H989">
        <v>158</v>
      </c>
      <c r="I989" t="s">
        <v>120</v>
      </c>
      <c r="J989" t="s">
        <v>122</v>
      </c>
      <c r="K989">
        <v>0</v>
      </c>
      <c r="L989">
        <v>3</v>
      </c>
      <c r="M989">
        <v>0</v>
      </c>
      <c r="N989">
        <v>2</v>
      </c>
      <c r="O989">
        <v>1</v>
      </c>
      <c r="P989">
        <v>0</v>
      </c>
      <c r="Q989">
        <v>0</v>
      </c>
      <c r="S989" t="str">
        <f>"18:40:59.117"</f>
        <v>18:40:59.117</v>
      </c>
      <c r="T989" t="str">
        <f>"18:40:59.017"</f>
        <v>18:40:59.017</v>
      </c>
      <c r="U989" t="str">
        <f t="shared" si="98"/>
        <v>AAB6EE</v>
      </c>
      <c r="V989">
        <v>0</v>
      </c>
      <c r="W989">
        <v>0</v>
      </c>
      <c r="X989">
        <v>4</v>
      </c>
      <c r="Z989">
        <v>0</v>
      </c>
      <c r="AA989">
        <v>8</v>
      </c>
      <c r="AB989">
        <v>3</v>
      </c>
      <c r="AC989">
        <v>0</v>
      </c>
      <c r="AD989">
        <v>10</v>
      </c>
      <c r="AE989">
        <v>0</v>
      </c>
      <c r="AF989">
        <v>0</v>
      </c>
      <c r="AG989">
        <v>2</v>
      </c>
      <c r="AH989">
        <v>1</v>
      </c>
      <c r="AI989" t="s">
        <v>781</v>
      </c>
      <c r="AJ989">
        <v>35.307504999999999</v>
      </c>
      <c r="AK989" t="s">
        <v>782</v>
      </c>
      <c r="AL989">
        <v>-76.185829999999996</v>
      </c>
      <c r="AM989">
        <v>25</v>
      </c>
      <c r="AN989">
        <v>3425</v>
      </c>
      <c r="AO989" t="s">
        <v>118</v>
      </c>
      <c r="AP989">
        <v>-144</v>
      </c>
      <c r="AQ989">
        <v>-166</v>
      </c>
      <c r="AR989">
        <v>64</v>
      </c>
      <c r="AZ989">
        <v>4516</v>
      </c>
      <c r="BA989">
        <v>1</v>
      </c>
      <c r="BB989" t="str">
        <f t="shared" si="100"/>
        <v xml:space="preserve">N79NX   </v>
      </c>
      <c r="BC989">
        <v>1</v>
      </c>
      <c r="BE989">
        <v>0</v>
      </c>
      <c r="BF989">
        <v>0</v>
      </c>
      <c r="BG989">
        <v>0</v>
      </c>
      <c r="BH989">
        <v>3275</v>
      </c>
      <c r="BI989">
        <v>0</v>
      </c>
      <c r="BJ989">
        <v>0</v>
      </c>
      <c r="BK989">
        <v>0</v>
      </c>
      <c r="BL989">
        <v>0</v>
      </c>
      <c r="BO989">
        <v>0</v>
      </c>
      <c r="BP989">
        <v>0</v>
      </c>
      <c r="BW989" t="str">
        <f>"18:40:59.121"</f>
        <v>18:40:59.121</v>
      </c>
      <c r="BZ989">
        <v>0</v>
      </c>
      <c r="CA989">
        <v>4096</v>
      </c>
      <c r="CB989">
        <v>216</v>
      </c>
      <c r="CC989">
        <v>487.96879999999999</v>
      </c>
      <c r="CD989">
        <v>1</v>
      </c>
      <c r="CE989">
        <v>1</v>
      </c>
      <c r="CF989">
        <v>0</v>
      </c>
      <c r="CG989">
        <v>1</v>
      </c>
      <c r="CH989">
        <v>0</v>
      </c>
      <c r="CI989">
        <v>0</v>
      </c>
      <c r="CJ989">
        <v>0</v>
      </c>
      <c r="CK989">
        <v>2</v>
      </c>
      <c r="CL989">
        <v>0</v>
      </c>
      <c r="CM989">
        <v>2</v>
      </c>
      <c r="CN989">
        <v>0</v>
      </c>
      <c r="CO989">
        <v>3</v>
      </c>
      <c r="CP989" t="s">
        <v>119</v>
      </c>
      <c r="CQ989">
        <v>145</v>
      </c>
      <c r="CR989">
        <v>1</v>
      </c>
      <c r="CW989">
        <v>9004619</v>
      </c>
      <c r="CY989">
        <v>0</v>
      </c>
      <c r="CZ989">
        <v>0</v>
      </c>
      <c r="DA989">
        <v>0</v>
      </c>
      <c r="DB989">
        <v>0</v>
      </c>
      <c r="DC989">
        <v>0</v>
      </c>
      <c r="DD989">
        <v>0</v>
      </c>
      <c r="DE989">
        <v>0</v>
      </c>
      <c r="DF989">
        <v>0</v>
      </c>
      <c r="DG989">
        <v>0</v>
      </c>
      <c r="DH989">
        <v>0</v>
      </c>
      <c r="DI989">
        <v>0</v>
      </c>
    </row>
    <row r="990" spans="1:113" x14ac:dyDescent="0.3">
      <c r="A990" t="str">
        <f>"02/13/2022 18:40:59.368"</f>
        <v>02/13/2022 18:40:59.368</v>
      </c>
      <c r="C990" t="str">
        <f t="shared" si="99"/>
        <v>FFDFD7C0</v>
      </c>
      <c r="D990" t="s">
        <v>113</v>
      </c>
      <c r="E990">
        <v>3</v>
      </c>
      <c r="F990">
        <v>1003</v>
      </c>
      <c r="G990" t="s">
        <v>114</v>
      </c>
      <c r="J990" t="s">
        <v>115</v>
      </c>
      <c r="K990">
        <v>0</v>
      </c>
      <c r="L990">
        <v>3</v>
      </c>
      <c r="M990">
        <v>0</v>
      </c>
      <c r="N990">
        <v>2</v>
      </c>
      <c r="O990">
        <v>1</v>
      </c>
      <c r="P990">
        <v>0</v>
      </c>
      <c r="Q990">
        <v>0</v>
      </c>
      <c r="S990" t="str">
        <f>"18:40:59.117"</f>
        <v>18:40:59.117</v>
      </c>
      <c r="T990" t="str">
        <f>"18:40:59.017"</f>
        <v>18:40:59.017</v>
      </c>
      <c r="U990" t="str">
        <f t="shared" si="98"/>
        <v>AAB6EE</v>
      </c>
      <c r="V990">
        <v>0</v>
      </c>
      <c r="W990">
        <v>0</v>
      </c>
      <c r="X990">
        <v>4</v>
      </c>
      <c r="Z990">
        <v>0</v>
      </c>
      <c r="AA990">
        <v>8</v>
      </c>
      <c r="AB990">
        <v>3</v>
      </c>
      <c r="AC990">
        <v>0</v>
      </c>
      <c r="AD990">
        <v>10</v>
      </c>
      <c r="AE990">
        <v>0</v>
      </c>
      <c r="AF990">
        <v>0</v>
      </c>
      <c r="AG990">
        <v>2</v>
      </c>
      <c r="AH990">
        <v>1</v>
      </c>
      <c r="AI990" t="s">
        <v>781</v>
      </c>
      <c r="AJ990">
        <v>35.307504999999999</v>
      </c>
      <c r="AK990" t="s">
        <v>782</v>
      </c>
      <c r="AL990">
        <v>-76.185829999999996</v>
      </c>
      <c r="AM990">
        <v>25</v>
      </c>
      <c r="AN990">
        <v>3425</v>
      </c>
      <c r="AO990" t="s">
        <v>118</v>
      </c>
      <c r="AP990">
        <v>-144</v>
      </c>
      <c r="AQ990">
        <v>-166</v>
      </c>
      <c r="AR990">
        <v>64</v>
      </c>
      <c r="AZ990">
        <v>4516</v>
      </c>
      <c r="BA990">
        <v>1</v>
      </c>
      <c r="BB990" t="str">
        <f t="shared" si="100"/>
        <v xml:space="preserve">N79NX   </v>
      </c>
      <c r="BC990">
        <v>1</v>
      </c>
      <c r="BE990">
        <v>0</v>
      </c>
      <c r="BF990">
        <v>0</v>
      </c>
      <c r="BG990">
        <v>0</v>
      </c>
      <c r="BH990">
        <v>3275</v>
      </c>
      <c r="BI990">
        <v>0</v>
      </c>
      <c r="BJ990">
        <v>0</v>
      </c>
      <c r="BK990">
        <v>0</v>
      </c>
      <c r="BL990">
        <v>0</v>
      </c>
      <c r="BO990">
        <v>0</v>
      </c>
      <c r="BP990">
        <v>0</v>
      </c>
      <c r="BW990" t="str">
        <f>"18:40:59.121"</f>
        <v>18:40:59.121</v>
      </c>
      <c r="BZ990">
        <v>0</v>
      </c>
      <c r="CA990">
        <v>4096</v>
      </c>
      <c r="CB990">
        <v>216</v>
      </c>
      <c r="CC990">
        <v>487.96879999999999</v>
      </c>
      <c r="CD990">
        <v>1</v>
      </c>
      <c r="CE990">
        <v>1</v>
      </c>
      <c r="CF990">
        <v>0</v>
      </c>
      <c r="CG990">
        <v>1</v>
      </c>
      <c r="CH990">
        <v>0</v>
      </c>
      <c r="CI990">
        <v>0</v>
      </c>
      <c r="CJ990">
        <v>0</v>
      </c>
      <c r="CK990">
        <v>2</v>
      </c>
      <c r="CL990">
        <v>0</v>
      </c>
      <c r="CM990">
        <v>2</v>
      </c>
      <c r="CN990">
        <v>0</v>
      </c>
      <c r="CO990">
        <v>3</v>
      </c>
      <c r="CP990" t="s">
        <v>119</v>
      </c>
      <c r="CQ990">
        <v>145</v>
      </c>
      <c r="CR990">
        <v>1</v>
      </c>
      <c r="CW990">
        <v>9004619</v>
      </c>
      <c r="CY990">
        <v>0</v>
      </c>
      <c r="CZ990">
        <v>0</v>
      </c>
      <c r="DA990">
        <v>1</v>
      </c>
      <c r="DB990">
        <v>0</v>
      </c>
      <c r="DC990">
        <v>0</v>
      </c>
      <c r="DD990">
        <v>0</v>
      </c>
      <c r="DE990">
        <v>0</v>
      </c>
      <c r="DF990">
        <v>0</v>
      </c>
      <c r="DG990">
        <v>0</v>
      </c>
      <c r="DH990">
        <v>0</v>
      </c>
      <c r="DI990">
        <v>0</v>
      </c>
    </row>
    <row r="991" spans="1:113" x14ac:dyDescent="0.3">
      <c r="A991" t="str">
        <f>"02/13/2022 18:40:59.368"</f>
        <v>02/13/2022 18:40:59.368</v>
      </c>
      <c r="C991" t="str">
        <f t="shared" si="99"/>
        <v>FFDFD7C0</v>
      </c>
      <c r="D991" t="s">
        <v>113</v>
      </c>
      <c r="E991">
        <v>4</v>
      </c>
      <c r="F991">
        <v>1004</v>
      </c>
      <c r="G991" t="s">
        <v>120</v>
      </c>
      <c r="J991" t="s">
        <v>115</v>
      </c>
      <c r="K991">
        <v>0</v>
      </c>
      <c r="L991">
        <v>3</v>
      </c>
      <c r="M991">
        <v>0</v>
      </c>
      <c r="N991">
        <v>2</v>
      </c>
      <c r="O991">
        <v>1</v>
      </c>
      <c r="P991">
        <v>0</v>
      </c>
      <c r="Q991">
        <v>0</v>
      </c>
      <c r="S991" t="str">
        <f>"18:40:59.117"</f>
        <v>18:40:59.117</v>
      </c>
      <c r="T991" t="str">
        <f>"18:40:59.017"</f>
        <v>18:40:59.017</v>
      </c>
      <c r="U991" t="str">
        <f t="shared" si="98"/>
        <v>AAB6EE</v>
      </c>
      <c r="V991">
        <v>0</v>
      </c>
      <c r="W991">
        <v>0</v>
      </c>
      <c r="X991">
        <v>4</v>
      </c>
      <c r="Z991">
        <v>0</v>
      </c>
      <c r="AA991">
        <v>8</v>
      </c>
      <c r="AB991">
        <v>3</v>
      </c>
      <c r="AC991">
        <v>0</v>
      </c>
      <c r="AD991">
        <v>10</v>
      </c>
      <c r="AE991">
        <v>0</v>
      </c>
      <c r="AF991">
        <v>0</v>
      </c>
      <c r="AG991">
        <v>2</v>
      </c>
      <c r="AH991">
        <v>1</v>
      </c>
      <c r="AI991" t="s">
        <v>781</v>
      </c>
      <c r="AJ991">
        <v>35.307504999999999</v>
      </c>
      <c r="AK991" t="s">
        <v>782</v>
      </c>
      <c r="AL991">
        <v>-76.185829999999996</v>
      </c>
      <c r="AM991">
        <v>25</v>
      </c>
      <c r="AN991">
        <v>3425</v>
      </c>
      <c r="AO991" t="s">
        <v>118</v>
      </c>
      <c r="AP991">
        <v>-144</v>
      </c>
      <c r="AQ991">
        <v>-166</v>
      </c>
      <c r="AR991">
        <v>64</v>
      </c>
      <c r="AZ991">
        <v>4516</v>
      </c>
      <c r="BA991">
        <v>1</v>
      </c>
      <c r="BB991" t="str">
        <f t="shared" si="100"/>
        <v xml:space="preserve">N79NX   </v>
      </c>
      <c r="BC991">
        <v>1</v>
      </c>
      <c r="BE991">
        <v>0</v>
      </c>
      <c r="BF991">
        <v>0</v>
      </c>
      <c r="BG991">
        <v>0</v>
      </c>
      <c r="BH991">
        <v>3275</v>
      </c>
      <c r="BI991">
        <v>0</v>
      </c>
      <c r="BJ991">
        <v>0</v>
      </c>
      <c r="BK991">
        <v>0</v>
      </c>
      <c r="BL991">
        <v>0</v>
      </c>
      <c r="BO991">
        <v>0</v>
      </c>
      <c r="BP991">
        <v>0</v>
      </c>
      <c r="BW991" t="str">
        <f>"18:40:59.121"</f>
        <v>18:40:59.121</v>
      </c>
      <c r="BZ991">
        <v>0</v>
      </c>
      <c r="CA991">
        <v>4096</v>
      </c>
      <c r="CB991">
        <v>216</v>
      </c>
      <c r="CC991">
        <v>487.96879999999999</v>
      </c>
      <c r="CD991">
        <v>1</v>
      </c>
      <c r="CE991">
        <v>1</v>
      </c>
      <c r="CF991">
        <v>0</v>
      </c>
      <c r="CG991">
        <v>1</v>
      </c>
      <c r="CH991">
        <v>0</v>
      </c>
      <c r="CI991">
        <v>0</v>
      </c>
      <c r="CJ991">
        <v>0</v>
      </c>
      <c r="CK991">
        <v>2</v>
      </c>
      <c r="CL991">
        <v>0</v>
      </c>
      <c r="CM991">
        <v>2</v>
      </c>
      <c r="CN991">
        <v>0</v>
      </c>
      <c r="CO991">
        <v>3</v>
      </c>
      <c r="CP991" t="s">
        <v>119</v>
      </c>
      <c r="CQ991">
        <v>145</v>
      </c>
      <c r="CR991">
        <v>1</v>
      </c>
      <c r="CW991">
        <v>9004619</v>
      </c>
      <c r="CY991">
        <v>0</v>
      </c>
      <c r="CZ991">
        <v>0</v>
      </c>
      <c r="DA991">
        <v>1</v>
      </c>
      <c r="DB991">
        <v>0</v>
      </c>
      <c r="DC991">
        <v>0</v>
      </c>
      <c r="DD991">
        <v>0</v>
      </c>
      <c r="DE991">
        <v>0</v>
      </c>
      <c r="DF991">
        <v>0</v>
      </c>
      <c r="DG991">
        <v>0</v>
      </c>
      <c r="DH991">
        <v>0</v>
      </c>
      <c r="DI991">
        <v>0</v>
      </c>
    </row>
    <row r="992" spans="1:113" x14ac:dyDescent="0.3">
      <c r="A992" t="str">
        <f>"02/13/2022 18:41:00.167"</f>
        <v>02/13/2022 18:41:00.167</v>
      </c>
      <c r="C992" t="str">
        <f t="shared" si="99"/>
        <v>FFDFD7C0</v>
      </c>
      <c r="D992" t="s">
        <v>113</v>
      </c>
      <c r="E992">
        <v>3</v>
      </c>
      <c r="F992">
        <v>1003</v>
      </c>
      <c r="G992" t="s">
        <v>114</v>
      </c>
      <c r="J992" t="s">
        <v>115</v>
      </c>
      <c r="K992">
        <v>0</v>
      </c>
      <c r="L992">
        <v>3</v>
      </c>
      <c r="M992">
        <v>0</v>
      </c>
      <c r="N992">
        <v>2</v>
      </c>
      <c r="O992">
        <v>1</v>
      </c>
      <c r="P992">
        <v>0</v>
      </c>
      <c r="Q992">
        <v>0</v>
      </c>
      <c r="S992" t="str">
        <f>"18:40:59.945"</f>
        <v>18:40:59.945</v>
      </c>
      <c r="T992" t="str">
        <f>"18:40:59.845"</f>
        <v>18:40:59.845</v>
      </c>
      <c r="U992" t="str">
        <f t="shared" si="98"/>
        <v>AAB6EE</v>
      </c>
      <c r="V992">
        <v>0</v>
      </c>
      <c r="W992">
        <v>0</v>
      </c>
      <c r="X992">
        <v>4</v>
      </c>
      <c r="Z992">
        <v>0</v>
      </c>
      <c r="AA992">
        <v>8</v>
      </c>
      <c r="AB992">
        <v>3</v>
      </c>
      <c r="AC992">
        <v>0</v>
      </c>
      <c r="AD992">
        <v>10</v>
      </c>
      <c r="AE992">
        <v>0</v>
      </c>
      <c r="AF992">
        <v>0</v>
      </c>
      <c r="AG992">
        <v>2</v>
      </c>
      <c r="AH992">
        <v>1</v>
      </c>
      <c r="AI992" t="s">
        <v>783</v>
      </c>
      <c r="AJ992">
        <v>35.306860999999998</v>
      </c>
      <c r="AK992" t="s">
        <v>784</v>
      </c>
      <c r="AL992">
        <v>-76.186473000000007</v>
      </c>
      <c r="AM992">
        <v>25</v>
      </c>
      <c r="AN992">
        <v>3425</v>
      </c>
      <c r="AO992" t="s">
        <v>118</v>
      </c>
      <c r="AP992">
        <v>-138</v>
      </c>
      <c r="AQ992">
        <v>-171</v>
      </c>
      <c r="AR992">
        <v>64</v>
      </c>
      <c r="AZ992">
        <v>4516</v>
      </c>
      <c r="BA992">
        <v>1</v>
      </c>
      <c r="BB992" t="str">
        <f t="shared" si="100"/>
        <v xml:space="preserve">N79NX   </v>
      </c>
      <c r="BC992">
        <v>1</v>
      </c>
      <c r="BE992">
        <v>0</v>
      </c>
      <c r="BF992">
        <v>0</v>
      </c>
      <c r="BG992">
        <v>0</v>
      </c>
      <c r="BH992">
        <v>3275</v>
      </c>
      <c r="BI992">
        <v>0</v>
      </c>
      <c r="BJ992">
        <v>0</v>
      </c>
      <c r="BK992">
        <v>0</v>
      </c>
      <c r="BL992">
        <v>0</v>
      </c>
      <c r="BO992">
        <v>0</v>
      </c>
      <c r="BP992">
        <v>0</v>
      </c>
      <c r="BW992" t="str">
        <f>"18:40:59.951"</f>
        <v>18:40:59.951</v>
      </c>
      <c r="BZ992">
        <v>0</v>
      </c>
      <c r="CA992">
        <v>4096</v>
      </c>
      <c r="CB992">
        <v>216</v>
      </c>
      <c r="CC992">
        <v>487.96879999999999</v>
      </c>
      <c r="CD992">
        <v>1</v>
      </c>
      <c r="CE992">
        <v>1</v>
      </c>
      <c r="CF992">
        <v>0</v>
      </c>
      <c r="CG992">
        <v>1</v>
      </c>
      <c r="CH992">
        <v>0</v>
      </c>
      <c r="CI992">
        <v>0</v>
      </c>
      <c r="CJ992">
        <v>0</v>
      </c>
      <c r="CK992">
        <v>2</v>
      </c>
      <c r="CL992">
        <v>0</v>
      </c>
      <c r="CM992">
        <v>2</v>
      </c>
      <c r="CN992">
        <v>0</v>
      </c>
      <c r="CO992">
        <v>2</v>
      </c>
      <c r="CP992" t="s">
        <v>119</v>
      </c>
      <c r="CQ992">
        <v>145</v>
      </c>
      <c r="CR992">
        <v>1</v>
      </c>
      <c r="CW992">
        <v>9004969</v>
      </c>
      <c r="CY992">
        <v>0</v>
      </c>
      <c r="CZ992">
        <v>0</v>
      </c>
      <c r="DA992">
        <v>0</v>
      </c>
      <c r="DB992">
        <v>0</v>
      </c>
      <c r="DC992">
        <v>0</v>
      </c>
      <c r="DD992">
        <v>0</v>
      </c>
      <c r="DE992">
        <v>0</v>
      </c>
      <c r="DF992">
        <v>0</v>
      </c>
      <c r="DG992">
        <v>0</v>
      </c>
      <c r="DH992">
        <v>0</v>
      </c>
      <c r="DI992">
        <v>0</v>
      </c>
    </row>
    <row r="993" spans="1:113" x14ac:dyDescent="0.3">
      <c r="A993" t="str">
        <f>"02/13/2022 18:41:00.167"</f>
        <v>02/13/2022 18:41:00.167</v>
      </c>
      <c r="C993" t="str">
        <f t="shared" si="99"/>
        <v>FFDFD7C0</v>
      </c>
      <c r="D993" t="s">
        <v>113</v>
      </c>
      <c r="E993">
        <v>4</v>
      </c>
      <c r="F993">
        <v>1004</v>
      </c>
      <c r="G993" t="s">
        <v>120</v>
      </c>
      <c r="J993" t="s">
        <v>115</v>
      </c>
      <c r="K993">
        <v>0</v>
      </c>
      <c r="L993">
        <v>3</v>
      </c>
      <c r="M993">
        <v>0</v>
      </c>
      <c r="N993">
        <v>2</v>
      </c>
      <c r="O993">
        <v>1</v>
      </c>
      <c r="P993">
        <v>0</v>
      </c>
      <c r="Q993">
        <v>0</v>
      </c>
      <c r="S993" t="str">
        <f>"18:40:59.945"</f>
        <v>18:40:59.945</v>
      </c>
      <c r="T993" t="str">
        <f>"18:40:59.845"</f>
        <v>18:40:59.845</v>
      </c>
      <c r="U993" t="str">
        <f t="shared" si="98"/>
        <v>AAB6EE</v>
      </c>
      <c r="V993">
        <v>0</v>
      </c>
      <c r="W993">
        <v>0</v>
      </c>
      <c r="X993">
        <v>4</v>
      </c>
      <c r="Z993">
        <v>0</v>
      </c>
      <c r="AA993">
        <v>8</v>
      </c>
      <c r="AB993">
        <v>3</v>
      </c>
      <c r="AC993">
        <v>0</v>
      </c>
      <c r="AD993">
        <v>10</v>
      </c>
      <c r="AE993">
        <v>0</v>
      </c>
      <c r="AF993">
        <v>0</v>
      </c>
      <c r="AG993">
        <v>2</v>
      </c>
      <c r="AH993">
        <v>1</v>
      </c>
      <c r="AI993" t="s">
        <v>783</v>
      </c>
      <c r="AJ993">
        <v>35.306860999999998</v>
      </c>
      <c r="AK993" t="s">
        <v>784</v>
      </c>
      <c r="AL993">
        <v>-76.186473000000007</v>
      </c>
      <c r="AM993">
        <v>25</v>
      </c>
      <c r="AN993">
        <v>3425</v>
      </c>
      <c r="AO993" t="s">
        <v>118</v>
      </c>
      <c r="AP993">
        <v>-138</v>
      </c>
      <c r="AQ993">
        <v>-171</v>
      </c>
      <c r="AR993">
        <v>64</v>
      </c>
      <c r="AZ993">
        <v>4516</v>
      </c>
      <c r="BA993">
        <v>1</v>
      </c>
      <c r="BB993" t="str">
        <f t="shared" si="100"/>
        <v xml:space="preserve">N79NX   </v>
      </c>
      <c r="BC993">
        <v>1</v>
      </c>
      <c r="BE993">
        <v>0</v>
      </c>
      <c r="BF993">
        <v>0</v>
      </c>
      <c r="BG993">
        <v>0</v>
      </c>
      <c r="BH993">
        <v>3275</v>
      </c>
      <c r="BI993">
        <v>0</v>
      </c>
      <c r="BJ993">
        <v>0</v>
      </c>
      <c r="BK993">
        <v>0</v>
      </c>
      <c r="BL993">
        <v>0</v>
      </c>
      <c r="BO993">
        <v>0</v>
      </c>
      <c r="BP993">
        <v>0</v>
      </c>
      <c r="BW993" t="str">
        <f>"18:40:59.951"</f>
        <v>18:40:59.951</v>
      </c>
      <c r="BZ993">
        <v>0</v>
      </c>
      <c r="CA993">
        <v>4096</v>
      </c>
      <c r="CB993">
        <v>216</v>
      </c>
      <c r="CC993">
        <v>487.96879999999999</v>
      </c>
      <c r="CD993">
        <v>1</v>
      </c>
      <c r="CE993">
        <v>1</v>
      </c>
      <c r="CF993">
        <v>0</v>
      </c>
      <c r="CG993">
        <v>1</v>
      </c>
      <c r="CH993">
        <v>0</v>
      </c>
      <c r="CI993">
        <v>0</v>
      </c>
      <c r="CJ993">
        <v>0</v>
      </c>
      <c r="CK993">
        <v>2</v>
      </c>
      <c r="CL993">
        <v>0</v>
      </c>
      <c r="CM993">
        <v>2</v>
      </c>
      <c r="CN993">
        <v>0</v>
      </c>
      <c r="CO993">
        <v>2</v>
      </c>
      <c r="CP993" t="s">
        <v>119</v>
      </c>
      <c r="CQ993">
        <v>145</v>
      </c>
      <c r="CR993">
        <v>1</v>
      </c>
      <c r="CW993">
        <v>9004969</v>
      </c>
      <c r="CY993">
        <v>0</v>
      </c>
      <c r="CZ993">
        <v>0</v>
      </c>
      <c r="DA993">
        <v>1</v>
      </c>
      <c r="DB993">
        <v>0</v>
      </c>
      <c r="DC993">
        <v>0</v>
      </c>
      <c r="DD993">
        <v>0</v>
      </c>
      <c r="DE993">
        <v>0</v>
      </c>
      <c r="DF993">
        <v>0</v>
      </c>
      <c r="DG993">
        <v>0</v>
      </c>
      <c r="DH993">
        <v>0</v>
      </c>
      <c r="DI993">
        <v>0</v>
      </c>
    </row>
    <row r="994" spans="1:113" x14ac:dyDescent="0.3">
      <c r="A994" t="str">
        <f>"02/13/2022 18:41:00.198"</f>
        <v>02/13/2022 18:41:00.198</v>
      </c>
      <c r="C994" t="str">
        <f t="shared" si="99"/>
        <v>FFDFD7C0</v>
      </c>
      <c r="D994" t="s">
        <v>121</v>
      </c>
      <c r="E994">
        <v>2</v>
      </c>
      <c r="H994">
        <v>158</v>
      </c>
      <c r="I994" t="s">
        <v>120</v>
      </c>
      <c r="J994" t="s">
        <v>122</v>
      </c>
      <c r="K994">
        <v>0</v>
      </c>
      <c r="L994">
        <v>3</v>
      </c>
      <c r="M994">
        <v>0</v>
      </c>
      <c r="N994">
        <v>2</v>
      </c>
      <c r="O994">
        <v>1</v>
      </c>
      <c r="P994">
        <v>0</v>
      </c>
      <c r="Q994">
        <v>0</v>
      </c>
      <c r="S994" t="str">
        <f>"18:40:59.945"</f>
        <v>18:40:59.945</v>
      </c>
      <c r="T994" t="str">
        <f>"18:40:59.845"</f>
        <v>18:40:59.845</v>
      </c>
      <c r="U994" t="str">
        <f t="shared" si="98"/>
        <v>AAB6EE</v>
      </c>
      <c r="V994">
        <v>0</v>
      </c>
      <c r="W994">
        <v>0</v>
      </c>
      <c r="X994">
        <v>4</v>
      </c>
      <c r="Z994">
        <v>0</v>
      </c>
      <c r="AA994">
        <v>8</v>
      </c>
      <c r="AB994">
        <v>3</v>
      </c>
      <c r="AC994">
        <v>0</v>
      </c>
      <c r="AD994">
        <v>10</v>
      </c>
      <c r="AE994">
        <v>0</v>
      </c>
      <c r="AF994">
        <v>0</v>
      </c>
      <c r="AG994">
        <v>2</v>
      </c>
      <c r="AH994">
        <v>1</v>
      </c>
      <c r="AI994" t="s">
        <v>783</v>
      </c>
      <c r="AJ994">
        <v>35.306860999999998</v>
      </c>
      <c r="AK994" t="s">
        <v>784</v>
      </c>
      <c r="AL994">
        <v>-76.186473000000007</v>
      </c>
      <c r="AM994">
        <v>25</v>
      </c>
      <c r="AN994">
        <v>3425</v>
      </c>
      <c r="AO994" t="s">
        <v>118</v>
      </c>
      <c r="AP994">
        <v>-138</v>
      </c>
      <c r="AQ994">
        <v>-171</v>
      </c>
      <c r="AR994">
        <v>64</v>
      </c>
      <c r="AZ994">
        <v>4516</v>
      </c>
      <c r="BA994">
        <v>1</v>
      </c>
      <c r="BB994" t="str">
        <f t="shared" si="100"/>
        <v xml:space="preserve">N79NX   </v>
      </c>
      <c r="BC994">
        <v>1</v>
      </c>
      <c r="BE994">
        <v>0</v>
      </c>
      <c r="BF994">
        <v>0</v>
      </c>
      <c r="BG994">
        <v>0</v>
      </c>
      <c r="BH994">
        <v>3275</v>
      </c>
      <c r="BI994">
        <v>0</v>
      </c>
      <c r="BJ994">
        <v>0</v>
      </c>
      <c r="BK994">
        <v>0</v>
      </c>
      <c r="BL994">
        <v>0</v>
      </c>
      <c r="BO994">
        <v>0</v>
      </c>
      <c r="BP994">
        <v>0</v>
      </c>
      <c r="BW994" t="str">
        <f>"18:40:59.951"</f>
        <v>18:40:59.951</v>
      </c>
      <c r="BZ994">
        <v>0</v>
      </c>
      <c r="CA994">
        <v>4096</v>
      </c>
      <c r="CB994">
        <v>216</v>
      </c>
      <c r="CC994">
        <v>487.96879999999999</v>
      </c>
      <c r="CD994">
        <v>1</v>
      </c>
      <c r="CE994">
        <v>1</v>
      </c>
      <c r="CF994">
        <v>0</v>
      </c>
      <c r="CG994">
        <v>1</v>
      </c>
      <c r="CH994">
        <v>0</v>
      </c>
      <c r="CI994">
        <v>0</v>
      </c>
      <c r="CJ994">
        <v>0</v>
      </c>
      <c r="CK994">
        <v>2</v>
      </c>
      <c r="CL994">
        <v>0</v>
      </c>
      <c r="CM994">
        <v>2</v>
      </c>
      <c r="CN994">
        <v>0</v>
      </c>
      <c r="CO994">
        <v>2</v>
      </c>
      <c r="CP994" t="s">
        <v>119</v>
      </c>
      <c r="CQ994">
        <v>145</v>
      </c>
      <c r="CR994">
        <v>1</v>
      </c>
      <c r="CW994">
        <v>9004969</v>
      </c>
      <c r="CY994">
        <v>0</v>
      </c>
      <c r="CZ994">
        <v>0</v>
      </c>
      <c r="DA994">
        <v>1</v>
      </c>
      <c r="DB994">
        <v>0</v>
      </c>
      <c r="DC994">
        <v>0</v>
      </c>
      <c r="DD994">
        <v>0</v>
      </c>
      <c r="DE994">
        <v>0</v>
      </c>
      <c r="DF994">
        <v>0</v>
      </c>
      <c r="DG994">
        <v>0</v>
      </c>
      <c r="DH994">
        <v>0</v>
      </c>
      <c r="DI994">
        <v>0</v>
      </c>
    </row>
    <row r="995" spans="1:113" x14ac:dyDescent="0.3">
      <c r="A995" t="str">
        <f>"02/13/2022 18:41:01.223"</f>
        <v>02/13/2022 18:41:01.223</v>
      </c>
      <c r="C995" t="str">
        <f t="shared" si="99"/>
        <v>FFDFD7C0</v>
      </c>
      <c r="D995" t="s">
        <v>113</v>
      </c>
      <c r="E995">
        <v>3</v>
      </c>
      <c r="F995">
        <v>1003</v>
      </c>
      <c r="G995" t="s">
        <v>114</v>
      </c>
      <c r="J995" t="s">
        <v>115</v>
      </c>
      <c r="K995">
        <v>0</v>
      </c>
      <c r="L995">
        <v>3</v>
      </c>
      <c r="M995">
        <v>0</v>
      </c>
      <c r="N995">
        <v>2</v>
      </c>
      <c r="O995">
        <v>1</v>
      </c>
      <c r="P995">
        <v>0</v>
      </c>
      <c r="Q995">
        <v>0</v>
      </c>
      <c r="S995" t="str">
        <f>"18:41:01.000"</f>
        <v>18:41:01.000</v>
      </c>
      <c r="T995" t="str">
        <f>"18:41:00.800"</f>
        <v>18:41:00.800</v>
      </c>
      <c r="U995" t="str">
        <f t="shared" si="98"/>
        <v>AAB6EE</v>
      </c>
      <c r="V995">
        <v>0</v>
      </c>
      <c r="W995">
        <v>0</v>
      </c>
      <c r="X995">
        <v>4</v>
      </c>
      <c r="Z995">
        <v>0</v>
      </c>
      <c r="AA995">
        <v>8</v>
      </c>
      <c r="AB995">
        <v>3</v>
      </c>
      <c r="AC995">
        <v>0</v>
      </c>
      <c r="AD995">
        <v>10</v>
      </c>
      <c r="AE995">
        <v>0</v>
      </c>
      <c r="AF995">
        <v>0</v>
      </c>
      <c r="AG995">
        <v>2</v>
      </c>
      <c r="AH995">
        <v>1</v>
      </c>
      <c r="AI995" t="s">
        <v>785</v>
      </c>
      <c r="AJ995">
        <v>35.306024999999998</v>
      </c>
      <c r="AK995" t="s">
        <v>786</v>
      </c>
      <c r="AL995">
        <v>-76.187202999999997</v>
      </c>
      <c r="AM995">
        <v>25</v>
      </c>
      <c r="AN995">
        <v>3425</v>
      </c>
      <c r="AO995" t="s">
        <v>118</v>
      </c>
      <c r="AP995">
        <v>-131</v>
      </c>
      <c r="AQ995">
        <v>-177</v>
      </c>
      <c r="AR995">
        <v>64</v>
      </c>
      <c r="AZ995">
        <v>4516</v>
      </c>
      <c r="BA995">
        <v>1</v>
      </c>
      <c r="BB995" t="str">
        <f t="shared" si="100"/>
        <v xml:space="preserve">N79NX   </v>
      </c>
      <c r="BC995">
        <v>1</v>
      </c>
      <c r="BE995">
        <v>0</v>
      </c>
      <c r="BF995">
        <v>0</v>
      </c>
      <c r="BG995">
        <v>0</v>
      </c>
      <c r="BH995">
        <v>3275</v>
      </c>
      <c r="BI995">
        <v>0</v>
      </c>
      <c r="BJ995">
        <v>0</v>
      </c>
      <c r="BK995">
        <v>0</v>
      </c>
      <c r="BL995">
        <v>0</v>
      </c>
      <c r="BO995">
        <v>0</v>
      </c>
      <c r="BP995">
        <v>0</v>
      </c>
      <c r="BW995" t="str">
        <f>"18:41:01.001"</f>
        <v>18:41:01.001</v>
      </c>
      <c r="BZ995">
        <v>0</v>
      </c>
      <c r="CA995">
        <v>4096</v>
      </c>
      <c r="CB995">
        <v>216</v>
      </c>
      <c r="CC995">
        <v>487.96879999999999</v>
      </c>
      <c r="CD995">
        <v>1</v>
      </c>
      <c r="CE995">
        <v>1</v>
      </c>
      <c r="CF995">
        <v>0</v>
      </c>
      <c r="CG995">
        <v>1</v>
      </c>
      <c r="CH995">
        <v>0</v>
      </c>
      <c r="CI995">
        <v>0</v>
      </c>
      <c r="CJ995">
        <v>0</v>
      </c>
      <c r="CK995">
        <v>2</v>
      </c>
      <c r="CL995">
        <v>0</v>
      </c>
      <c r="CM995">
        <v>2</v>
      </c>
      <c r="CN995">
        <v>0</v>
      </c>
      <c r="CO995">
        <v>3</v>
      </c>
      <c r="CP995" t="s">
        <v>119</v>
      </c>
      <c r="CQ995">
        <v>145</v>
      </c>
      <c r="CR995">
        <v>1</v>
      </c>
      <c r="CW995">
        <v>9005412</v>
      </c>
      <c r="CY995">
        <v>0</v>
      </c>
      <c r="CZ995">
        <v>0</v>
      </c>
      <c r="DA995">
        <v>0</v>
      </c>
      <c r="DB995">
        <v>0</v>
      </c>
      <c r="DC995">
        <v>0</v>
      </c>
      <c r="DD995">
        <v>0</v>
      </c>
      <c r="DE995">
        <v>0</v>
      </c>
      <c r="DF995">
        <v>0</v>
      </c>
      <c r="DG995">
        <v>0</v>
      </c>
      <c r="DH995">
        <v>0</v>
      </c>
      <c r="DI995">
        <v>0</v>
      </c>
    </row>
    <row r="996" spans="1:113" x14ac:dyDescent="0.3">
      <c r="A996" t="str">
        <f>"02/13/2022 18:41:01.223"</f>
        <v>02/13/2022 18:41:01.223</v>
      </c>
      <c r="C996" t="str">
        <f t="shared" si="99"/>
        <v>FFDFD7C0</v>
      </c>
      <c r="D996" t="s">
        <v>113</v>
      </c>
      <c r="E996">
        <v>4</v>
      </c>
      <c r="F996">
        <v>1004</v>
      </c>
      <c r="G996" t="s">
        <v>120</v>
      </c>
      <c r="J996" t="s">
        <v>115</v>
      </c>
      <c r="K996">
        <v>0</v>
      </c>
      <c r="L996">
        <v>3</v>
      </c>
      <c r="M996">
        <v>0</v>
      </c>
      <c r="N996">
        <v>2</v>
      </c>
      <c r="O996">
        <v>1</v>
      </c>
      <c r="P996">
        <v>0</v>
      </c>
      <c r="Q996">
        <v>0</v>
      </c>
      <c r="S996" t="str">
        <f>"18:41:01.000"</f>
        <v>18:41:01.000</v>
      </c>
      <c r="T996" t="str">
        <f>"18:41:00.800"</f>
        <v>18:41:00.800</v>
      </c>
      <c r="U996" t="str">
        <f t="shared" si="98"/>
        <v>AAB6EE</v>
      </c>
      <c r="V996">
        <v>0</v>
      </c>
      <c r="W996">
        <v>0</v>
      </c>
      <c r="X996">
        <v>4</v>
      </c>
      <c r="Z996">
        <v>0</v>
      </c>
      <c r="AA996">
        <v>8</v>
      </c>
      <c r="AB996">
        <v>3</v>
      </c>
      <c r="AC996">
        <v>0</v>
      </c>
      <c r="AD996">
        <v>10</v>
      </c>
      <c r="AE996">
        <v>0</v>
      </c>
      <c r="AF996">
        <v>0</v>
      </c>
      <c r="AG996">
        <v>2</v>
      </c>
      <c r="AH996">
        <v>1</v>
      </c>
      <c r="AI996" t="s">
        <v>785</v>
      </c>
      <c r="AJ996">
        <v>35.306024999999998</v>
      </c>
      <c r="AK996" t="s">
        <v>786</v>
      </c>
      <c r="AL996">
        <v>-76.187202999999997</v>
      </c>
      <c r="AM996">
        <v>25</v>
      </c>
      <c r="AN996">
        <v>3425</v>
      </c>
      <c r="AO996" t="s">
        <v>118</v>
      </c>
      <c r="AP996">
        <v>-131</v>
      </c>
      <c r="AQ996">
        <v>-177</v>
      </c>
      <c r="AR996">
        <v>64</v>
      </c>
      <c r="AZ996">
        <v>4516</v>
      </c>
      <c r="BA996">
        <v>1</v>
      </c>
      <c r="BB996" t="str">
        <f t="shared" si="100"/>
        <v xml:space="preserve">N79NX   </v>
      </c>
      <c r="BC996">
        <v>1</v>
      </c>
      <c r="BE996">
        <v>0</v>
      </c>
      <c r="BF996">
        <v>0</v>
      </c>
      <c r="BG996">
        <v>0</v>
      </c>
      <c r="BH996">
        <v>3275</v>
      </c>
      <c r="BI996">
        <v>0</v>
      </c>
      <c r="BJ996">
        <v>0</v>
      </c>
      <c r="BK996">
        <v>0</v>
      </c>
      <c r="BL996">
        <v>0</v>
      </c>
      <c r="BO996">
        <v>0</v>
      </c>
      <c r="BP996">
        <v>0</v>
      </c>
      <c r="BW996" t="str">
        <f>"18:41:01.001"</f>
        <v>18:41:01.001</v>
      </c>
      <c r="BZ996">
        <v>0</v>
      </c>
      <c r="CA996">
        <v>4096</v>
      </c>
      <c r="CB996">
        <v>216</v>
      </c>
      <c r="CC996">
        <v>487.96879999999999</v>
      </c>
      <c r="CD996">
        <v>1</v>
      </c>
      <c r="CE996">
        <v>1</v>
      </c>
      <c r="CF996">
        <v>0</v>
      </c>
      <c r="CG996">
        <v>1</v>
      </c>
      <c r="CH996">
        <v>0</v>
      </c>
      <c r="CI996">
        <v>0</v>
      </c>
      <c r="CJ996">
        <v>0</v>
      </c>
      <c r="CK996">
        <v>2</v>
      </c>
      <c r="CL996">
        <v>0</v>
      </c>
      <c r="CM996">
        <v>2</v>
      </c>
      <c r="CN996">
        <v>0</v>
      </c>
      <c r="CO996">
        <v>3</v>
      </c>
      <c r="CP996" t="s">
        <v>119</v>
      </c>
      <c r="CQ996">
        <v>145</v>
      </c>
      <c r="CR996">
        <v>1</v>
      </c>
      <c r="CW996">
        <v>9005412</v>
      </c>
      <c r="CY996">
        <v>0</v>
      </c>
      <c r="CZ996">
        <v>0</v>
      </c>
      <c r="DA996">
        <v>1</v>
      </c>
      <c r="DB996">
        <v>0</v>
      </c>
      <c r="DC996">
        <v>0</v>
      </c>
      <c r="DD996">
        <v>0</v>
      </c>
      <c r="DE996">
        <v>0</v>
      </c>
      <c r="DF996">
        <v>0</v>
      </c>
      <c r="DG996">
        <v>0</v>
      </c>
      <c r="DH996">
        <v>0</v>
      </c>
      <c r="DI996">
        <v>0</v>
      </c>
    </row>
    <row r="997" spans="1:113" x14ac:dyDescent="0.3">
      <c r="A997" t="str">
        <f>"02/13/2022 18:41:01.317"</f>
        <v>02/13/2022 18:41:01.317</v>
      </c>
      <c r="C997" t="str">
        <f t="shared" si="99"/>
        <v>FFDFD7C0</v>
      </c>
      <c r="D997" t="s">
        <v>121</v>
      </c>
      <c r="E997">
        <v>2</v>
      </c>
      <c r="H997">
        <v>158</v>
      </c>
      <c r="I997" t="s">
        <v>120</v>
      </c>
      <c r="J997" t="s">
        <v>122</v>
      </c>
      <c r="K997">
        <v>0</v>
      </c>
      <c r="L997">
        <v>3</v>
      </c>
      <c r="M997">
        <v>0</v>
      </c>
      <c r="N997">
        <v>2</v>
      </c>
      <c r="O997">
        <v>1</v>
      </c>
      <c r="P997">
        <v>0</v>
      </c>
      <c r="Q997">
        <v>0</v>
      </c>
      <c r="S997" t="str">
        <f>"18:41:01.000"</f>
        <v>18:41:01.000</v>
      </c>
      <c r="T997" t="str">
        <f>"18:41:00.800"</f>
        <v>18:41:00.800</v>
      </c>
      <c r="U997" t="str">
        <f t="shared" si="98"/>
        <v>AAB6EE</v>
      </c>
      <c r="V997">
        <v>0</v>
      </c>
      <c r="W997">
        <v>0</v>
      </c>
      <c r="X997">
        <v>4</v>
      </c>
      <c r="Z997">
        <v>0</v>
      </c>
      <c r="AA997">
        <v>8</v>
      </c>
      <c r="AB997">
        <v>3</v>
      </c>
      <c r="AC997">
        <v>0</v>
      </c>
      <c r="AD997">
        <v>10</v>
      </c>
      <c r="AE997">
        <v>0</v>
      </c>
      <c r="AF997">
        <v>0</v>
      </c>
      <c r="AG997">
        <v>2</v>
      </c>
      <c r="AH997">
        <v>1</v>
      </c>
      <c r="AI997" t="s">
        <v>785</v>
      </c>
      <c r="AJ997">
        <v>35.306024999999998</v>
      </c>
      <c r="AK997" t="s">
        <v>786</v>
      </c>
      <c r="AL997">
        <v>-76.187202999999997</v>
      </c>
      <c r="AM997">
        <v>25</v>
      </c>
      <c r="AN997">
        <v>3425</v>
      </c>
      <c r="AO997" t="s">
        <v>118</v>
      </c>
      <c r="AP997">
        <v>-131</v>
      </c>
      <c r="AQ997">
        <v>-177</v>
      </c>
      <c r="AR997">
        <v>64</v>
      </c>
      <c r="AZ997">
        <v>4516</v>
      </c>
      <c r="BA997">
        <v>1</v>
      </c>
      <c r="BB997" t="str">
        <f t="shared" si="100"/>
        <v xml:space="preserve">N79NX   </v>
      </c>
      <c r="BC997">
        <v>1</v>
      </c>
      <c r="BE997">
        <v>0</v>
      </c>
      <c r="BF997">
        <v>0</v>
      </c>
      <c r="BG997">
        <v>0</v>
      </c>
      <c r="BH997">
        <v>3275</v>
      </c>
      <c r="BI997">
        <v>0</v>
      </c>
      <c r="BJ997">
        <v>0</v>
      </c>
      <c r="BK997">
        <v>0</v>
      </c>
      <c r="BL997">
        <v>0</v>
      </c>
      <c r="BO997">
        <v>0</v>
      </c>
      <c r="BP997">
        <v>0</v>
      </c>
      <c r="BW997" t="str">
        <f>"18:41:01.001"</f>
        <v>18:41:01.001</v>
      </c>
      <c r="BZ997">
        <v>0</v>
      </c>
      <c r="CA997">
        <v>4096</v>
      </c>
      <c r="CB997">
        <v>216</v>
      </c>
      <c r="CC997">
        <v>487.96879999999999</v>
      </c>
      <c r="CD997">
        <v>1</v>
      </c>
      <c r="CE997">
        <v>1</v>
      </c>
      <c r="CF997">
        <v>0</v>
      </c>
      <c r="CG997">
        <v>1</v>
      </c>
      <c r="CH997">
        <v>0</v>
      </c>
      <c r="CI997">
        <v>0</v>
      </c>
      <c r="CJ997">
        <v>0</v>
      </c>
      <c r="CK997">
        <v>2</v>
      </c>
      <c r="CL997">
        <v>0</v>
      </c>
      <c r="CM997">
        <v>2</v>
      </c>
      <c r="CN997">
        <v>0</v>
      </c>
      <c r="CO997">
        <v>3</v>
      </c>
      <c r="CP997" t="s">
        <v>119</v>
      </c>
      <c r="CQ997">
        <v>145</v>
      </c>
      <c r="CR997">
        <v>1</v>
      </c>
      <c r="CW997">
        <v>9005412</v>
      </c>
      <c r="CY997">
        <v>0</v>
      </c>
      <c r="CZ997">
        <v>0</v>
      </c>
      <c r="DA997">
        <v>1</v>
      </c>
      <c r="DB997">
        <v>0</v>
      </c>
      <c r="DC997">
        <v>0</v>
      </c>
      <c r="DD997">
        <v>0</v>
      </c>
      <c r="DE997">
        <v>0</v>
      </c>
      <c r="DF997">
        <v>0</v>
      </c>
      <c r="DG997">
        <v>0</v>
      </c>
      <c r="DH997">
        <v>0</v>
      </c>
      <c r="DI997">
        <v>0</v>
      </c>
    </row>
    <row r="998" spans="1:113" x14ac:dyDescent="0.3">
      <c r="A998" t="str">
        <f>"02/13/2022 18:41:02.301"</f>
        <v>02/13/2022 18:41:02.301</v>
      </c>
      <c r="C998" t="str">
        <f t="shared" si="99"/>
        <v>FFDFD7C0</v>
      </c>
      <c r="D998" t="s">
        <v>121</v>
      </c>
      <c r="E998">
        <v>2</v>
      </c>
      <c r="H998">
        <v>158</v>
      </c>
      <c r="I998" t="s">
        <v>120</v>
      </c>
      <c r="J998" t="s">
        <v>122</v>
      </c>
      <c r="K998">
        <v>0</v>
      </c>
      <c r="L998">
        <v>3</v>
      </c>
      <c r="M998">
        <v>0</v>
      </c>
      <c r="N998">
        <v>2</v>
      </c>
      <c r="O998">
        <v>1</v>
      </c>
      <c r="P998">
        <v>0</v>
      </c>
      <c r="Q998">
        <v>0</v>
      </c>
      <c r="S998" t="str">
        <f>"18:41:02.078"</f>
        <v>18:41:02.078</v>
      </c>
      <c r="T998" t="str">
        <f>"18:41:01.678"</f>
        <v>18:41:01.678</v>
      </c>
      <c r="U998" t="str">
        <f t="shared" si="98"/>
        <v>AAB6EE</v>
      </c>
      <c r="V998">
        <v>0</v>
      </c>
      <c r="W998">
        <v>0</v>
      </c>
      <c r="X998">
        <v>4</v>
      </c>
      <c r="Z998">
        <v>0</v>
      </c>
      <c r="AA998">
        <v>8</v>
      </c>
      <c r="AB998">
        <v>3</v>
      </c>
      <c r="AC998">
        <v>0</v>
      </c>
      <c r="AD998">
        <v>10</v>
      </c>
      <c r="AE998">
        <v>0</v>
      </c>
      <c r="AF998">
        <v>0</v>
      </c>
      <c r="AG998">
        <v>2</v>
      </c>
      <c r="AH998">
        <v>1</v>
      </c>
      <c r="AI998" t="s">
        <v>787</v>
      </c>
      <c r="AJ998">
        <v>35.305079999999997</v>
      </c>
      <c r="AK998" t="s">
        <v>788</v>
      </c>
      <c r="AL998">
        <v>-76.187974999999994</v>
      </c>
      <c r="AM998">
        <v>25</v>
      </c>
      <c r="AN998">
        <v>3425</v>
      </c>
      <c r="AO998" t="s">
        <v>118</v>
      </c>
      <c r="AP998">
        <v>-124</v>
      </c>
      <c r="AQ998">
        <v>-182</v>
      </c>
      <c r="AR998">
        <v>64</v>
      </c>
      <c r="AZ998">
        <v>4516</v>
      </c>
      <c r="BA998">
        <v>1</v>
      </c>
      <c r="BB998" t="str">
        <f t="shared" si="100"/>
        <v xml:space="preserve">N79NX   </v>
      </c>
      <c r="BC998">
        <v>1</v>
      </c>
      <c r="BE998">
        <v>0</v>
      </c>
      <c r="BF998">
        <v>0</v>
      </c>
      <c r="BG998">
        <v>0</v>
      </c>
      <c r="BH998">
        <v>3275</v>
      </c>
      <c r="BI998">
        <v>0</v>
      </c>
      <c r="BJ998">
        <v>0</v>
      </c>
      <c r="BK998">
        <v>0</v>
      </c>
      <c r="BL998">
        <v>0</v>
      </c>
      <c r="BO998">
        <v>0</v>
      </c>
      <c r="BP998">
        <v>0</v>
      </c>
      <c r="BW998" t="str">
        <f>"18:41:02.081"</f>
        <v>18:41:02.081</v>
      </c>
      <c r="BZ998">
        <v>0</v>
      </c>
      <c r="CA998">
        <v>4096</v>
      </c>
      <c r="CB998">
        <v>216</v>
      </c>
      <c r="CC998">
        <v>487.96879999999999</v>
      </c>
      <c r="CD998">
        <v>1</v>
      </c>
      <c r="CE998">
        <v>1</v>
      </c>
      <c r="CF998">
        <v>0</v>
      </c>
      <c r="CG998">
        <v>1</v>
      </c>
      <c r="CH998">
        <v>0</v>
      </c>
      <c r="CI998">
        <v>0</v>
      </c>
      <c r="CJ998">
        <v>0</v>
      </c>
      <c r="CK998">
        <v>2</v>
      </c>
      <c r="CL998">
        <v>0</v>
      </c>
      <c r="CM998">
        <v>2</v>
      </c>
      <c r="CN998">
        <v>0</v>
      </c>
      <c r="CO998">
        <v>3</v>
      </c>
      <c r="CP998" t="s">
        <v>119</v>
      </c>
      <c r="CQ998">
        <v>145</v>
      </c>
      <c r="CR998">
        <v>1</v>
      </c>
      <c r="CW998">
        <v>9005925</v>
      </c>
      <c r="CY998">
        <v>0</v>
      </c>
      <c r="CZ998">
        <v>0</v>
      </c>
      <c r="DA998">
        <v>0</v>
      </c>
      <c r="DB998">
        <v>0</v>
      </c>
      <c r="DC998">
        <v>0</v>
      </c>
      <c r="DD998">
        <v>0</v>
      </c>
      <c r="DE998">
        <v>0</v>
      </c>
      <c r="DF998">
        <v>0</v>
      </c>
      <c r="DG998">
        <v>0</v>
      </c>
      <c r="DH998">
        <v>0</v>
      </c>
      <c r="DI998">
        <v>0</v>
      </c>
    </row>
    <row r="999" spans="1:113" x14ac:dyDescent="0.3">
      <c r="A999" t="str">
        <f>"02/13/2022 18:41:02.332"</f>
        <v>02/13/2022 18:41:02.332</v>
      </c>
      <c r="C999" t="str">
        <f t="shared" si="99"/>
        <v>FFDFD7C0</v>
      </c>
      <c r="D999" t="s">
        <v>113</v>
      </c>
      <c r="E999">
        <v>3</v>
      </c>
      <c r="F999">
        <v>1003</v>
      </c>
      <c r="G999" t="s">
        <v>114</v>
      </c>
      <c r="J999" t="s">
        <v>115</v>
      </c>
      <c r="K999">
        <v>0</v>
      </c>
      <c r="L999">
        <v>3</v>
      </c>
      <c r="M999">
        <v>0</v>
      </c>
      <c r="N999">
        <v>2</v>
      </c>
      <c r="O999">
        <v>1</v>
      </c>
      <c r="P999">
        <v>0</v>
      </c>
      <c r="Q999">
        <v>0</v>
      </c>
      <c r="S999" t="str">
        <f>"18:41:02.078"</f>
        <v>18:41:02.078</v>
      </c>
      <c r="T999" t="str">
        <f>"18:41:01.678"</f>
        <v>18:41:01.678</v>
      </c>
      <c r="U999" t="str">
        <f t="shared" si="98"/>
        <v>AAB6EE</v>
      </c>
      <c r="V999">
        <v>0</v>
      </c>
      <c r="W999">
        <v>0</v>
      </c>
      <c r="X999">
        <v>4</v>
      </c>
      <c r="Z999">
        <v>0</v>
      </c>
      <c r="AA999">
        <v>8</v>
      </c>
      <c r="AB999">
        <v>3</v>
      </c>
      <c r="AC999">
        <v>0</v>
      </c>
      <c r="AD999">
        <v>10</v>
      </c>
      <c r="AE999">
        <v>0</v>
      </c>
      <c r="AF999">
        <v>0</v>
      </c>
      <c r="AG999">
        <v>2</v>
      </c>
      <c r="AH999">
        <v>1</v>
      </c>
      <c r="AI999" t="s">
        <v>787</v>
      </c>
      <c r="AJ999">
        <v>35.305079999999997</v>
      </c>
      <c r="AK999" t="s">
        <v>788</v>
      </c>
      <c r="AL999">
        <v>-76.187974999999994</v>
      </c>
      <c r="AM999">
        <v>25</v>
      </c>
      <c r="AN999">
        <v>3425</v>
      </c>
      <c r="AO999" t="s">
        <v>118</v>
      </c>
      <c r="AP999">
        <v>-124</v>
      </c>
      <c r="AQ999">
        <v>-182</v>
      </c>
      <c r="AR999">
        <v>64</v>
      </c>
      <c r="AZ999">
        <v>4516</v>
      </c>
      <c r="BA999">
        <v>1</v>
      </c>
      <c r="BB999" t="str">
        <f t="shared" si="100"/>
        <v xml:space="preserve">N79NX   </v>
      </c>
      <c r="BC999">
        <v>1</v>
      </c>
      <c r="BE999">
        <v>0</v>
      </c>
      <c r="BF999">
        <v>0</v>
      </c>
      <c r="BG999">
        <v>0</v>
      </c>
      <c r="BH999">
        <v>3275</v>
      </c>
      <c r="BI999">
        <v>0</v>
      </c>
      <c r="BJ999">
        <v>0</v>
      </c>
      <c r="BK999">
        <v>0</v>
      </c>
      <c r="BL999">
        <v>0</v>
      </c>
      <c r="BO999">
        <v>0</v>
      </c>
      <c r="BP999">
        <v>0</v>
      </c>
      <c r="BW999" t="str">
        <f>"18:41:02.081"</f>
        <v>18:41:02.081</v>
      </c>
      <c r="BZ999">
        <v>0</v>
      </c>
      <c r="CA999">
        <v>4096</v>
      </c>
      <c r="CB999">
        <v>216</v>
      </c>
      <c r="CC999">
        <v>487.96879999999999</v>
      </c>
      <c r="CD999">
        <v>1</v>
      </c>
      <c r="CE999">
        <v>1</v>
      </c>
      <c r="CF999">
        <v>0</v>
      </c>
      <c r="CG999">
        <v>1</v>
      </c>
      <c r="CH999">
        <v>0</v>
      </c>
      <c r="CI999">
        <v>0</v>
      </c>
      <c r="CJ999">
        <v>0</v>
      </c>
      <c r="CK999">
        <v>2</v>
      </c>
      <c r="CL999">
        <v>0</v>
      </c>
      <c r="CM999">
        <v>2</v>
      </c>
      <c r="CN999">
        <v>0</v>
      </c>
      <c r="CO999">
        <v>3</v>
      </c>
      <c r="CP999" t="s">
        <v>119</v>
      </c>
      <c r="CQ999">
        <v>145</v>
      </c>
      <c r="CR999">
        <v>1</v>
      </c>
      <c r="CW999">
        <v>9005925</v>
      </c>
      <c r="CY999">
        <v>0</v>
      </c>
      <c r="CZ999">
        <v>0</v>
      </c>
      <c r="DA999">
        <v>1</v>
      </c>
      <c r="DB999">
        <v>0</v>
      </c>
      <c r="DC999">
        <v>0</v>
      </c>
      <c r="DD999">
        <v>0</v>
      </c>
      <c r="DE999">
        <v>0</v>
      </c>
      <c r="DF999">
        <v>0</v>
      </c>
      <c r="DG999">
        <v>0</v>
      </c>
      <c r="DH999">
        <v>0</v>
      </c>
      <c r="DI999">
        <v>0</v>
      </c>
    </row>
    <row r="1000" spans="1:113" x14ac:dyDescent="0.3">
      <c r="A1000" t="str">
        <f>"02/13/2022 18:41:02.332"</f>
        <v>02/13/2022 18:41:02.332</v>
      </c>
      <c r="C1000" t="str">
        <f t="shared" si="99"/>
        <v>FFDFD7C0</v>
      </c>
      <c r="D1000" t="s">
        <v>113</v>
      </c>
      <c r="E1000">
        <v>4</v>
      </c>
      <c r="F1000">
        <v>1004</v>
      </c>
      <c r="G1000" t="s">
        <v>120</v>
      </c>
      <c r="J1000" t="s">
        <v>115</v>
      </c>
      <c r="K1000">
        <v>0</v>
      </c>
      <c r="L1000">
        <v>3</v>
      </c>
      <c r="M1000">
        <v>0</v>
      </c>
      <c r="N1000">
        <v>2</v>
      </c>
      <c r="O1000">
        <v>1</v>
      </c>
      <c r="P1000">
        <v>0</v>
      </c>
      <c r="Q1000">
        <v>0</v>
      </c>
      <c r="S1000" t="str">
        <f>"18:41:02.078"</f>
        <v>18:41:02.078</v>
      </c>
      <c r="T1000" t="str">
        <f>"18:41:01.678"</f>
        <v>18:41:01.678</v>
      </c>
      <c r="U1000" t="str">
        <f t="shared" si="98"/>
        <v>AAB6EE</v>
      </c>
      <c r="V1000">
        <v>0</v>
      </c>
      <c r="W1000">
        <v>0</v>
      </c>
      <c r="X1000">
        <v>4</v>
      </c>
      <c r="Z1000">
        <v>0</v>
      </c>
      <c r="AA1000">
        <v>8</v>
      </c>
      <c r="AB1000">
        <v>3</v>
      </c>
      <c r="AC1000">
        <v>0</v>
      </c>
      <c r="AD1000">
        <v>10</v>
      </c>
      <c r="AE1000">
        <v>0</v>
      </c>
      <c r="AF1000">
        <v>0</v>
      </c>
      <c r="AG1000">
        <v>2</v>
      </c>
      <c r="AH1000">
        <v>1</v>
      </c>
      <c r="AI1000" t="s">
        <v>787</v>
      </c>
      <c r="AJ1000">
        <v>35.305079999999997</v>
      </c>
      <c r="AK1000" t="s">
        <v>788</v>
      </c>
      <c r="AL1000">
        <v>-76.187974999999994</v>
      </c>
      <c r="AM1000">
        <v>25</v>
      </c>
      <c r="AN1000">
        <v>3425</v>
      </c>
      <c r="AO1000" t="s">
        <v>118</v>
      </c>
      <c r="AP1000">
        <v>-124</v>
      </c>
      <c r="AQ1000">
        <v>-182</v>
      </c>
      <c r="AR1000">
        <v>64</v>
      </c>
      <c r="AZ1000">
        <v>4516</v>
      </c>
      <c r="BA1000">
        <v>1</v>
      </c>
      <c r="BB1000" t="str">
        <f t="shared" si="100"/>
        <v xml:space="preserve">N79NX   </v>
      </c>
      <c r="BC1000">
        <v>1</v>
      </c>
      <c r="BE1000">
        <v>0</v>
      </c>
      <c r="BF1000">
        <v>0</v>
      </c>
      <c r="BG1000">
        <v>0</v>
      </c>
      <c r="BH1000">
        <v>3275</v>
      </c>
      <c r="BI1000">
        <v>0</v>
      </c>
      <c r="BJ1000">
        <v>0</v>
      </c>
      <c r="BK1000">
        <v>0</v>
      </c>
      <c r="BL1000">
        <v>0</v>
      </c>
      <c r="BO1000">
        <v>0</v>
      </c>
      <c r="BP1000">
        <v>0</v>
      </c>
      <c r="BW1000" t="str">
        <f>"18:41:02.081"</f>
        <v>18:41:02.081</v>
      </c>
      <c r="BZ1000">
        <v>0</v>
      </c>
      <c r="CA1000">
        <v>4096</v>
      </c>
      <c r="CB1000">
        <v>216</v>
      </c>
      <c r="CC1000">
        <v>487.96879999999999</v>
      </c>
      <c r="CD1000">
        <v>1</v>
      </c>
      <c r="CE1000">
        <v>1</v>
      </c>
      <c r="CF1000">
        <v>0</v>
      </c>
      <c r="CG1000">
        <v>1</v>
      </c>
      <c r="CH1000">
        <v>0</v>
      </c>
      <c r="CI1000">
        <v>0</v>
      </c>
      <c r="CJ1000">
        <v>0</v>
      </c>
      <c r="CK1000">
        <v>2</v>
      </c>
      <c r="CL1000">
        <v>0</v>
      </c>
      <c r="CM1000">
        <v>2</v>
      </c>
      <c r="CN1000">
        <v>0</v>
      </c>
      <c r="CO1000">
        <v>3</v>
      </c>
      <c r="CP1000" t="s">
        <v>119</v>
      </c>
      <c r="CQ1000">
        <v>145</v>
      </c>
      <c r="CR1000">
        <v>1</v>
      </c>
      <c r="CW1000">
        <v>9005925</v>
      </c>
      <c r="CY1000">
        <v>0</v>
      </c>
      <c r="CZ1000">
        <v>0</v>
      </c>
      <c r="DA1000">
        <v>1</v>
      </c>
      <c r="DB1000">
        <v>0</v>
      </c>
      <c r="DC1000">
        <v>0</v>
      </c>
      <c r="DD1000">
        <v>0</v>
      </c>
      <c r="DE1000">
        <v>0</v>
      </c>
      <c r="DF1000">
        <v>0</v>
      </c>
      <c r="DG1000">
        <v>0</v>
      </c>
      <c r="DH1000">
        <v>0</v>
      </c>
      <c r="DI1000">
        <v>0</v>
      </c>
    </row>
    <row r="1001" spans="1:113" x14ac:dyDescent="0.3">
      <c r="A1001" t="str">
        <f>"02/13/2022 18:41:03.410"</f>
        <v>02/13/2022 18:41:03.410</v>
      </c>
      <c r="C1001" t="str">
        <f t="shared" si="99"/>
        <v>FFDFD7C0</v>
      </c>
      <c r="D1001" t="s">
        <v>121</v>
      </c>
      <c r="E1001">
        <v>2</v>
      </c>
      <c r="H1001">
        <v>158</v>
      </c>
      <c r="I1001" t="s">
        <v>120</v>
      </c>
      <c r="J1001" t="s">
        <v>122</v>
      </c>
      <c r="K1001">
        <v>0</v>
      </c>
      <c r="L1001">
        <v>3</v>
      </c>
      <c r="M1001">
        <v>0</v>
      </c>
      <c r="N1001">
        <v>2</v>
      </c>
      <c r="O1001">
        <v>1</v>
      </c>
      <c r="P1001">
        <v>0</v>
      </c>
      <c r="Q1001">
        <v>0</v>
      </c>
      <c r="S1001" t="str">
        <f>"18:41:03.195"</f>
        <v>18:41:03.195</v>
      </c>
      <c r="T1001" t="str">
        <f>"18:41:02.195"</f>
        <v>18:41:02.195</v>
      </c>
      <c r="U1001" t="str">
        <f t="shared" si="98"/>
        <v>AAB6EE</v>
      </c>
      <c r="V1001">
        <v>0</v>
      </c>
      <c r="W1001">
        <v>0</v>
      </c>
      <c r="X1001">
        <v>4</v>
      </c>
      <c r="Z1001">
        <v>0</v>
      </c>
      <c r="AA1001">
        <v>8</v>
      </c>
      <c r="AB1001">
        <v>3</v>
      </c>
      <c r="AC1001">
        <v>0</v>
      </c>
      <c r="AD1001">
        <v>10</v>
      </c>
      <c r="AE1001">
        <v>0</v>
      </c>
      <c r="AF1001">
        <v>0</v>
      </c>
      <c r="AG1001">
        <v>2</v>
      </c>
      <c r="AH1001">
        <v>1</v>
      </c>
      <c r="AI1001" t="s">
        <v>789</v>
      </c>
      <c r="AJ1001">
        <v>35.304158000000001</v>
      </c>
      <c r="AK1001" t="s">
        <v>790</v>
      </c>
      <c r="AL1001">
        <v>-76.188704999999999</v>
      </c>
      <c r="AM1001">
        <v>25</v>
      </c>
      <c r="AN1001">
        <v>3425</v>
      </c>
      <c r="AO1001" t="s">
        <v>118</v>
      </c>
      <c r="AP1001">
        <v>-120</v>
      </c>
      <c r="AQ1001">
        <v>-185</v>
      </c>
      <c r="AR1001">
        <v>64</v>
      </c>
      <c r="AZ1001">
        <v>4516</v>
      </c>
      <c r="BA1001">
        <v>1</v>
      </c>
      <c r="BB1001" t="str">
        <f t="shared" si="100"/>
        <v xml:space="preserve">N79NX   </v>
      </c>
      <c r="BC1001">
        <v>1</v>
      </c>
      <c r="BE1001">
        <v>0</v>
      </c>
      <c r="BF1001">
        <v>0</v>
      </c>
      <c r="BG1001">
        <v>0</v>
      </c>
      <c r="BH1001">
        <v>3275</v>
      </c>
      <c r="BI1001">
        <v>0</v>
      </c>
      <c r="BJ1001">
        <v>0</v>
      </c>
      <c r="BK1001">
        <v>0</v>
      </c>
      <c r="BL1001">
        <v>0</v>
      </c>
      <c r="BO1001">
        <v>0</v>
      </c>
      <c r="BP1001">
        <v>0</v>
      </c>
      <c r="BW1001" t="str">
        <f>"18:41:03.201"</f>
        <v>18:41:03.201</v>
      </c>
      <c r="BZ1001">
        <v>0</v>
      </c>
      <c r="CA1001">
        <v>4096</v>
      </c>
      <c r="CB1001">
        <v>216</v>
      </c>
      <c r="CC1001">
        <v>487.96879999999999</v>
      </c>
      <c r="CD1001">
        <v>1</v>
      </c>
      <c r="CE1001">
        <v>1</v>
      </c>
      <c r="CF1001">
        <v>0</v>
      </c>
      <c r="CG1001">
        <v>1</v>
      </c>
      <c r="CH1001">
        <v>0</v>
      </c>
      <c r="CI1001">
        <v>0</v>
      </c>
      <c r="CJ1001">
        <v>0</v>
      </c>
      <c r="CK1001">
        <v>2</v>
      </c>
      <c r="CL1001">
        <v>0</v>
      </c>
      <c r="CM1001">
        <v>2</v>
      </c>
      <c r="CN1001">
        <v>0</v>
      </c>
      <c r="CO1001">
        <v>3</v>
      </c>
      <c r="CP1001" t="s">
        <v>119</v>
      </c>
      <c r="CQ1001">
        <v>145</v>
      </c>
      <c r="CR1001">
        <v>1</v>
      </c>
      <c r="CW1001">
        <v>9006387</v>
      </c>
      <c r="CY1001">
        <v>0</v>
      </c>
      <c r="CZ1001">
        <v>0</v>
      </c>
      <c r="DA1001">
        <v>0</v>
      </c>
      <c r="DB1001">
        <v>0</v>
      </c>
      <c r="DC1001">
        <v>0</v>
      </c>
      <c r="DD1001">
        <v>0</v>
      </c>
      <c r="DE1001">
        <v>0</v>
      </c>
      <c r="DF1001">
        <v>0</v>
      </c>
      <c r="DG1001">
        <v>0</v>
      </c>
      <c r="DH1001">
        <v>0</v>
      </c>
      <c r="DI1001">
        <v>0</v>
      </c>
    </row>
    <row r="1002" spans="1:113" x14ac:dyDescent="0.3">
      <c r="A1002" t="str">
        <f>"02/13/2022 18:41:03.535"</f>
        <v>02/13/2022 18:41:03.535</v>
      </c>
      <c r="C1002" t="str">
        <f t="shared" si="99"/>
        <v>FFDFD7C0</v>
      </c>
      <c r="D1002" t="s">
        <v>113</v>
      </c>
      <c r="E1002">
        <v>3</v>
      </c>
      <c r="F1002">
        <v>1003</v>
      </c>
      <c r="G1002" t="s">
        <v>114</v>
      </c>
      <c r="J1002" t="s">
        <v>115</v>
      </c>
      <c r="K1002">
        <v>0</v>
      </c>
      <c r="L1002">
        <v>3</v>
      </c>
      <c r="M1002">
        <v>0</v>
      </c>
      <c r="N1002">
        <v>2</v>
      </c>
      <c r="O1002">
        <v>1</v>
      </c>
      <c r="P1002">
        <v>0</v>
      </c>
      <c r="Q1002">
        <v>0</v>
      </c>
      <c r="S1002" t="str">
        <f>"18:41:03.195"</f>
        <v>18:41:03.195</v>
      </c>
      <c r="T1002" t="str">
        <f>"18:41:02.195"</f>
        <v>18:41:02.195</v>
      </c>
      <c r="U1002" t="str">
        <f t="shared" si="98"/>
        <v>AAB6EE</v>
      </c>
      <c r="V1002">
        <v>0</v>
      </c>
      <c r="W1002">
        <v>0</v>
      </c>
      <c r="X1002">
        <v>4</v>
      </c>
      <c r="Z1002">
        <v>0</v>
      </c>
      <c r="AA1002">
        <v>8</v>
      </c>
      <c r="AB1002">
        <v>3</v>
      </c>
      <c r="AC1002">
        <v>0</v>
      </c>
      <c r="AD1002">
        <v>10</v>
      </c>
      <c r="AE1002">
        <v>0</v>
      </c>
      <c r="AF1002">
        <v>0</v>
      </c>
      <c r="AG1002">
        <v>2</v>
      </c>
      <c r="AH1002">
        <v>1</v>
      </c>
      <c r="AI1002" t="s">
        <v>789</v>
      </c>
      <c r="AJ1002">
        <v>35.304158000000001</v>
      </c>
      <c r="AK1002" t="s">
        <v>790</v>
      </c>
      <c r="AL1002">
        <v>-76.188704999999999</v>
      </c>
      <c r="AM1002">
        <v>25</v>
      </c>
      <c r="AN1002">
        <v>3425</v>
      </c>
      <c r="AO1002" t="s">
        <v>118</v>
      </c>
      <c r="AP1002">
        <v>-120</v>
      </c>
      <c r="AQ1002">
        <v>-185</v>
      </c>
      <c r="AR1002">
        <v>64</v>
      </c>
      <c r="AZ1002">
        <v>4516</v>
      </c>
      <c r="BA1002">
        <v>1</v>
      </c>
      <c r="BB1002" t="str">
        <f t="shared" si="100"/>
        <v xml:space="preserve">N79NX   </v>
      </c>
      <c r="BC1002">
        <v>1</v>
      </c>
      <c r="BE1002">
        <v>0</v>
      </c>
      <c r="BF1002">
        <v>0</v>
      </c>
      <c r="BG1002">
        <v>0</v>
      </c>
      <c r="BH1002">
        <v>3275</v>
      </c>
      <c r="BI1002">
        <v>0</v>
      </c>
      <c r="BJ1002">
        <v>0</v>
      </c>
      <c r="BK1002">
        <v>0</v>
      </c>
      <c r="BL1002">
        <v>0</v>
      </c>
      <c r="BO1002">
        <v>0</v>
      </c>
      <c r="BP1002">
        <v>0</v>
      </c>
      <c r="BW1002" t="str">
        <f>"18:41:03.201"</f>
        <v>18:41:03.201</v>
      </c>
      <c r="BZ1002">
        <v>0</v>
      </c>
      <c r="CA1002">
        <v>4096</v>
      </c>
      <c r="CB1002">
        <v>216</v>
      </c>
      <c r="CC1002">
        <v>487.96879999999999</v>
      </c>
      <c r="CD1002">
        <v>1</v>
      </c>
      <c r="CE1002">
        <v>1</v>
      </c>
      <c r="CF1002">
        <v>0</v>
      </c>
      <c r="CG1002">
        <v>1</v>
      </c>
      <c r="CH1002">
        <v>0</v>
      </c>
      <c r="CI1002">
        <v>0</v>
      </c>
      <c r="CJ1002">
        <v>0</v>
      </c>
      <c r="CK1002">
        <v>2</v>
      </c>
      <c r="CL1002">
        <v>0</v>
      </c>
      <c r="CM1002">
        <v>2</v>
      </c>
      <c r="CN1002">
        <v>0</v>
      </c>
      <c r="CO1002">
        <v>3</v>
      </c>
      <c r="CP1002" t="s">
        <v>119</v>
      </c>
      <c r="CQ1002">
        <v>145</v>
      </c>
      <c r="CR1002">
        <v>1</v>
      </c>
      <c r="CW1002">
        <v>9006387</v>
      </c>
      <c r="CY1002">
        <v>0</v>
      </c>
      <c r="CZ1002">
        <v>0</v>
      </c>
      <c r="DA1002">
        <v>1</v>
      </c>
      <c r="DB1002">
        <v>0</v>
      </c>
      <c r="DC1002">
        <v>0</v>
      </c>
      <c r="DD1002">
        <v>0</v>
      </c>
      <c r="DE1002">
        <v>0</v>
      </c>
      <c r="DF1002">
        <v>0</v>
      </c>
      <c r="DG1002">
        <v>0</v>
      </c>
      <c r="DH1002">
        <v>0</v>
      </c>
      <c r="DI1002">
        <v>0</v>
      </c>
    </row>
    <row r="1003" spans="1:113" x14ac:dyDescent="0.3">
      <c r="A1003" t="str">
        <f>"02/13/2022 18:41:03.535"</f>
        <v>02/13/2022 18:41:03.535</v>
      </c>
      <c r="C1003" t="str">
        <f t="shared" si="99"/>
        <v>FFDFD7C0</v>
      </c>
      <c r="D1003" t="s">
        <v>113</v>
      </c>
      <c r="E1003">
        <v>4</v>
      </c>
      <c r="F1003">
        <v>1004</v>
      </c>
      <c r="G1003" t="s">
        <v>120</v>
      </c>
      <c r="J1003" t="s">
        <v>115</v>
      </c>
      <c r="K1003">
        <v>0</v>
      </c>
      <c r="L1003">
        <v>3</v>
      </c>
      <c r="M1003">
        <v>0</v>
      </c>
      <c r="N1003">
        <v>2</v>
      </c>
      <c r="O1003">
        <v>1</v>
      </c>
      <c r="P1003">
        <v>0</v>
      </c>
      <c r="Q1003">
        <v>0</v>
      </c>
      <c r="S1003" t="str">
        <f>"18:41:03.195"</f>
        <v>18:41:03.195</v>
      </c>
      <c r="T1003" t="str">
        <f>"18:41:02.195"</f>
        <v>18:41:02.195</v>
      </c>
      <c r="U1003" t="str">
        <f t="shared" si="98"/>
        <v>AAB6EE</v>
      </c>
      <c r="V1003">
        <v>0</v>
      </c>
      <c r="W1003">
        <v>0</v>
      </c>
      <c r="X1003">
        <v>4</v>
      </c>
      <c r="Z1003">
        <v>0</v>
      </c>
      <c r="AA1003">
        <v>8</v>
      </c>
      <c r="AB1003">
        <v>3</v>
      </c>
      <c r="AC1003">
        <v>0</v>
      </c>
      <c r="AD1003">
        <v>10</v>
      </c>
      <c r="AE1003">
        <v>0</v>
      </c>
      <c r="AF1003">
        <v>0</v>
      </c>
      <c r="AG1003">
        <v>2</v>
      </c>
      <c r="AH1003">
        <v>1</v>
      </c>
      <c r="AI1003" t="s">
        <v>789</v>
      </c>
      <c r="AJ1003">
        <v>35.304158000000001</v>
      </c>
      <c r="AK1003" t="s">
        <v>790</v>
      </c>
      <c r="AL1003">
        <v>-76.188704999999999</v>
      </c>
      <c r="AM1003">
        <v>25</v>
      </c>
      <c r="AN1003">
        <v>3425</v>
      </c>
      <c r="AO1003" t="s">
        <v>118</v>
      </c>
      <c r="AP1003">
        <v>-120</v>
      </c>
      <c r="AQ1003">
        <v>-185</v>
      </c>
      <c r="AR1003">
        <v>64</v>
      </c>
      <c r="AZ1003">
        <v>4516</v>
      </c>
      <c r="BA1003">
        <v>1</v>
      </c>
      <c r="BB1003" t="str">
        <f t="shared" si="100"/>
        <v xml:space="preserve">N79NX   </v>
      </c>
      <c r="BC1003">
        <v>1</v>
      </c>
      <c r="BE1003">
        <v>0</v>
      </c>
      <c r="BF1003">
        <v>0</v>
      </c>
      <c r="BG1003">
        <v>0</v>
      </c>
      <c r="BH1003">
        <v>3275</v>
      </c>
      <c r="BI1003">
        <v>0</v>
      </c>
      <c r="BJ1003">
        <v>0</v>
      </c>
      <c r="BK1003">
        <v>0</v>
      </c>
      <c r="BL1003">
        <v>0</v>
      </c>
      <c r="BO1003">
        <v>0</v>
      </c>
      <c r="BP1003">
        <v>0</v>
      </c>
      <c r="BW1003" t="str">
        <f>"18:41:03.201"</f>
        <v>18:41:03.201</v>
      </c>
      <c r="BZ1003">
        <v>0</v>
      </c>
      <c r="CA1003">
        <v>4096</v>
      </c>
      <c r="CB1003">
        <v>216</v>
      </c>
      <c r="CC1003">
        <v>487.96879999999999</v>
      </c>
      <c r="CD1003">
        <v>1</v>
      </c>
      <c r="CE1003">
        <v>1</v>
      </c>
      <c r="CF1003">
        <v>0</v>
      </c>
      <c r="CG1003">
        <v>1</v>
      </c>
      <c r="CH1003">
        <v>0</v>
      </c>
      <c r="CI1003">
        <v>0</v>
      </c>
      <c r="CJ1003">
        <v>0</v>
      </c>
      <c r="CK1003">
        <v>2</v>
      </c>
      <c r="CL1003">
        <v>0</v>
      </c>
      <c r="CM1003">
        <v>2</v>
      </c>
      <c r="CN1003">
        <v>0</v>
      </c>
      <c r="CO1003">
        <v>3</v>
      </c>
      <c r="CP1003" t="s">
        <v>119</v>
      </c>
      <c r="CQ1003">
        <v>145</v>
      </c>
      <c r="CR1003">
        <v>1</v>
      </c>
      <c r="CW1003">
        <v>9006387</v>
      </c>
      <c r="CY1003">
        <v>0</v>
      </c>
      <c r="CZ1003">
        <v>0</v>
      </c>
      <c r="DA1003">
        <v>1</v>
      </c>
      <c r="DB1003">
        <v>0</v>
      </c>
      <c r="DC1003">
        <v>0</v>
      </c>
      <c r="DD1003">
        <v>0</v>
      </c>
      <c r="DE1003">
        <v>0</v>
      </c>
      <c r="DF1003">
        <v>0</v>
      </c>
      <c r="DG1003">
        <v>0</v>
      </c>
      <c r="DH1003">
        <v>0</v>
      </c>
      <c r="DI1003">
        <v>0</v>
      </c>
    </row>
    <row r="1004" spans="1:113" x14ac:dyDescent="0.3">
      <c r="A1004" t="str">
        <f>"02/13/2022 18:41:05.131"</f>
        <v>02/13/2022 18:41:05.131</v>
      </c>
      <c r="C1004" t="str">
        <f t="shared" si="99"/>
        <v>FFDFD7C0</v>
      </c>
      <c r="D1004" t="s">
        <v>121</v>
      </c>
      <c r="E1004">
        <v>2</v>
      </c>
      <c r="H1004">
        <v>158</v>
      </c>
      <c r="I1004" t="s">
        <v>120</v>
      </c>
      <c r="J1004" t="s">
        <v>122</v>
      </c>
      <c r="K1004">
        <v>0</v>
      </c>
      <c r="L1004">
        <v>3</v>
      </c>
      <c r="M1004">
        <v>0</v>
      </c>
      <c r="N1004">
        <v>2</v>
      </c>
      <c r="O1004">
        <v>1</v>
      </c>
      <c r="P1004">
        <v>0</v>
      </c>
      <c r="Q1004">
        <v>0</v>
      </c>
      <c r="S1004" t="str">
        <f>"18:41:04.859"</f>
        <v>18:41:04.859</v>
      </c>
      <c r="T1004" t="str">
        <f>"18:41:04.459"</f>
        <v>18:41:04.459</v>
      </c>
      <c r="U1004" t="str">
        <f t="shared" si="98"/>
        <v>AAB6EE</v>
      </c>
      <c r="V1004">
        <v>0</v>
      </c>
      <c r="W1004">
        <v>0</v>
      </c>
      <c r="X1004">
        <v>4</v>
      </c>
      <c r="Z1004">
        <v>0</v>
      </c>
      <c r="AA1004">
        <v>8</v>
      </c>
      <c r="AB1004">
        <v>3</v>
      </c>
      <c r="AC1004">
        <v>0</v>
      </c>
      <c r="AD1004">
        <v>10</v>
      </c>
      <c r="AE1004">
        <v>0</v>
      </c>
      <c r="AF1004">
        <v>0</v>
      </c>
      <c r="AG1004">
        <v>2</v>
      </c>
      <c r="AH1004">
        <v>1</v>
      </c>
      <c r="AI1004" t="s">
        <v>791</v>
      </c>
      <c r="AJ1004">
        <v>35.302613000000001</v>
      </c>
      <c r="AK1004" t="s">
        <v>792</v>
      </c>
      <c r="AL1004">
        <v>-76.189649000000003</v>
      </c>
      <c r="AM1004">
        <v>25</v>
      </c>
      <c r="AN1004">
        <v>3425</v>
      </c>
      <c r="AO1004" t="s">
        <v>118</v>
      </c>
      <c r="AP1004">
        <v>-103</v>
      </c>
      <c r="AQ1004">
        <v>-195</v>
      </c>
      <c r="AR1004">
        <v>64</v>
      </c>
      <c r="AZ1004">
        <v>4516</v>
      </c>
      <c r="BA1004">
        <v>1</v>
      </c>
      <c r="BB1004" t="str">
        <f t="shared" si="100"/>
        <v xml:space="preserve">N79NX   </v>
      </c>
      <c r="BC1004">
        <v>1</v>
      </c>
      <c r="BE1004">
        <v>0</v>
      </c>
      <c r="BF1004">
        <v>0</v>
      </c>
      <c r="BG1004">
        <v>0</v>
      </c>
      <c r="BH1004">
        <v>3275</v>
      </c>
      <c r="BI1004">
        <v>0</v>
      </c>
      <c r="BJ1004">
        <v>0</v>
      </c>
      <c r="BK1004">
        <v>0</v>
      </c>
      <c r="BL1004">
        <v>0</v>
      </c>
      <c r="BO1004">
        <v>0</v>
      </c>
      <c r="BP1004">
        <v>0</v>
      </c>
      <c r="BW1004" t="str">
        <f>"18:41:04.861"</f>
        <v>18:41:04.861</v>
      </c>
      <c r="BZ1004">
        <v>0</v>
      </c>
      <c r="CA1004">
        <v>4096</v>
      </c>
      <c r="CB1004">
        <v>216</v>
      </c>
      <c r="CC1004">
        <v>487.96879999999999</v>
      </c>
      <c r="CD1004">
        <v>1</v>
      </c>
      <c r="CE1004">
        <v>1</v>
      </c>
      <c r="CF1004">
        <v>0</v>
      </c>
      <c r="CG1004">
        <v>1</v>
      </c>
      <c r="CH1004">
        <v>0</v>
      </c>
      <c r="CI1004">
        <v>1</v>
      </c>
      <c r="CJ1004">
        <v>0</v>
      </c>
      <c r="CK1004">
        <v>2</v>
      </c>
      <c r="CL1004">
        <v>0</v>
      </c>
      <c r="CM1004">
        <v>2</v>
      </c>
      <c r="CN1004">
        <v>0</v>
      </c>
      <c r="CO1004">
        <v>2</v>
      </c>
      <c r="CP1004" t="s">
        <v>119</v>
      </c>
      <c r="CQ1004">
        <v>145</v>
      </c>
      <c r="CR1004">
        <v>1</v>
      </c>
      <c r="CW1004">
        <v>9007100</v>
      </c>
      <c r="CY1004">
        <v>0</v>
      </c>
      <c r="CZ1004">
        <v>0</v>
      </c>
      <c r="DA1004">
        <v>0</v>
      </c>
      <c r="DB1004">
        <v>0</v>
      </c>
      <c r="DC1004">
        <v>0</v>
      </c>
      <c r="DD1004">
        <v>0</v>
      </c>
      <c r="DE1004">
        <v>0</v>
      </c>
      <c r="DF1004">
        <v>0</v>
      </c>
      <c r="DG1004">
        <v>0</v>
      </c>
      <c r="DH1004">
        <v>0</v>
      </c>
      <c r="DI1004">
        <v>0</v>
      </c>
    </row>
    <row r="1005" spans="1:113" x14ac:dyDescent="0.3">
      <c r="A1005" t="str">
        <f>"02/13/2022 18:41:05.147"</f>
        <v>02/13/2022 18:41:05.147</v>
      </c>
      <c r="C1005" t="str">
        <f t="shared" si="99"/>
        <v>FFDFD7C0</v>
      </c>
      <c r="D1005" t="s">
        <v>113</v>
      </c>
      <c r="E1005">
        <v>4</v>
      </c>
      <c r="F1005">
        <v>1004</v>
      </c>
      <c r="G1005" t="s">
        <v>120</v>
      </c>
      <c r="J1005" t="s">
        <v>115</v>
      </c>
      <c r="K1005">
        <v>0</v>
      </c>
      <c r="L1005">
        <v>3</v>
      </c>
      <c r="M1005">
        <v>0</v>
      </c>
      <c r="N1005">
        <v>2</v>
      </c>
      <c r="O1005">
        <v>1</v>
      </c>
      <c r="P1005">
        <v>0</v>
      </c>
      <c r="Q1005">
        <v>0</v>
      </c>
      <c r="S1005" t="str">
        <f>"18:41:04.859"</f>
        <v>18:41:04.859</v>
      </c>
      <c r="T1005" t="str">
        <f>"18:41:04.459"</f>
        <v>18:41:04.459</v>
      </c>
      <c r="U1005" t="str">
        <f t="shared" si="98"/>
        <v>AAB6EE</v>
      </c>
      <c r="V1005">
        <v>0</v>
      </c>
      <c r="W1005">
        <v>0</v>
      </c>
      <c r="X1005">
        <v>4</v>
      </c>
      <c r="Z1005">
        <v>0</v>
      </c>
      <c r="AA1005">
        <v>8</v>
      </c>
      <c r="AB1005">
        <v>3</v>
      </c>
      <c r="AC1005">
        <v>0</v>
      </c>
      <c r="AD1005">
        <v>10</v>
      </c>
      <c r="AE1005">
        <v>0</v>
      </c>
      <c r="AF1005">
        <v>0</v>
      </c>
      <c r="AG1005">
        <v>2</v>
      </c>
      <c r="AH1005">
        <v>1</v>
      </c>
      <c r="AI1005" t="s">
        <v>791</v>
      </c>
      <c r="AJ1005">
        <v>35.302613000000001</v>
      </c>
      <c r="AK1005" t="s">
        <v>792</v>
      </c>
      <c r="AL1005">
        <v>-76.189649000000003</v>
      </c>
      <c r="AM1005">
        <v>25</v>
      </c>
      <c r="AN1005">
        <v>3425</v>
      </c>
      <c r="AO1005" t="s">
        <v>118</v>
      </c>
      <c r="AP1005">
        <v>-103</v>
      </c>
      <c r="AQ1005">
        <v>-195</v>
      </c>
      <c r="AR1005">
        <v>64</v>
      </c>
      <c r="AZ1005">
        <v>4516</v>
      </c>
      <c r="BA1005">
        <v>1</v>
      </c>
      <c r="BB1005" t="str">
        <f t="shared" si="100"/>
        <v xml:space="preserve">N79NX   </v>
      </c>
      <c r="BC1005">
        <v>1</v>
      </c>
      <c r="BE1005">
        <v>0</v>
      </c>
      <c r="BF1005">
        <v>0</v>
      </c>
      <c r="BG1005">
        <v>0</v>
      </c>
      <c r="BH1005">
        <v>3275</v>
      </c>
      <c r="BI1005">
        <v>0</v>
      </c>
      <c r="BJ1005">
        <v>0</v>
      </c>
      <c r="BK1005">
        <v>0</v>
      </c>
      <c r="BL1005">
        <v>0</v>
      </c>
      <c r="BO1005">
        <v>0</v>
      </c>
      <c r="BP1005">
        <v>0</v>
      </c>
      <c r="BW1005" t="str">
        <f>"18:41:04.861"</f>
        <v>18:41:04.861</v>
      </c>
      <c r="BZ1005">
        <v>0</v>
      </c>
      <c r="CA1005">
        <v>4096</v>
      </c>
      <c r="CB1005">
        <v>216</v>
      </c>
      <c r="CC1005">
        <v>487.96879999999999</v>
      </c>
      <c r="CD1005">
        <v>1</v>
      </c>
      <c r="CE1005">
        <v>1</v>
      </c>
      <c r="CF1005">
        <v>0</v>
      </c>
      <c r="CG1005">
        <v>1</v>
      </c>
      <c r="CH1005">
        <v>0</v>
      </c>
      <c r="CI1005">
        <v>1</v>
      </c>
      <c r="CJ1005">
        <v>0</v>
      </c>
      <c r="CK1005">
        <v>2</v>
      </c>
      <c r="CL1005">
        <v>0</v>
      </c>
      <c r="CM1005">
        <v>2</v>
      </c>
      <c r="CN1005">
        <v>0</v>
      </c>
      <c r="CO1005">
        <v>2</v>
      </c>
      <c r="CP1005" t="s">
        <v>119</v>
      </c>
      <c r="CQ1005">
        <v>145</v>
      </c>
      <c r="CR1005">
        <v>1</v>
      </c>
      <c r="CW1005">
        <v>9007100</v>
      </c>
      <c r="CY1005">
        <v>0</v>
      </c>
      <c r="CZ1005">
        <v>0</v>
      </c>
      <c r="DA1005">
        <v>1</v>
      </c>
      <c r="DB1005">
        <v>0</v>
      </c>
      <c r="DC1005">
        <v>0</v>
      </c>
      <c r="DD1005">
        <v>0</v>
      </c>
      <c r="DE1005">
        <v>0</v>
      </c>
      <c r="DF1005">
        <v>0</v>
      </c>
      <c r="DG1005">
        <v>0</v>
      </c>
      <c r="DH1005">
        <v>0</v>
      </c>
      <c r="DI1005">
        <v>0</v>
      </c>
    </row>
    <row r="1006" spans="1:113" x14ac:dyDescent="0.3">
      <c r="A1006" t="str">
        <f>"02/13/2022 18:41:05.147"</f>
        <v>02/13/2022 18:41:05.147</v>
      </c>
      <c r="C1006" t="str">
        <f t="shared" si="99"/>
        <v>FFDFD7C0</v>
      </c>
      <c r="D1006" t="s">
        <v>113</v>
      </c>
      <c r="E1006">
        <v>3</v>
      </c>
      <c r="F1006">
        <v>1003</v>
      </c>
      <c r="G1006" t="s">
        <v>114</v>
      </c>
      <c r="J1006" t="s">
        <v>115</v>
      </c>
      <c r="K1006">
        <v>0</v>
      </c>
      <c r="L1006">
        <v>3</v>
      </c>
      <c r="M1006">
        <v>0</v>
      </c>
      <c r="N1006">
        <v>2</v>
      </c>
      <c r="O1006">
        <v>1</v>
      </c>
      <c r="P1006">
        <v>0</v>
      </c>
      <c r="Q1006">
        <v>0</v>
      </c>
      <c r="S1006" t="str">
        <f>"18:41:04.859"</f>
        <v>18:41:04.859</v>
      </c>
      <c r="T1006" t="str">
        <f>"18:41:04.459"</f>
        <v>18:41:04.459</v>
      </c>
      <c r="U1006" t="str">
        <f t="shared" si="98"/>
        <v>AAB6EE</v>
      </c>
      <c r="V1006">
        <v>0</v>
      </c>
      <c r="W1006">
        <v>0</v>
      </c>
      <c r="X1006">
        <v>4</v>
      </c>
      <c r="Z1006">
        <v>0</v>
      </c>
      <c r="AA1006">
        <v>8</v>
      </c>
      <c r="AB1006">
        <v>3</v>
      </c>
      <c r="AC1006">
        <v>0</v>
      </c>
      <c r="AD1006">
        <v>10</v>
      </c>
      <c r="AE1006">
        <v>0</v>
      </c>
      <c r="AF1006">
        <v>0</v>
      </c>
      <c r="AG1006">
        <v>2</v>
      </c>
      <c r="AH1006">
        <v>1</v>
      </c>
      <c r="AI1006" t="s">
        <v>791</v>
      </c>
      <c r="AJ1006">
        <v>35.302613000000001</v>
      </c>
      <c r="AK1006" t="s">
        <v>792</v>
      </c>
      <c r="AL1006">
        <v>-76.189649000000003</v>
      </c>
      <c r="AM1006">
        <v>25</v>
      </c>
      <c r="AN1006">
        <v>3425</v>
      </c>
      <c r="AO1006" t="s">
        <v>118</v>
      </c>
      <c r="AP1006">
        <v>-103</v>
      </c>
      <c r="AQ1006">
        <v>-195</v>
      </c>
      <c r="AR1006">
        <v>64</v>
      </c>
      <c r="AZ1006">
        <v>4516</v>
      </c>
      <c r="BA1006">
        <v>1</v>
      </c>
      <c r="BB1006" t="str">
        <f t="shared" si="100"/>
        <v xml:space="preserve">N79NX   </v>
      </c>
      <c r="BC1006">
        <v>1</v>
      </c>
      <c r="BE1006">
        <v>0</v>
      </c>
      <c r="BF1006">
        <v>0</v>
      </c>
      <c r="BG1006">
        <v>0</v>
      </c>
      <c r="BH1006">
        <v>3275</v>
      </c>
      <c r="BI1006">
        <v>0</v>
      </c>
      <c r="BJ1006">
        <v>0</v>
      </c>
      <c r="BK1006">
        <v>0</v>
      </c>
      <c r="BL1006">
        <v>0</v>
      </c>
      <c r="BO1006">
        <v>0</v>
      </c>
      <c r="BP1006">
        <v>0</v>
      </c>
      <c r="BW1006" t="str">
        <f>"18:41:04.861"</f>
        <v>18:41:04.861</v>
      </c>
      <c r="BZ1006">
        <v>0</v>
      </c>
      <c r="CA1006">
        <v>4096</v>
      </c>
      <c r="CB1006">
        <v>216</v>
      </c>
      <c r="CC1006">
        <v>487.96879999999999</v>
      </c>
      <c r="CD1006">
        <v>1</v>
      </c>
      <c r="CE1006">
        <v>1</v>
      </c>
      <c r="CF1006">
        <v>0</v>
      </c>
      <c r="CG1006">
        <v>1</v>
      </c>
      <c r="CH1006">
        <v>0</v>
      </c>
      <c r="CI1006">
        <v>1</v>
      </c>
      <c r="CJ1006">
        <v>0</v>
      </c>
      <c r="CK1006">
        <v>2</v>
      </c>
      <c r="CL1006">
        <v>0</v>
      </c>
      <c r="CM1006">
        <v>2</v>
      </c>
      <c r="CN1006">
        <v>0</v>
      </c>
      <c r="CO1006">
        <v>2</v>
      </c>
      <c r="CP1006" t="s">
        <v>119</v>
      </c>
      <c r="CQ1006">
        <v>145</v>
      </c>
      <c r="CR1006">
        <v>1</v>
      </c>
      <c r="CW1006">
        <v>9007100</v>
      </c>
      <c r="CY1006">
        <v>0</v>
      </c>
      <c r="CZ1006">
        <v>0</v>
      </c>
      <c r="DA1006">
        <v>1</v>
      </c>
      <c r="DB1006">
        <v>0</v>
      </c>
      <c r="DC1006">
        <v>0</v>
      </c>
      <c r="DD1006">
        <v>0</v>
      </c>
      <c r="DE1006">
        <v>0</v>
      </c>
      <c r="DF1006">
        <v>0</v>
      </c>
      <c r="DG1006">
        <v>0</v>
      </c>
      <c r="DH1006">
        <v>0</v>
      </c>
      <c r="DI1006">
        <v>0</v>
      </c>
    </row>
    <row r="1007" spans="1:113" x14ac:dyDescent="0.3">
      <c r="A1007" t="str">
        <f>"02/13/2022 18:41:06.071"</f>
        <v>02/13/2022 18:41:06.071</v>
      </c>
      <c r="C1007" t="str">
        <f t="shared" si="99"/>
        <v>FFDFD7C0</v>
      </c>
      <c r="D1007" t="s">
        <v>113</v>
      </c>
      <c r="E1007">
        <v>4</v>
      </c>
      <c r="F1007">
        <v>1004</v>
      </c>
      <c r="G1007" t="s">
        <v>120</v>
      </c>
      <c r="J1007" t="s">
        <v>115</v>
      </c>
      <c r="K1007">
        <v>0</v>
      </c>
      <c r="L1007">
        <v>3</v>
      </c>
      <c r="M1007">
        <v>0</v>
      </c>
      <c r="N1007">
        <v>2</v>
      </c>
      <c r="O1007">
        <v>1</v>
      </c>
      <c r="P1007">
        <v>0</v>
      </c>
      <c r="Q1007">
        <v>0</v>
      </c>
      <c r="S1007" t="str">
        <f>"18:41:05.844"</f>
        <v>18:41:05.844</v>
      </c>
      <c r="T1007" t="str">
        <f>"18:41:04.944"</f>
        <v>18:41:04.944</v>
      </c>
      <c r="U1007" t="str">
        <f t="shared" si="98"/>
        <v>AAB6EE</v>
      </c>
      <c r="V1007">
        <v>0</v>
      </c>
      <c r="W1007">
        <v>0</v>
      </c>
      <c r="X1007">
        <v>4</v>
      </c>
      <c r="Z1007">
        <v>0</v>
      </c>
      <c r="AA1007">
        <v>8</v>
      </c>
      <c r="AB1007">
        <v>3</v>
      </c>
      <c r="AC1007">
        <v>0</v>
      </c>
      <c r="AD1007">
        <v>10</v>
      </c>
      <c r="AE1007">
        <v>0</v>
      </c>
      <c r="AF1007">
        <v>0</v>
      </c>
      <c r="AG1007">
        <v>2</v>
      </c>
      <c r="AH1007">
        <v>1</v>
      </c>
      <c r="AI1007" t="s">
        <v>793</v>
      </c>
      <c r="AJ1007">
        <v>35.301668999999997</v>
      </c>
      <c r="AK1007" t="s">
        <v>794</v>
      </c>
      <c r="AL1007">
        <v>-76.190185999999997</v>
      </c>
      <c r="AM1007">
        <v>25</v>
      </c>
      <c r="AN1007">
        <v>3425</v>
      </c>
      <c r="AO1007" t="s">
        <v>118</v>
      </c>
      <c r="AP1007">
        <v>-98</v>
      </c>
      <c r="AQ1007">
        <v>-198</v>
      </c>
      <c r="AR1007">
        <v>64</v>
      </c>
      <c r="AZ1007">
        <v>4516</v>
      </c>
      <c r="BA1007">
        <v>1</v>
      </c>
      <c r="BB1007" t="str">
        <f t="shared" si="100"/>
        <v xml:space="preserve">N79NX   </v>
      </c>
      <c r="BC1007">
        <v>1</v>
      </c>
      <c r="BE1007">
        <v>0</v>
      </c>
      <c r="BF1007">
        <v>0</v>
      </c>
      <c r="BG1007">
        <v>0</v>
      </c>
      <c r="BH1007">
        <v>3275</v>
      </c>
      <c r="BI1007">
        <v>0</v>
      </c>
      <c r="BJ1007">
        <v>0</v>
      </c>
      <c r="BK1007">
        <v>0</v>
      </c>
      <c r="BL1007">
        <v>0</v>
      </c>
      <c r="BO1007">
        <v>0</v>
      </c>
      <c r="BP1007">
        <v>0</v>
      </c>
      <c r="BW1007" t="str">
        <f>"18:41:05.851"</f>
        <v>18:41:05.851</v>
      </c>
      <c r="BZ1007">
        <v>0</v>
      </c>
      <c r="CA1007">
        <v>4096</v>
      </c>
      <c r="CB1007">
        <v>216</v>
      </c>
      <c r="CC1007">
        <v>487.96879999999999</v>
      </c>
      <c r="CD1007">
        <v>1</v>
      </c>
      <c r="CE1007">
        <v>1</v>
      </c>
      <c r="CF1007">
        <v>0</v>
      </c>
      <c r="CG1007">
        <v>1</v>
      </c>
      <c r="CH1007">
        <v>0</v>
      </c>
      <c r="CI1007">
        <v>1</v>
      </c>
      <c r="CJ1007">
        <v>0</v>
      </c>
      <c r="CK1007">
        <v>2</v>
      </c>
      <c r="CL1007">
        <v>0</v>
      </c>
      <c r="CM1007">
        <v>2</v>
      </c>
      <c r="CN1007">
        <v>0</v>
      </c>
      <c r="CO1007">
        <v>2</v>
      </c>
      <c r="CP1007" t="s">
        <v>119</v>
      </c>
      <c r="CQ1007">
        <v>145</v>
      </c>
      <c r="CR1007">
        <v>1</v>
      </c>
      <c r="CW1007">
        <v>9007541</v>
      </c>
      <c r="CY1007">
        <v>0</v>
      </c>
      <c r="CZ1007">
        <v>0</v>
      </c>
      <c r="DA1007">
        <v>0</v>
      </c>
      <c r="DB1007">
        <v>0</v>
      </c>
      <c r="DC1007">
        <v>0</v>
      </c>
      <c r="DD1007">
        <v>0</v>
      </c>
      <c r="DE1007">
        <v>0</v>
      </c>
      <c r="DF1007">
        <v>0</v>
      </c>
      <c r="DG1007">
        <v>0</v>
      </c>
      <c r="DH1007">
        <v>0</v>
      </c>
      <c r="DI1007">
        <v>0</v>
      </c>
    </row>
    <row r="1008" spans="1:113" x14ac:dyDescent="0.3">
      <c r="A1008" t="str">
        <f>"02/13/2022 18:41:06.071"</f>
        <v>02/13/2022 18:41:06.071</v>
      </c>
      <c r="C1008" t="str">
        <f t="shared" si="99"/>
        <v>FFDFD7C0</v>
      </c>
      <c r="D1008" t="s">
        <v>113</v>
      </c>
      <c r="E1008">
        <v>3</v>
      </c>
      <c r="F1008">
        <v>1003</v>
      </c>
      <c r="G1008" t="s">
        <v>114</v>
      </c>
      <c r="J1008" t="s">
        <v>115</v>
      </c>
      <c r="K1008">
        <v>0</v>
      </c>
      <c r="L1008">
        <v>3</v>
      </c>
      <c r="M1008">
        <v>0</v>
      </c>
      <c r="N1008">
        <v>2</v>
      </c>
      <c r="O1008">
        <v>1</v>
      </c>
      <c r="P1008">
        <v>0</v>
      </c>
      <c r="Q1008">
        <v>0</v>
      </c>
      <c r="S1008" t="str">
        <f>"18:41:05.844"</f>
        <v>18:41:05.844</v>
      </c>
      <c r="T1008" t="str">
        <f>"18:41:04.944"</f>
        <v>18:41:04.944</v>
      </c>
      <c r="U1008" t="str">
        <f t="shared" si="98"/>
        <v>AAB6EE</v>
      </c>
      <c r="V1008">
        <v>0</v>
      </c>
      <c r="W1008">
        <v>0</v>
      </c>
      <c r="X1008">
        <v>4</v>
      </c>
      <c r="Z1008">
        <v>0</v>
      </c>
      <c r="AA1008">
        <v>8</v>
      </c>
      <c r="AB1008">
        <v>3</v>
      </c>
      <c r="AC1008">
        <v>0</v>
      </c>
      <c r="AD1008">
        <v>10</v>
      </c>
      <c r="AE1008">
        <v>0</v>
      </c>
      <c r="AF1008">
        <v>0</v>
      </c>
      <c r="AG1008">
        <v>2</v>
      </c>
      <c r="AH1008">
        <v>1</v>
      </c>
      <c r="AI1008" t="s">
        <v>793</v>
      </c>
      <c r="AJ1008">
        <v>35.301668999999997</v>
      </c>
      <c r="AK1008" t="s">
        <v>794</v>
      </c>
      <c r="AL1008">
        <v>-76.190185999999997</v>
      </c>
      <c r="AM1008">
        <v>25</v>
      </c>
      <c r="AN1008">
        <v>3425</v>
      </c>
      <c r="AO1008" t="s">
        <v>118</v>
      </c>
      <c r="AP1008">
        <v>-98</v>
      </c>
      <c r="AQ1008">
        <v>-198</v>
      </c>
      <c r="AR1008">
        <v>64</v>
      </c>
      <c r="AZ1008">
        <v>4516</v>
      </c>
      <c r="BA1008">
        <v>1</v>
      </c>
      <c r="BB1008" t="str">
        <f t="shared" si="100"/>
        <v xml:space="preserve">N79NX   </v>
      </c>
      <c r="BC1008">
        <v>1</v>
      </c>
      <c r="BE1008">
        <v>0</v>
      </c>
      <c r="BF1008">
        <v>0</v>
      </c>
      <c r="BG1008">
        <v>0</v>
      </c>
      <c r="BH1008">
        <v>3275</v>
      </c>
      <c r="BI1008">
        <v>0</v>
      </c>
      <c r="BJ1008">
        <v>0</v>
      </c>
      <c r="BK1008">
        <v>0</v>
      </c>
      <c r="BL1008">
        <v>0</v>
      </c>
      <c r="BO1008">
        <v>0</v>
      </c>
      <c r="BP1008">
        <v>0</v>
      </c>
      <c r="BW1008" t="str">
        <f>"18:41:05.851"</f>
        <v>18:41:05.851</v>
      </c>
      <c r="BZ1008">
        <v>0</v>
      </c>
      <c r="CA1008">
        <v>4096</v>
      </c>
      <c r="CB1008">
        <v>216</v>
      </c>
      <c r="CC1008">
        <v>487.96879999999999</v>
      </c>
      <c r="CD1008">
        <v>1</v>
      </c>
      <c r="CE1008">
        <v>1</v>
      </c>
      <c r="CF1008">
        <v>0</v>
      </c>
      <c r="CG1008">
        <v>1</v>
      </c>
      <c r="CH1008">
        <v>0</v>
      </c>
      <c r="CI1008">
        <v>1</v>
      </c>
      <c r="CJ1008">
        <v>0</v>
      </c>
      <c r="CK1008">
        <v>2</v>
      </c>
      <c r="CL1008">
        <v>0</v>
      </c>
      <c r="CM1008">
        <v>2</v>
      </c>
      <c r="CN1008">
        <v>0</v>
      </c>
      <c r="CO1008">
        <v>2</v>
      </c>
      <c r="CP1008" t="s">
        <v>119</v>
      </c>
      <c r="CQ1008">
        <v>145</v>
      </c>
      <c r="CR1008">
        <v>1</v>
      </c>
      <c r="CW1008">
        <v>9007541</v>
      </c>
      <c r="CY1008">
        <v>0</v>
      </c>
      <c r="CZ1008">
        <v>0</v>
      </c>
      <c r="DA1008">
        <v>1</v>
      </c>
      <c r="DB1008">
        <v>0</v>
      </c>
      <c r="DC1008">
        <v>0</v>
      </c>
      <c r="DD1008">
        <v>0</v>
      </c>
      <c r="DE1008">
        <v>0</v>
      </c>
      <c r="DF1008">
        <v>0</v>
      </c>
      <c r="DG1008">
        <v>0</v>
      </c>
      <c r="DH1008">
        <v>0</v>
      </c>
      <c r="DI1008">
        <v>0</v>
      </c>
    </row>
    <row r="1009" spans="1:113" x14ac:dyDescent="0.3">
      <c r="A1009" t="str">
        <f>"02/13/2022 18:41:06.102"</f>
        <v>02/13/2022 18:41:06.102</v>
      </c>
      <c r="C1009" t="str">
        <f t="shared" si="99"/>
        <v>FFDFD7C0</v>
      </c>
      <c r="D1009" t="s">
        <v>121</v>
      </c>
      <c r="E1009">
        <v>2</v>
      </c>
      <c r="H1009">
        <v>158</v>
      </c>
      <c r="I1009" t="s">
        <v>120</v>
      </c>
      <c r="J1009" t="s">
        <v>122</v>
      </c>
      <c r="K1009">
        <v>0</v>
      </c>
      <c r="L1009">
        <v>3</v>
      </c>
      <c r="M1009">
        <v>0</v>
      </c>
      <c r="N1009">
        <v>2</v>
      </c>
      <c r="O1009">
        <v>1</v>
      </c>
      <c r="P1009">
        <v>0</v>
      </c>
      <c r="Q1009">
        <v>0</v>
      </c>
      <c r="S1009" t="str">
        <f>"18:41:05.844"</f>
        <v>18:41:05.844</v>
      </c>
      <c r="T1009" t="str">
        <f>"18:41:04.944"</f>
        <v>18:41:04.944</v>
      </c>
      <c r="U1009" t="str">
        <f t="shared" si="98"/>
        <v>AAB6EE</v>
      </c>
      <c r="V1009">
        <v>0</v>
      </c>
      <c r="W1009">
        <v>0</v>
      </c>
      <c r="X1009">
        <v>4</v>
      </c>
      <c r="Z1009">
        <v>0</v>
      </c>
      <c r="AA1009">
        <v>8</v>
      </c>
      <c r="AB1009">
        <v>3</v>
      </c>
      <c r="AC1009">
        <v>0</v>
      </c>
      <c r="AD1009">
        <v>10</v>
      </c>
      <c r="AE1009">
        <v>0</v>
      </c>
      <c r="AF1009">
        <v>0</v>
      </c>
      <c r="AG1009">
        <v>2</v>
      </c>
      <c r="AH1009">
        <v>1</v>
      </c>
      <c r="AI1009" t="s">
        <v>793</v>
      </c>
      <c r="AJ1009">
        <v>35.301668999999997</v>
      </c>
      <c r="AK1009" t="s">
        <v>794</v>
      </c>
      <c r="AL1009">
        <v>-76.190185999999997</v>
      </c>
      <c r="AM1009">
        <v>25</v>
      </c>
      <c r="AN1009">
        <v>3425</v>
      </c>
      <c r="AO1009" t="s">
        <v>118</v>
      </c>
      <c r="AP1009">
        <v>-98</v>
      </c>
      <c r="AQ1009">
        <v>-198</v>
      </c>
      <c r="AR1009">
        <v>64</v>
      </c>
      <c r="AZ1009">
        <v>4516</v>
      </c>
      <c r="BA1009">
        <v>1</v>
      </c>
      <c r="BB1009" t="str">
        <f t="shared" si="100"/>
        <v xml:space="preserve">N79NX   </v>
      </c>
      <c r="BC1009">
        <v>1</v>
      </c>
      <c r="BE1009">
        <v>0</v>
      </c>
      <c r="BF1009">
        <v>0</v>
      </c>
      <c r="BG1009">
        <v>0</v>
      </c>
      <c r="BH1009">
        <v>3275</v>
      </c>
      <c r="BI1009">
        <v>0</v>
      </c>
      <c r="BJ1009">
        <v>0</v>
      </c>
      <c r="BK1009">
        <v>0</v>
      </c>
      <c r="BL1009">
        <v>0</v>
      </c>
      <c r="BO1009">
        <v>0</v>
      </c>
      <c r="BP1009">
        <v>0</v>
      </c>
      <c r="BW1009" t="str">
        <f>"18:41:05.851"</f>
        <v>18:41:05.851</v>
      </c>
      <c r="BZ1009">
        <v>0</v>
      </c>
      <c r="CA1009">
        <v>4096</v>
      </c>
      <c r="CB1009">
        <v>216</v>
      </c>
      <c r="CC1009">
        <v>487.96879999999999</v>
      </c>
      <c r="CD1009">
        <v>1</v>
      </c>
      <c r="CE1009">
        <v>1</v>
      </c>
      <c r="CF1009">
        <v>0</v>
      </c>
      <c r="CG1009">
        <v>1</v>
      </c>
      <c r="CH1009">
        <v>0</v>
      </c>
      <c r="CI1009">
        <v>1</v>
      </c>
      <c r="CJ1009">
        <v>0</v>
      </c>
      <c r="CK1009">
        <v>2</v>
      </c>
      <c r="CL1009">
        <v>0</v>
      </c>
      <c r="CM1009">
        <v>2</v>
      </c>
      <c r="CN1009">
        <v>0</v>
      </c>
      <c r="CO1009">
        <v>2</v>
      </c>
      <c r="CP1009" t="s">
        <v>119</v>
      </c>
      <c r="CQ1009">
        <v>145</v>
      </c>
      <c r="CR1009">
        <v>1</v>
      </c>
      <c r="CW1009">
        <v>9007541</v>
      </c>
      <c r="CY1009">
        <v>0</v>
      </c>
      <c r="CZ1009">
        <v>0</v>
      </c>
      <c r="DA1009">
        <v>1</v>
      </c>
      <c r="DB1009">
        <v>0</v>
      </c>
      <c r="DC1009">
        <v>0</v>
      </c>
      <c r="DD1009">
        <v>0</v>
      </c>
      <c r="DE1009">
        <v>0</v>
      </c>
      <c r="DF1009">
        <v>0</v>
      </c>
      <c r="DG1009">
        <v>0</v>
      </c>
      <c r="DH1009">
        <v>0</v>
      </c>
      <c r="DI1009">
        <v>0</v>
      </c>
    </row>
    <row r="1010" spans="1:113" x14ac:dyDescent="0.3">
      <c r="A1010" t="str">
        <f>"02/13/2022 18:41:07.290"</f>
        <v>02/13/2022 18:41:07.290</v>
      </c>
      <c r="C1010" t="str">
        <f t="shared" si="99"/>
        <v>FFDFD7C0</v>
      </c>
      <c r="D1010" t="s">
        <v>113</v>
      </c>
      <c r="E1010">
        <v>4</v>
      </c>
      <c r="F1010">
        <v>1004</v>
      </c>
      <c r="G1010" t="s">
        <v>120</v>
      </c>
      <c r="J1010" t="s">
        <v>115</v>
      </c>
      <c r="K1010">
        <v>0</v>
      </c>
      <c r="L1010">
        <v>3</v>
      </c>
      <c r="M1010">
        <v>0</v>
      </c>
      <c r="N1010">
        <v>2</v>
      </c>
      <c r="O1010">
        <v>1</v>
      </c>
      <c r="P1010">
        <v>0</v>
      </c>
      <c r="Q1010">
        <v>0</v>
      </c>
      <c r="S1010" t="str">
        <f>"18:41:06.977"</f>
        <v>18:41:06.977</v>
      </c>
      <c r="T1010" t="str">
        <f>"18:41:06.077"</f>
        <v>18:41:06.077</v>
      </c>
      <c r="U1010" t="str">
        <f t="shared" si="98"/>
        <v>AAB6EE</v>
      </c>
      <c r="V1010">
        <v>0</v>
      </c>
      <c r="W1010">
        <v>0</v>
      </c>
      <c r="X1010">
        <v>4</v>
      </c>
      <c r="Z1010">
        <v>0</v>
      </c>
      <c r="AA1010">
        <v>8</v>
      </c>
      <c r="AB1010">
        <v>3</v>
      </c>
      <c r="AC1010">
        <v>0</v>
      </c>
      <c r="AD1010">
        <v>10</v>
      </c>
      <c r="AE1010">
        <v>0</v>
      </c>
      <c r="AF1010">
        <v>0</v>
      </c>
      <c r="AG1010">
        <v>2</v>
      </c>
      <c r="AH1010">
        <v>1</v>
      </c>
      <c r="AI1010" t="s">
        <v>795</v>
      </c>
      <c r="AJ1010">
        <v>35.300638999999997</v>
      </c>
      <c r="AK1010" t="s">
        <v>796</v>
      </c>
      <c r="AL1010">
        <v>-76.190764999999999</v>
      </c>
      <c r="AM1010">
        <v>25</v>
      </c>
      <c r="AN1010">
        <v>3425</v>
      </c>
      <c r="AO1010" t="s">
        <v>118</v>
      </c>
      <c r="AP1010">
        <v>-88</v>
      </c>
      <c r="AQ1010">
        <v>-203</v>
      </c>
      <c r="AR1010">
        <v>64</v>
      </c>
      <c r="AZ1010">
        <v>4516</v>
      </c>
      <c r="BA1010">
        <v>1</v>
      </c>
      <c r="BB1010" t="str">
        <f t="shared" si="100"/>
        <v xml:space="preserve">N79NX   </v>
      </c>
      <c r="BC1010">
        <v>1</v>
      </c>
      <c r="BE1010">
        <v>0</v>
      </c>
      <c r="BF1010">
        <v>0</v>
      </c>
      <c r="BG1010">
        <v>0</v>
      </c>
      <c r="BH1010">
        <v>3275</v>
      </c>
      <c r="BI1010">
        <v>0</v>
      </c>
      <c r="BJ1010">
        <v>0</v>
      </c>
      <c r="BK1010">
        <v>0</v>
      </c>
      <c r="BL1010">
        <v>0</v>
      </c>
      <c r="BO1010">
        <v>0</v>
      </c>
      <c r="BP1010">
        <v>0</v>
      </c>
      <c r="BW1010" t="str">
        <f>"18:41:06.981"</f>
        <v>18:41:06.981</v>
      </c>
      <c r="BZ1010">
        <v>0</v>
      </c>
      <c r="CA1010">
        <v>4096</v>
      </c>
      <c r="CB1010">
        <v>216</v>
      </c>
      <c r="CC1010">
        <v>487.96879999999999</v>
      </c>
      <c r="CD1010">
        <v>1</v>
      </c>
      <c r="CE1010">
        <v>1</v>
      </c>
      <c r="CF1010">
        <v>0</v>
      </c>
      <c r="CG1010">
        <v>1</v>
      </c>
      <c r="CH1010">
        <v>0</v>
      </c>
      <c r="CI1010">
        <v>1</v>
      </c>
      <c r="CJ1010">
        <v>0</v>
      </c>
      <c r="CK1010">
        <v>2</v>
      </c>
      <c r="CL1010">
        <v>0</v>
      </c>
      <c r="CM1010">
        <v>2</v>
      </c>
      <c r="CN1010">
        <v>0</v>
      </c>
      <c r="CO1010">
        <v>3</v>
      </c>
      <c r="CP1010" t="s">
        <v>119</v>
      </c>
      <c r="CQ1010">
        <v>145</v>
      </c>
      <c r="CR1010">
        <v>1</v>
      </c>
      <c r="CW1010">
        <v>9008076</v>
      </c>
      <c r="CY1010">
        <v>0</v>
      </c>
      <c r="CZ1010">
        <v>0</v>
      </c>
      <c r="DA1010">
        <v>0</v>
      </c>
      <c r="DB1010">
        <v>0</v>
      </c>
      <c r="DC1010">
        <v>0</v>
      </c>
      <c r="DD1010">
        <v>0</v>
      </c>
      <c r="DE1010">
        <v>0</v>
      </c>
      <c r="DF1010">
        <v>0</v>
      </c>
      <c r="DG1010">
        <v>0</v>
      </c>
      <c r="DH1010">
        <v>0</v>
      </c>
      <c r="DI1010">
        <v>0</v>
      </c>
    </row>
    <row r="1011" spans="1:113" x14ac:dyDescent="0.3">
      <c r="A1011" t="str">
        <f>"02/13/2022 18:41:07.290"</f>
        <v>02/13/2022 18:41:07.290</v>
      </c>
      <c r="C1011" t="str">
        <f t="shared" si="99"/>
        <v>FFDFD7C0</v>
      </c>
      <c r="D1011" t="s">
        <v>113</v>
      </c>
      <c r="E1011">
        <v>3</v>
      </c>
      <c r="F1011">
        <v>1003</v>
      </c>
      <c r="G1011" t="s">
        <v>114</v>
      </c>
      <c r="J1011" t="s">
        <v>115</v>
      </c>
      <c r="K1011">
        <v>0</v>
      </c>
      <c r="L1011">
        <v>3</v>
      </c>
      <c r="M1011">
        <v>0</v>
      </c>
      <c r="N1011">
        <v>2</v>
      </c>
      <c r="O1011">
        <v>1</v>
      </c>
      <c r="P1011">
        <v>0</v>
      </c>
      <c r="Q1011">
        <v>0</v>
      </c>
      <c r="S1011" t="str">
        <f>"18:41:06.977"</f>
        <v>18:41:06.977</v>
      </c>
      <c r="T1011" t="str">
        <f>"18:41:06.077"</f>
        <v>18:41:06.077</v>
      </c>
      <c r="U1011" t="str">
        <f t="shared" si="98"/>
        <v>AAB6EE</v>
      </c>
      <c r="V1011">
        <v>0</v>
      </c>
      <c r="W1011">
        <v>0</v>
      </c>
      <c r="X1011">
        <v>4</v>
      </c>
      <c r="Z1011">
        <v>0</v>
      </c>
      <c r="AA1011">
        <v>8</v>
      </c>
      <c r="AB1011">
        <v>3</v>
      </c>
      <c r="AC1011">
        <v>0</v>
      </c>
      <c r="AD1011">
        <v>10</v>
      </c>
      <c r="AE1011">
        <v>0</v>
      </c>
      <c r="AF1011">
        <v>0</v>
      </c>
      <c r="AG1011">
        <v>2</v>
      </c>
      <c r="AH1011">
        <v>1</v>
      </c>
      <c r="AI1011" t="s">
        <v>795</v>
      </c>
      <c r="AJ1011">
        <v>35.300638999999997</v>
      </c>
      <c r="AK1011" t="s">
        <v>796</v>
      </c>
      <c r="AL1011">
        <v>-76.190764999999999</v>
      </c>
      <c r="AM1011">
        <v>25</v>
      </c>
      <c r="AN1011">
        <v>3425</v>
      </c>
      <c r="AO1011" t="s">
        <v>118</v>
      </c>
      <c r="AP1011">
        <v>-88</v>
      </c>
      <c r="AQ1011">
        <v>-203</v>
      </c>
      <c r="AR1011">
        <v>64</v>
      </c>
      <c r="AZ1011">
        <v>4516</v>
      </c>
      <c r="BA1011">
        <v>1</v>
      </c>
      <c r="BB1011" t="str">
        <f t="shared" si="100"/>
        <v xml:space="preserve">N79NX   </v>
      </c>
      <c r="BC1011">
        <v>1</v>
      </c>
      <c r="BE1011">
        <v>0</v>
      </c>
      <c r="BF1011">
        <v>0</v>
      </c>
      <c r="BG1011">
        <v>0</v>
      </c>
      <c r="BH1011">
        <v>3275</v>
      </c>
      <c r="BI1011">
        <v>0</v>
      </c>
      <c r="BJ1011">
        <v>0</v>
      </c>
      <c r="BK1011">
        <v>0</v>
      </c>
      <c r="BL1011">
        <v>0</v>
      </c>
      <c r="BO1011">
        <v>0</v>
      </c>
      <c r="BP1011">
        <v>0</v>
      </c>
      <c r="BW1011" t="str">
        <f>"18:41:06.981"</f>
        <v>18:41:06.981</v>
      </c>
      <c r="BZ1011">
        <v>0</v>
      </c>
      <c r="CA1011">
        <v>4096</v>
      </c>
      <c r="CB1011">
        <v>216</v>
      </c>
      <c r="CC1011">
        <v>487.96879999999999</v>
      </c>
      <c r="CD1011">
        <v>1</v>
      </c>
      <c r="CE1011">
        <v>1</v>
      </c>
      <c r="CF1011">
        <v>0</v>
      </c>
      <c r="CG1011">
        <v>1</v>
      </c>
      <c r="CH1011">
        <v>0</v>
      </c>
      <c r="CI1011">
        <v>1</v>
      </c>
      <c r="CJ1011">
        <v>0</v>
      </c>
      <c r="CK1011">
        <v>2</v>
      </c>
      <c r="CL1011">
        <v>0</v>
      </c>
      <c r="CM1011">
        <v>2</v>
      </c>
      <c r="CN1011">
        <v>0</v>
      </c>
      <c r="CO1011">
        <v>3</v>
      </c>
      <c r="CP1011" t="s">
        <v>119</v>
      </c>
      <c r="CQ1011">
        <v>145</v>
      </c>
      <c r="CR1011">
        <v>1</v>
      </c>
      <c r="CW1011">
        <v>9008076</v>
      </c>
      <c r="CY1011">
        <v>0</v>
      </c>
      <c r="CZ1011">
        <v>0</v>
      </c>
      <c r="DA1011">
        <v>1</v>
      </c>
      <c r="DB1011">
        <v>0</v>
      </c>
      <c r="DC1011">
        <v>0</v>
      </c>
      <c r="DD1011">
        <v>0</v>
      </c>
      <c r="DE1011">
        <v>0</v>
      </c>
      <c r="DF1011">
        <v>0</v>
      </c>
      <c r="DG1011">
        <v>0</v>
      </c>
      <c r="DH1011">
        <v>0</v>
      </c>
      <c r="DI1011">
        <v>0</v>
      </c>
    </row>
    <row r="1012" spans="1:113" x14ac:dyDescent="0.3">
      <c r="A1012" t="str">
        <f>"02/13/2022 18:41:07.306"</f>
        <v>02/13/2022 18:41:07.306</v>
      </c>
      <c r="C1012" t="str">
        <f t="shared" si="99"/>
        <v>FFDFD7C0</v>
      </c>
      <c r="D1012" t="s">
        <v>121</v>
      </c>
      <c r="E1012">
        <v>2</v>
      </c>
      <c r="H1012">
        <v>158</v>
      </c>
      <c r="I1012" t="s">
        <v>120</v>
      </c>
      <c r="J1012" t="s">
        <v>122</v>
      </c>
      <c r="K1012">
        <v>0</v>
      </c>
      <c r="L1012">
        <v>3</v>
      </c>
      <c r="M1012">
        <v>0</v>
      </c>
      <c r="N1012">
        <v>2</v>
      </c>
      <c r="O1012">
        <v>1</v>
      </c>
      <c r="P1012">
        <v>0</v>
      </c>
      <c r="Q1012">
        <v>0</v>
      </c>
      <c r="S1012" t="str">
        <f>"18:41:06.977"</f>
        <v>18:41:06.977</v>
      </c>
      <c r="T1012" t="str">
        <f>"18:41:06.077"</f>
        <v>18:41:06.077</v>
      </c>
      <c r="U1012" t="str">
        <f t="shared" si="98"/>
        <v>AAB6EE</v>
      </c>
      <c r="V1012">
        <v>0</v>
      </c>
      <c r="W1012">
        <v>0</v>
      </c>
      <c r="X1012">
        <v>4</v>
      </c>
      <c r="Z1012">
        <v>0</v>
      </c>
      <c r="AA1012">
        <v>8</v>
      </c>
      <c r="AB1012">
        <v>3</v>
      </c>
      <c r="AC1012">
        <v>0</v>
      </c>
      <c r="AD1012">
        <v>10</v>
      </c>
      <c r="AE1012">
        <v>0</v>
      </c>
      <c r="AF1012">
        <v>0</v>
      </c>
      <c r="AG1012">
        <v>2</v>
      </c>
      <c r="AH1012">
        <v>1</v>
      </c>
      <c r="AI1012" t="s">
        <v>795</v>
      </c>
      <c r="AJ1012">
        <v>35.300638999999997</v>
      </c>
      <c r="AK1012" t="s">
        <v>796</v>
      </c>
      <c r="AL1012">
        <v>-76.190764999999999</v>
      </c>
      <c r="AM1012">
        <v>25</v>
      </c>
      <c r="AN1012">
        <v>3425</v>
      </c>
      <c r="AO1012" t="s">
        <v>118</v>
      </c>
      <c r="AP1012">
        <v>-88</v>
      </c>
      <c r="AQ1012">
        <v>-203</v>
      </c>
      <c r="AR1012">
        <v>64</v>
      </c>
      <c r="AZ1012">
        <v>4516</v>
      </c>
      <c r="BA1012">
        <v>1</v>
      </c>
      <c r="BB1012" t="str">
        <f t="shared" si="100"/>
        <v xml:space="preserve">N79NX   </v>
      </c>
      <c r="BC1012">
        <v>1</v>
      </c>
      <c r="BE1012">
        <v>0</v>
      </c>
      <c r="BF1012">
        <v>0</v>
      </c>
      <c r="BG1012">
        <v>0</v>
      </c>
      <c r="BH1012">
        <v>3275</v>
      </c>
      <c r="BI1012">
        <v>0</v>
      </c>
      <c r="BJ1012">
        <v>0</v>
      </c>
      <c r="BK1012">
        <v>0</v>
      </c>
      <c r="BL1012">
        <v>0</v>
      </c>
      <c r="BO1012">
        <v>0</v>
      </c>
      <c r="BP1012">
        <v>0</v>
      </c>
      <c r="BW1012" t="str">
        <f>"18:41:06.981"</f>
        <v>18:41:06.981</v>
      </c>
      <c r="BZ1012">
        <v>0</v>
      </c>
      <c r="CA1012">
        <v>4096</v>
      </c>
      <c r="CB1012">
        <v>216</v>
      </c>
      <c r="CC1012">
        <v>487.96879999999999</v>
      </c>
      <c r="CD1012">
        <v>1</v>
      </c>
      <c r="CE1012">
        <v>1</v>
      </c>
      <c r="CF1012">
        <v>0</v>
      </c>
      <c r="CG1012">
        <v>1</v>
      </c>
      <c r="CH1012">
        <v>0</v>
      </c>
      <c r="CI1012">
        <v>1</v>
      </c>
      <c r="CJ1012">
        <v>0</v>
      </c>
      <c r="CK1012">
        <v>2</v>
      </c>
      <c r="CL1012">
        <v>0</v>
      </c>
      <c r="CM1012">
        <v>2</v>
      </c>
      <c r="CN1012">
        <v>0</v>
      </c>
      <c r="CO1012">
        <v>3</v>
      </c>
      <c r="CP1012" t="s">
        <v>119</v>
      </c>
      <c r="CQ1012">
        <v>145</v>
      </c>
      <c r="CR1012">
        <v>1</v>
      </c>
      <c r="CW1012">
        <v>9008076</v>
      </c>
      <c r="CY1012">
        <v>0</v>
      </c>
      <c r="CZ1012">
        <v>0</v>
      </c>
      <c r="DA1012">
        <v>1</v>
      </c>
      <c r="DB1012">
        <v>0</v>
      </c>
      <c r="DC1012">
        <v>0</v>
      </c>
      <c r="DD1012">
        <v>0</v>
      </c>
      <c r="DE1012">
        <v>0</v>
      </c>
      <c r="DF1012">
        <v>0</v>
      </c>
      <c r="DG1012">
        <v>0</v>
      </c>
      <c r="DH1012">
        <v>0</v>
      </c>
      <c r="DI1012">
        <v>0</v>
      </c>
    </row>
    <row r="1013" spans="1:113" x14ac:dyDescent="0.3">
      <c r="A1013" t="str">
        <f>"02/13/2022 18:41:08.103"</f>
        <v>02/13/2022 18:41:08.103</v>
      </c>
      <c r="C1013" t="str">
        <f t="shared" si="99"/>
        <v>FFDFD7C0</v>
      </c>
      <c r="D1013" t="s">
        <v>121</v>
      </c>
      <c r="E1013">
        <v>2</v>
      </c>
      <c r="H1013">
        <v>158</v>
      </c>
      <c r="I1013" t="s">
        <v>120</v>
      </c>
      <c r="J1013" t="s">
        <v>122</v>
      </c>
      <c r="K1013">
        <v>0</v>
      </c>
      <c r="L1013">
        <v>3</v>
      </c>
      <c r="M1013">
        <v>0</v>
      </c>
      <c r="N1013">
        <v>2</v>
      </c>
      <c r="O1013">
        <v>1</v>
      </c>
      <c r="P1013">
        <v>0</v>
      </c>
      <c r="Q1013">
        <v>0</v>
      </c>
      <c r="S1013" t="str">
        <f>"18:41:07.898"</f>
        <v>18:41:07.898</v>
      </c>
      <c r="T1013" t="str">
        <f>"18:41:07.698"</f>
        <v>18:41:07.698</v>
      </c>
      <c r="U1013" t="str">
        <f t="shared" si="98"/>
        <v>AAB6EE</v>
      </c>
      <c r="V1013">
        <v>0</v>
      </c>
      <c r="W1013">
        <v>0</v>
      </c>
      <c r="X1013">
        <v>4</v>
      </c>
      <c r="Z1013">
        <v>0</v>
      </c>
      <c r="AA1013">
        <v>8</v>
      </c>
      <c r="AB1013">
        <v>3</v>
      </c>
      <c r="AC1013">
        <v>0</v>
      </c>
      <c r="AD1013">
        <v>10</v>
      </c>
      <c r="AE1013">
        <v>0</v>
      </c>
      <c r="AF1013">
        <v>0</v>
      </c>
      <c r="AG1013">
        <v>2</v>
      </c>
      <c r="AH1013">
        <v>1</v>
      </c>
      <c r="AI1013" t="s">
        <v>797</v>
      </c>
      <c r="AJ1013">
        <v>35.299779999999998</v>
      </c>
      <c r="AK1013" t="s">
        <v>798</v>
      </c>
      <c r="AL1013">
        <v>-76.191130000000001</v>
      </c>
      <c r="AM1013">
        <v>25</v>
      </c>
      <c r="AN1013">
        <v>3425</v>
      </c>
      <c r="AO1013" t="s">
        <v>118</v>
      </c>
      <c r="AP1013">
        <v>-77</v>
      </c>
      <c r="AQ1013">
        <v>-208</v>
      </c>
      <c r="AR1013">
        <v>128</v>
      </c>
      <c r="AZ1013">
        <v>4516</v>
      </c>
      <c r="BA1013">
        <v>1</v>
      </c>
      <c r="BB1013" t="str">
        <f t="shared" si="100"/>
        <v xml:space="preserve">N79NX   </v>
      </c>
      <c r="BC1013">
        <v>1</v>
      </c>
      <c r="BE1013">
        <v>0</v>
      </c>
      <c r="BF1013">
        <v>0</v>
      </c>
      <c r="BG1013">
        <v>0</v>
      </c>
      <c r="BH1013">
        <v>3275</v>
      </c>
      <c r="BI1013">
        <v>0</v>
      </c>
      <c r="BJ1013">
        <v>0</v>
      </c>
      <c r="BK1013">
        <v>0</v>
      </c>
      <c r="BL1013">
        <v>0</v>
      </c>
      <c r="BO1013">
        <v>0</v>
      </c>
      <c r="BP1013">
        <v>0</v>
      </c>
      <c r="BW1013" t="str">
        <f>"18:41:07.901"</f>
        <v>18:41:07.901</v>
      </c>
      <c r="BZ1013">
        <v>0</v>
      </c>
      <c r="CA1013">
        <v>4096</v>
      </c>
      <c r="CB1013">
        <v>216</v>
      </c>
      <c r="CC1013">
        <v>487.96879999999999</v>
      </c>
      <c r="CD1013">
        <v>1</v>
      </c>
      <c r="CE1013">
        <v>1</v>
      </c>
      <c r="CF1013">
        <v>0</v>
      </c>
      <c r="CG1013">
        <v>1</v>
      </c>
      <c r="CH1013">
        <v>0</v>
      </c>
      <c r="CI1013">
        <v>1</v>
      </c>
      <c r="CJ1013">
        <v>0</v>
      </c>
      <c r="CK1013">
        <v>2</v>
      </c>
      <c r="CL1013">
        <v>0</v>
      </c>
      <c r="CM1013">
        <v>2</v>
      </c>
      <c r="CN1013">
        <v>0</v>
      </c>
      <c r="CO1013">
        <v>3</v>
      </c>
      <c r="CP1013" t="s">
        <v>119</v>
      </c>
      <c r="CQ1013">
        <v>145</v>
      </c>
      <c r="CR1013">
        <v>1</v>
      </c>
      <c r="CW1013">
        <v>9008477</v>
      </c>
      <c r="CY1013">
        <v>0</v>
      </c>
      <c r="CZ1013">
        <v>0</v>
      </c>
      <c r="DA1013">
        <v>0</v>
      </c>
      <c r="DB1013">
        <v>0</v>
      </c>
      <c r="DC1013">
        <v>0</v>
      </c>
      <c r="DD1013">
        <v>0</v>
      </c>
      <c r="DE1013">
        <v>0</v>
      </c>
      <c r="DF1013">
        <v>0</v>
      </c>
      <c r="DG1013">
        <v>0</v>
      </c>
      <c r="DH1013">
        <v>0</v>
      </c>
      <c r="DI1013">
        <v>0</v>
      </c>
    </row>
    <row r="1014" spans="1:113" x14ac:dyDescent="0.3">
      <c r="A1014" t="str">
        <f>"02/13/2022 18:41:08.134"</f>
        <v>02/13/2022 18:41:08.134</v>
      </c>
      <c r="C1014" t="str">
        <f t="shared" si="99"/>
        <v>FFDFD7C0</v>
      </c>
      <c r="D1014" t="s">
        <v>113</v>
      </c>
      <c r="E1014">
        <v>4</v>
      </c>
      <c r="F1014">
        <v>1004</v>
      </c>
      <c r="G1014" t="s">
        <v>120</v>
      </c>
      <c r="J1014" t="s">
        <v>115</v>
      </c>
      <c r="K1014">
        <v>0</v>
      </c>
      <c r="L1014">
        <v>3</v>
      </c>
      <c r="M1014">
        <v>0</v>
      </c>
      <c r="N1014">
        <v>2</v>
      </c>
      <c r="O1014">
        <v>1</v>
      </c>
      <c r="P1014">
        <v>0</v>
      </c>
      <c r="Q1014">
        <v>0</v>
      </c>
      <c r="S1014" t="str">
        <f>"18:41:07.898"</f>
        <v>18:41:07.898</v>
      </c>
      <c r="T1014" t="str">
        <f>"18:41:07.698"</f>
        <v>18:41:07.698</v>
      </c>
      <c r="U1014" t="str">
        <f t="shared" si="98"/>
        <v>AAB6EE</v>
      </c>
      <c r="V1014">
        <v>0</v>
      </c>
      <c r="W1014">
        <v>0</v>
      </c>
      <c r="X1014">
        <v>4</v>
      </c>
      <c r="Z1014">
        <v>0</v>
      </c>
      <c r="AA1014">
        <v>8</v>
      </c>
      <c r="AB1014">
        <v>3</v>
      </c>
      <c r="AC1014">
        <v>0</v>
      </c>
      <c r="AD1014">
        <v>10</v>
      </c>
      <c r="AE1014">
        <v>0</v>
      </c>
      <c r="AF1014">
        <v>0</v>
      </c>
      <c r="AG1014">
        <v>2</v>
      </c>
      <c r="AH1014">
        <v>1</v>
      </c>
      <c r="AI1014" t="s">
        <v>797</v>
      </c>
      <c r="AJ1014">
        <v>35.299779999999998</v>
      </c>
      <c r="AK1014" t="s">
        <v>798</v>
      </c>
      <c r="AL1014">
        <v>-76.191130000000001</v>
      </c>
      <c r="AM1014">
        <v>25</v>
      </c>
      <c r="AN1014">
        <v>3425</v>
      </c>
      <c r="AO1014" t="s">
        <v>118</v>
      </c>
      <c r="AP1014">
        <v>-77</v>
      </c>
      <c r="AQ1014">
        <v>-208</v>
      </c>
      <c r="AR1014">
        <v>128</v>
      </c>
      <c r="AZ1014">
        <v>4516</v>
      </c>
      <c r="BA1014">
        <v>1</v>
      </c>
      <c r="BB1014" t="str">
        <f t="shared" si="100"/>
        <v xml:space="preserve">N79NX   </v>
      </c>
      <c r="BC1014">
        <v>1</v>
      </c>
      <c r="BE1014">
        <v>0</v>
      </c>
      <c r="BF1014">
        <v>0</v>
      </c>
      <c r="BG1014">
        <v>0</v>
      </c>
      <c r="BH1014">
        <v>3275</v>
      </c>
      <c r="BI1014">
        <v>0</v>
      </c>
      <c r="BJ1014">
        <v>0</v>
      </c>
      <c r="BK1014">
        <v>0</v>
      </c>
      <c r="BL1014">
        <v>0</v>
      </c>
      <c r="BO1014">
        <v>0</v>
      </c>
      <c r="BP1014">
        <v>0</v>
      </c>
      <c r="BW1014" t="str">
        <f>"18:41:07.901"</f>
        <v>18:41:07.901</v>
      </c>
      <c r="BZ1014">
        <v>0</v>
      </c>
      <c r="CA1014">
        <v>4096</v>
      </c>
      <c r="CB1014">
        <v>216</v>
      </c>
      <c r="CC1014">
        <v>487.96879999999999</v>
      </c>
      <c r="CD1014">
        <v>1</v>
      </c>
      <c r="CE1014">
        <v>1</v>
      </c>
      <c r="CF1014">
        <v>0</v>
      </c>
      <c r="CG1014">
        <v>1</v>
      </c>
      <c r="CH1014">
        <v>0</v>
      </c>
      <c r="CI1014">
        <v>1</v>
      </c>
      <c r="CJ1014">
        <v>0</v>
      </c>
      <c r="CK1014">
        <v>2</v>
      </c>
      <c r="CL1014">
        <v>0</v>
      </c>
      <c r="CM1014">
        <v>2</v>
      </c>
      <c r="CN1014">
        <v>0</v>
      </c>
      <c r="CO1014">
        <v>3</v>
      </c>
      <c r="CP1014" t="s">
        <v>119</v>
      </c>
      <c r="CQ1014">
        <v>145</v>
      </c>
      <c r="CR1014">
        <v>1</v>
      </c>
      <c r="CW1014">
        <v>9008477</v>
      </c>
      <c r="CY1014">
        <v>0</v>
      </c>
      <c r="CZ1014">
        <v>0</v>
      </c>
      <c r="DA1014">
        <v>1</v>
      </c>
      <c r="DB1014">
        <v>0</v>
      </c>
      <c r="DC1014">
        <v>0</v>
      </c>
      <c r="DD1014">
        <v>0</v>
      </c>
      <c r="DE1014">
        <v>0</v>
      </c>
      <c r="DF1014">
        <v>0</v>
      </c>
      <c r="DG1014">
        <v>0</v>
      </c>
      <c r="DH1014">
        <v>0</v>
      </c>
      <c r="DI1014">
        <v>0</v>
      </c>
    </row>
    <row r="1015" spans="1:113" x14ac:dyDescent="0.3">
      <c r="A1015" t="str">
        <f>"02/13/2022 18:41:08.134"</f>
        <v>02/13/2022 18:41:08.134</v>
      </c>
      <c r="C1015" t="str">
        <f t="shared" si="99"/>
        <v>FFDFD7C0</v>
      </c>
      <c r="D1015" t="s">
        <v>113</v>
      </c>
      <c r="E1015">
        <v>3</v>
      </c>
      <c r="F1015">
        <v>1003</v>
      </c>
      <c r="G1015" t="s">
        <v>114</v>
      </c>
      <c r="J1015" t="s">
        <v>115</v>
      </c>
      <c r="K1015">
        <v>0</v>
      </c>
      <c r="L1015">
        <v>3</v>
      </c>
      <c r="M1015">
        <v>0</v>
      </c>
      <c r="N1015">
        <v>2</v>
      </c>
      <c r="O1015">
        <v>1</v>
      </c>
      <c r="P1015">
        <v>0</v>
      </c>
      <c r="Q1015">
        <v>0</v>
      </c>
      <c r="S1015" t="str">
        <f>"18:41:07.898"</f>
        <v>18:41:07.898</v>
      </c>
      <c r="T1015" t="str">
        <f>"18:41:07.698"</f>
        <v>18:41:07.698</v>
      </c>
      <c r="U1015" t="str">
        <f t="shared" si="98"/>
        <v>AAB6EE</v>
      </c>
      <c r="V1015">
        <v>0</v>
      </c>
      <c r="W1015">
        <v>0</v>
      </c>
      <c r="X1015">
        <v>4</v>
      </c>
      <c r="Z1015">
        <v>0</v>
      </c>
      <c r="AA1015">
        <v>8</v>
      </c>
      <c r="AB1015">
        <v>3</v>
      </c>
      <c r="AC1015">
        <v>0</v>
      </c>
      <c r="AD1015">
        <v>10</v>
      </c>
      <c r="AE1015">
        <v>0</v>
      </c>
      <c r="AF1015">
        <v>0</v>
      </c>
      <c r="AG1015">
        <v>2</v>
      </c>
      <c r="AH1015">
        <v>1</v>
      </c>
      <c r="AI1015" t="s">
        <v>797</v>
      </c>
      <c r="AJ1015">
        <v>35.299779999999998</v>
      </c>
      <c r="AK1015" t="s">
        <v>798</v>
      </c>
      <c r="AL1015">
        <v>-76.191130000000001</v>
      </c>
      <c r="AM1015">
        <v>25</v>
      </c>
      <c r="AN1015">
        <v>3425</v>
      </c>
      <c r="AO1015" t="s">
        <v>118</v>
      </c>
      <c r="AP1015">
        <v>-77</v>
      </c>
      <c r="AQ1015">
        <v>-208</v>
      </c>
      <c r="AR1015">
        <v>128</v>
      </c>
      <c r="AZ1015">
        <v>4516</v>
      </c>
      <c r="BA1015">
        <v>1</v>
      </c>
      <c r="BB1015" t="str">
        <f t="shared" si="100"/>
        <v xml:space="preserve">N79NX   </v>
      </c>
      <c r="BC1015">
        <v>1</v>
      </c>
      <c r="BE1015">
        <v>0</v>
      </c>
      <c r="BF1015">
        <v>0</v>
      </c>
      <c r="BG1015">
        <v>0</v>
      </c>
      <c r="BH1015">
        <v>3275</v>
      </c>
      <c r="BI1015">
        <v>0</v>
      </c>
      <c r="BJ1015">
        <v>0</v>
      </c>
      <c r="BK1015">
        <v>0</v>
      </c>
      <c r="BL1015">
        <v>0</v>
      </c>
      <c r="BO1015">
        <v>0</v>
      </c>
      <c r="BP1015">
        <v>0</v>
      </c>
      <c r="BW1015" t="str">
        <f>"18:41:07.901"</f>
        <v>18:41:07.901</v>
      </c>
      <c r="BZ1015">
        <v>0</v>
      </c>
      <c r="CA1015">
        <v>4096</v>
      </c>
      <c r="CB1015">
        <v>216</v>
      </c>
      <c r="CC1015">
        <v>487.96879999999999</v>
      </c>
      <c r="CD1015">
        <v>1</v>
      </c>
      <c r="CE1015">
        <v>1</v>
      </c>
      <c r="CF1015">
        <v>0</v>
      </c>
      <c r="CG1015">
        <v>1</v>
      </c>
      <c r="CH1015">
        <v>0</v>
      </c>
      <c r="CI1015">
        <v>1</v>
      </c>
      <c r="CJ1015">
        <v>0</v>
      </c>
      <c r="CK1015">
        <v>2</v>
      </c>
      <c r="CL1015">
        <v>0</v>
      </c>
      <c r="CM1015">
        <v>2</v>
      </c>
      <c r="CN1015">
        <v>0</v>
      </c>
      <c r="CO1015">
        <v>3</v>
      </c>
      <c r="CP1015" t="s">
        <v>119</v>
      </c>
      <c r="CQ1015">
        <v>145</v>
      </c>
      <c r="CR1015">
        <v>1</v>
      </c>
      <c r="CW1015">
        <v>9008477</v>
      </c>
      <c r="CY1015">
        <v>0</v>
      </c>
      <c r="CZ1015">
        <v>0</v>
      </c>
      <c r="DA1015">
        <v>1</v>
      </c>
      <c r="DB1015">
        <v>0</v>
      </c>
      <c r="DC1015">
        <v>0</v>
      </c>
      <c r="DD1015">
        <v>0</v>
      </c>
      <c r="DE1015">
        <v>0</v>
      </c>
      <c r="DF1015">
        <v>0</v>
      </c>
      <c r="DG1015">
        <v>0</v>
      </c>
      <c r="DH1015">
        <v>0</v>
      </c>
      <c r="DI1015">
        <v>0</v>
      </c>
    </row>
    <row r="1016" spans="1:113" x14ac:dyDescent="0.3">
      <c r="A1016" t="str">
        <f>"02/13/2022 18:41:09.212"</f>
        <v>02/13/2022 18:41:09.212</v>
      </c>
      <c r="C1016" t="str">
        <f t="shared" si="99"/>
        <v>FFDFD7C0</v>
      </c>
      <c r="D1016" t="s">
        <v>121</v>
      </c>
      <c r="E1016">
        <v>2</v>
      </c>
      <c r="H1016">
        <v>158</v>
      </c>
      <c r="I1016" t="s">
        <v>120</v>
      </c>
      <c r="J1016" t="s">
        <v>122</v>
      </c>
      <c r="K1016">
        <v>0</v>
      </c>
      <c r="L1016">
        <v>3</v>
      </c>
      <c r="M1016">
        <v>0</v>
      </c>
      <c r="N1016">
        <v>2</v>
      </c>
      <c r="O1016">
        <v>1</v>
      </c>
      <c r="P1016">
        <v>0</v>
      </c>
      <c r="Q1016">
        <v>0</v>
      </c>
      <c r="S1016" t="str">
        <f>"18:41:08.891"</f>
        <v>18:41:08.891</v>
      </c>
      <c r="T1016" t="str">
        <f>"18:41:08.791"</f>
        <v>18:41:08.791</v>
      </c>
      <c r="U1016" t="str">
        <f t="shared" si="98"/>
        <v>AAB6EE</v>
      </c>
      <c r="V1016">
        <v>0</v>
      </c>
      <c r="W1016">
        <v>0</v>
      </c>
      <c r="X1016">
        <v>4</v>
      </c>
      <c r="Z1016">
        <v>0</v>
      </c>
      <c r="AA1016">
        <v>8</v>
      </c>
      <c r="AB1016">
        <v>3</v>
      </c>
      <c r="AC1016">
        <v>0</v>
      </c>
      <c r="AD1016">
        <v>10</v>
      </c>
      <c r="AE1016">
        <v>0</v>
      </c>
      <c r="AF1016">
        <v>0</v>
      </c>
      <c r="AG1016">
        <v>2</v>
      </c>
      <c r="AH1016">
        <v>1</v>
      </c>
      <c r="AI1016" t="s">
        <v>799</v>
      </c>
      <c r="AJ1016">
        <v>35.298793000000003</v>
      </c>
      <c r="AK1016" t="s">
        <v>800</v>
      </c>
      <c r="AL1016">
        <v>-76.191536999999997</v>
      </c>
      <c r="AM1016">
        <v>25</v>
      </c>
      <c r="AN1016">
        <v>3425</v>
      </c>
      <c r="AO1016" t="s">
        <v>118</v>
      </c>
      <c r="AP1016">
        <v>-73</v>
      </c>
      <c r="AQ1016">
        <v>-209</v>
      </c>
      <c r="AR1016">
        <v>64</v>
      </c>
      <c r="AZ1016">
        <v>4516</v>
      </c>
      <c r="BA1016">
        <v>1</v>
      </c>
      <c r="BB1016" t="str">
        <f t="shared" si="100"/>
        <v xml:space="preserve">N79NX   </v>
      </c>
      <c r="BC1016">
        <v>1</v>
      </c>
      <c r="BE1016">
        <v>0</v>
      </c>
      <c r="BF1016">
        <v>0</v>
      </c>
      <c r="BG1016">
        <v>0</v>
      </c>
      <c r="BH1016">
        <v>3275</v>
      </c>
      <c r="BI1016">
        <v>0</v>
      </c>
      <c r="BJ1016">
        <v>0</v>
      </c>
      <c r="BK1016">
        <v>0</v>
      </c>
      <c r="BL1016">
        <v>0</v>
      </c>
      <c r="BO1016">
        <v>0</v>
      </c>
      <c r="BP1016">
        <v>0</v>
      </c>
      <c r="BW1016" t="str">
        <f>"18:41:08.891"</f>
        <v>18:41:08.891</v>
      </c>
      <c r="BZ1016">
        <v>0</v>
      </c>
      <c r="CA1016">
        <v>4096</v>
      </c>
      <c r="CB1016">
        <v>216</v>
      </c>
      <c r="CC1016">
        <v>532.96879999999999</v>
      </c>
      <c r="CD1016">
        <v>1</v>
      </c>
      <c r="CE1016">
        <v>1</v>
      </c>
      <c r="CF1016">
        <v>0</v>
      </c>
      <c r="CG1016">
        <v>1</v>
      </c>
      <c r="CH1016">
        <v>0</v>
      </c>
      <c r="CI1016">
        <v>1</v>
      </c>
      <c r="CJ1016">
        <v>0</v>
      </c>
      <c r="CK1016">
        <v>2</v>
      </c>
      <c r="CL1016">
        <v>0</v>
      </c>
      <c r="CM1016">
        <v>2</v>
      </c>
      <c r="CN1016">
        <v>0</v>
      </c>
      <c r="CO1016">
        <v>4</v>
      </c>
      <c r="CP1016" t="s">
        <v>119</v>
      </c>
      <c r="CQ1016">
        <v>145</v>
      </c>
      <c r="CR1016">
        <v>1</v>
      </c>
      <c r="CW1016">
        <v>9008874</v>
      </c>
      <c r="CY1016">
        <v>0</v>
      </c>
      <c r="CZ1016">
        <v>0</v>
      </c>
      <c r="DA1016">
        <v>0</v>
      </c>
      <c r="DB1016">
        <v>0</v>
      </c>
      <c r="DC1016">
        <v>0</v>
      </c>
      <c r="DD1016">
        <v>0</v>
      </c>
      <c r="DE1016">
        <v>0</v>
      </c>
      <c r="DF1016">
        <v>0</v>
      </c>
      <c r="DG1016">
        <v>0</v>
      </c>
      <c r="DH1016">
        <v>0</v>
      </c>
      <c r="DI1016">
        <v>0</v>
      </c>
    </row>
    <row r="1017" spans="1:113" x14ac:dyDescent="0.3">
      <c r="A1017" t="str">
        <f>"02/13/2022 18:41:09.290"</f>
        <v>02/13/2022 18:41:09.290</v>
      </c>
      <c r="C1017" t="str">
        <f t="shared" si="99"/>
        <v>FFDFD7C0</v>
      </c>
      <c r="D1017" t="s">
        <v>113</v>
      </c>
      <c r="E1017">
        <v>3</v>
      </c>
      <c r="F1017">
        <v>1003</v>
      </c>
      <c r="G1017" t="s">
        <v>114</v>
      </c>
      <c r="J1017" t="s">
        <v>115</v>
      </c>
      <c r="K1017">
        <v>0</v>
      </c>
      <c r="L1017">
        <v>3</v>
      </c>
      <c r="M1017">
        <v>0</v>
      </c>
      <c r="N1017">
        <v>2</v>
      </c>
      <c r="O1017">
        <v>1</v>
      </c>
      <c r="P1017">
        <v>0</v>
      </c>
      <c r="Q1017">
        <v>0</v>
      </c>
      <c r="S1017" t="str">
        <f>"18:41:08.891"</f>
        <v>18:41:08.891</v>
      </c>
      <c r="T1017" t="str">
        <f>"18:41:08.791"</f>
        <v>18:41:08.791</v>
      </c>
      <c r="U1017" t="str">
        <f t="shared" si="98"/>
        <v>AAB6EE</v>
      </c>
      <c r="V1017">
        <v>0</v>
      </c>
      <c r="W1017">
        <v>0</v>
      </c>
      <c r="X1017">
        <v>4</v>
      </c>
      <c r="Z1017">
        <v>0</v>
      </c>
      <c r="AA1017">
        <v>8</v>
      </c>
      <c r="AB1017">
        <v>3</v>
      </c>
      <c r="AC1017">
        <v>0</v>
      </c>
      <c r="AD1017">
        <v>10</v>
      </c>
      <c r="AE1017">
        <v>0</v>
      </c>
      <c r="AF1017">
        <v>0</v>
      </c>
      <c r="AG1017">
        <v>2</v>
      </c>
      <c r="AH1017">
        <v>1</v>
      </c>
      <c r="AI1017" t="s">
        <v>799</v>
      </c>
      <c r="AJ1017">
        <v>35.298793000000003</v>
      </c>
      <c r="AK1017" t="s">
        <v>800</v>
      </c>
      <c r="AL1017">
        <v>-76.191536999999997</v>
      </c>
      <c r="AM1017">
        <v>25</v>
      </c>
      <c r="AN1017">
        <v>3425</v>
      </c>
      <c r="AO1017" t="s">
        <v>118</v>
      </c>
      <c r="AP1017">
        <v>-73</v>
      </c>
      <c r="AQ1017">
        <v>-209</v>
      </c>
      <c r="AR1017">
        <v>64</v>
      </c>
      <c r="AZ1017">
        <v>4516</v>
      </c>
      <c r="BA1017">
        <v>1</v>
      </c>
      <c r="BB1017" t="str">
        <f t="shared" si="100"/>
        <v xml:space="preserve">N79NX   </v>
      </c>
      <c r="BC1017">
        <v>1</v>
      </c>
      <c r="BE1017">
        <v>0</v>
      </c>
      <c r="BF1017">
        <v>0</v>
      </c>
      <c r="BG1017">
        <v>0</v>
      </c>
      <c r="BH1017">
        <v>3275</v>
      </c>
      <c r="BI1017">
        <v>0</v>
      </c>
      <c r="BJ1017">
        <v>0</v>
      </c>
      <c r="BK1017">
        <v>0</v>
      </c>
      <c r="BL1017">
        <v>0</v>
      </c>
      <c r="BO1017">
        <v>0</v>
      </c>
      <c r="BP1017">
        <v>0</v>
      </c>
      <c r="BW1017" t="str">
        <f>"18:41:08.891"</f>
        <v>18:41:08.891</v>
      </c>
      <c r="BZ1017">
        <v>0</v>
      </c>
      <c r="CA1017">
        <v>4096</v>
      </c>
      <c r="CB1017">
        <v>216</v>
      </c>
      <c r="CC1017">
        <v>532.96879999999999</v>
      </c>
      <c r="CD1017">
        <v>1</v>
      </c>
      <c r="CE1017">
        <v>1</v>
      </c>
      <c r="CF1017">
        <v>0</v>
      </c>
      <c r="CG1017">
        <v>1</v>
      </c>
      <c r="CH1017">
        <v>0</v>
      </c>
      <c r="CI1017">
        <v>1</v>
      </c>
      <c r="CJ1017">
        <v>0</v>
      </c>
      <c r="CK1017">
        <v>2</v>
      </c>
      <c r="CL1017">
        <v>0</v>
      </c>
      <c r="CM1017">
        <v>2</v>
      </c>
      <c r="CN1017">
        <v>0</v>
      </c>
      <c r="CO1017">
        <v>4</v>
      </c>
      <c r="CP1017" t="s">
        <v>119</v>
      </c>
      <c r="CQ1017">
        <v>145</v>
      </c>
      <c r="CR1017">
        <v>1</v>
      </c>
      <c r="CW1017">
        <v>9008874</v>
      </c>
      <c r="CY1017">
        <v>0</v>
      </c>
      <c r="CZ1017">
        <v>0</v>
      </c>
      <c r="DA1017">
        <v>1</v>
      </c>
      <c r="DB1017">
        <v>0</v>
      </c>
      <c r="DC1017">
        <v>0</v>
      </c>
      <c r="DD1017">
        <v>0</v>
      </c>
      <c r="DE1017">
        <v>0</v>
      </c>
      <c r="DF1017">
        <v>0</v>
      </c>
      <c r="DG1017">
        <v>0</v>
      </c>
      <c r="DH1017">
        <v>0</v>
      </c>
      <c r="DI1017">
        <v>0</v>
      </c>
    </row>
    <row r="1018" spans="1:113" x14ac:dyDescent="0.3">
      <c r="A1018" t="str">
        <f>"02/13/2022 18:41:09.290"</f>
        <v>02/13/2022 18:41:09.290</v>
      </c>
      <c r="C1018" t="str">
        <f t="shared" si="99"/>
        <v>FFDFD7C0</v>
      </c>
      <c r="D1018" t="s">
        <v>113</v>
      </c>
      <c r="E1018">
        <v>4</v>
      </c>
      <c r="F1018">
        <v>1004</v>
      </c>
      <c r="G1018" t="s">
        <v>120</v>
      </c>
      <c r="J1018" t="s">
        <v>115</v>
      </c>
      <c r="K1018">
        <v>0</v>
      </c>
      <c r="L1018">
        <v>3</v>
      </c>
      <c r="M1018">
        <v>0</v>
      </c>
      <c r="N1018">
        <v>2</v>
      </c>
      <c r="O1018">
        <v>1</v>
      </c>
      <c r="P1018">
        <v>0</v>
      </c>
      <c r="Q1018">
        <v>0</v>
      </c>
      <c r="S1018" t="str">
        <f>"18:41:08.891"</f>
        <v>18:41:08.891</v>
      </c>
      <c r="T1018" t="str">
        <f>"18:41:08.791"</f>
        <v>18:41:08.791</v>
      </c>
      <c r="U1018" t="str">
        <f t="shared" si="98"/>
        <v>AAB6EE</v>
      </c>
      <c r="V1018">
        <v>0</v>
      </c>
      <c r="W1018">
        <v>0</v>
      </c>
      <c r="X1018">
        <v>4</v>
      </c>
      <c r="Z1018">
        <v>0</v>
      </c>
      <c r="AA1018">
        <v>8</v>
      </c>
      <c r="AB1018">
        <v>3</v>
      </c>
      <c r="AC1018">
        <v>0</v>
      </c>
      <c r="AD1018">
        <v>10</v>
      </c>
      <c r="AE1018">
        <v>0</v>
      </c>
      <c r="AF1018">
        <v>0</v>
      </c>
      <c r="AG1018">
        <v>2</v>
      </c>
      <c r="AH1018">
        <v>1</v>
      </c>
      <c r="AI1018" t="s">
        <v>799</v>
      </c>
      <c r="AJ1018">
        <v>35.298793000000003</v>
      </c>
      <c r="AK1018" t="s">
        <v>800</v>
      </c>
      <c r="AL1018">
        <v>-76.191536999999997</v>
      </c>
      <c r="AM1018">
        <v>25</v>
      </c>
      <c r="AN1018">
        <v>3425</v>
      </c>
      <c r="AO1018" t="s">
        <v>118</v>
      </c>
      <c r="AP1018">
        <v>-73</v>
      </c>
      <c r="AQ1018">
        <v>-209</v>
      </c>
      <c r="AR1018">
        <v>64</v>
      </c>
      <c r="AZ1018">
        <v>4516</v>
      </c>
      <c r="BA1018">
        <v>1</v>
      </c>
      <c r="BB1018" t="str">
        <f t="shared" si="100"/>
        <v xml:space="preserve">N79NX   </v>
      </c>
      <c r="BC1018">
        <v>1</v>
      </c>
      <c r="BE1018">
        <v>0</v>
      </c>
      <c r="BF1018">
        <v>0</v>
      </c>
      <c r="BG1018">
        <v>0</v>
      </c>
      <c r="BH1018">
        <v>3275</v>
      </c>
      <c r="BI1018">
        <v>0</v>
      </c>
      <c r="BJ1018">
        <v>0</v>
      </c>
      <c r="BK1018">
        <v>0</v>
      </c>
      <c r="BL1018">
        <v>0</v>
      </c>
      <c r="BO1018">
        <v>0</v>
      </c>
      <c r="BP1018">
        <v>0</v>
      </c>
      <c r="BW1018" t="str">
        <f>"18:41:08.891"</f>
        <v>18:41:08.891</v>
      </c>
      <c r="BZ1018">
        <v>0</v>
      </c>
      <c r="CA1018">
        <v>4096</v>
      </c>
      <c r="CB1018">
        <v>216</v>
      </c>
      <c r="CC1018">
        <v>532.96879999999999</v>
      </c>
      <c r="CD1018">
        <v>1</v>
      </c>
      <c r="CE1018">
        <v>1</v>
      </c>
      <c r="CF1018">
        <v>0</v>
      </c>
      <c r="CG1018">
        <v>1</v>
      </c>
      <c r="CH1018">
        <v>0</v>
      </c>
      <c r="CI1018">
        <v>1</v>
      </c>
      <c r="CJ1018">
        <v>0</v>
      </c>
      <c r="CK1018">
        <v>2</v>
      </c>
      <c r="CL1018">
        <v>0</v>
      </c>
      <c r="CM1018">
        <v>2</v>
      </c>
      <c r="CN1018">
        <v>0</v>
      </c>
      <c r="CO1018">
        <v>4</v>
      </c>
      <c r="CP1018" t="s">
        <v>119</v>
      </c>
      <c r="CQ1018">
        <v>145</v>
      </c>
      <c r="CR1018">
        <v>1</v>
      </c>
      <c r="CW1018">
        <v>9008874</v>
      </c>
      <c r="CY1018">
        <v>0</v>
      </c>
      <c r="CZ1018">
        <v>0</v>
      </c>
      <c r="DA1018">
        <v>1</v>
      </c>
      <c r="DB1018">
        <v>0</v>
      </c>
      <c r="DC1018">
        <v>0</v>
      </c>
      <c r="DD1018">
        <v>0</v>
      </c>
      <c r="DE1018">
        <v>0</v>
      </c>
      <c r="DF1018">
        <v>0</v>
      </c>
      <c r="DG1018">
        <v>0</v>
      </c>
      <c r="DH1018">
        <v>0</v>
      </c>
      <c r="DI1018">
        <v>0</v>
      </c>
    </row>
    <row r="1019" spans="1:113" x14ac:dyDescent="0.3">
      <c r="A1019" t="str">
        <f>"02/13/2022 18:41:10.078"</f>
        <v>02/13/2022 18:41:10.078</v>
      </c>
      <c r="C1019" t="str">
        <f t="shared" si="99"/>
        <v>FFDFD7C0</v>
      </c>
      <c r="D1019" t="s">
        <v>121</v>
      </c>
      <c r="E1019">
        <v>2</v>
      </c>
      <c r="H1019">
        <v>158</v>
      </c>
      <c r="I1019" t="s">
        <v>120</v>
      </c>
      <c r="J1019" t="s">
        <v>122</v>
      </c>
      <c r="K1019">
        <v>0</v>
      </c>
      <c r="L1019">
        <v>3</v>
      </c>
      <c r="M1019">
        <v>0</v>
      </c>
      <c r="N1019">
        <v>2</v>
      </c>
      <c r="O1019">
        <v>1</v>
      </c>
      <c r="P1019">
        <v>0</v>
      </c>
      <c r="Q1019">
        <v>0</v>
      </c>
      <c r="S1019" t="str">
        <f>"18:41:09.820"</f>
        <v>18:41:09.820</v>
      </c>
      <c r="T1019" t="str">
        <f>"18:41:09.720"</f>
        <v>18:41:09.720</v>
      </c>
      <c r="U1019" t="str">
        <f t="shared" si="98"/>
        <v>AAB6EE</v>
      </c>
      <c r="V1019">
        <v>0</v>
      </c>
      <c r="W1019">
        <v>0</v>
      </c>
      <c r="X1019">
        <v>4</v>
      </c>
      <c r="Z1019">
        <v>0</v>
      </c>
      <c r="AA1019">
        <v>8</v>
      </c>
      <c r="AB1019">
        <v>3</v>
      </c>
      <c r="AC1019">
        <v>0</v>
      </c>
      <c r="AD1019">
        <v>10</v>
      </c>
      <c r="AE1019">
        <v>0</v>
      </c>
      <c r="AF1019">
        <v>0</v>
      </c>
      <c r="AG1019">
        <v>2</v>
      </c>
      <c r="AH1019">
        <v>1</v>
      </c>
      <c r="AI1019" t="s">
        <v>801</v>
      </c>
      <c r="AJ1019">
        <v>35.297806000000001</v>
      </c>
      <c r="AK1019" t="s">
        <v>802</v>
      </c>
      <c r="AL1019">
        <v>-76.191945000000004</v>
      </c>
      <c r="AM1019">
        <v>25</v>
      </c>
      <c r="AN1019">
        <v>3425</v>
      </c>
      <c r="AO1019" t="s">
        <v>118</v>
      </c>
      <c r="AP1019">
        <v>-70</v>
      </c>
      <c r="AQ1019">
        <v>-211</v>
      </c>
      <c r="AR1019">
        <v>-64</v>
      </c>
      <c r="AZ1019">
        <v>4516</v>
      </c>
      <c r="BA1019">
        <v>1</v>
      </c>
      <c r="BB1019" t="str">
        <f t="shared" si="100"/>
        <v xml:space="preserve">N79NX   </v>
      </c>
      <c r="BC1019">
        <v>1</v>
      </c>
      <c r="BE1019">
        <v>0</v>
      </c>
      <c r="BF1019">
        <v>0</v>
      </c>
      <c r="BG1019">
        <v>0</v>
      </c>
      <c r="BH1019">
        <v>3275</v>
      </c>
      <c r="BI1019">
        <v>0</v>
      </c>
      <c r="BJ1019">
        <v>0</v>
      </c>
      <c r="BK1019">
        <v>0</v>
      </c>
      <c r="BL1019">
        <v>0</v>
      </c>
      <c r="BO1019">
        <v>0</v>
      </c>
      <c r="BP1019">
        <v>0</v>
      </c>
      <c r="BW1019" t="str">
        <f>"18:41:09.821"</f>
        <v>18:41:09.821</v>
      </c>
      <c r="BZ1019">
        <v>0</v>
      </c>
      <c r="CA1019">
        <v>4096</v>
      </c>
      <c r="CB1019">
        <v>216</v>
      </c>
      <c r="CC1019">
        <v>576.5625</v>
      </c>
      <c r="CD1019">
        <v>1</v>
      </c>
      <c r="CE1019">
        <v>1</v>
      </c>
      <c r="CF1019">
        <v>0</v>
      </c>
      <c r="CG1019">
        <v>1</v>
      </c>
      <c r="CH1019">
        <v>0</v>
      </c>
      <c r="CI1019">
        <v>1</v>
      </c>
      <c r="CJ1019">
        <v>0</v>
      </c>
      <c r="CK1019">
        <v>2</v>
      </c>
      <c r="CL1019">
        <v>0</v>
      </c>
      <c r="CM1019">
        <v>2</v>
      </c>
      <c r="CN1019">
        <v>0</v>
      </c>
      <c r="CO1019">
        <v>4</v>
      </c>
      <c r="CP1019" t="s">
        <v>119</v>
      </c>
      <c r="CQ1019">
        <v>145</v>
      </c>
      <c r="CR1019">
        <v>1</v>
      </c>
      <c r="CW1019">
        <v>9009276</v>
      </c>
      <c r="CY1019">
        <v>0</v>
      </c>
      <c r="CZ1019">
        <v>0</v>
      </c>
      <c r="DA1019">
        <v>0</v>
      </c>
      <c r="DB1019">
        <v>0</v>
      </c>
      <c r="DC1019">
        <v>0</v>
      </c>
      <c r="DD1019">
        <v>0</v>
      </c>
      <c r="DE1019">
        <v>0</v>
      </c>
      <c r="DF1019">
        <v>0</v>
      </c>
      <c r="DG1019">
        <v>0</v>
      </c>
      <c r="DH1019">
        <v>0</v>
      </c>
      <c r="DI1019">
        <v>0</v>
      </c>
    </row>
    <row r="1020" spans="1:113" x14ac:dyDescent="0.3">
      <c r="A1020" t="str">
        <f>"02/13/2022 18:41:10.093"</f>
        <v>02/13/2022 18:41:10.093</v>
      </c>
      <c r="C1020" t="str">
        <f t="shared" si="99"/>
        <v>FFDFD7C0</v>
      </c>
      <c r="D1020" t="s">
        <v>113</v>
      </c>
      <c r="E1020">
        <v>3</v>
      </c>
      <c r="F1020">
        <v>1003</v>
      </c>
      <c r="G1020" t="s">
        <v>114</v>
      </c>
      <c r="J1020" t="s">
        <v>115</v>
      </c>
      <c r="K1020">
        <v>0</v>
      </c>
      <c r="L1020">
        <v>3</v>
      </c>
      <c r="M1020">
        <v>0</v>
      </c>
      <c r="N1020">
        <v>2</v>
      </c>
      <c r="O1020">
        <v>1</v>
      </c>
      <c r="P1020">
        <v>0</v>
      </c>
      <c r="Q1020">
        <v>0</v>
      </c>
      <c r="S1020" t="str">
        <f>"18:41:09.820"</f>
        <v>18:41:09.820</v>
      </c>
      <c r="T1020" t="str">
        <f>"18:41:09.720"</f>
        <v>18:41:09.720</v>
      </c>
      <c r="U1020" t="str">
        <f t="shared" si="98"/>
        <v>AAB6EE</v>
      </c>
      <c r="V1020">
        <v>0</v>
      </c>
      <c r="W1020">
        <v>0</v>
      </c>
      <c r="X1020">
        <v>4</v>
      </c>
      <c r="Z1020">
        <v>0</v>
      </c>
      <c r="AA1020">
        <v>8</v>
      </c>
      <c r="AB1020">
        <v>3</v>
      </c>
      <c r="AC1020">
        <v>0</v>
      </c>
      <c r="AD1020">
        <v>10</v>
      </c>
      <c r="AE1020">
        <v>0</v>
      </c>
      <c r="AF1020">
        <v>0</v>
      </c>
      <c r="AG1020">
        <v>2</v>
      </c>
      <c r="AH1020">
        <v>1</v>
      </c>
      <c r="AI1020" t="s">
        <v>801</v>
      </c>
      <c r="AJ1020">
        <v>35.297806000000001</v>
      </c>
      <c r="AK1020" t="s">
        <v>802</v>
      </c>
      <c r="AL1020">
        <v>-76.191945000000004</v>
      </c>
      <c r="AM1020">
        <v>25</v>
      </c>
      <c r="AN1020">
        <v>3425</v>
      </c>
      <c r="AO1020" t="s">
        <v>118</v>
      </c>
      <c r="AP1020">
        <v>-70</v>
      </c>
      <c r="AQ1020">
        <v>-211</v>
      </c>
      <c r="AR1020">
        <v>-64</v>
      </c>
      <c r="AZ1020">
        <v>4516</v>
      </c>
      <c r="BA1020">
        <v>1</v>
      </c>
      <c r="BB1020" t="str">
        <f t="shared" si="100"/>
        <v xml:space="preserve">N79NX   </v>
      </c>
      <c r="BC1020">
        <v>1</v>
      </c>
      <c r="BE1020">
        <v>0</v>
      </c>
      <c r="BF1020">
        <v>0</v>
      </c>
      <c r="BG1020">
        <v>0</v>
      </c>
      <c r="BH1020">
        <v>3275</v>
      </c>
      <c r="BI1020">
        <v>0</v>
      </c>
      <c r="BJ1020">
        <v>0</v>
      </c>
      <c r="BK1020">
        <v>0</v>
      </c>
      <c r="BL1020">
        <v>0</v>
      </c>
      <c r="BO1020">
        <v>0</v>
      </c>
      <c r="BP1020">
        <v>0</v>
      </c>
      <c r="BW1020" t="str">
        <f>"18:41:09.821"</f>
        <v>18:41:09.821</v>
      </c>
      <c r="BZ1020">
        <v>0</v>
      </c>
      <c r="CA1020">
        <v>4096</v>
      </c>
      <c r="CB1020">
        <v>216</v>
      </c>
      <c r="CC1020">
        <v>576.5625</v>
      </c>
      <c r="CD1020">
        <v>1</v>
      </c>
      <c r="CE1020">
        <v>1</v>
      </c>
      <c r="CF1020">
        <v>0</v>
      </c>
      <c r="CG1020">
        <v>1</v>
      </c>
      <c r="CH1020">
        <v>0</v>
      </c>
      <c r="CI1020">
        <v>1</v>
      </c>
      <c r="CJ1020">
        <v>0</v>
      </c>
      <c r="CK1020">
        <v>2</v>
      </c>
      <c r="CL1020">
        <v>0</v>
      </c>
      <c r="CM1020">
        <v>2</v>
      </c>
      <c r="CN1020">
        <v>0</v>
      </c>
      <c r="CO1020">
        <v>4</v>
      </c>
      <c r="CP1020" t="s">
        <v>119</v>
      </c>
      <c r="CQ1020">
        <v>145</v>
      </c>
      <c r="CR1020">
        <v>1</v>
      </c>
      <c r="CW1020">
        <v>9009276</v>
      </c>
      <c r="CY1020">
        <v>0</v>
      </c>
      <c r="CZ1020">
        <v>0</v>
      </c>
      <c r="DA1020">
        <v>1</v>
      </c>
      <c r="DB1020">
        <v>0</v>
      </c>
      <c r="DC1020">
        <v>0</v>
      </c>
      <c r="DD1020">
        <v>0</v>
      </c>
      <c r="DE1020">
        <v>0</v>
      </c>
      <c r="DF1020">
        <v>0</v>
      </c>
      <c r="DG1020">
        <v>0</v>
      </c>
      <c r="DH1020">
        <v>0</v>
      </c>
      <c r="DI1020">
        <v>0</v>
      </c>
    </row>
    <row r="1021" spans="1:113" x14ac:dyDescent="0.3">
      <c r="A1021" t="str">
        <f>"02/13/2022 18:41:10.093"</f>
        <v>02/13/2022 18:41:10.093</v>
      </c>
      <c r="C1021" t="str">
        <f t="shared" si="99"/>
        <v>FFDFD7C0</v>
      </c>
      <c r="D1021" t="s">
        <v>113</v>
      </c>
      <c r="E1021">
        <v>4</v>
      </c>
      <c r="F1021">
        <v>1004</v>
      </c>
      <c r="G1021" t="s">
        <v>120</v>
      </c>
      <c r="J1021" t="s">
        <v>115</v>
      </c>
      <c r="K1021">
        <v>0</v>
      </c>
      <c r="L1021">
        <v>3</v>
      </c>
      <c r="M1021">
        <v>0</v>
      </c>
      <c r="N1021">
        <v>2</v>
      </c>
      <c r="O1021">
        <v>1</v>
      </c>
      <c r="P1021">
        <v>0</v>
      </c>
      <c r="Q1021">
        <v>0</v>
      </c>
      <c r="S1021" t="str">
        <f>"18:41:09.820"</f>
        <v>18:41:09.820</v>
      </c>
      <c r="T1021" t="str">
        <f>"18:41:09.720"</f>
        <v>18:41:09.720</v>
      </c>
      <c r="U1021" t="str">
        <f t="shared" si="98"/>
        <v>AAB6EE</v>
      </c>
      <c r="V1021">
        <v>0</v>
      </c>
      <c r="W1021">
        <v>0</v>
      </c>
      <c r="X1021">
        <v>4</v>
      </c>
      <c r="Z1021">
        <v>0</v>
      </c>
      <c r="AA1021">
        <v>8</v>
      </c>
      <c r="AB1021">
        <v>3</v>
      </c>
      <c r="AC1021">
        <v>0</v>
      </c>
      <c r="AD1021">
        <v>10</v>
      </c>
      <c r="AE1021">
        <v>0</v>
      </c>
      <c r="AF1021">
        <v>0</v>
      </c>
      <c r="AG1021">
        <v>2</v>
      </c>
      <c r="AH1021">
        <v>1</v>
      </c>
      <c r="AI1021" t="s">
        <v>801</v>
      </c>
      <c r="AJ1021">
        <v>35.297806000000001</v>
      </c>
      <c r="AK1021" t="s">
        <v>802</v>
      </c>
      <c r="AL1021">
        <v>-76.191945000000004</v>
      </c>
      <c r="AM1021">
        <v>25</v>
      </c>
      <c r="AN1021">
        <v>3425</v>
      </c>
      <c r="AO1021" t="s">
        <v>118</v>
      </c>
      <c r="AP1021">
        <v>-70</v>
      </c>
      <c r="AQ1021">
        <v>-211</v>
      </c>
      <c r="AR1021">
        <v>-64</v>
      </c>
      <c r="AZ1021">
        <v>4516</v>
      </c>
      <c r="BA1021">
        <v>1</v>
      </c>
      <c r="BB1021" t="str">
        <f t="shared" si="100"/>
        <v xml:space="preserve">N79NX   </v>
      </c>
      <c r="BC1021">
        <v>1</v>
      </c>
      <c r="BE1021">
        <v>0</v>
      </c>
      <c r="BF1021">
        <v>0</v>
      </c>
      <c r="BG1021">
        <v>0</v>
      </c>
      <c r="BH1021">
        <v>3275</v>
      </c>
      <c r="BI1021">
        <v>0</v>
      </c>
      <c r="BJ1021">
        <v>0</v>
      </c>
      <c r="BK1021">
        <v>0</v>
      </c>
      <c r="BL1021">
        <v>0</v>
      </c>
      <c r="BO1021">
        <v>0</v>
      </c>
      <c r="BP1021">
        <v>0</v>
      </c>
      <c r="BW1021" t="str">
        <f>"18:41:09.821"</f>
        <v>18:41:09.821</v>
      </c>
      <c r="BZ1021">
        <v>0</v>
      </c>
      <c r="CA1021">
        <v>4096</v>
      </c>
      <c r="CB1021">
        <v>216</v>
      </c>
      <c r="CC1021">
        <v>576.5625</v>
      </c>
      <c r="CD1021">
        <v>1</v>
      </c>
      <c r="CE1021">
        <v>1</v>
      </c>
      <c r="CF1021">
        <v>0</v>
      </c>
      <c r="CG1021">
        <v>1</v>
      </c>
      <c r="CH1021">
        <v>0</v>
      </c>
      <c r="CI1021">
        <v>1</v>
      </c>
      <c r="CJ1021">
        <v>0</v>
      </c>
      <c r="CK1021">
        <v>2</v>
      </c>
      <c r="CL1021">
        <v>0</v>
      </c>
      <c r="CM1021">
        <v>2</v>
      </c>
      <c r="CN1021">
        <v>0</v>
      </c>
      <c r="CO1021">
        <v>4</v>
      </c>
      <c r="CP1021" t="s">
        <v>119</v>
      </c>
      <c r="CQ1021">
        <v>145</v>
      </c>
      <c r="CR1021">
        <v>1</v>
      </c>
      <c r="CW1021">
        <v>9009276</v>
      </c>
      <c r="CY1021">
        <v>0</v>
      </c>
      <c r="CZ1021">
        <v>0</v>
      </c>
      <c r="DA1021">
        <v>1</v>
      </c>
      <c r="DB1021">
        <v>0</v>
      </c>
      <c r="DC1021">
        <v>0</v>
      </c>
      <c r="DD1021">
        <v>0</v>
      </c>
      <c r="DE1021">
        <v>0</v>
      </c>
      <c r="DF1021">
        <v>0</v>
      </c>
      <c r="DG1021">
        <v>0</v>
      </c>
      <c r="DH1021">
        <v>0</v>
      </c>
      <c r="DI1021">
        <v>0</v>
      </c>
    </row>
    <row r="1022" spans="1:113" x14ac:dyDescent="0.3">
      <c r="A1022" t="str">
        <f>"02/13/2022 18:41:11.610"</f>
        <v>02/13/2022 18:41:11.610</v>
      </c>
      <c r="C1022" t="str">
        <f t="shared" si="99"/>
        <v>FFDFD7C0</v>
      </c>
      <c r="D1022" t="s">
        <v>121</v>
      </c>
      <c r="E1022">
        <v>2</v>
      </c>
      <c r="H1022">
        <v>158</v>
      </c>
      <c r="I1022" t="s">
        <v>120</v>
      </c>
      <c r="J1022" t="s">
        <v>122</v>
      </c>
      <c r="K1022">
        <v>0</v>
      </c>
      <c r="L1022">
        <v>3</v>
      </c>
      <c r="M1022">
        <v>0</v>
      </c>
      <c r="N1022">
        <v>2</v>
      </c>
      <c r="O1022">
        <v>1</v>
      </c>
      <c r="P1022">
        <v>0</v>
      </c>
      <c r="Q1022">
        <v>0</v>
      </c>
      <c r="S1022" t="str">
        <f>"18:41:11.328"</f>
        <v>18:41:11.328</v>
      </c>
      <c r="T1022" t="str">
        <f>"18:41:11.228"</f>
        <v>18:41:11.228</v>
      </c>
      <c r="U1022" t="str">
        <f t="shared" si="98"/>
        <v>AAB6EE</v>
      </c>
      <c r="V1022">
        <v>0</v>
      </c>
      <c r="W1022">
        <v>0</v>
      </c>
      <c r="X1022">
        <v>4</v>
      </c>
      <c r="Z1022">
        <v>0</v>
      </c>
      <c r="AA1022">
        <v>8</v>
      </c>
      <c r="AB1022">
        <v>3</v>
      </c>
      <c r="AC1022">
        <v>0</v>
      </c>
      <c r="AD1022">
        <v>10</v>
      </c>
      <c r="AE1022">
        <v>0</v>
      </c>
      <c r="AF1022">
        <v>0</v>
      </c>
      <c r="AG1022">
        <v>2</v>
      </c>
      <c r="AH1022">
        <v>1</v>
      </c>
      <c r="AI1022" t="s">
        <v>803</v>
      </c>
      <c r="AJ1022">
        <v>35.296326000000001</v>
      </c>
      <c r="AK1022" t="s">
        <v>804</v>
      </c>
      <c r="AL1022">
        <v>-76.192524000000006</v>
      </c>
      <c r="AM1022">
        <v>25</v>
      </c>
      <c r="AN1022">
        <v>3425</v>
      </c>
      <c r="AO1022" t="s">
        <v>118</v>
      </c>
      <c r="AP1022">
        <v>-69</v>
      </c>
      <c r="AQ1022">
        <v>-211</v>
      </c>
      <c r="AR1022">
        <v>-128</v>
      </c>
      <c r="AZ1022">
        <v>4516</v>
      </c>
      <c r="BA1022">
        <v>1</v>
      </c>
      <c r="BB1022" t="str">
        <f t="shared" si="100"/>
        <v xml:space="preserve">N79NX   </v>
      </c>
      <c r="BC1022">
        <v>1</v>
      </c>
      <c r="BE1022">
        <v>0</v>
      </c>
      <c r="BF1022">
        <v>0</v>
      </c>
      <c r="BG1022">
        <v>0</v>
      </c>
      <c r="BH1022">
        <v>3275</v>
      </c>
      <c r="BI1022">
        <v>0</v>
      </c>
      <c r="BJ1022">
        <v>0</v>
      </c>
      <c r="BK1022">
        <v>0</v>
      </c>
      <c r="BL1022">
        <v>0</v>
      </c>
      <c r="BO1022">
        <v>0</v>
      </c>
      <c r="BP1022">
        <v>0</v>
      </c>
      <c r="BW1022" t="str">
        <f>"18:41:11.331"</f>
        <v>18:41:11.331</v>
      </c>
      <c r="BZ1022">
        <v>0</v>
      </c>
      <c r="CA1022">
        <v>4096</v>
      </c>
      <c r="CB1022">
        <v>216</v>
      </c>
      <c r="CC1022">
        <v>589.21879999999999</v>
      </c>
      <c r="CD1022">
        <v>1</v>
      </c>
      <c r="CE1022">
        <v>1</v>
      </c>
      <c r="CF1022">
        <v>0</v>
      </c>
      <c r="CG1022">
        <v>1</v>
      </c>
      <c r="CH1022">
        <v>0</v>
      </c>
      <c r="CI1022">
        <v>1</v>
      </c>
      <c r="CJ1022">
        <v>0</v>
      </c>
      <c r="CK1022">
        <v>2</v>
      </c>
      <c r="CL1022">
        <v>0</v>
      </c>
      <c r="CM1022">
        <v>2</v>
      </c>
      <c r="CN1022">
        <v>0</v>
      </c>
      <c r="CO1022">
        <v>3</v>
      </c>
      <c r="CP1022" t="s">
        <v>119</v>
      </c>
      <c r="CQ1022">
        <v>145</v>
      </c>
      <c r="CR1022">
        <v>1</v>
      </c>
      <c r="CW1022">
        <v>9009946</v>
      </c>
      <c r="CY1022">
        <v>0</v>
      </c>
      <c r="CZ1022">
        <v>0</v>
      </c>
      <c r="DA1022">
        <v>0</v>
      </c>
      <c r="DB1022">
        <v>0</v>
      </c>
      <c r="DC1022">
        <v>0</v>
      </c>
      <c r="DD1022">
        <v>0</v>
      </c>
      <c r="DE1022">
        <v>0</v>
      </c>
      <c r="DF1022">
        <v>0</v>
      </c>
      <c r="DG1022">
        <v>0</v>
      </c>
      <c r="DH1022">
        <v>0</v>
      </c>
      <c r="DI1022">
        <v>0</v>
      </c>
    </row>
    <row r="1023" spans="1:113" x14ac:dyDescent="0.3">
      <c r="A1023" t="str">
        <f>"02/13/2022 18:41:11.626"</f>
        <v>02/13/2022 18:41:11.626</v>
      </c>
      <c r="C1023" t="str">
        <f t="shared" si="99"/>
        <v>FFDFD7C0</v>
      </c>
      <c r="D1023" t="s">
        <v>113</v>
      </c>
      <c r="E1023">
        <v>3</v>
      </c>
      <c r="F1023">
        <v>1003</v>
      </c>
      <c r="G1023" t="s">
        <v>114</v>
      </c>
      <c r="J1023" t="s">
        <v>115</v>
      </c>
      <c r="K1023">
        <v>0</v>
      </c>
      <c r="L1023">
        <v>3</v>
      </c>
      <c r="M1023">
        <v>0</v>
      </c>
      <c r="N1023">
        <v>2</v>
      </c>
      <c r="O1023">
        <v>1</v>
      </c>
      <c r="P1023">
        <v>0</v>
      </c>
      <c r="Q1023">
        <v>0</v>
      </c>
      <c r="S1023" t="str">
        <f>"18:41:11.328"</f>
        <v>18:41:11.328</v>
      </c>
      <c r="T1023" t="str">
        <f>"18:41:11.228"</f>
        <v>18:41:11.228</v>
      </c>
      <c r="U1023" t="str">
        <f t="shared" si="98"/>
        <v>AAB6EE</v>
      </c>
      <c r="V1023">
        <v>0</v>
      </c>
      <c r="W1023">
        <v>0</v>
      </c>
      <c r="X1023">
        <v>4</v>
      </c>
      <c r="Z1023">
        <v>0</v>
      </c>
      <c r="AA1023">
        <v>8</v>
      </c>
      <c r="AB1023">
        <v>3</v>
      </c>
      <c r="AC1023">
        <v>0</v>
      </c>
      <c r="AD1023">
        <v>10</v>
      </c>
      <c r="AE1023">
        <v>0</v>
      </c>
      <c r="AF1023">
        <v>0</v>
      </c>
      <c r="AG1023">
        <v>2</v>
      </c>
      <c r="AH1023">
        <v>1</v>
      </c>
      <c r="AI1023" t="s">
        <v>803</v>
      </c>
      <c r="AJ1023">
        <v>35.296326000000001</v>
      </c>
      <c r="AK1023" t="s">
        <v>804</v>
      </c>
      <c r="AL1023">
        <v>-76.192524000000006</v>
      </c>
      <c r="AM1023">
        <v>25</v>
      </c>
      <c r="AN1023">
        <v>3425</v>
      </c>
      <c r="AO1023" t="s">
        <v>118</v>
      </c>
      <c r="AP1023">
        <v>-69</v>
      </c>
      <c r="AQ1023">
        <v>-211</v>
      </c>
      <c r="AR1023">
        <v>-128</v>
      </c>
      <c r="AZ1023">
        <v>4516</v>
      </c>
      <c r="BA1023">
        <v>1</v>
      </c>
      <c r="BB1023" t="str">
        <f t="shared" si="100"/>
        <v xml:space="preserve">N79NX   </v>
      </c>
      <c r="BC1023">
        <v>1</v>
      </c>
      <c r="BE1023">
        <v>0</v>
      </c>
      <c r="BF1023">
        <v>0</v>
      </c>
      <c r="BG1023">
        <v>0</v>
      </c>
      <c r="BH1023">
        <v>3275</v>
      </c>
      <c r="BI1023">
        <v>0</v>
      </c>
      <c r="BJ1023">
        <v>0</v>
      </c>
      <c r="BK1023">
        <v>0</v>
      </c>
      <c r="BL1023">
        <v>0</v>
      </c>
      <c r="BO1023">
        <v>0</v>
      </c>
      <c r="BP1023">
        <v>0</v>
      </c>
      <c r="BW1023" t="str">
        <f>"18:41:11.331"</f>
        <v>18:41:11.331</v>
      </c>
      <c r="BZ1023">
        <v>0</v>
      </c>
      <c r="CA1023">
        <v>4096</v>
      </c>
      <c r="CB1023">
        <v>216</v>
      </c>
      <c r="CC1023">
        <v>589.21879999999999</v>
      </c>
      <c r="CD1023">
        <v>1</v>
      </c>
      <c r="CE1023">
        <v>1</v>
      </c>
      <c r="CF1023">
        <v>0</v>
      </c>
      <c r="CG1023">
        <v>1</v>
      </c>
      <c r="CH1023">
        <v>0</v>
      </c>
      <c r="CI1023">
        <v>1</v>
      </c>
      <c r="CJ1023">
        <v>0</v>
      </c>
      <c r="CK1023">
        <v>2</v>
      </c>
      <c r="CL1023">
        <v>0</v>
      </c>
      <c r="CM1023">
        <v>2</v>
      </c>
      <c r="CN1023">
        <v>0</v>
      </c>
      <c r="CO1023">
        <v>3</v>
      </c>
      <c r="CP1023" t="s">
        <v>119</v>
      </c>
      <c r="CQ1023">
        <v>145</v>
      </c>
      <c r="CR1023">
        <v>1</v>
      </c>
      <c r="CW1023">
        <v>9009946</v>
      </c>
      <c r="CY1023">
        <v>0</v>
      </c>
      <c r="CZ1023">
        <v>0</v>
      </c>
      <c r="DA1023">
        <v>1</v>
      </c>
      <c r="DB1023">
        <v>0</v>
      </c>
      <c r="DC1023">
        <v>0</v>
      </c>
      <c r="DD1023">
        <v>0</v>
      </c>
      <c r="DE1023">
        <v>0</v>
      </c>
      <c r="DF1023">
        <v>0</v>
      </c>
      <c r="DG1023">
        <v>0</v>
      </c>
      <c r="DH1023">
        <v>0</v>
      </c>
      <c r="DI1023">
        <v>0</v>
      </c>
    </row>
    <row r="1024" spans="1:113" x14ac:dyDescent="0.3">
      <c r="A1024" t="str">
        <f>"02/13/2022 18:41:11.626"</f>
        <v>02/13/2022 18:41:11.626</v>
      </c>
      <c r="C1024" t="str">
        <f t="shared" si="99"/>
        <v>FFDFD7C0</v>
      </c>
      <c r="D1024" t="s">
        <v>113</v>
      </c>
      <c r="E1024">
        <v>4</v>
      </c>
      <c r="F1024">
        <v>1004</v>
      </c>
      <c r="G1024" t="s">
        <v>120</v>
      </c>
      <c r="J1024" t="s">
        <v>115</v>
      </c>
      <c r="K1024">
        <v>0</v>
      </c>
      <c r="L1024">
        <v>3</v>
      </c>
      <c r="M1024">
        <v>0</v>
      </c>
      <c r="N1024">
        <v>2</v>
      </c>
      <c r="O1024">
        <v>1</v>
      </c>
      <c r="P1024">
        <v>0</v>
      </c>
      <c r="Q1024">
        <v>0</v>
      </c>
      <c r="S1024" t="str">
        <f>"18:41:11.328"</f>
        <v>18:41:11.328</v>
      </c>
      <c r="T1024" t="str">
        <f>"18:41:11.228"</f>
        <v>18:41:11.228</v>
      </c>
      <c r="U1024" t="str">
        <f t="shared" si="98"/>
        <v>AAB6EE</v>
      </c>
      <c r="V1024">
        <v>0</v>
      </c>
      <c r="W1024">
        <v>0</v>
      </c>
      <c r="X1024">
        <v>4</v>
      </c>
      <c r="Z1024">
        <v>0</v>
      </c>
      <c r="AA1024">
        <v>8</v>
      </c>
      <c r="AB1024">
        <v>3</v>
      </c>
      <c r="AC1024">
        <v>0</v>
      </c>
      <c r="AD1024">
        <v>10</v>
      </c>
      <c r="AE1024">
        <v>0</v>
      </c>
      <c r="AF1024">
        <v>0</v>
      </c>
      <c r="AG1024">
        <v>2</v>
      </c>
      <c r="AH1024">
        <v>1</v>
      </c>
      <c r="AI1024" t="s">
        <v>803</v>
      </c>
      <c r="AJ1024">
        <v>35.296326000000001</v>
      </c>
      <c r="AK1024" t="s">
        <v>804</v>
      </c>
      <c r="AL1024">
        <v>-76.192524000000006</v>
      </c>
      <c r="AM1024">
        <v>25</v>
      </c>
      <c r="AN1024">
        <v>3425</v>
      </c>
      <c r="AO1024" t="s">
        <v>118</v>
      </c>
      <c r="AP1024">
        <v>-69</v>
      </c>
      <c r="AQ1024">
        <v>-211</v>
      </c>
      <c r="AR1024">
        <v>-128</v>
      </c>
      <c r="AZ1024">
        <v>4516</v>
      </c>
      <c r="BA1024">
        <v>1</v>
      </c>
      <c r="BB1024" t="str">
        <f t="shared" si="100"/>
        <v xml:space="preserve">N79NX   </v>
      </c>
      <c r="BC1024">
        <v>1</v>
      </c>
      <c r="BE1024">
        <v>0</v>
      </c>
      <c r="BF1024">
        <v>0</v>
      </c>
      <c r="BG1024">
        <v>0</v>
      </c>
      <c r="BH1024">
        <v>3275</v>
      </c>
      <c r="BI1024">
        <v>0</v>
      </c>
      <c r="BJ1024">
        <v>0</v>
      </c>
      <c r="BK1024">
        <v>0</v>
      </c>
      <c r="BL1024">
        <v>0</v>
      </c>
      <c r="BO1024">
        <v>0</v>
      </c>
      <c r="BP1024">
        <v>0</v>
      </c>
      <c r="BW1024" t="str">
        <f>"18:41:11.331"</f>
        <v>18:41:11.331</v>
      </c>
      <c r="BZ1024">
        <v>0</v>
      </c>
      <c r="CA1024">
        <v>4096</v>
      </c>
      <c r="CB1024">
        <v>216</v>
      </c>
      <c r="CC1024">
        <v>589.21879999999999</v>
      </c>
      <c r="CD1024">
        <v>1</v>
      </c>
      <c r="CE1024">
        <v>1</v>
      </c>
      <c r="CF1024">
        <v>0</v>
      </c>
      <c r="CG1024">
        <v>1</v>
      </c>
      <c r="CH1024">
        <v>0</v>
      </c>
      <c r="CI1024">
        <v>1</v>
      </c>
      <c r="CJ1024">
        <v>0</v>
      </c>
      <c r="CK1024">
        <v>2</v>
      </c>
      <c r="CL1024">
        <v>0</v>
      </c>
      <c r="CM1024">
        <v>2</v>
      </c>
      <c r="CN1024">
        <v>0</v>
      </c>
      <c r="CO1024">
        <v>3</v>
      </c>
      <c r="CP1024" t="s">
        <v>119</v>
      </c>
      <c r="CQ1024">
        <v>145</v>
      </c>
      <c r="CR1024">
        <v>1</v>
      </c>
      <c r="CW1024">
        <v>9009946</v>
      </c>
      <c r="CY1024">
        <v>0</v>
      </c>
      <c r="CZ1024">
        <v>0</v>
      </c>
      <c r="DA1024">
        <v>1</v>
      </c>
      <c r="DB1024">
        <v>0</v>
      </c>
      <c r="DC1024">
        <v>0</v>
      </c>
      <c r="DD1024">
        <v>0</v>
      </c>
      <c r="DE1024">
        <v>0</v>
      </c>
      <c r="DF1024">
        <v>0</v>
      </c>
      <c r="DG1024">
        <v>0</v>
      </c>
      <c r="DH1024">
        <v>0</v>
      </c>
      <c r="DI1024">
        <v>0</v>
      </c>
    </row>
    <row r="1025" spans="1:113" x14ac:dyDescent="0.3">
      <c r="A1025" t="str">
        <f>"02/13/2022 18:41:12.501"</f>
        <v>02/13/2022 18:41:12.501</v>
      </c>
      <c r="C1025" t="str">
        <f t="shared" si="99"/>
        <v>FFDFD7C0</v>
      </c>
      <c r="D1025" t="s">
        <v>113</v>
      </c>
      <c r="E1025">
        <v>3</v>
      </c>
      <c r="F1025">
        <v>1003</v>
      </c>
      <c r="G1025" t="s">
        <v>114</v>
      </c>
      <c r="J1025" t="s">
        <v>115</v>
      </c>
      <c r="K1025">
        <v>0</v>
      </c>
      <c r="L1025">
        <v>3</v>
      </c>
      <c r="M1025">
        <v>0</v>
      </c>
      <c r="N1025">
        <v>2</v>
      </c>
      <c r="O1025">
        <v>1</v>
      </c>
      <c r="P1025">
        <v>0</v>
      </c>
      <c r="Q1025">
        <v>0</v>
      </c>
      <c r="S1025" t="str">
        <f t="shared" ref="S1025:T1027" si="104">"18:41:12.266"</f>
        <v>18:41:12.266</v>
      </c>
      <c r="T1025" t="str">
        <f t="shared" si="104"/>
        <v>18:41:12.266</v>
      </c>
      <c r="U1025" t="str">
        <f t="shared" si="98"/>
        <v>AAB6EE</v>
      </c>
      <c r="V1025">
        <v>0</v>
      </c>
      <c r="W1025">
        <v>0</v>
      </c>
      <c r="X1025">
        <v>4</v>
      </c>
      <c r="Z1025">
        <v>0</v>
      </c>
      <c r="AA1025">
        <v>8</v>
      </c>
      <c r="AB1025">
        <v>3</v>
      </c>
      <c r="AC1025">
        <v>0</v>
      </c>
      <c r="AD1025">
        <v>10</v>
      </c>
      <c r="AE1025">
        <v>0</v>
      </c>
      <c r="AF1025">
        <v>0</v>
      </c>
      <c r="AG1025">
        <v>2</v>
      </c>
      <c r="AH1025">
        <v>1</v>
      </c>
      <c r="AI1025" t="s">
        <v>805</v>
      </c>
      <c r="AJ1025">
        <v>35.295489000000003</v>
      </c>
      <c r="AK1025" t="s">
        <v>806</v>
      </c>
      <c r="AL1025">
        <v>-76.192868000000004</v>
      </c>
      <c r="AM1025">
        <v>25</v>
      </c>
      <c r="AN1025">
        <v>3425</v>
      </c>
      <c r="AO1025" t="s">
        <v>118</v>
      </c>
      <c r="AP1025">
        <v>-70</v>
      </c>
      <c r="AQ1025">
        <v>-211</v>
      </c>
      <c r="AR1025">
        <v>-128</v>
      </c>
      <c r="AZ1025">
        <v>4516</v>
      </c>
      <c r="BA1025">
        <v>1</v>
      </c>
      <c r="BB1025" t="str">
        <f t="shared" si="100"/>
        <v xml:space="preserve">N79NX   </v>
      </c>
      <c r="BC1025">
        <v>1</v>
      </c>
      <c r="BE1025">
        <v>0</v>
      </c>
      <c r="BF1025">
        <v>0</v>
      </c>
      <c r="BG1025">
        <v>0</v>
      </c>
      <c r="BH1025">
        <v>3275</v>
      </c>
      <c r="BI1025">
        <v>0</v>
      </c>
      <c r="BJ1025">
        <v>0</v>
      </c>
      <c r="BK1025">
        <v>0</v>
      </c>
      <c r="BL1025">
        <v>0</v>
      </c>
      <c r="BO1025">
        <v>0</v>
      </c>
      <c r="BP1025">
        <v>0</v>
      </c>
      <c r="BW1025" t="str">
        <f>"18:41:12.271"</f>
        <v>18:41:12.271</v>
      </c>
      <c r="BZ1025">
        <v>0</v>
      </c>
      <c r="CA1025">
        <v>4096</v>
      </c>
      <c r="CB1025">
        <v>216</v>
      </c>
      <c r="CC1025">
        <v>589.21879999999999</v>
      </c>
      <c r="CD1025">
        <v>1</v>
      </c>
      <c r="CE1025">
        <v>1</v>
      </c>
      <c r="CF1025">
        <v>0</v>
      </c>
      <c r="CG1025">
        <v>1</v>
      </c>
      <c r="CH1025">
        <v>0</v>
      </c>
      <c r="CI1025">
        <v>1</v>
      </c>
      <c r="CJ1025">
        <v>0</v>
      </c>
      <c r="CK1025">
        <v>2</v>
      </c>
      <c r="CL1025">
        <v>0</v>
      </c>
      <c r="CM1025">
        <v>2</v>
      </c>
      <c r="CN1025">
        <v>0</v>
      </c>
      <c r="CO1025">
        <v>4</v>
      </c>
      <c r="CP1025" t="s">
        <v>119</v>
      </c>
      <c r="CQ1025">
        <v>145</v>
      </c>
      <c r="CR1025">
        <v>1</v>
      </c>
      <c r="CW1025">
        <v>9010362</v>
      </c>
      <c r="CY1025">
        <v>0</v>
      </c>
      <c r="CZ1025">
        <v>0</v>
      </c>
      <c r="DA1025">
        <v>0</v>
      </c>
      <c r="DB1025">
        <v>0</v>
      </c>
      <c r="DC1025">
        <v>0</v>
      </c>
      <c r="DD1025">
        <v>0</v>
      </c>
      <c r="DE1025">
        <v>0</v>
      </c>
      <c r="DF1025">
        <v>0</v>
      </c>
      <c r="DG1025">
        <v>0</v>
      </c>
      <c r="DH1025">
        <v>0</v>
      </c>
      <c r="DI1025">
        <v>0</v>
      </c>
    </row>
    <row r="1026" spans="1:113" x14ac:dyDescent="0.3">
      <c r="A1026" t="str">
        <f>"02/13/2022 18:41:12.501"</f>
        <v>02/13/2022 18:41:12.501</v>
      </c>
      <c r="C1026" t="str">
        <f t="shared" si="99"/>
        <v>FFDFD7C0</v>
      </c>
      <c r="D1026" t="s">
        <v>113</v>
      </c>
      <c r="E1026">
        <v>4</v>
      </c>
      <c r="F1026">
        <v>1004</v>
      </c>
      <c r="G1026" t="s">
        <v>120</v>
      </c>
      <c r="J1026" t="s">
        <v>115</v>
      </c>
      <c r="K1026">
        <v>0</v>
      </c>
      <c r="L1026">
        <v>3</v>
      </c>
      <c r="M1026">
        <v>0</v>
      </c>
      <c r="N1026">
        <v>2</v>
      </c>
      <c r="O1026">
        <v>1</v>
      </c>
      <c r="P1026">
        <v>0</v>
      </c>
      <c r="Q1026">
        <v>0</v>
      </c>
      <c r="S1026" t="str">
        <f t="shared" si="104"/>
        <v>18:41:12.266</v>
      </c>
      <c r="T1026" t="str">
        <f t="shared" si="104"/>
        <v>18:41:12.266</v>
      </c>
      <c r="U1026" t="str">
        <f t="shared" ref="U1026:U1089" si="105">"AAB6EE"</f>
        <v>AAB6EE</v>
      </c>
      <c r="V1026">
        <v>0</v>
      </c>
      <c r="W1026">
        <v>0</v>
      </c>
      <c r="X1026">
        <v>4</v>
      </c>
      <c r="Z1026">
        <v>0</v>
      </c>
      <c r="AA1026">
        <v>8</v>
      </c>
      <c r="AB1026">
        <v>3</v>
      </c>
      <c r="AC1026">
        <v>0</v>
      </c>
      <c r="AD1026">
        <v>10</v>
      </c>
      <c r="AE1026">
        <v>0</v>
      </c>
      <c r="AF1026">
        <v>0</v>
      </c>
      <c r="AG1026">
        <v>2</v>
      </c>
      <c r="AH1026">
        <v>1</v>
      </c>
      <c r="AI1026" t="s">
        <v>805</v>
      </c>
      <c r="AJ1026">
        <v>35.295489000000003</v>
      </c>
      <c r="AK1026" t="s">
        <v>806</v>
      </c>
      <c r="AL1026">
        <v>-76.192868000000004</v>
      </c>
      <c r="AM1026">
        <v>25</v>
      </c>
      <c r="AN1026">
        <v>3425</v>
      </c>
      <c r="AO1026" t="s">
        <v>118</v>
      </c>
      <c r="AP1026">
        <v>-70</v>
      </c>
      <c r="AQ1026">
        <v>-211</v>
      </c>
      <c r="AR1026">
        <v>-128</v>
      </c>
      <c r="AZ1026">
        <v>4516</v>
      </c>
      <c r="BA1026">
        <v>1</v>
      </c>
      <c r="BB1026" t="str">
        <f t="shared" si="100"/>
        <v xml:space="preserve">N79NX   </v>
      </c>
      <c r="BC1026">
        <v>1</v>
      </c>
      <c r="BE1026">
        <v>0</v>
      </c>
      <c r="BF1026">
        <v>0</v>
      </c>
      <c r="BG1026">
        <v>0</v>
      </c>
      <c r="BH1026">
        <v>3275</v>
      </c>
      <c r="BI1026">
        <v>0</v>
      </c>
      <c r="BJ1026">
        <v>0</v>
      </c>
      <c r="BK1026">
        <v>0</v>
      </c>
      <c r="BL1026">
        <v>0</v>
      </c>
      <c r="BO1026">
        <v>0</v>
      </c>
      <c r="BP1026">
        <v>0</v>
      </c>
      <c r="BW1026" t="str">
        <f>"18:41:12.271"</f>
        <v>18:41:12.271</v>
      </c>
      <c r="BZ1026">
        <v>0</v>
      </c>
      <c r="CA1026">
        <v>4096</v>
      </c>
      <c r="CB1026">
        <v>216</v>
      </c>
      <c r="CC1026">
        <v>589.21879999999999</v>
      </c>
      <c r="CD1026">
        <v>1</v>
      </c>
      <c r="CE1026">
        <v>1</v>
      </c>
      <c r="CF1026">
        <v>0</v>
      </c>
      <c r="CG1026">
        <v>1</v>
      </c>
      <c r="CH1026">
        <v>0</v>
      </c>
      <c r="CI1026">
        <v>1</v>
      </c>
      <c r="CJ1026">
        <v>0</v>
      </c>
      <c r="CK1026">
        <v>2</v>
      </c>
      <c r="CL1026">
        <v>0</v>
      </c>
      <c r="CM1026">
        <v>2</v>
      </c>
      <c r="CN1026">
        <v>0</v>
      </c>
      <c r="CO1026">
        <v>4</v>
      </c>
      <c r="CP1026" t="s">
        <v>119</v>
      </c>
      <c r="CQ1026">
        <v>145</v>
      </c>
      <c r="CR1026">
        <v>1</v>
      </c>
      <c r="CW1026">
        <v>9010362</v>
      </c>
      <c r="CY1026">
        <v>0</v>
      </c>
      <c r="CZ1026">
        <v>0</v>
      </c>
      <c r="DA1026">
        <v>1</v>
      </c>
      <c r="DB1026">
        <v>0</v>
      </c>
      <c r="DC1026">
        <v>0</v>
      </c>
      <c r="DD1026">
        <v>0</v>
      </c>
      <c r="DE1026">
        <v>0</v>
      </c>
      <c r="DF1026">
        <v>0</v>
      </c>
      <c r="DG1026">
        <v>0</v>
      </c>
      <c r="DH1026">
        <v>0</v>
      </c>
      <c r="DI1026">
        <v>0</v>
      </c>
    </row>
    <row r="1027" spans="1:113" x14ac:dyDescent="0.3">
      <c r="A1027" t="str">
        <f>"02/13/2022 18:41:12.501"</f>
        <v>02/13/2022 18:41:12.501</v>
      </c>
      <c r="C1027" t="str">
        <f t="shared" si="99"/>
        <v>FFDFD7C0</v>
      </c>
      <c r="D1027" t="s">
        <v>121</v>
      </c>
      <c r="E1027">
        <v>2</v>
      </c>
      <c r="H1027">
        <v>158</v>
      </c>
      <c r="I1027" t="s">
        <v>120</v>
      </c>
      <c r="J1027" t="s">
        <v>122</v>
      </c>
      <c r="K1027">
        <v>0</v>
      </c>
      <c r="L1027">
        <v>3</v>
      </c>
      <c r="M1027">
        <v>0</v>
      </c>
      <c r="N1027">
        <v>2</v>
      </c>
      <c r="O1027">
        <v>1</v>
      </c>
      <c r="P1027">
        <v>0</v>
      </c>
      <c r="Q1027">
        <v>0</v>
      </c>
      <c r="S1027" t="str">
        <f t="shared" si="104"/>
        <v>18:41:12.266</v>
      </c>
      <c r="T1027" t="str">
        <f t="shared" si="104"/>
        <v>18:41:12.266</v>
      </c>
      <c r="U1027" t="str">
        <f t="shared" si="105"/>
        <v>AAB6EE</v>
      </c>
      <c r="V1027">
        <v>0</v>
      </c>
      <c r="W1027">
        <v>0</v>
      </c>
      <c r="X1027">
        <v>4</v>
      </c>
      <c r="Z1027">
        <v>0</v>
      </c>
      <c r="AA1027">
        <v>8</v>
      </c>
      <c r="AB1027">
        <v>3</v>
      </c>
      <c r="AC1027">
        <v>0</v>
      </c>
      <c r="AD1027">
        <v>10</v>
      </c>
      <c r="AE1027">
        <v>0</v>
      </c>
      <c r="AF1027">
        <v>0</v>
      </c>
      <c r="AG1027">
        <v>2</v>
      </c>
      <c r="AH1027">
        <v>1</v>
      </c>
      <c r="AI1027" t="s">
        <v>805</v>
      </c>
      <c r="AJ1027">
        <v>35.295489000000003</v>
      </c>
      <c r="AK1027" t="s">
        <v>806</v>
      </c>
      <c r="AL1027">
        <v>-76.192868000000004</v>
      </c>
      <c r="AM1027">
        <v>25</v>
      </c>
      <c r="AN1027">
        <v>3425</v>
      </c>
      <c r="AO1027" t="s">
        <v>118</v>
      </c>
      <c r="AP1027">
        <v>-70</v>
      </c>
      <c r="AQ1027">
        <v>-211</v>
      </c>
      <c r="AR1027">
        <v>-128</v>
      </c>
      <c r="AZ1027">
        <v>4516</v>
      </c>
      <c r="BA1027">
        <v>1</v>
      </c>
      <c r="BB1027" t="str">
        <f t="shared" si="100"/>
        <v xml:space="preserve">N79NX   </v>
      </c>
      <c r="BC1027">
        <v>1</v>
      </c>
      <c r="BE1027">
        <v>0</v>
      </c>
      <c r="BF1027">
        <v>0</v>
      </c>
      <c r="BG1027">
        <v>0</v>
      </c>
      <c r="BH1027">
        <v>3275</v>
      </c>
      <c r="BI1027">
        <v>0</v>
      </c>
      <c r="BJ1027">
        <v>0</v>
      </c>
      <c r="BK1027">
        <v>0</v>
      </c>
      <c r="BL1027">
        <v>0</v>
      </c>
      <c r="BO1027">
        <v>0</v>
      </c>
      <c r="BP1027">
        <v>0</v>
      </c>
      <c r="BW1027" t="str">
        <f>"18:41:12.271"</f>
        <v>18:41:12.271</v>
      </c>
      <c r="BZ1027">
        <v>0</v>
      </c>
      <c r="CA1027">
        <v>4096</v>
      </c>
      <c r="CB1027">
        <v>216</v>
      </c>
      <c r="CC1027">
        <v>589.21879999999999</v>
      </c>
      <c r="CD1027">
        <v>1</v>
      </c>
      <c r="CE1027">
        <v>1</v>
      </c>
      <c r="CF1027">
        <v>0</v>
      </c>
      <c r="CG1027">
        <v>1</v>
      </c>
      <c r="CH1027">
        <v>0</v>
      </c>
      <c r="CI1027">
        <v>1</v>
      </c>
      <c r="CJ1027">
        <v>0</v>
      </c>
      <c r="CK1027">
        <v>2</v>
      </c>
      <c r="CL1027">
        <v>0</v>
      </c>
      <c r="CM1027">
        <v>2</v>
      </c>
      <c r="CN1027">
        <v>0</v>
      </c>
      <c r="CO1027">
        <v>4</v>
      </c>
      <c r="CP1027" t="s">
        <v>119</v>
      </c>
      <c r="CQ1027">
        <v>145</v>
      </c>
      <c r="CR1027">
        <v>1</v>
      </c>
      <c r="CW1027">
        <v>9010362</v>
      </c>
      <c r="CY1027">
        <v>0</v>
      </c>
      <c r="CZ1027">
        <v>0</v>
      </c>
      <c r="DA1027">
        <v>1</v>
      </c>
      <c r="DB1027">
        <v>0</v>
      </c>
      <c r="DC1027">
        <v>0</v>
      </c>
      <c r="DD1027">
        <v>0</v>
      </c>
      <c r="DE1027">
        <v>0</v>
      </c>
      <c r="DF1027">
        <v>0</v>
      </c>
      <c r="DG1027">
        <v>0</v>
      </c>
      <c r="DH1027">
        <v>0</v>
      </c>
      <c r="DI1027">
        <v>0</v>
      </c>
    </row>
    <row r="1028" spans="1:113" x14ac:dyDescent="0.3">
      <c r="A1028" t="str">
        <f>"02/13/2022 18:41:13.282"</f>
        <v>02/13/2022 18:41:13.282</v>
      </c>
      <c r="C1028" t="str">
        <f t="shared" si="99"/>
        <v>FFDFD7C0</v>
      </c>
      <c r="D1028" t="s">
        <v>121</v>
      </c>
      <c r="E1028">
        <v>2</v>
      </c>
      <c r="H1028">
        <v>158</v>
      </c>
      <c r="I1028" t="s">
        <v>120</v>
      </c>
      <c r="J1028" t="s">
        <v>122</v>
      </c>
      <c r="K1028">
        <v>0</v>
      </c>
      <c r="L1028">
        <v>3</v>
      </c>
      <c r="M1028">
        <v>0</v>
      </c>
      <c r="N1028">
        <v>2</v>
      </c>
      <c r="O1028">
        <v>1</v>
      </c>
      <c r="P1028">
        <v>0</v>
      </c>
      <c r="Q1028">
        <v>0</v>
      </c>
      <c r="S1028" t="str">
        <f>"18:41:13.094"</f>
        <v>18:41:13.094</v>
      </c>
      <c r="T1028" t="str">
        <f>"18:41:12.194"</f>
        <v>18:41:12.194</v>
      </c>
      <c r="U1028" t="str">
        <f t="shared" si="105"/>
        <v>AAB6EE</v>
      </c>
      <c r="V1028">
        <v>0</v>
      </c>
      <c r="W1028">
        <v>0</v>
      </c>
      <c r="X1028">
        <v>4</v>
      </c>
      <c r="Z1028">
        <v>0</v>
      </c>
      <c r="AA1028">
        <v>8</v>
      </c>
      <c r="AB1028">
        <v>3</v>
      </c>
      <c r="AC1028">
        <v>0</v>
      </c>
      <c r="AD1028">
        <v>10</v>
      </c>
      <c r="AE1028">
        <v>0</v>
      </c>
      <c r="AF1028">
        <v>0</v>
      </c>
      <c r="AG1028">
        <v>2</v>
      </c>
      <c r="AH1028">
        <v>1</v>
      </c>
      <c r="AI1028" t="s">
        <v>807</v>
      </c>
      <c r="AJ1028">
        <v>35.294694999999997</v>
      </c>
      <c r="AK1028" t="s">
        <v>808</v>
      </c>
      <c r="AL1028">
        <v>-76.193233000000006</v>
      </c>
      <c r="AM1028">
        <v>25</v>
      </c>
      <c r="AN1028">
        <v>3425</v>
      </c>
      <c r="AO1028" t="s">
        <v>118</v>
      </c>
      <c r="AP1028">
        <v>-70</v>
      </c>
      <c r="AQ1028">
        <v>-211</v>
      </c>
      <c r="AR1028">
        <v>-128</v>
      </c>
      <c r="AZ1028">
        <v>4516</v>
      </c>
      <c r="BA1028">
        <v>1</v>
      </c>
      <c r="BB1028" t="str">
        <f t="shared" si="100"/>
        <v xml:space="preserve">N79NX   </v>
      </c>
      <c r="BC1028">
        <v>1</v>
      </c>
      <c r="BE1028">
        <v>0</v>
      </c>
      <c r="BF1028">
        <v>0</v>
      </c>
      <c r="BG1028">
        <v>0</v>
      </c>
      <c r="BH1028">
        <v>3275</v>
      </c>
      <c r="BI1028">
        <v>0</v>
      </c>
      <c r="BJ1028">
        <v>0</v>
      </c>
      <c r="BK1028">
        <v>0</v>
      </c>
      <c r="BL1028">
        <v>0</v>
      </c>
      <c r="BO1028">
        <v>0</v>
      </c>
      <c r="BP1028">
        <v>0</v>
      </c>
      <c r="BW1028" t="str">
        <f>"18:41:13.101"</f>
        <v>18:41:13.101</v>
      </c>
      <c r="BZ1028">
        <v>0</v>
      </c>
      <c r="CA1028">
        <v>4096</v>
      </c>
      <c r="CB1028">
        <v>216</v>
      </c>
      <c r="CC1028">
        <v>586.40629999999999</v>
      </c>
      <c r="CD1028">
        <v>1</v>
      </c>
      <c r="CE1028">
        <v>1</v>
      </c>
      <c r="CF1028">
        <v>0</v>
      </c>
      <c r="CG1028">
        <v>1</v>
      </c>
      <c r="CH1028">
        <v>0</v>
      </c>
      <c r="CI1028">
        <v>1</v>
      </c>
      <c r="CJ1028">
        <v>0</v>
      </c>
      <c r="CK1028">
        <v>2</v>
      </c>
      <c r="CL1028">
        <v>0</v>
      </c>
      <c r="CM1028">
        <v>2</v>
      </c>
      <c r="CN1028">
        <v>0</v>
      </c>
      <c r="CO1028">
        <v>3</v>
      </c>
      <c r="CP1028" t="s">
        <v>119</v>
      </c>
      <c r="CQ1028">
        <v>145</v>
      </c>
      <c r="CR1028">
        <v>1</v>
      </c>
      <c r="CW1028">
        <v>9010705</v>
      </c>
      <c r="CY1028">
        <v>0</v>
      </c>
      <c r="CZ1028">
        <v>0</v>
      </c>
      <c r="DA1028">
        <v>0</v>
      </c>
      <c r="DB1028">
        <v>0</v>
      </c>
      <c r="DC1028">
        <v>0</v>
      </c>
      <c r="DD1028">
        <v>0</v>
      </c>
      <c r="DE1028">
        <v>0</v>
      </c>
      <c r="DF1028">
        <v>0</v>
      </c>
      <c r="DG1028">
        <v>0</v>
      </c>
      <c r="DH1028">
        <v>0</v>
      </c>
      <c r="DI1028">
        <v>0</v>
      </c>
    </row>
    <row r="1029" spans="1:113" x14ac:dyDescent="0.3">
      <c r="A1029" t="str">
        <f>"02/13/2022 18:41:13.282"</f>
        <v>02/13/2022 18:41:13.282</v>
      </c>
      <c r="C1029" t="str">
        <f t="shared" ref="C1029:C1092" si="106">"FFDFD7C0"</f>
        <v>FFDFD7C0</v>
      </c>
      <c r="D1029" t="s">
        <v>113</v>
      </c>
      <c r="E1029">
        <v>4</v>
      </c>
      <c r="F1029">
        <v>1004</v>
      </c>
      <c r="G1029" t="s">
        <v>120</v>
      </c>
      <c r="J1029" t="s">
        <v>115</v>
      </c>
      <c r="K1029">
        <v>0</v>
      </c>
      <c r="L1029">
        <v>3</v>
      </c>
      <c r="M1029">
        <v>0</v>
      </c>
      <c r="N1029">
        <v>2</v>
      </c>
      <c r="O1029">
        <v>1</v>
      </c>
      <c r="P1029">
        <v>0</v>
      </c>
      <c r="Q1029">
        <v>0</v>
      </c>
      <c r="S1029" t="str">
        <f>"18:41:13.094"</f>
        <v>18:41:13.094</v>
      </c>
      <c r="T1029" t="str">
        <f>"18:41:12.194"</f>
        <v>18:41:12.194</v>
      </c>
      <c r="U1029" t="str">
        <f t="shared" si="105"/>
        <v>AAB6EE</v>
      </c>
      <c r="V1029">
        <v>0</v>
      </c>
      <c r="W1029">
        <v>0</v>
      </c>
      <c r="X1029">
        <v>4</v>
      </c>
      <c r="Z1029">
        <v>0</v>
      </c>
      <c r="AA1029">
        <v>8</v>
      </c>
      <c r="AB1029">
        <v>3</v>
      </c>
      <c r="AC1029">
        <v>0</v>
      </c>
      <c r="AD1029">
        <v>10</v>
      </c>
      <c r="AE1029">
        <v>0</v>
      </c>
      <c r="AF1029">
        <v>0</v>
      </c>
      <c r="AG1029">
        <v>2</v>
      </c>
      <c r="AH1029">
        <v>1</v>
      </c>
      <c r="AI1029" t="s">
        <v>807</v>
      </c>
      <c r="AJ1029">
        <v>35.294694999999997</v>
      </c>
      <c r="AK1029" t="s">
        <v>808</v>
      </c>
      <c r="AL1029">
        <v>-76.193233000000006</v>
      </c>
      <c r="AM1029">
        <v>25</v>
      </c>
      <c r="AN1029">
        <v>3425</v>
      </c>
      <c r="AO1029" t="s">
        <v>118</v>
      </c>
      <c r="AP1029">
        <v>-70</v>
      </c>
      <c r="AQ1029">
        <v>-211</v>
      </c>
      <c r="AR1029">
        <v>-128</v>
      </c>
      <c r="AZ1029">
        <v>4516</v>
      </c>
      <c r="BA1029">
        <v>1</v>
      </c>
      <c r="BB1029" t="str">
        <f t="shared" ref="BB1029:BB1092" si="107">"N79NX   "</f>
        <v xml:space="preserve">N79NX   </v>
      </c>
      <c r="BC1029">
        <v>1</v>
      </c>
      <c r="BE1029">
        <v>0</v>
      </c>
      <c r="BF1029">
        <v>0</v>
      </c>
      <c r="BG1029">
        <v>0</v>
      </c>
      <c r="BH1029">
        <v>3275</v>
      </c>
      <c r="BI1029">
        <v>0</v>
      </c>
      <c r="BJ1029">
        <v>0</v>
      </c>
      <c r="BK1029">
        <v>0</v>
      </c>
      <c r="BL1029">
        <v>0</v>
      </c>
      <c r="BO1029">
        <v>0</v>
      </c>
      <c r="BP1029">
        <v>0</v>
      </c>
      <c r="BW1029" t="str">
        <f>"18:41:13.101"</f>
        <v>18:41:13.101</v>
      </c>
      <c r="BZ1029">
        <v>0</v>
      </c>
      <c r="CA1029">
        <v>4096</v>
      </c>
      <c r="CB1029">
        <v>216</v>
      </c>
      <c r="CC1029">
        <v>586.40629999999999</v>
      </c>
      <c r="CD1029">
        <v>1</v>
      </c>
      <c r="CE1029">
        <v>1</v>
      </c>
      <c r="CF1029">
        <v>0</v>
      </c>
      <c r="CG1029">
        <v>1</v>
      </c>
      <c r="CH1029">
        <v>0</v>
      </c>
      <c r="CI1029">
        <v>1</v>
      </c>
      <c r="CJ1029">
        <v>0</v>
      </c>
      <c r="CK1029">
        <v>2</v>
      </c>
      <c r="CL1029">
        <v>0</v>
      </c>
      <c r="CM1029">
        <v>2</v>
      </c>
      <c r="CN1029">
        <v>0</v>
      </c>
      <c r="CO1029">
        <v>3</v>
      </c>
      <c r="CP1029" t="s">
        <v>119</v>
      </c>
      <c r="CQ1029">
        <v>145</v>
      </c>
      <c r="CR1029">
        <v>1</v>
      </c>
      <c r="CW1029">
        <v>9010705</v>
      </c>
      <c r="CY1029">
        <v>0</v>
      </c>
      <c r="CZ1029">
        <v>0</v>
      </c>
      <c r="DA1029">
        <v>1</v>
      </c>
      <c r="DB1029">
        <v>0</v>
      </c>
      <c r="DC1029">
        <v>0</v>
      </c>
      <c r="DD1029">
        <v>0</v>
      </c>
      <c r="DE1029">
        <v>0</v>
      </c>
      <c r="DF1029">
        <v>0</v>
      </c>
      <c r="DG1029">
        <v>0</v>
      </c>
      <c r="DH1029">
        <v>0</v>
      </c>
      <c r="DI1029">
        <v>0</v>
      </c>
    </row>
    <row r="1030" spans="1:113" x14ac:dyDescent="0.3">
      <c r="A1030" t="str">
        <f>"02/13/2022 18:41:13.282"</f>
        <v>02/13/2022 18:41:13.282</v>
      </c>
      <c r="C1030" t="str">
        <f t="shared" si="106"/>
        <v>FFDFD7C0</v>
      </c>
      <c r="D1030" t="s">
        <v>113</v>
      </c>
      <c r="E1030">
        <v>3</v>
      </c>
      <c r="F1030">
        <v>1003</v>
      </c>
      <c r="G1030" t="s">
        <v>114</v>
      </c>
      <c r="J1030" t="s">
        <v>115</v>
      </c>
      <c r="K1030">
        <v>0</v>
      </c>
      <c r="L1030">
        <v>3</v>
      </c>
      <c r="M1030">
        <v>0</v>
      </c>
      <c r="N1030">
        <v>2</v>
      </c>
      <c r="O1030">
        <v>1</v>
      </c>
      <c r="P1030">
        <v>0</v>
      </c>
      <c r="Q1030">
        <v>0</v>
      </c>
      <c r="S1030" t="str">
        <f>"18:41:13.094"</f>
        <v>18:41:13.094</v>
      </c>
      <c r="T1030" t="str">
        <f>"18:41:12.194"</f>
        <v>18:41:12.194</v>
      </c>
      <c r="U1030" t="str">
        <f t="shared" si="105"/>
        <v>AAB6EE</v>
      </c>
      <c r="V1030">
        <v>0</v>
      </c>
      <c r="W1030">
        <v>0</v>
      </c>
      <c r="X1030">
        <v>4</v>
      </c>
      <c r="Z1030">
        <v>0</v>
      </c>
      <c r="AA1030">
        <v>8</v>
      </c>
      <c r="AB1030">
        <v>3</v>
      </c>
      <c r="AC1030">
        <v>0</v>
      </c>
      <c r="AD1030">
        <v>10</v>
      </c>
      <c r="AE1030">
        <v>0</v>
      </c>
      <c r="AF1030">
        <v>0</v>
      </c>
      <c r="AG1030">
        <v>2</v>
      </c>
      <c r="AH1030">
        <v>1</v>
      </c>
      <c r="AI1030" t="s">
        <v>807</v>
      </c>
      <c r="AJ1030">
        <v>35.294694999999997</v>
      </c>
      <c r="AK1030" t="s">
        <v>808</v>
      </c>
      <c r="AL1030">
        <v>-76.193233000000006</v>
      </c>
      <c r="AM1030">
        <v>25</v>
      </c>
      <c r="AN1030">
        <v>3425</v>
      </c>
      <c r="AO1030" t="s">
        <v>118</v>
      </c>
      <c r="AP1030">
        <v>-70</v>
      </c>
      <c r="AQ1030">
        <v>-211</v>
      </c>
      <c r="AR1030">
        <v>-128</v>
      </c>
      <c r="AZ1030">
        <v>4516</v>
      </c>
      <c r="BA1030">
        <v>1</v>
      </c>
      <c r="BB1030" t="str">
        <f t="shared" si="107"/>
        <v xml:space="preserve">N79NX   </v>
      </c>
      <c r="BC1030">
        <v>1</v>
      </c>
      <c r="BE1030">
        <v>0</v>
      </c>
      <c r="BF1030">
        <v>0</v>
      </c>
      <c r="BG1030">
        <v>0</v>
      </c>
      <c r="BH1030">
        <v>3275</v>
      </c>
      <c r="BI1030">
        <v>0</v>
      </c>
      <c r="BJ1030">
        <v>0</v>
      </c>
      <c r="BK1030">
        <v>0</v>
      </c>
      <c r="BL1030">
        <v>0</v>
      </c>
      <c r="BO1030">
        <v>0</v>
      </c>
      <c r="BP1030">
        <v>0</v>
      </c>
      <c r="BW1030" t="str">
        <f>"18:41:13.101"</f>
        <v>18:41:13.101</v>
      </c>
      <c r="BZ1030">
        <v>0</v>
      </c>
      <c r="CA1030">
        <v>4096</v>
      </c>
      <c r="CB1030">
        <v>216</v>
      </c>
      <c r="CC1030">
        <v>586.40629999999999</v>
      </c>
      <c r="CD1030">
        <v>1</v>
      </c>
      <c r="CE1030">
        <v>1</v>
      </c>
      <c r="CF1030">
        <v>0</v>
      </c>
      <c r="CG1030">
        <v>1</v>
      </c>
      <c r="CH1030">
        <v>0</v>
      </c>
      <c r="CI1030">
        <v>1</v>
      </c>
      <c r="CJ1030">
        <v>0</v>
      </c>
      <c r="CK1030">
        <v>2</v>
      </c>
      <c r="CL1030">
        <v>0</v>
      </c>
      <c r="CM1030">
        <v>2</v>
      </c>
      <c r="CN1030">
        <v>0</v>
      </c>
      <c r="CO1030">
        <v>3</v>
      </c>
      <c r="CP1030" t="s">
        <v>119</v>
      </c>
      <c r="CQ1030">
        <v>145</v>
      </c>
      <c r="CR1030">
        <v>1</v>
      </c>
      <c r="CW1030">
        <v>9010705</v>
      </c>
      <c r="CY1030">
        <v>0</v>
      </c>
      <c r="CZ1030">
        <v>0</v>
      </c>
      <c r="DA1030">
        <v>1</v>
      </c>
      <c r="DB1030">
        <v>0</v>
      </c>
      <c r="DC1030">
        <v>0</v>
      </c>
      <c r="DD1030">
        <v>0</v>
      </c>
      <c r="DE1030">
        <v>0</v>
      </c>
      <c r="DF1030">
        <v>0</v>
      </c>
      <c r="DG1030">
        <v>0</v>
      </c>
      <c r="DH1030">
        <v>0</v>
      </c>
      <c r="DI1030">
        <v>0</v>
      </c>
    </row>
    <row r="1031" spans="1:113" x14ac:dyDescent="0.3">
      <c r="A1031" t="str">
        <f>"02/13/2022 18:41:14.394"</f>
        <v>02/13/2022 18:41:14.394</v>
      </c>
      <c r="C1031" t="str">
        <f t="shared" si="106"/>
        <v>FFDFD7C0</v>
      </c>
      <c r="D1031" t="s">
        <v>121</v>
      </c>
      <c r="E1031">
        <v>2</v>
      </c>
      <c r="H1031">
        <v>158</v>
      </c>
      <c r="I1031" t="s">
        <v>120</v>
      </c>
      <c r="J1031" t="s">
        <v>122</v>
      </c>
      <c r="K1031">
        <v>0</v>
      </c>
      <c r="L1031">
        <v>3</v>
      </c>
      <c r="M1031">
        <v>0</v>
      </c>
      <c r="N1031">
        <v>2</v>
      </c>
      <c r="O1031">
        <v>1</v>
      </c>
      <c r="P1031">
        <v>0</v>
      </c>
      <c r="Q1031">
        <v>0</v>
      </c>
      <c r="S1031" t="str">
        <f t="shared" ref="S1031:T1033" si="108">"18:41:14.148"</f>
        <v>18:41:14.148</v>
      </c>
      <c r="T1031" t="str">
        <f t="shared" si="108"/>
        <v>18:41:14.148</v>
      </c>
      <c r="U1031" t="str">
        <f t="shared" si="105"/>
        <v>AAB6EE</v>
      </c>
      <c r="V1031">
        <v>0</v>
      </c>
      <c r="W1031">
        <v>0</v>
      </c>
      <c r="X1031">
        <v>4</v>
      </c>
      <c r="Z1031">
        <v>0</v>
      </c>
      <c r="AA1031">
        <v>8</v>
      </c>
      <c r="AB1031">
        <v>3</v>
      </c>
      <c r="AC1031">
        <v>0</v>
      </c>
      <c r="AD1031">
        <v>10</v>
      </c>
      <c r="AE1031">
        <v>0</v>
      </c>
      <c r="AF1031">
        <v>0</v>
      </c>
      <c r="AG1031">
        <v>2</v>
      </c>
      <c r="AH1031">
        <v>1</v>
      </c>
      <c r="AI1031" t="s">
        <v>809</v>
      </c>
      <c r="AJ1031">
        <v>35.293621999999999</v>
      </c>
      <c r="AK1031" t="s">
        <v>810</v>
      </c>
      <c r="AL1031">
        <v>-76.193682999999993</v>
      </c>
      <c r="AM1031">
        <v>25</v>
      </c>
      <c r="AN1031">
        <v>3400</v>
      </c>
      <c r="AO1031" t="s">
        <v>118</v>
      </c>
      <c r="AP1031">
        <v>-77</v>
      </c>
      <c r="AQ1031">
        <v>-209</v>
      </c>
      <c r="AR1031">
        <v>-64</v>
      </c>
      <c r="AZ1031">
        <v>4516</v>
      </c>
      <c r="BA1031">
        <v>1</v>
      </c>
      <c r="BB1031" t="str">
        <f t="shared" si="107"/>
        <v xml:space="preserve">N79NX   </v>
      </c>
      <c r="BC1031">
        <v>1</v>
      </c>
      <c r="BE1031">
        <v>0</v>
      </c>
      <c r="BF1031">
        <v>0</v>
      </c>
      <c r="BG1031">
        <v>0</v>
      </c>
      <c r="BH1031">
        <v>3250</v>
      </c>
      <c r="BI1031">
        <v>0</v>
      </c>
      <c r="BJ1031">
        <v>0</v>
      </c>
      <c r="BK1031">
        <v>0</v>
      </c>
      <c r="BL1031">
        <v>0</v>
      </c>
      <c r="BO1031">
        <v>0</v>
      </c>
      <c r="BP1031">
        <v>0</v>
      </c>
      <c r="BW1031" t="str">
        <f>"18:41:14.151"</f>
        <v>18:41:14.151</v>
      </c>
      <c r="BZ1031">
        <v>0</v>
      </c>
      <c r="CA1031">
        <v>4096</v>
      </c>
      <c r="CB1031">
        <v>216</v>
      </c>
      <c r="CC1031">
        <v>535.78129999999999</v>
      </c>
      <c r="CD1031">
        <v>1</v>
      </c>
      <c r="CE1031">
        <v>1</v>
      </c>
      <c r="CF1031">
        <v>0</v>
      </c>
      <c r="CG1031">
        <v>1</v>
      </c>
      <c r="CH1031">
        <v>0</v>
      </c>
      <c r="CI1031">
        <v>1</v>
      </c>
      <c r="CJ1031">
        <v>0</v>
      </c>
      <c r="CK1031">
        <v>2</v>
      </c>
      <c r="CL1031">
        <v>0</v>
      </c>
      <c r="CM1031">
        <v>2</v>
      </c>
      <c r="CN1031">
        <v>0</v>
      </c>
      <c r="CO1031">
        <v>3</v>
      </c>
      <c r="CP1031" t="s">
        <v>119</v>
      </c>
      <c r="CQ1031">
        <v>145</v>
      </c>
      <c r="CR1031">
        <v>1</v>
      </c>
      <c r="CW1031">
        <v>9011121</v>
      </c>
      <c r="CY1031">
        <v>0</v>
      </c>
      <c r="CZ1031">
        <v>0</v>
      </c>
      <c r="DA1031">
        <v>0</v>
      </c>
      <c r="DB1031">
        <v>0</v>
      </c>
      <c r="DC1031">
        <v>0</v>
      </c>
      <c r="DD1031">
        <v>0</v>
      </c>
      <c r="DE1031">
        <v>0</v>
      </c>
      <c r="DF1031">
        <v>0</v>
      </c>
      <c r="DG1031">
        <v>0</v>
      </c>
      <c r="DH1031">
        <v>0</v>
      </c>
      <c r="DI1031">
        <v>0</v>
      </c>
    </row>
    <row r="1032" spans="1:113" x14ac:dyDescent="0.3">
      <c r="A1032" t="str">
        <f>"02/13/2022 18:41:14.394"</f>
        <v>02/13/2022 18:41:14.394</v>
      </c>
      <c r="C1032" t="str">
        <f t="shared" si="106"/>
        <v>FFDFD7C0</v>
      </c>
      <c r="D1032" t="s">
        <v>113</v>
      </c>
      <c r="E1032">
        <v>3</v>
      </c>
      <c r="F1032">
        <v>1003</v>
      </c>
      <c r="G1032" t="s">
        <v>114</v>
      </c>
      <c r="J1032" t="s">
        <v>115</v>
      </c>
      <c r="K1032">
        <v>0</v>
      </c>
      <c r="L1032">
        <v>3</v>
      </c>
      <c r="M1032">
        <v>0</v>
      </c>
      <c r="N1032">
        <v>2</v>
      </c>
      <c r="O1032">
        <v>1</v>
      </c>
      <c r="P1032">
        <v>0</v>
      </c>
      <c r="Q1032">
        <v>0</v>
      </c>
      <c r="S1032" t="str">
        <f t="shared" si="108"/>
        <v>18:41:14.148</v>
      </c>
      <c r="T1032" t="str">
        <f t="shared" si="108"/>
        <v>18:41:14.148</v>
      </c>
      <c r="U1032" t="str">
        <f t="shared" si="105"/>
        <v>AAB6EE</v>
      </c>
      <c r="V1032">
        <v>0</v>
      </c>
      <c r="W1032">
        <v>0</v>
      </c>
      <c r="X1032">
        <v>4</v>
      </c>
      <c r="Z1032">
        <v>0</v>
      </c>
      <c r="AA1032">
        <v>8</v>
      </c>
      <c r="AB1032">
        <v>3</v>
      </c>
      <c r="AC1032">
        <v>0</v>
      </c>
      <c r="AD1032">
        <v>10</v>
      </c>
      <c r="AE1032">
        <v>0</v>
      </c>
      <c r="AF1032">
        <v>0</v>
      </c>
      <c r="AG1032">
        <v>2</v>
      </c>
      <c r="AH1032">
        <v>1</v>
      </c>
      <c r="AI1032" t="s">
        <v>809</v>
      </c>
      <c r="AJ1032">
        <v>35.293621999999999</v>
      </c>
      <c r="AK1032" t="s">
        <v>810</v>
      </c>
      <c r="AL1032">
        <v>-76.193682999999993</v>
      </c>
      <c r="AM1032">
        <v>25</v>
      </c>
      <c r="AN1032">
        <v>3400</v>
      </c>
      <c r="AO1032" t="s">
        <v>118</v>
      </c>
      <c r="AP1032">
        <v>-77</v>
      </c>
      <c r="AQ1032">
        <v>-209</v>
      </c>
      <c r="AR1032">
        <v>-64</v>
      </c>
      <c r="AZ1032">
        <v>4516</v>
      </c>
      <c r="BA1032">
        <v>1</v>
      </c>
      <c r="BB1032" t="str">
        <f t="shared" si="107"/>
        <v xml:space="preserve">N79NX   </v>
      </c>
      <c r="BC1032">
        <v>1</v>
      </c>
      <c r="BE1032">
        <v>0</v>
      </c>
      <c r="BF1032">
        <v>0</v>
      </c>
      <c r="BG1032">
        <v>0</v>
      </c>
      <c r="BH1032">
        <v>3250</v>
      </c>
      <c r="BI1032">
        <v>0</v>
      </c>
      <c r="BJ1032">
        <v>0</v>
      </c>
      <c r="BK1032">
        <v>0</v>
      </c>
      <c r="BL1032">
        <v>0</v>
      </c>
      <c r="BO1032">
        <v>0</v>
      </c>
      <c r="BP1032">
        <v>0</v>
      </c>
      <c r="BW1032" t="str">
        <f>"18:41:14.151"</f>
        <v>18:41:14.151</v>
      </c>
      <c r="BZ1032">
        <v>0</v>
      </c>
      <c r="CA1032">
        <v>4096</v>
      </c>
      <c r="CB1032">
        <v>216</v>
      </c>
      <c r="CC1032">
        <v>535.78129999999999</v>
      </c>
      <c r="CD1032">
        <v>1</v>
      </c>
      <c r="CE1032">
        <v>1</v>
      </c>
      <c r="CF1032">
        <v>0</v>
      </c>
      <c r="CG1032">
        <v>1</v>
      </c>
      <c r="CH1032">
        <v>0</v>
      </c>
      <c r="CI1032">
        <v>1</v>
      </c>
      <c r="CJ1032">
        <v>0</v>
      </c>
      <c r="CK1032">
        <v>2</v>
      </c>
      <c r="CL1032">
        <v>0</v>
      </c>
      <c r="CM1032">
        <v>2</v>
      </c>
      <c r="CN1032">
        <v>0</v>
      </c>
      <c r="CO1032">
        <v>3</v>
      </c>
      <c r="CP1032" t="s">
        <v>119</v>
      </c>
      <c r="CQ1032">
        <v>145</v>
      </c>
      <c r="CR1032">
        <v>1</v>
      </c>
      <c r="CW1032">
        <v>9011121</v>
      </c>
      <c r="CY1032">
        <v>0</v>
      </c>
      <c r="CZ1032">
        <v>0</v>
      </c>
      <c r="DA1032">
        <v>1</v>
      </c>
      <c r="DB1032">
        <v>0</v>
      </c>
      <c r="DC1032">
        <v>0</v>
      </c>
      <c r="DD1032">
        <v>0</v>
      </c>
      <c r="DE1032">
        <v>0</v>
      </c>
      <c r="DF1032">
        <v>0</v>
      </c>
      <c r="DG1032">
        <v>0</v>
      </c>
      <c r="DH1032">
        <v>0</v>
      </c>
      <c r="DI1032">
        <v>0</v>
      </c>
    </row>
    <row r="1033" spans="1:113" x14ac:dyDescent="0.3">
      <c r="A1033" t="str">
        <f>"02/13/2022 18:41:14.394"</f>
        <v>02/13/2022 18:41:14.394</v>
      </c>
      <c r="C1033" t="str">
        <f t="shared" si="106"/>
        <v>FFDFD7C0</v>
      </c>
      <c r="D1033" t="s">
        <v>113</v>
      </c>
      <c r="E1033">
        <v>4</v>
      </c>
      <c r="F1033">
        <v>1004</v>
      </c>
      <c r="G1033" t="s">
        <v>120</v>
      </c>
      <c r="J1033" t="s">
        <v>115</v>
      </c>
      <c r="K1033">
        <v>0</v>
      </c>
      <c r="L1033">
        <v>3</v>
      </c>
      <c r="M1033">
        <v>0</v>
      </c>
      <c r="N1033">
        <v>2</v>
      </c>
      <c r="O1033">
        <v>1</v>
      </c>
      <c r="P1033">
        <v>0</v>
      </c>
      <c r="Q1033">
        <v>0</v>
      </c>
      <c r="S1033" t="str">
        <f t="shared" si="108"/>
        <v>18:41:14.148</v>
      </c>
      <c r="T1033" t="str">
        <f t="shared" si="108"/>
        <v>18:41:14.148</v>
      </c>
      <c r="U1033" t="str">
        <f t="shared" si="105"/>
        <v>AAB6EE</v>
      </c>
      <c r="V1033">
        <v>0</v>
      </c>
      <c r="W1033">
        <v>0</v>
      </c>
      <c r="X1033">
        <v>4</v>
      </c>
      <c r="Z1033">
        <v>0</v>
      </c>
      <c r="AA1033">
        <v>8</v>
      </c>
      <c r="AB1033">
        <v>3</v>
      </c>
      <c r="AC1033">
        <v>0</v>
      </c>
      <c r="AD1033">
        <v>10</v>
      </c>
      <c r="AE1033">
        <v>0</v>
      </c>
      <c r="AF1033">
        <v>0</v>
      </c>
      <c r="AG1033">
        <v>2</v>
      </c>
      <c r="AH1033">
        <v>1</v>
      </c>
      <c r="AI1033" t="s">
        <v>809</v>
      </c>
      <c r="AJ1033">
        <v>35.293621999999999</v>
      </c>
      <c r="AK1033" t="s">
        <v>810</v>
      </c>
      <c r="AL1033">
        <v>-76.193682999999993</v>
      </c>
      <c r="AM1033">
        <v>25</v>
      </c>
      <c r="AN1033">
        <v>3400</v>
      </c>
      <c r="AO1033" t="s">
        <v>118</v>
      </c>
      <c r="AP1033">
        <v>-77</v>
      </c>
      <c r="AQ1033">
        <v>-209</v>
      </c>
      <c r="AR1033">
        <v>-64</v>
      </c>
      <c r="AZ1033">
        <v>4516</v>
      </c>
      <c r="BA1033">
        <v>1</v>
      </c>
      <c r="BB1033" t="str">
        <f t="shared" si="107"/>
        <v xml:space="preserve">N79NX   </v>
      </c>
      <c r="BC1033">
        <v>1</v>
      </c>
      <c r="BE1033">
        <v>0</v>
      </c>
      <c r="BF1033">
        <v>0</v>
      </c>
      <c r="BG1033">
        <v>0</v>
      </c>
      <c r="BH1033">
        <v>3250</v>
      </c>
      <c r="BI1033">
        <v>0</v>
      </c>
      <c r="BJ1033">
        <v>0</v>
      </c>
      <c r="BK1033">
        <v>0</v>
      </c>
      <c r="BL1033">
        <v>0</v>
      </c>
      <c r="BO1033">
        <v>0</v>
      </c>
      <c r="BP1033">
        <v>0</v>
      </c>
      <c r="BW1033" t="str">
        <f>"18:41:14.151"</f>
        <v>18:41:14.151</v>
      </c>
      <c r="BZ1033">
        <v>0</v>
      </c>
      <c r="CA1033">
        <v>4096</v>
      </c>
      <c r="CB1033">
        <v>216</v>
      </c>
      <c r="CC1033">
        <v>535.78129999999999</v>
      </c>
      <c r="CD1033">
        <v>1</v>
      </c>
      <c r="CE1033">
        <v>1</v>
      </c>
      <c r="CF1033">
        <v>0</v>
      </c>
      <c r="CG1033">
        <v>1</v>
      </c>
      <c r="CH1033">
        <v>0</v>
      </c>
      <c r="CI1033">
        <v>1</v>
      </c>
      <c r="CJ1033">
        <v>0</v>
      </c>
      <c r="CK1033">
        <v>2</v>
      </c>
      <c r="CL1033">
        <v>0</v>
      </c>
      <c r="CM1033">
        <v>2</v>
      </c>
      <c r="CN1033">
        <v>0</v>
      </c>
      <c r="CO1033">
        <v>3</v>
      </c>
      <c r="CP1033" t="s">
        <v>119</v>
      </c>
      <c r="CQ1033">
        <v>145</v>
      </c>
      <c r="CR1033">
        <v>1</v>
      </c>
      <c r="CW1033">
        <v>9011121</v>
      </c>
      <c r="CY1033">
        <v>0</v>
      </c>
      <c r="CZ1033">
        <v>0</v>
      </c>
      <c r="DA1033">
        <v>1</v>
      </c>
      <c r="DB1033">
        <v>0</v>
      </c>
      <c r="DC1033">
        <v>0</v>
      </c>
      <c r="DD1033">
        <v>0</v>
      </c>
      <c r="DE1033">
        <v>0</v>
      </c>
      <c r="DF1033">
        <v>0</v>
      </c>
      <c r="DG1033">
        <v>0</v>
      </c>
      <c r="DH1033">
        <v>0</v>
      </c>
      <c r="DI1033">
        <v>0</v>
      </c>
    </row>
    <row r="1034" spans="1:113" x14ac:dyDescent="0.3">
      <c r="A1034" t="str">
        <f>"02/13/2022 18:41:15.457"</f>
        <v>02/13/2022 18:41:15.457</v>
      </c>
      <c r="C1034" t="str">
        <f t="shared" si="106"/>
        <v>FFDFD7C0</v>
      </c>
      <c r="D1034" t="s">
        <v>113</v>
      </c>
      <c r="E1034">
        <v>3</v>
      </c>
      <c r="F1034">
        <v>1003</v>
      </c>
      <c r="G1034" t="s">
        <v>114</v>
      </c>
      <c r="J1034" t="s">
        <v>115</v>
      </c>
      <c r="K1034">
        <v>0</v>
      </c>
      <c r="L1034">
        <v>3</v>
      </c>
      <c r="M1034">
        <v>0</v>
      </c>
      <c r="N1034">
        <v>2</v>
      </c>
      <c r="O1034">
        <v>1</v>
      </c>
      <c r="P1034">
        <v>0</v>
      </c>
      <c r="Q1034">
        <v>0</v>
      </c>
      <c r="S1034" t="str">
        <f>"18:41:15.227"</f>
        <v>18:41:15.227</v>
      </c>
      <c r="T1034" t="str">
        <f>"18:41:14.927"</f>
        <v>18:41:14.927</v>
      </c>
      <c r="U1034" t="str">
        <f t="shared" si="105"/>
        <v>AAB6EE</v>
      </c>
      <c r="V1034">
        <v>0</v>
      </c>
      <c r="W1034">
        <v>0</v>
      </c>
      <c r="X1034">
        <v>4</v>
      </c>
      <c r="Z1034">
        <v>0</v>
      </c>
      <c r="AA1034">
        <v>8</v>
      </c>
      <c r="AB1034">
        <v>3</v>
      </c>
      <c r="AC1034">
        <v>0</v>
      </c>
      <c r="AD1034">
        <v>10</v>
      </c>
      <c r="AE1034">
        <v>0</v>
      </c>
      <c r="AF1034">
        <v>0</v>
      </c>
      <c r="AG1034">
        <v>2</v>
      </c>
      <c r="AH1034">
        <v>1</v>
      </c>
      <c r="AI1034" t="s">
        <v>811</v>
      </c>
      <c r="AJ1034">
        <v>35.292549000000001</v>
      </c>
      <c r="AK1034" t="s">
        <v>812</v>
      </c>
      <c r="AL1034">
        <v>-76.194220000000001</v>
      </c>
      <c r="AM1034">
        <v>25</v>
      </c>
      <c r="AN1034">
        <v>3400</v>
      </c>
      <c r="AO1034" t="s">
        <v>118</v>
      </c>
      <c r="AP1034">
        <v>-82</v>
      </c>
      <c r="AQ1034">
        <v>-207</v>
      </c>
      <c r="AR1034">
        <v>0</v>
      </c>
      <c r="AZ1034">
        <v>4516</v>
      </c>
      <c r="BA1034">
        <v>1</v>
      </c>
      <c r="BB1034" t="str">
        <f t="shared" si="107"/>
        <v xml:space="preserve">N79NX   </v>
      </c>
      <c r="BC1034">
        <v>1</v>
      </c>
      <c r="BE1034">
        <v>0</v>
      </c>
      <c r="BF1034">
        <v>0</v>
      </c>
      <c r="BG1034">
        <v>0</v>
      </c>
      <c r="BH1034">
        <v>3250</v>
      </c>
      <c r="BI1034">
        <v>0</v>
      </c>
      <c r="BJ1034">
        <v>0</v>
      </c>
      <c r="BK1034">
        <v>0</v>
      </c>
      <c r="BL1034">
        <v>0</v>
      </c>
      <c r="BO1034">
        <v>0</v>
      </c>
      <c r="BP1034">
        <v>0</v>
      </c>
      <c r="BW1034" t="str">
        <f>"18:41:15.231"</f>
        <v>18:41:15.231</v>
      </c>
      <c r="BZ1034">
        <v>0</v>
      </c>
      <c r="CA1034">
        <v>4096</v>
      </c>
      <c r="CB1034">
        <v>216</v>
      </c>
      <c r="CC1034">
        <v>521.71879999999999</v>
      </c>
      <c r="CD1034">
        <v>1</v>
      </c>
      <c r="CE1034">
        <v>1</v>
      </c>
      <c r="CF1034">
        <v>0</v>
      </c>
      <c r="CG1034">
        <v>1</v>
      </c>
      <c r="CH1034">
        <v>0</v>
      </c>
      <c r="CI1034">
        <v>1</v>
      </c>
      <c r="CJ1034">
        <v>0</v>
      </c>
      <c r="CK1034">
        <v>2</v>
      </c>
      <c r="CL1034">
        <v>0</v>
      </c>
      <c r="CM1034">
        <v>2</v>
      </c>
      <c r="CN1034">
        <v>0</v>
      </c>
      <c r="CO1034">
        <v>3</v>
      </c>
      <c r="CP1034" t="s">
        <v>119</v>
      </c>
      <c r="CQ1034">
        <v>145</v>
      </c>
      <c r="CR1034">
        <v>1</v>
      </c>
      <c r="CW1034">
        <v>9011582</v>
      </c>
      <c r="CY1034">
        <v>0</v>
      </c>
      <c r="CZ1034">
        <v>0</v>
      </c>
      <c r="DA1034">
        <v>0</v>
      </c>
      <c r="DB1034">
        <v>0</v>
      </c>
      <c r="DC1034">
        <v>0</v>
      </c>
      <c r="DD1034">
        <v>0</v>
      </c>
      <c r="DE1034">
        <v>0</v>
      </c>
      <c r="DF1034">
        <v>0</v>
      </c>
      <c r="DG1034">
        <v>0</v>
      </c>
      <c r="DH1034">
        <v>0</v>
      </c>
      <c r="DI1034">
        <v>0</v>
      </c>
    </row>
    <row r="1035" spans="1:113" x14ac:dyDescent="0.3">
      <c r="A1035" t="str">
        <f>"02/13/2022 18:41:15.457"</f>
        <v>02/13/2022 18:41:15.457</v>
      </c>
      <c r="C1035" t="str">
        <f t="shared" si="106"/>
        <v>FFDFD7C0</v>
      </c>
      <c r="D1035" t="s">
        <v>113</v>
      </c>
      <c r="E1035">
        <v>4</v>
      </c>
      <c r="F1035">
        <v>1004</v>
      </c>
      <c r="G1035" t="s">
        <v>120</v>
      </c>
      <c r="J1035" t="s">
        <v>115</v>
      </c>
      <c r="K1035">
        <v>0</v>
      </c>
      <c r="L1035">
        <v>3</v>
      </c>
      <c r="M1035">
        <v>0</v>
      </c>
      <c r="N1035">
        <v>2</v>
      </c>
      <c r="O1035">
        <v>1</v>
      </c>
      <c r="P1035">
        <v>0</v>
      </c>
      <c r="Q1035">
        <v>0</v>
      </c>
      <c r="S1035" t="str">
        <f>"18:41:15.227"</f>
        <v>18:41:15.227</v>
      </c>
      <c r="T1035" t="str">
        <f>"18:41:14.927"</f>
        <v>18:41:14.927</v>
      </c>
      <c r="U1035" t="str">
        <f t="shared" si="105"/>
        <v>AAB6EE</v>
      </c>
      <c r="V1035">
        <v>0</v>
      </c>
      <c r="W1035">
        <v>0</v>
      </c>
      <c r="X1035">
        <v>4</v>
      </c>
      <c r="Z1035">
        <v>0</v>
      </c>
      <c r="AA1035">
        <v>8</v>
      </c>
      <c r="AB1035">
        <v>3</v>
      </c>
      <c r="AC1035">
        <v>0</v>
      </c>
      <c r="AD1035">
        <v>10</v>
      </c>
      <c r="AE1035">
        <v>0</v>
      </c>
      <c r="AF1035">
        <v>0</v>
      </c>
      <c r="AG1035">
        <v>2</v>
      </c>
      <c r="AH1035">
        <v>1</v>
      </c>
      <c r="AI1035" t="s">
        <v>811</v>
      </c>
      <c r="AJ1035">
        <v>35.292549000000001</v>
      </c>
      <c r="AK1035" t="s">
        <v>812</v>
      </c>
      <c r="AL1035">
        <v>-76.194220000000001</v>
      </c>
      <c r="AM1035">
        <v>25</v>
      </c>
      <c r="AN1035">
        <v>3400</v>
      </c>
      <c r="AO1035" t="s">
        <v>118</v>
      </c>
      <c r="AP1035">
        <v>-82</v>
      </c>
      <c r="AQ1035">
        <v>-207</v>
      </c>
      <c r="AR1035">
        <v>0</v>
      </c>
      <c r="AZ1035">
        <v>4516</v>
      </c>
      <c r="BA1035">
        <v>1</v>
      </c>
      <c r="BB1035" t="str">
        <f t="shared" si="107"/>
        <v xml:space="preserve">N79NX   </v>
      </c>
      <c r="BC1035">
        <v>1</v>
      </c>
      <c r="BE1035">
        <v>0</v>
      </c>
      <c r="BF1035">
        <v>0</v>
      </c>
      <c r="BG1035">
        <v>0</v>
      </c>
      <c r="BH1035">
        <v>3250</v>
      </c>
      <c r="BI1035">
        <v>0</v>
      </c>
      <c r="BJ1035">
        <v>0</v>
      </c>
      <c r="BK1035">
        <v>0</v>
      </c>
      <c r="BL1035">
        <v>0</v>
      </c>
      <c r="BO1035">
        <v>0</v>
      </c>
      <c r="BP1035">
        <v>0</v>
      </c>
      <c r="BW1035" t="str">
        <f>"18:41:15.231"</f>
        <v>18:41:15.231</v>
      </c>
      <c r="BZ1035">
        <v>0</v>
      </c>
      <c r="CA1035">
        <v>4096</v>
      </c>
      <c r="CB1035">
        <v>216</v>
      </c>
      <c r="CC1035">
        <v>521.71879999999999</v>
      </c>
      <c r="CD1035">
        <v>1</v>
      </c>
      <c r="CE1035">
        <v>1</v>
      </c>
      <c r="CF1035">
        <v>0</v>
      </c>
      <c r="CG1035">
        <v>1</v>
      </c>
      <c r="CH1035">
        <v>0</v>
      </c>
      <c r="CI1035">
        <v>1</v>
      </c>
      <c r="CJ1035">
        <v>0</v>
      </c>
      <c r="CK1035">
        <v>2</v>
      </c>
      <c r="CL1035">
        <v>0</v>
      </c>
      <c r="CM1035">
        <v>2</v>
      </c>
      <c r="CN1035">
        <v>0</v>
      </c>
      <c r="CO1035">
        <v>3</v>
      </c>
      <c r="CP1035" t="s">
        <v>119</v>
      </c>
      <c r="CQ1035">
        <v>145</v>
      </c>
      <c r="CR1035">
        <v>1</v>
      </c>
      <c r="CW1035">
        <v>9011582</v>
      </c>
      <c r="CY1035">
        <v>0</v>
      </c>
      <c r="CZ1035">
        <v>0</v>
      </c>
      <c r="DA1035">
        <v>1</v>
      </c>
      <c r="DB1035">
        <v>0</v>
      </c>
      <c r="DC1035">
        <v>0</v>
      </c>
      <c r="DD1035">
        <v>0</v>
      </c>
      <c r="DE1035">
        <v>0</v>
      </c>
      <c r="DF1035">
        <v>0</v>
      </c>
      <c r="DG1035">
        <v>0</v>
      </c>
      <c r="DH1035">
        <v>0</v>
      </c>
      <c r="DI1035">
        <v>0</v>
      </c>
    </row>
    <row r="1036" spans="1:113" x14ac:dyDescent="0.3">
      <c r="A1036" t="str">
        <f>"02/13/2022 18:41:15.457"</f>
        <v>02/13/2022 18:41:15.457</v>
      </c>
      <c r="C1036" t="str">
        <f t="shared" si="106"/>
        <v>FFDFD7C0</v>
      </c>
      <c r="D1036" t="s">
        <v>121</v>
      </c>
      <c r="E1036">
        <v>2</v>
      </c>
      <c r="H1036">
        <v>158</v>
      </c>
      <c r="I1036" t="s">
        <v>120</v>
      </c>
      <c r="J1036" t="s">
        <v>122</v>
      </c>
      <c r="K1036">
        <v>0</v>
      </c>
      <c r="L1036">
        <v>3</v>
      </c>
      <c r="M1036">
        <v>0</v>
      </c>
      <c r="N1036">
        <v>2</v>
      </c>
      <c r="O1036">
        <v>1</v>
      </c>
      <c r="P1036">
        <v>0</v>
      </c>
      <c r="Q1036">
        <v>0</v>
      </c>
      <c r="S1036" t="str">
        <f>"18:41:15.227"</f>
        <v>18:41:15.227</v>
      </c>
      <c r="T1036" t="str">
        <f>"18:41:14.927"</f>
        <v>18:41:14.927</v>
      </c>
      <c r="U1036" t="str">
        <f t="shared" si="105"/>
        <v>AAB6EE</v>
      </c>
      <c r="V1036">
        <v>0</v>
      </c>
      <c r="W1036">
        <v>0</v>
      </c>
      <c r="X1036">
        <v>4</v>
      </c>
      <c r="Z1036">
        <v>0</v>
      </c>
      <c r="AA1036">
        <v>8</v>
      </c>
      <c r="AB1036">
        <v>3</v>
      </c>
      <c r="AC1036">
        <v>0</v>
      </c>
      <c r="AD1036">
        <v>10</v>
      </c>
      <c r="AE1036">
        <v>0</v>
      </c>
      <c r="AF1036">
        <v>0</v>
      </c>
      <c r="AG1036">
        <v>2</v>
      </c>
      <c r="AH1036">
        <v>1</v>
      </c>
      <c r="AI1036" t="s">
        <v>811</v>
      </c>
      <c r="AJ1036">
        <v>35.292549000000001</v>
      </c>
      <c r="AK1036" t="s">
        <v>812</v>
      </c>
      <c r="AL1036">
        <v>-76.194220000000001</v>
      </c>
      <c r="AM1036">
        <v>25</v>
      </c>
      <c r="AN1036">
        <v>3400</v>
      </c>
      <c r="AO1036" t="s">
        <v>118</v>
      </c>
      <c r="AP1036">
        <v>-82</v>
      </c>
      <c r="AQ1036">
        <v>-207</v>
      </c>
      <c r="AR1036">
        <v>0</v>
      </c>
      <c r="AZ1036">
        <v>4516</v>
      </c>
      <c r="BA1036">
        <v>1</v>
      </c>
      <c r="BB1036" t="str">
        <f t="shared" si="107"/>
        <v xml:space="preserve">N79NX   </v>
      </c>
      <c r="BC1036">
        <v>1</v>
      </c>
      <c r="BE1036">
        <v>0</v>
      </c>
      <c r="BF1036">
        <v>0</v>
      </c>
      <c r="BG1036">
        <v>0</v>
      </c>
      <c r="BH1036">
        <v>3250</v>
      </c>
      <c r="BI1036">
        <v>0</v>
      </c>
      <c r="BJ1036">
        <v>0</v>
      </c>
      <c r="BK1036">
        <v>0</v>
      </c>
      <c r="BL1036">
        <v>0</v>
      </c>
      <c r="BO1036">
        <v>0</v>
      </c>
      <c r="BP1036">
        <v>0</v>
      </c>
      <c r="BW1036" t="str">
        <f>"18:41:15.231"</f>
        <v>18:41:15.231</v>
      </c>
      <c r="BZ1036">
        <v>0</v>
      </c>
      <c r="CA1036">
        <v>4096</v>
      </c>
      <c r="CB1036">
        <v>216</v>
      </c>
      <c r="CC1036">
        <v>521.71879999999999</v>
      </c>
      <c r="CD1036">
        <v>1</v>
      </c>
      <c r="CE1036">
        <v>1</v>
      </c>
      <c r="CF1036">
        <v>0</v>
      </c>
      <c r="CG1036">
        <v>1</v>
      </c>
      <c r="CH1036">
        <v>0</v>
      </c>
      <c r="CI1036">
        <v>1</v>
      </c>
      <c r="CJ1036">
        <v>0</v>
      </c>
      <c r="CK1036">
        <v>2</v>
      </c>
      <c r="CL1036">
        <v>0</v>
      </c>
      <c r="CM1036">
        <v>2</v>
      </c>
      <c r="CN1036">
        <v>0</v>
      </c>
      <c r="CO1036">
        <v>3</v>
      </c>
      <c r="CP1036" t="s">
        <v>119</v>
      </c>
      <c r="CQ1036">
        <v>145</v>
      </c>
      <c r="CR1036">
        <v>1</v>
      </c>
      <c r="CW1036">
        <v>9011582</v>
      </c>
      <c r="CY1036">
        <v>0</v>
      </c>
      <c r="CZ1036">
        <v>0</v>
      </c>
      <c r="DA1036">
        <v>1</v>
      </c>
      <c r="DB1036">
        <v>0</v>
      </c>
      <c r="DC1036">
        <v>0</v>
      </c>
      <c r="DD1036">
        <v>0</v>
      </c>
      <c r="DE1036">
        <v>0</v>
      </c>
      <c r="DF1036">
        <v>0</v>
      </c>
      <c r="DG1036">
        <v>0</v>
      </c>
      <c r="DH1036">
        <v>0</v>
      </c>
      <c r="DI1036">
        <v>0</v>
      </c>
    </row>
    <row r="1037" spans="1:113" x14ac:dyDescent="0.3">
      <c r="A1037" t="str">
        <f>"02/13/2022 18:41:16.568"</f>
        <v>02/13/2022 18:41:16.568</v>
      </c>
      <c r="C1037" t="str">
        <f t="shared" si="106"/>
        <v>FFDFD7C0</v>
      </c>
      <c r="D1037" t="s">
        <v>113</v>
      </c>
      <c r="E1037">
        <v>4</v>
      </c>
      <c r="F1037">
        <v>1004</v>
      </c>
      <c r="G1037" t="s">
        <v>120</v>
      </c>
      <c r="J1037" t="s">
        <v>115</v>
      </c>
      <c r="K1037">
        <v>0</v>
      </c>
      <c r="L1037">
        <v>3</v>
      </c>
      <c r="M1037">
        <v>0</v>
      </c>
      <c r="N1037">
        <v>2</v>
      </c>
      <c r="O1037">
        <v>1</v>
      </c>
      <c r="P1037">
        <v>0</v>
      </c>
      <c r="Q1037">
        <v>0</v>
      </c>
      <c r="S1037" t="str">
        <f>"18:41:16.344"</f>
        <v>18:41:16.344</v>
      </c>
      <c r="T1037" t="str">
        <f>"18:41:16.044"</f>
        <v>18:41:16.044</v>
      </c>
      <c r="U1037" t="str">
        <f t="shared" si="105"/>
        <v>AAB6EE</v>
      </c>
      <c r="V1037">
        <v>0</v>
      </c>
      <c r="W1037">
        <v>0</v>
      </c>
      <c r="X1037">
        <v>4</v>
      </c>
      <c r="Z1037">
        <v>0</v>
      </c>
      <c r="AA1037">
        <v>8</v>
      </c>
      <c r="AB1037">
        <v>3</v>
      </c>
      <c r="AC1037">
        <v>0</v>
      </c>
      <c r="AD1037">
        <v>10</v>
      </c>
      <c r="AE1037">
        <v>0</v>
      </c>
      <c r="AF1037">
        <v>0</v>
      </c>
      <c r="AG1037">
        <v>1</v>
      </c>
      <c r="AH1037">
        <v>1</v>
      </c>
      <c r="AI1037" t="s">
        <v>813</v>
      </c>
      <c r="AJ1037">
        <v>35.291519000000001</v>
      </c>
      <c r="AK1037" t="s">
        <v>814</v>
      </c>
      <c r="AL1037">
        <v>-76.194755999999998</v>
      </c>
      <c r="AM1037">
        <v>25</v>
      </c>
      <c r="AN1037">
        <v>3400</v>
      </c>
      <c r="AO1037" t="s">
        <v>118</v>
      </c>
      <c r="AP1037">
        <v>-91</v>
      </c>
      <c r="AQ1037">
        <v>-203</v>
      </c>
      <c r="AR1037">
        <v>128</v>
      </c>
      <c r="AZ1037">
        <v>4516</v>
      </c>
      <c r="BA1037">
        <v>1</v>
      </c>
      <c r="BB1037" t="str">
        <f t="shared" si="107"/>
        <v xml:space="preserve">N79NX   </v>
      </c>
      <c r="BC1037">
        <v>1</v>
      </c>
      <c r="BE1037">
        <v>0</v>
      </c>
      <c r="BF1037">
        <v>0</v>
      </c>
      <c r="BG1037">
        <v>0</v>
      </c>
      <c r="BH1037">
        <v>3250</v>
      </c>
      <c r="BI1037">
        <v>0</v>
      </c>
      <c r="BJ1037">
        <v>0</v>
      </c>
      <c r="BK1037">
        <v>0</v>
      </c>
      <c r="BL1037">
        <v>0</v>
      </c>
      <c r="BO1037">
        <v>0</v>
      </c>
      <c r="BP1037">
        <v>0</v>
      </c>
      <c r="BW1037" t="str">
        <f>"18:41:16.351"</f>
        <v>18:41:16.351</v>
      </c>
      <c r="BZ1037">
        <v>0</v>
      </c>
      <c r="CA1037">
        <v>4096</v>
      </c>
      <c r="CB1037">
        <v>216</v>
      </c>
      <c r="CC1037">
        <v>521.71879999999999</v>
      </c>
      <c r="CD1037">
        <v>1</v>
      </c>
      <c r="CE1037">
        <v>1</v>
      </c>
      <c r="CF1037">
        <v>0</v>
      </c>
      <c r="CG1037">
        <v>1</v>
      </c>
      <c r="CH1037">
        <v>0</v>
      </c>
      <c r="CI1037">
        <v>1</v>
      </c>
      <c r="CJ1037">
        <v>0</v>
      </c>
      <c r="CK1037">
        <v>2</v>
      </c>
      <c r="CL1037">
        <v>0</v>
      </c>
      <c r="CM1037">
        <v>2</v>
      </c>
      <c r="CN1037">
        <v>0</v>
      </c>
      <c r="CO1037">
        <v>3</v>
      </c>
      <c r="CP1037" t="s">
        <v>119</v>
      </c>
      <c r="CQ1037">
        <v>145</v>
      </c>
      <c r="CR1037">
        <v>1</v>
      </c>
      <c r="CW1037">
        <v>9012132</v>
      </c>
      <c r="CY1037">
        <v>0</v>
      </c>
      <c r="CZ1037">
        <v>0</v>
      </c>
      <c r="DA1037">
        <v>0</v>
      </c>
      <c r="DB1037">
        <v>0</v>
      </c>
      <c r="DC1037">
        <v>0</v>
      </c>
      <c r="DD1037">
        <v>0</v>
      </c>
      <c r="DE1037">
        <v>0</v>
      </c>
      <c r="DF1037">
        <v>0</v>
      </c>
      <c r="DG1037">
        <v>0</v>
      </c>
      <c r="DH1037">
        <v>0</v>
      </c>
      <c r="DI1037">
        <v>0</v>
      </c>
    </row>
    <row r="1038" spans="1:113" x14ac:dyDescent="0.3">
      <c r="A1038" t="str">
        <f>"02/13/2022 18:41:16.552"</f>
        <v>02/13/2022 18:41:16.552</v>
      </c>
      <c r="C1038" t="str">
        <f t="shared" si="106"/>
        <v>FFDFD7C0</v>
      </c>
      <c r="D1038" t="s">
        <v>113</v>
      </c>
      <c r="E1038">
        <v>3</v>
      </c>
      <c r="F1038">
        <v>1003</v>
      </c>
      <c r="G1038" t="s">
        <v>114</v>
      </c>
      <c r="J1038" t="s">
        <v>115</v>
      </c>
      <c r="K1038">
        <v>0</v>
      </c>
      <c r="L1038">
        <v>3</v>
      </c>
      <c r="M1038">
        <v>0</v>
      </c>
      <c r="N1038">
        <v>2</v>
      </c>
      <c r="O1038">
        <v>1</v>
      </c>
      <c r="P1038">
        <v>0</v>
      </c>
      <c r="Q1038">
        <v>0</v>
      </c>
      <c r="S1038" t="str">
        <f>"18:41:16.344"</f>
        <v>18:41:16.344</v>
      </c>
      <c r="T1038" t="str">
        <f>"18:41:16.044"</f>
        <v>18:41:16.044</v>
      </c>
      <c r="U1038" t="str">
        <f t="shared" si="105"/>
        <v>AAB6EE</v>
      </c>
      <c r="V1038">
        <v>0</v>
      </c>
      <c r="W1038">
        <v>0</v>
      </c>
      <c r="X1038">
        <v>4</v>
      </c>
      <c r="Z1038">
        <v>0</v>
      </c>
      <c r="AA1038">
        <v>8</v>
      </c>
      <c r="AB1038">
        <v>3</v>
      </c>
      <c r="AC1038">
        <v>0</v>
      </c>
      <c r="AD1038">
        <v>10</v>
      </c>
      <c r="AE1038">
        <v>0</v>
      </c>
      <c r="AF1038">
        <v>0</v>
      </c>
      <c r="AG1038">
        <v>1</v>
      </c>
      <c r="AH1038">
        <v>1</v>
      </c>
      <c r="AI1038" t="s">
        <v>813</v>
      </c>
      <c r="AJ1038">
        <v>35.291519000000001</v>
      </c>
      <c r="AK1038" t="s">
        <v>814</v>
      </c>
      <c r="AL1038">
        <v>-76.194755999999998</v>
      </c>
      <c r="AM1038">
        <v>25</v>
      </c>
      <c r="AN1038">
        <v>3400</v>
      </c>
      <c r="AO1038" t="s">
        <v>118</v>
      </c>
      <c r="AP1038">
        <v>-91</v>
      </c>
      <c r="AQ1038">
        <v>-203</v>
      </c>
      <c r="AR1038">
        <v>128</v>
      </c>
      <c r="AZ1038">
        <v>4516</v>
      </c>
      <c r="BA1038">
        <v>1</v>
      </c>
      <c r="BB1038" t="str">
        <f t="shared" si="107"/>
        <v xml:space="preserve">N79NX   </v>
      </c>
      <c r="BC1038">
        <v>1</v>
      </c>
      <c r="BE1038">
        <v>0</v>
      </c>
      <c r="BF1038">
        <v>0</v>
      </c>
      <c r="BG1038">
        <v>0</v>
      </c>
      <c r="BH1038">
        <v>3250</v>
      </c>
      <c r="BI1038">
        <v>0</v>
      </c>
      <c r="BJ1038">
        <v>0</v>
      </c>
      <c r="BK1038">
        <v>0</v>
      </c>
      <c r="BL1038">
        <v>0</v>
      </c>
      <c r="BO1038">
        <v>0</v>
      </c>
      <c r="BP1038">
        <v>0</v>
      </c>
      <c r="BW1038" t="str">
        <f>"18:41:16.351"</f>
        <v>18:41:16.351</v>
      </c>
      <c r="BZ1038">
        <v>0</v>
      </c>
      <c r="CA1038">
        <v>4096</v>
      </c>
      <c r="CB1038">
        <v>216</v>
      </c>
      <c r="CC1038">
        <v>521.71879999999999</v>
      </c>
      <c r="CD1038">
        <v>1</v>
      </c>
      <c r="CE1038">
        <v>1</v>
      </c>
      <c r="CF1038">
        <v>0</v>
      </c>
      <c r="CG1038">
        <v>1</v>
      </c>
      <c r="CH1038">
        <v>0</v>
      </c>
      <c r="CI1038">
        <v>1</v>
      </c>
      <c r="CJ1038">
        <v>0</v>
      </c>
      <c r="CK1038">
        <v>2</v>
      </c>
      <c r="CL1038">
        <v>0</v>
      </c>
      <c r="CM1038">
        <v>2</v>
      </c>
      <c r="CN1038">
        <v>0</v>
      </c>
      <c r="CO1038">
        <v>3</v>
      </c>
      <c r="CP1038" t="s">
        <v>119</v>
      </c>
      <c r="CQ1038">
        <v>145</v>
      </c>
      <c r="CR1038">
        <v>1</v>
      </c>
      <c r="CW1038">
        <v>9012132</v>
      </c>
      <c r="CY1038">
        <v>0</v>
      </c>
      <c r="CZ1038">
        <v>0</v>
      </c>
      <c r="DA1038">
        <v>1</v>
      </c>
      <c r="DB1038">
        <v>0</v>
      </c>
      <c r="DC1038">
        <v>0</v>
      </c>
      <c r="DD1038">
        <v>0</v>
      </c>
      <c r="DE1038">
        <v>0</v>
      </c>
      <c r="DF1038">
        <v>0</v>
      </c>
      <c r="DG1038">
        <v>0</v>
      </c>
      <c r="DH1038">
        <v>0</v>
      </c>
      <c r="DI1038">
        <v>0</v>
      </c>
    </row>
    <row r="1039" spans="1:113" x14ac:dyDescent="0.3">
      <c r="A1039" t="str">
        <f>"02/13/2022 18:41:16.568"</f>
        <v>02/13/2022 18:41:16.568</v>
      </c>
      <c r="C1039" t="str">
        <f t="shared" si="106"/>
        <v>FFDFD7C0</v>
      </c>
      <c r="D1039" t="s">
        <v>121</v>
      </c>
      <c r="E1039">
        <v>2</v>
      </c>
      <c r="H1039">
        <v>158</v>
      </c>
      <c r="I1039" t="s">
        <v>120</v>
      </c>
      <c r="J1039" t="s">
        <v>122</v>
      </c>
      <c r="K1039">
        <v>0</v>
      </c>
      <c r="L1039">
        <v>3</v>
      </c>
      <c r="M1039">
        <v>0</v>
      </c>
      <c r="N1039">
        <v>2</v>
      </c>
      <c r="O1039">
        <v>1</v>
      </c>
      <c r="P1039">
        <v>0</v>
      </c>
      <c r="Q1039">
        <v>0</v>
      </c>
      <c r="S1039" t="str">
        <f>"18:41:16.344"</f>
        <v>18:41:16.344</v>
      </c>
      <c r="T1039" t="str">
        <f>"18:41:16.044"</f>
        <v>18:41:16.044</v>
      </c>
      <c r="U1039" t="str">
        <f t="shared" si="105"/>
        <v>AAB6EE</v>
      </c>
      <c r="V1039">
        <v>0</v>
      </c>
      <c r="W1039">
        <v>0</v>
      </c>
      <c r="X1039">
        <v>4</v>
      </c>
      <c r="Z1039">
        <v>0</v>
      </c>
      <c r="AA1039">
        <v>8</v>
      </c>
      <c r="AB1039">
        <v>3</v>
      </c>
      <c r="AC1039">
        <v>0</v>
      </c>
      <c r="AD1039">
        <v>10</v>
      </c>
      <c r="AE1039">
        <v>0</v>
      </c>
      <c r="AF1039">
        <v>0</v>
      </c>
      <c r="AG1039">
        <v>1</v>
      </c>
      <c r="AH1039">
        <v>1</v>
      </c>
      <c r="AI1039" t="s">
        <v>813</v>
      </c>
      <c r="AJ1039">
        <v>35.291519000000001</v>
      </c>
      <c r="AK1039" t="s">
        <v>814</v>
      </c>
      <c r="AL1039">
        <v>-76.194755999999998</v>
      </c>
      <c r="AM1039">
        <v>25</v>
      </c>
      <c r="AN1039">
        <v>3400</v>
      </c>
      <c r="AO1039" t="s">
        <v>118</v>
      </c>
      <c r="AP1039">
        <v>-91</v>
      </c>
      <c r="AQ1039">
        <v>-203</v>
      </c>
      <c r="AR1039">
        <v>128</v>
      </c>
      <c r="AZ1039">
        <v>4516</v>
      </c>
      <c r="BA1039">
        <v>1</v>
      </c>
      <c r="BB1039" t="str">
        <f t="shared" si="107"/>
        <v xml:space="preserve">N79NX   </v>
      </c>
      <c r="BC1039">
        <v>1</v>
      </c>
      <c r="BE1039">
        <v>0</v>
      </c>
      <c r="BF1039">
        <v>0</v>
      </c>
      <c r="BG1039">
        <v>0</v>
      </c>
      <c r="BH1039">
        <v>3250</v>
      </c>
      <c r="BI1039">
        <v>0</v>
      </c>
      <c r="BJ1039">
        <v>0</v>
      </c>
      <c r="BK1039">
        <v>0</v>
      </c>
      <c r="BL1039">
        <v>0</v>
      </c>
      <c r="BO1039">
        <v>0</v>
      </c>
      <c r="BP1039">
        <v>0</v>
      </c>
      <c r="BW1039" t="str">
        <f>"18:41:16.351"</f>
        <v>18:41:16.351</v>
      </c>
      <c r="BZ1039">
        <v>0</v>
      </c>
      <c r="CA1039">
        <v>4096</v>
      </c>
      <c r="CB1039">
        <v>216</v>
      </c>
      <c r="CC1039">
        <v>521.71879999999999</v>
      </c>
      <c r="CD1039">
        <v>1</v>
      </c>
      <c r="CE1039">
        <v>1</v>
      </c>
      <c r="CF1039">
        <v>0</v>
      </c>
      <c r="CG1039">
        <v>1</v>
      </c>
      <c r="CH1039">
        <v>0</v>
      </c>
      <c r="CI1039">
        <v>1</v>
      </c>
      <c r="CJ1039">
        <v>0</v>
      </c>
      <c r="CK1039">
        <v>2</v>
      </c>
      <c r="CL1039">
        <v>0</v>
      </c>
      <c r="CM1039">
        <v>2</v>
      </c>
      <c r="CN1039">
        <v>0</v>
      </c>
      <c r="CO1039">
        <v>3</v>
      </c>
      <c r="CP1039" t="s">
        <v>119</v>
      </c>
      <c r="CQ1039">
        <v>145</v>
      </c>
      <c r="CR1039">
        <v>1</v>
      </c>
      <c r="CW1039">
        <v>9012132</v>
      </c>
      <c r="CY1039">
        <v>0</v>
      </c>
      <c r="CZ1039">
        <v>0</v>
      </c>
      <c r="DA1039">
        <v>1</v>
      </c>
      <c r="DB1039">
        <v>0</v>
      </c>
      <c r="DC1039">
        <v>0</v>
      </c>
      <c r="DD1039">
        <v>0</v>
      </c>
      <c r="DE1039">
        <v>0</v>
      </c>
      <c r="DF1039">
        <v>0</v>
      </c>
      <c r="DG1039">
        <v>0</v>
      </c>
      <c r="DH1039">
        <v>0</v>
      </c>
      <c r="DI1039">
        <v>0</v>
      </c>
    </row>
    <row r="1040" spans="1:113" x14ac:dyDescent="0.3">
      <c r="A1040" t="str">
        <f>"02/13/2022 18:41:17.740"</f>
        <v>02/13/2022 18:41:17.740</v>
      </c>
      <c r="C1040" t="str">
        <f t="shared" si="106"/>
        <v>FFDFD7C0</v>
      </c>
      <c r="D1040" t="s">
        <v>113</v>
      </c>
      <c r="E1040">
        <v>3</v>
      </c>
      <c r="F1040">
        <v>1003</v>
      </c>
      <c r="G1040" t="s">
        <v>114</v>
      </c>
      <c r="J1040" t="s">
        <v>115</v>
      </c>
      <c r="K1040">
        <v>0</v>
      </c>
      <c r="L1040">
        <v>3</v>
      </c>
      <c r="M1040">
        <v>0</v>
      </c>
      <c r="N1040">
        <v>2</v>
      </c>
      <c r="O1040">
        <v>1</v>
      </c>
      <c r="P1040">
        <v>0</v>
      </c>
      <c r="Q1040">
        <v>0</v>
      </c>
      <c r="S1040" t="str">
        <f>"18:41:17.477"</f>
        <v>18:41:17.477</v>
      </c>
      <c r="T1040" t="str">
        <f>"18:41:16.577"</f>
        <v>18:41:16.577</v>
      </c>
      <c r="U1040" t="str">
        <f t="shared" si="105"/>
        <v>AAB6EE</v>
      </c>
      <c r="V1040">
        <v>0</v>
      </c>
      <c r="W1040">
        <v>0</v>
      </c>
      <c r="X1040">
        <v>4</v>
      </c>
      <c r="Z1040">
        <v>0</v>
      </c>
      <c r="AA1040">
        <v>8</v>
      </c>
      <c r="AB1040">
        <v>3</v>
      </c>
      <c r="AC1040">
        <v>0</v>
      </c>
      <c r="AD1040">
        <v>10</v>
      </c>
      <c r="AE1040">
        <v>0</v>
      </c>
      <c r="AF1040">
        <v>0</v>
      </c>
      <c r="AG1040">
        <v>1</v>
      </c>
      <c r="AH1040">
        <v>1</v>
      </c>
      <c r="AI1040" t="s">
        <v>815</v>
      </c>
      <c r="AJ1040">
        <v>35.290511000000002</v>
      </c>
      <c r="AK1040" t="s">
        <v>816</v>
      </c>
      <c r="AL1040">
        <v>-76.195378000000005</v>
      </c>
      <c r="AM1040">
        <v>25</v>
      </c>
      <c r="AN1040">
        <v>3400</v>
      </c>
      <c r="AO1040" t="s">
        <v>118</v>
      </c>
      <c r="AP1040">
        <v>-93</v>
      </c>
      <c r="AQ1040">
        <v>-202</v>
      </c>
      <c r="AR1040">
        <v>192</v>
      </c>
      <c r="AZ1040">
        <v>4516</v>
      </c>
      <c r="BA1040">
        <v>1</v>
      </c>
      <c r="BB1040" t="str">
        <f t="shared" si="107"/>
        <v xml:space="preserve">N79NX   </v>
      </c>
      <c r="BC1040">
        <v>1</v>
      </c>
      <c r="BE1040">
        <v>0</v>
      </c>
      <c r="BF1040">
        <v>0</v>
      </c>
      <c r="BG1040">
        <v>0</v>
      </c>
      <c r="BH1040">
        <v>3250</v>
      </c>
      <c r="BI1040">
        <v>0</v>
      </c>
      <c r="BJ1040">
        <v>0</v>
      </c>
      <c r="BK1040">
        <v>0</v>
      </c>
      <c r="BL1040">
        <v>0</v>
      </c>
      <c r="BO1040">
        <v>0</v>
      </c>
      <c r="BP1040">
        <v>0</v>
      </c>
      <c r="BW1040" t="str">
        <f>"18:41:17.481"</f>
        <v>18:41:17.481</v>
      </c>
      <c r="BZ1040">
        <v>0</v>
      </c>
      <c r="CA1040">
        <v>4096</v>
      </c>
      <c r="CB1040">
        <v>216</v>
      </c>
      <c r="CC1040">
        <v>504.84379999999999</v>
      </c>
      <c r="CD1040">
        <v>1</v>
      </c>
      <c r="CE1040">
        <v>1</v>
      </c>
      <c r="CF1040">
        <v>0</v>
      </c>
      <c r="CG1040">
        <v>1</v>
      </c>
      <c r="CH1040">
        <v>0</v>
      </c>
      <c r="CI1040">
        <v>1</v>
      </c>
      <c r="CJ1040">
        <v>0</v>
      </c>
      <c r="CK1040">
        <v>2</v>
      </c>
      <c r="CL1040">
        <v>0</v>
      </c>
      <c r="CM1040">
        <v>2</v>
      </c>
      <c r="CN1040">
        <v>0</v>
      </c>
      <c r="CO1040">
        <v>4</v>
      </c>
      <c r="CP1040" t="s">
        <v>119</v>
      </c>
      <c r="CQ1040">
        <v>145</v>
      </c>
      <c r="CR1040">
        <v>1</v>
      </c>
      <c r="CW1040">
        <v>9012589</v>
      </c>
      <c r="CY1040">
        <v>0</v>
      </c>
      <c r="CZ1040">
        <v>0</v>
      </c>
      <c r="DA1040">
        <v>0</v>
      </c>
      <c r="DB1040">
        <v>0</v>
      </c>
      <c r="DC1040">
        <v>0</v>
      </c>
      <c r="DD1040">
        <v>0</v>
      </c>
      <c r="DE1040">
        <v>0</v>
      </c>
      <c r="DF1040">
        <v>0</v>
      </c>
      <c r="DG1040">
        <v>0</v>
      </c>
      <c r="DH1040">
        <v>0</v>
      </c>
      <c r="DI1040">
        <v>0</v>
      </c>
    </row>
    <row r="1041" spans="1:113" x14ac:dyDescent="0.3">
      <c r="A1041" t="str">
        <f>"02/13/2022 18:41:17.740"</f>
        <v>02/13/2022 18:41:17.740</v>
      </c>
      <c r="C1041" t="str">
        <f t="shared" si="106"/>
        <v>FFDFD7C0</v>
      </c>
      <c r="D1041" t="s">
        <v>113</v>
      </c>
      <c r="E1041">
        <v>4</v>
      </c>
      <c r="F1041">
        <v>1004</v>
      </c>
      <c r="G1041" t="s">
        <v>120</v>
      </c>
      <c r="J1041" t="s">
        <v>115</v>
      </c>
      <c r="K1041">
        <v>0</v>
      </c>
      <c r="L1041">
        <v>3</v>
      </c>
      <c r="M1041">
        <v>0</v>
      </c>
      <c r="N1041">
        <v>2</v>
      </c>
      <c r="O1041">
        <v>1</v>
      </c>
      <c r="P1041">
        <v>0</v>
      </c>
      <c r="Q1041">
        <v>0</v>
      </c>
      <c r="S1041" t="str">
        <f>"18:41:17.477"</f>
        <v>18:41:17.477</v>
      </c>
      <c r="T1041" t="str">
        <f>"18:41:16.577"</f>
        <v>18:41:16.577</v>
      </c>
      <c r="U1041" t="str">
        <f t="shared" si="105"/>
        <v>AAB6EE</v>
      </c>
      <c r="V1041">
        <v>0</v>
      </c>
      <c r="W1041">
        <v>0</v>
      </c>
      <c r="X1041">
        <v>4</v>
      </c>
      <c r="Z1041">
        <v>0</v>
      </c>
      <c r="AA1041">
        <v>8</v>
      </c>
      <c r="AB1041">
        <v>3</v>
      </c>
      <c r="AC1041">
        <v>0</v>
      </c>
      <c r="AD1041">
        <v>10</v>
      </c>
      <c r="AE1041">
        <v>0</v>
      </c>
      <c r="AF1041">
        <v>0</v>
      </c>
      <c r="AG1041">
        <v>1</v>
      </c>
      <c r="AH1041">
        <v>1</v>
      </c>
      <c r="AI1041" t="s">
        <v>815</v>
      </c>
      <c r="AJ1041">
        <v>35.290511000000002</v>
      </c>
      <c r="AK1041" t="s">
        <v>816</v>
      </c>
      <c r="AL1041">
        <v>-76.195378000000005</v>
      </c>
      <c r="AM1041">
        <v>25</v>
      </c>
      <c r="AN1041">
        <v>3400</v>
      </c>
      <c r="AO1041" t="s">
        <v>118</v>
      </c>
      <c r="AP1041">
        <v>-93</v>
      </c>
      <c r="AQ1041">
        <v>-202</v>
      </c>
      <c r="AR1041">
        <v>192</v>
      </c>
      <c r="AZ1041">
        <v>4516</v>
      </c>
      <c r="BA1041">
        <v>1</v>
      </c>
      <c r="BB1041" t="str">
        <f t="shared" si="107"/>
        <v xml:space="preserve">N79NX   </v>
      </c>
      <c r="BC1041">
        <v>1</v>
      </c>
      <c r="BE1041">
        <v>0</v>
      </c>
      <c r="BF1041">
        <v>0</v>
      </c>
      <c r="BG1041">
        <v>0</v>
      </c>
      <c r="BH1041">
        <v>3250</v>
      </c>
      <c r="BI1041">
        <v>0</v>
      </c>
      <c r="BJ1041">
        <v>0</v>
      </c>
      <c r="BK1041">
        <v>0</v>
      </c>
      <c r="BL1041">
        <v>0</v>
      </c>
      <c r="BO1041">
        <v>0</v>
      </c>
      <c r="BP1041">
        <v>0</v>
      </c>
      <c r="BW1041" t="str">
        <f>"18:41:17.481"</f>
        <v>18:41:17.481</v>
      </c>
      <c r="BZ1041">
        <v>0</v>
      </c>
      <c r="CA1041">
        <v>4096</v>
      </c>
      <c r="CB1041">
        <v>216</v>
      </c>
      <c r="CC1041">
        <v>504.84379999999999</v>
      </c>
      <c r="CD1041">
        <v>1</v>
      </c>
      <c r="CE1041">
        <v>1</v>
      </c>
      <c r="CF1041">
        <v>0</v>
      </c>
      <c r="CG1041">
        <v>1</v>
      </c>
      <c r="CH1041">
        <v>0</v>
      </c>
      <c r="CI1041">
        <v>1</v>
      </c>
      <c r="CJ1041">
        <v>0</v>
      </c>
      <c r="CK1041">
        <v>2</v>
      </c>
      <c r="CL1041">
        <v>0</v>
      </c>
      <c r="CM1041">
        <v>2</v>
      </c>
      <c r="CN1041">
        <v>0</v>
      </c>
      <c r="CO1041">
        <v>4</v>
      </c>
      <c r="CP1041" t="s">
        <v>119</v>
      </c>
      <c r="CQ1041">
        <v>145</v>
      </c>
      <c r="CR1041">
        <v>1</v>
      </c>
      <c r="CW1041">
        <v>9012589</v>
      </c>
      <c r="CY1041">
        <v>0</v>
      </c>
      <c r="CZ1041">
        <v>0</v>
      </c>
      <c r="DA1041">
        <v>1</v>
      </c>
      <c r="DB1041">
        <v>0</v>
      </c>
      <c r="DC1041">
        <v>0</v>
      </c>
      <c r="DD1041">
        <v>0</v>
      </c>
      <c r="DE1041">
        <v>0</v>
      </c>
      <c r="DF1041">
        <v>0</v>
      </c>
      <c r="DG1041">
        <v>0</v>
      </c>
      <c r="DH1041">
        <v>0</v>
      </c>
      <c r="DI1041">
        <v>0</v>
      </c>
    </row>
    <row r="1042" spans="1:113" x14ac:dyDescent="0.3">
      <c r="A1042" t="str">
        <f>"02/13/2022 18:41:17.740"</f>
        <v>02/13/2022 18:41:17.740</v>
      </c>
      <c r="C1042" t="str">
        <f t="shared" si="106"/>
        <v>FFDFD7C0</v>
      </c>
      <c r="D1042" t="s">
        <v>121</v>
      </c>
      <c r="E1042">
        <v>2</v>
      </c>
      <c r="H1042">
        <v>158</v>
      </c>
      <c r="I1042" t="s">
        <v>120</v>
      </c>
      <c r="J1042" t="s">
        <v>122</v>
      </c>
      <c r="K1042">
        <v>0</v>
      </c>
      <c r="L1042">
        <v>3</v>
      </c>
      <c r="M1042">
        <v>0</v>
      </c>
      <c r="N1042">
        <v>2</v>
      </c>
      <c r="O1042">
        <v>1</v>
      </c>
      <c r="P1042">
        <v>0</v>
      </c>
      <c r="Q1042">
        <v>0</v>
      </c>
      <c r="S1042" t="str">
        <f>"18:41:17.477"</f>
        <v>18:41:17.477</v>
      </c>
      <c r="T1042" t="str">
        <f>"18:41:16.577"</f>
        <v>18:41:16.577</v>
      </c>
      <c r="U1042" t="str">
        <f t="shared" si="105"/>
        <v>AAB6EE</v>
      </c>
      <c r="V1042">
        <v>0</v>
      </c>
      <c r="W1042">
        <v>0</v>
      </c>
      <c r="X1042">
        <v>4</v>
      </c>
      <c r="Z1042">
        <v>0</v>
      </c>
      <c r="AA1042">
        <v>8</v>
      </c>
      <c r="AB1042">
        <v>3</v>
      </c>
      <c r="AC1042">
        <v>0</v>
      </c>
      <c r="AD1042">
        <v>10</v>
      </c>
      <c r="AE1042">
        <v>0</v>
      </c>
      <c r="AF1042">
        <v>0</v>
      </c>
      <c r="AG1042">
        <v>1</v>
      </c>
      <c r="AH1042">
        <v>1</v>
      </c>
      <c r="AI1042" t="s">
        <v>815</v>
      </c>
      <c r="AJ1042">
        <v>35.290511000000002</v>
      </c>
      <c r="AK1042" t="s">
        <v>816</v>
      </c>
      <c r="AL1042">
        <v>-76.195378000000005</v>
      </c>
      <c r="AM1042">
        <v>25</v>
      </c>
      <c r="AN1042">
        <v>3400</v>
      </c>
      <c r="AO1042" t="s">
        <v>118</v>
      </c>
      <c r="AP1042">
        <v>-93</v>
      </c>
      <c r="AQ1042">
        <v>-202</v>
      </c>
      <c r="AR1042">
        <v>192</v>
      </c>
      <c r="AZ1042">
        <v>4516</v>
      </c>
      <c r="BA1042">
        <v>1</v>
      </c>
      <c r="BB1042" t="str">
        <f t="shared" si="107"/>
        <v xml:space="preserve">N79NX   </v>
      </c>
      <c r="BC1042">
        <v>1</v>
      </c>
      <c r="BE1042">
        <v>0</v>
      </c>
      <c r="BF1042">
        <v>0</v>
      </c>
      <c r="BG1042">
        <v>0</v>
      </c>
      <c r="BH1042">
        <v>3250</v>
      </c>
      <c r="BI1042">
        <v>0</v>
      </c>
      <c r="BJ1042">
        <v>0</v>
      </c>
      <c r="BK1042">
        <v>0</v>
      </c>
      <c r="BL1042">
        <v>0</v>
      </c>
      <c r="BO1042">
        <v>0</v>
      </c>
      <c r="BP1042">
        <v>0</v>
      </c>
      <c r="BW1042" t="str">
        <f>"18:41:17.481"</f>
        <v>18:41:17.481</v>
      </c>
      <c r="BZ1042">
        <v>0</v>
      </c>
      <c r="CA1042">
        <v>4096</v>
      </c>
      <c r="CB1042">
        <v>216</v>
      </c>
      <c r="CC1042">
        <v>504.84379999999999</v>
      </c>
      <c r="CD1042">
        <v>1</v>
      </c>
      <c r="CE1042">
        <v>1</v>
      </c>
      <c r="CF1042">
        <v>0</v>
      </c>
      <c r="CG1042">
        <v>1</v>
      </c>
      <c r="CH1042">
        <v>0</v>
      </c>
      <c r="CI1042">
        <v>1</v>
      </c>
      <c r="CJ1042">
        <v>0</v>
      </c>
      <c r="CK1042">
        <v>2</v>
      </c>
      <c r="CL1042">
        <v>0</v>
      </c>
      <c r="CM1042">
        <v>2</v>
      </c>
      <c r="CN1042">
        <v>0</v>
      </c>
      <c r="CO1042">
        <v>4</v>
      </c>
      <c r="CP1042" t="s">
        <v>119</v>
      </c>
      <c r="CQ1042">
        <v>145</v>
      </c>
      <c r="CR1042">
        <v>1</v>
      </c>
      <c r="CW1042">
        <v>9012589</v>
      </c>
      <c r="CY1042">
        <v>0</v>
      </c>
      <c r="CZ1042">
        <v>0</v>
      </c>
      <c r="DA1042">
        <v>1</v>
      </c>
      <c r="DB1042">
        <v>0</v>
      </c>
      <c r="DC1042">
        <v>0</v>
      </c>
      <c r="DD1042">
        <v>0</v>
      </c>
      <c r="DE1042">
        <v>0</v>
      </c>
      <c r="DF1042">
        <v>0</v>
      </c>
      <c r="DG1042">
        <v>0</v>
      </c>
      <c r="DH1042">
        <v>0</v>
      </c>
      <c r="DI1042">
        <v>0</v>
      </c>
    </row>
    <row r="1043" spans="1:113" x14ac:dyDescent="0.3">
      <c r="A1043" t="str">
        <f>"02/13/2022 18:41:18.865"</f>
        <v>02/13/2022 18:41:18.865</v>
      </c>
      <c r="C1043" t="str">
        <f t="shared" si="106"/>
        <v>FFDFD7C0</v>
      </c>
      <c r="D1043" t="s">
        <v>121</v>
      </c>
      <c r="E1043">
        <v>2</v>
      </c>
      <c r="H1043">
        <v>158</v>
      </c>
      <c r="I1043" t="s">
        <v>120</v>
      </c>
      <c r="J1043" t="s">
        <v>122</v>
      </c>
      <c r="K1043">
        <v>0</v>
      </c>
      <c r="L1043">
        <v>3</v>
      </c>
      <c r="M1043">
        <v>0</v>
      </c>
      <c r="N1043">
        <v>2</v>
      </c>
      <c r="O1043">
        <v>1</v>
      </c>
      <c r="P1043">
        <v>0</v>
      </c>
      <c r="Q1043">
        <v>0</v>
      </c>
      <c r="S1043" t="str">
        <f t="shared" ref="S1043:T1045" si="109">"18:41:18.398"</f>
        <v>18:41:18.398</v>
      </c>
      <c r="T1043" t="str">
        <f t="shared" si="109"/>
        <v>18:41:18.398</v>
      </c>
      <c r="U1043" t="str">
        <f t="shared" si="105"/>
        <v>AAB6EE</v>
      </c>
      <c r="V1043">
        <v>0</v>
      </c>
      <c r="W1043">
        <v>0</v>
      </c>
      <c r="X1043">
        <v>4</v>
      </c>
      <c r="Z1043">
        <v>0</v>
      </c>
      <c r="AA1043">
        <v>8</v>
      </c>
      <c r="AB1043">
        <v>3</v>
      </c>
      <c r="AC1043">
        <v>0</v>
      </c>
      <c r="AD1043">
        <v>10</v>
      </c>
      <c r="AE1043">
        <v>0</v>
      </c>
      <c r="AF1043">
        <v>0</v>
      </c>
      <c r="AG1043">
        <v>1</v>
      </c>
      <c r="AH1043">
        <v>1</v>
      </c>
      <c r="AI1043" t="s">
        <v>817</v>
      </c>
      <c r="AJ1043">
        <v>35.289695000000002</v>
      </c>
      <c r="AK1043" t="s">
        <v>818</v>
      </c>
      <c r="AL1043">
        <v>-76.195914999999999</v>
      </c>
      <c r="AM1043">
        <v>25</v>
      </c>
      <c r="AN1043">
        <v>3425</v>
      </c>
      <c r="AO1043" t="s">
        <v>118</v>
      </c>
      <c r="AP1043">
        <v>-107</v>
      </c>
      <c r="AQ1043">
        <v>-194</v>
      </c>
      <c r="AR1043">
        <v>320</v>
      </c>
      <c r="AZ1043">
        <v>4516</v>
      </c>
      <c r="BA1043">
        <v>1</v>
      </c>
      <c r="BB1043" t="str">
        <f t="shared" si="107"/>
        <v xml:space="preserve">N79NX   </v>
      </c>
      <c r="BC1043">
        <v>1</v>
      </c>
      <c r="BE1043">
        <v>0</v>
      </c>
      <c r="BF1043">
        <v>0</v>
      </c>
      <c r="BG1043">
        <v>0</v>
      </c>
      <c r="BH1043">
        <v>3250</v>
      </c>
      <c r="BI1043">
        <v>0</v>
      </c>
      <c r="BJ1043">
        <v>0</v>
      </c>
      <c r="BK1043">
        <v>0</v>
      </c>
      <c r="BL1043">
        <v>0</v>
      </c>
      <c r="BO1043">
        <v>0</v>
      </c>
      <c r="BP1043">
        <v>0</v>
      </c>
      <c r="BW1043" t="str">
        <f>"18:41:18.401"</f>
        <v>18:41:18.401</v>
      </c>
      <c r="BZ1043">
        <v>0</v>
      </c>
      <c r="CA1043">
        <v>4096</v>
      </c>
      <c r="CB1043">
        <v>216</v>
      </c>
      <c r="CC1043">
        <v>504.84379999999999</v>
      </c>
      <c r="CD1043">
        <v>1</v>
      </c>
      <c r="CE1043">
        <v>1</v>
      </c>
      <c r="CF1043">
        <v>0</v>
      </c>
      <c r="CG1043">
        <v>1</v>
      </c>
      <c r="CH1043">
        <v>0</v>
      </c>
      <c r="CI1043">
        <v>1</v>
      </c>
      <c r="CJ1043">
        <v>0</v>
      </c>
      <c r="CK1043">
        <v>2</v>
      </c>
      <c r="CL1043">
        <v>0</v>
      </c>
      <c r="CM1043">
        <v>2</v>
      </c>
      <c r="CN1043">
        <v>0</v>
      </c>
      <c r="CO1043">
        <v>5</v>
      </c>
      <c r="CP1043" t="s">
        <v>119</v>
      </c>
      <c r="CQ1043">
        <v>145</v>
      </c>
      <c r="CR1043">
        <v>1</v>
      </c>
      <c r="CW1043">
        <v>9012947</v>
      </c>
      <c r="CY1043">
        <v>0</v>
      </c>
      <c r="CZ1043">
        <v>0</v>
      </c>
      <c r="DA1043">
        <v>0</v>
      </c>
      <c r="DB1043">
        <v>0</v>
      </c>
      <c r="DC1043">
        <v>0</v>
      </c>
      <c r="DD1043">
        <v>0</v>
      </c>
      <c r="DE1043">
        <v>0</v>
      </c>
      <c r="DF1043">
        <v>0</v>
      </c>
      <c r="DG1043">
        <v>0</v>
      </c>
      <c r="DH1043">
        <v>0</v>
      </c>
      <c r="DI1043">
        <v>0</v>
      </c>
    </row>
    <row r="1044" spans="1:113" x14ac:dyDescent="0.3">
      <c r="A1044" t="str">
        <f>"02/13/2022 18:41:18.865"</f>
        <v>02/13/2022 18:41:18.865</v>
      </c>
      <c r="C1044" t="str">
        <f t="shared" si="106"/>
        <v>FFDFD7C0</v>
      </c>
      <c r="D1044" t="s">
        <v>113</v>
      </c>
      <c r="E1044">
        <v>3</v>
      </c>
      <c r="F1044">
        <v>1003</v>
      </c>
      <c r="G1044" t="s">
        <v>114</v>
      </c>
      <c r="J1044" t="s">
        <v>115</v>
      </c>
      <c r="K1044">
        <v>0</v>
      </c>
      <c r="L1044">
        <v>3</v>
      </c>
      <c r="M1044">
        <v>0</v>
      </c>
      <c r="N1044">
        <v>2</v>
      </c>
      <c r="O1044">
        <v>1</v>
      </c>
      <c r="P1044">
        <v>0</v>
      </c>
      <c r="Q1044">
        <v>0</v>
      </c>
      <c r="S1044" t="str">
        <f t="shared" si="109"/>
        <v>18:41:18.398</v>
      </c>
      <c r="T1044" t="str">
        <f t="shared" si="109"/>
        <v>18:41:18.398</v>
      </c>
      <c r="U1044" t="str">
        <f t="shared" si="105"/>
        <v>AAB6EE</v>
      </c>
      <c r="V1044">
        <v>0</v>
      </c>
      <c r="W1044">
        <v>0</v>
      </c>
      <c r="X1044">
        <v>4</v>
      </c>
      <c r="Z1044">
        <v>0</v>
      </c>
      <c r="AA1044">
        <v>8</v>
      </c>
      <c r="AB1044">
        <v>3</v>
      </c>
      <c r="AC1044">
        <v>0</v>
      </c>
      <c r="AD1044">
        <v>10</v>
      </c>
      <c r="AE1044">
        <v>0</v>
      </c>
      <c r="AF1044">
        <v>0</v>
      </c>
      <c r="AG1044">
        <v>1</v>
      </c>
      <c r="AH1044">
        <v>1</v>
      </c>
      <c r="AI1044" t="s">
        <v>817</v>
      </c>
      <c r="AJ1044">
        <v>35.289695000000002</v>
      </c>
      <c r="AK1044" t="s">
        <v>818</v>
      </c>
      <c r="AL1044">
        <v>-76.195914999999999</v>
      </c>
      <c r="AM1044">
        <v>25</v>
      </c>
      <c r="AN1044">
        <v>3425</v>
      </c>
      <c r="AO1044" t="s">
        <v>118</v>
      </c>
      <c r="AP1044">
        <v>-107</v>
      </c>
      <c r="AQ1044">
        <v>-194</v>
      </c>
      <c r="AR1044">
        <v>320</v>
      </c>
      <c r="AZ1044">
        <v>4516</v>
      </c>
      <c r="BA1044">
        <v>1</v>
      </c>
      <c r="BB1044" t="str">
        <f t="shared" si="107"/>
        <v xml:space="preserve">N79NX   </v>
      </c>
      <c r="BC1044">
        <v>1</v>
      </c>
      <c r="BE1044">
        <v>0</v>
      </c>
      <c r="BF1044">
        <v>0</v>
      </c>
      <c r="BG1044">
        <v>0</v>
      </c>
      <c r="BH1044">
        <v>3250</v>
      </c>
      <c r="BI1044">
        <v>0</v>
      </c>
      <c r="BJ1044">
        <v>0</v>
      </c>
      <c r="BK1044">
        <v>0</v>
      </c>
      <c r="BL1044">
        <v>0</v>
      </c>
      <c r="BO1044">
        <v>0</v>
      </c>
      <c r="BP1044">
        <v>0</v>
      </c>
      <c r="BW1044" t="str">
        <f>"18:41:18.401"</f>
        <v>18:41:18.401</v>
      </c>
      <c r="BZ1044">
        <v>0</v>
      </c>
      <c r="CA1044">
        <v>4096</v>
      </c>
      <c r="CB1044">
        <v>216</v>
      </c>
      <c r="CC1044">
        <v>504.84379999999999</v>
      </c>
      <c r="CD1044">
        <v>1</v>
      </c>
      <c r="CE1044">
        <v>1</v>
      </c>
      <c r="CF1044">
        <v>0</v>
      </c>
      <c r="CG1044">
        <v>1</v>
      </c>
      <c r="CH1044">
        <v>0</v>
      </c>
      <c r="CI1044">
        <v>1</v>
      </c>
      <c r="CJ1044">
        <v>0</v>
      </c>
      <c r="CK1044">
        <v>2</v>
      </c>
      <c r="CL1044">
        <v>0</v>
      </c>
      <c r="CM1044">
        <v>2</v>
      </c>
      <c r="CN1044">
        <v>0</v>
      </c>
      <c r="CO1044">
        <v>5</v>
      </c>
      <c r="CP1044" t="s">
        <v>119</v>
      </c>
      <c r="CQ1044">
        <v>145</v>
      </c>
      <c r="CR1044">
        <v>1</v>
      </c>
      <c r="CW1044">
        <v>9012947</v>
      </c>
      <c r="CY1044">
        <v>0</v>
      </c>
      <c r="CZ1044">
        <v>0</v>
      </c>
      <c r="DA1044">
        <v>1</v>
      </c>
      <c r="DB1044">
        <v>0</v>
      </c>
      <c r="DC1044">
        <v>0</v>
      </c>
      <c r="DD1044">
        <v>0</v>
      </c>
      <c r="DE1044">
        <v>0</v>
      </c>
      <c r="DF1044">
        <v>0</v>
      </c>
      <c r="DG1044">
        <v>0</v>
      </c>
      <c r="DH1044">
        <v>0</v>
      </c>
      <c r="DI1044">
        <v>0</v>
      </c>
    </row>
    <row r="1045" spans="1:113" x14ac:dyDescent="0.3">
      <c r="A1045" t="str">
        <f>"02/13/2022 18:41:18.865"</f>
        <v>02/13/2022 18:41:18.865</v>
      </c>
      <c r="C1045" t="str">
        <f t="shared" si="106"/>
        <v>FFDFD7C0</v>
      </c>
      <c r="D1045" t="s">
        <v>113</v>
      </c>
      <c r="E1045">
        <v>4</v>
      </c>
      <c r="F1045">
        <v>1004</v>
      </c>
      <c r="G1045" t="s">
        <v>120</v>
      </c>
      <c r="J1045" t="s">
        <v>115</v>
      </c>
      <c r="K1045">
        <v>0</v>
      </c>
      <c r="L1045">
        <v>3</v>
      </c>
      <c r="M1045">
        <v>0</v>
      </c>
      <c r="N1045">
        <v>2</v>
      </c>
      <c r="O1045">
        <v>1</v>
      </c>
      <c r="P1045">
        <v>0</v>
      </c>
      <c r="Q1045">
        <v>0</v>
      </c>
      <c r="S1045" t="str">
        <f t="shared" si="109"/>
        <v>18:41:18.398</v>
      </c>
      <c r="T1045" t="str">
        <f t="shared" si="109"/>
        <v>18:41:18.398</v>
      </c>
      <c r="U1045" t="str">
        <f t="shared" si="105"/>
        <v>AAB6EE</v>
      </c>
      <c r="V1045">
        <v>0</v>
      </c>
      <c r="W1045">
        <v>0</v>
      </c>
      <c r="X1045">
        <v>4</v>
      </c>
      <c r="Z1045">
        <v>0</v>
      </c>
      <c r="AA1045">
        <v>8</v>
      </c>
      <c r="AB1045">
        <v>3</v>
      </c>
      <c r="AC1045">
        <v>0</v>
      </c>
      <c r="AD1045">
        <v>10</v>
      </c>
      <c r="AE1045">
        <v>0</v>
      </c>
      <c r="AF1045">
        <v>0</v>
      </c>
      <c r="AG1045">
        <v>1</v>
      </c>
      <c r="AH1045">
        <v>1</v>
      </c>
      <c r="AI1045" t="s">
        <v>817</v>
      </c>
      <c r="AJ1045">
        <v>35.289695000000002</v>
      </c>
      <c r="AK1045" t="s">
        <v>818</v>
      </c>
      <c r="AL1045">
        <v>-76.195914999999999</v>
      </c>
      <c r="AM1045">
        <v>25</v>
      </c>
      <c r="AN1045">
        <v>3425</v>
      </c>
      <c r="AO1045" t="s">
        <v>118</v>
      </c>
      <c r="AP1045">
        <v>-107</v>
      </c>
      <c r="AQ1045">
        <v>-194</v>
      </c>
      <c r="AR1045">
        <v>320</v>
      </c>
      <c r="AZ1045">
        <v>4516</v>
      </c>
      <c r="BA1045">
        <v>1</v>
      </c>
      <c r="BB1045" t="str">
        <f t="shared" si="107"/>
        <v xml:space="preserve">N79NX   </v>
      </c>
      <c r="BC1045">
        <v>1</v>
      </c>
      <c r="BE1045">
        <v>0</v>
      </c>
      <c r="BF1045">
        <v>0</v>
      </c>
      <c r="BG1045">
        <v>0</v>
      </c>
      <c r="BH1045">
        <v>3250</v>
      </c>
      <c r="BI1045">
        <v>0</v>
      </c>
      <c r="BJ1045">
        <v>0</v>
      </c>
      <c r="BK1045">
        <v>0</v>
      </c>
      <c r="BL1045">
        <v>0</v>
      </c>
      <c r="BO1045">
        <v>0</v>
      </c>
      <c r="BP1045">
        <v>0</v>
      </c>
      <c r="BW1045" t="str">
        <f>"18:41:18.401"</f>
        <v>18:41:18.401</v>
      </c>
      <c r="BZ1045">
        <v>0</v>
      </c>
      <c r="CA1045">
        <v>4096</v>
      </c>
      <c r="CB1045">
        <v>216</v>
      </c>
      <c r="CC1045">
        <v>504.84379999999999</v>
      </c>
      <c r="CD1045">
        <v>1</v>
      </c>
      <c r="CE1045">
        <v>1</v>
      </c>
      <c r="CF1045">
        <v>0</v>
      </c>
      <c r="CG1045">
        <v>1</v>
      </c>
      <c r="CH1045">
        <v>0</v>
      </c>
      <c r="CI1045">
        <v>1</v>
      </c>
      <c r="CJ1045">
        <v>0</v>
      </c>
      <c r="CK1045">
        <v>2</v>
      </c>
      <c r="CL1045">
        <v>0</v>
      </c>
      <c r="CM1045">
        <v>2</v>
      </c>
      <c r="CN1045">
        <v>0</v>
      </c>
      <c r="CO1045">
        <v>5</v>
      </c>
      <c r="CP1045" t="s">
        <v>119</v>
      </c>
      <c r="CQ1045">
        <v>145</v>
      </c>
      <c r="CR1045">
        <v>1</v>
      </c>
      <c r="CW1045">
        <v>9012947</v>
      </c>
      <c r="CY1045">
        <v>0</v>
      </c>
      <c r="CZ1045">
        <v>0</v>
      </c>
      <c r="DA1045">
        <v>1</v>
      </c>
      <c r="DB1045">
        <v>0</v>
      </c>
      <c r="DC1045">
        <v>0</v>
      </c>
      <c r="DD1045">
        <v>0</v>
      </c>
      <c r="DE1045">
        <v>0</v>
      </c>
      <c r="DF1045">
        <v>0</v>
      </c>
      <c r="DG1045">
        <v>0</v>
      </c>
      <c r="DH1045">
        <v>0</v>
      </c>
      <c r="DI1045">
        <v>0</v>
      </c>
    </row>
    <row r="1046" spans="1:113" x14ac:dyDescent="0.3">
      <c r="A1046" t="str">
        <f>"02/13/2022 18:41:19.914"</f>
        <v>02/13/2022 18:41:19.914</v>
      </c>
      <c r="C1046" t="str">
        <f t="shared" si="106"/>
        <v>FFDFD7C0</v>
      </c>
      <c r="D1046" t="s">
        <v>113</v>
      </c>
      <c r="E1046">
        <v>3</v>
      </c>
      <c r="F1046">
        <v>1003</v>
      </c>
      <c r="G1046" t="s">
        <v>114</v>
      </c>
      <c r="J1046" t="s">
        <v>115</v>
      </c>
      <c r="K1046">
        <v>0</v>
      </c>
      <c r="L1046">
        <v>3</v>
      </c>
      <c r="M1046">
        <v>0</v>
      </c>
      <c r="N1046">
        <v>2</v>
      </c>
      <c r="O1046">
        <v>1</v>
      </c>
      <c r="P1046">
        <v>0</v>
      </c>
      <c r="Q1046">
        <v>0</v>
      </c>
      <c r="S1046" t="str">
        <f>"18:41:19.391"</f>
        <v>18:41:19.391</v>
      </c>
      <c r="T1046" t="str">
        <f>"18:41:18.891"</f>
        <v>18:41:18.891</v>
      </c>
      <c r="U1046" t="str">
        <f t="shared" si="105"/>
        <v>AAB6EE</v>
      </c>
      <c r="V1046">
        <v>0</v>
      </c>
      <c r="W1046">
        <v>0</v>
      </c>
      <c r="X1046">
        <v>4</v>
      </c>
      <c r="Z1046">
        <v>0</v>
      </c>
      <c r="AA1046">
        <v>8</v>
      </c>
      <c r="AB1046">
        <v>3</v>
      </c>
      <c r="AC1046">
        <v>0</v>
      </c>
      <c r="AD1046">
        <v>10</v>
      </c>
      <c r="AE1046">
        <v>0</v>
      </c>
      <c r="AF1046">
        <v>0</v>
      </c>
      <c r="AG1046">
        <v>1</v>
      </c>
      <c r="AH1046">
        <v>1</v>
      </c>
      <c r="AI1046" t="s">
        <v>819</v>
      </c>
      <c r="AJ1046">
        <v>35.288815</v>
      </c>
      <c r="AK1046" t="s">
        <v>820</v>
      </c>
      <c r="AL1046">
        <v>-76.196537000000006</v>
      </c>
      <c r="AM1046">
        <v>25</v>
      </c>
      <c r="AN1046">
        <v>3425</v>
      </c>
      <c r="AO1046" t="s">
        <v>118</v>
      </c>
      <c r="AP1046">
        <v>-111</v>
      </c>
      <c r="AQ1046">
        <v>-191</v>
      </c>
      <c r="AR1046">
        <v>256</v>
      </c>
      <c r="AZ1046">
        <v>4516</v>
      </c>
      <c r="BA1046">
        <v>1</v>
      </c>
      <c r="BB1046" t="str">
        <f t="shared" si="107"/>
        <v xml:space="preserve">N79NX   </v>
      </c>
      <c r="BC1046">
        <v>1</v>
      </c>
      <c r="BE1046">
        <v>0</v>
      </c>
      <c r="BF1046">
        <v>0</v>
      </c>
      <c r="BG1046">
        <v>0</v>
      </c>
      <c r="BH1046">
        <v>3275</v>
      </c>
      <c r="BI1046">
        <v>0</v>
      </c>
      <c r="BJ1046">
        <v>0</v>
      </c>
      <c r="BK1046">
        <v>0</v>
      </c>
      <c r="BL1046">
        <v>0</v>
      </c>
      <c r="BO1046">
        <v>0</v>
      </c>
      <c r="BP1046">
        <v>0</v>
      </c>
      <c r="BW1046" t="str">
        <f>"18:41:19.391"</f>
        <v>18:41:19.391</v>
      </c>
      <c r="BZ1046">
        <v>0</v>
      </c>
      <c r="CA1046">
        <v>4096</v>
      </c>
      <c r="CB1046">
        <v>216</v>
      </c>
      <c r="CC1046">
        <v>504.84379999999999</v>
      </c>
      <c r="CD1046">
        <v>1</v>
      </c>
      <c r="CE1046">
        <v>1</v>
      </c>
      <c r="CF1046">
        <v>0</v>
      </c>
      <c r="CG1046">
        <v>1</v>
      </c>
      <c r="CH1046">
        <v>0</v>
      </c>
      <c r="CI1046">
        <v>1</v>
      </c>
      <c r="CJ1046">
        <v>0</v>
      </c>
      <c r="CK1046">
        <v>2</v>
      </c>
      <c r="CL1046">
        <v>0</v>
      </c>
      <c r="CM1046">
        <v>2</v>
      </c>
      <c r="CN1046">
        <v>0</v>
      </c>
      <c r="CO1046">
        <v>4</v>
      </c>
      <c r="CP1046" t="s">
        <v>119</v>
      </c>
      <c r="CQ1046">
        <v>145</v>
      </c>
      <c r="CR1046">
        <v>1</v>
      </c>
      <c r="CW1046">
        <v>9013359</v>
      </c>
      <c r="CY1046">
        <v>0</v>
      </c>
      <c r="CZ1046">
        <v>0</v>
      </c>
      <c r="DA1046">
        <v>0</v>
      </c>
      <c r="DB1046">
        <v>0</v>
      </c>
      <c r="DC1046">
        <v>0</v>
      </c>
      <c r="DD1046">
        <v>0</v>
      </c>
      <c r="DE1046">
        <v>0</v>
      </c>
      <c r="DF1046">
        <v>0</v>
      </c>
      <c r="DG1046">
        <v>0</v>
      </c>
      <c r="DH1046">
        <v>0</v>
      </c>
      <c r="DI1046">
        <v>0</v>
      </c>
    </row>
    <row r="1047" spans="1:113" x14ac:dyDescent="0.3">
      <c r="A1047" t="str">
        <f>"02/13/2022 18:41:19.914"</f>
        <v>02/13/2022 18:41:19.914</v>
      </c>
      <c r="C1047" t="str">
        <f t="shared" si="106"/>
        <v>FFDFD7C0</v>
      </c>
      <c r="D1047" t="s">
        <v>113</v>
      </c>
      <c r="E1047">
        <v>4</v>
      </c>
      <c r="F1047">
        <v>1004</v>
      </c>
      <c r="G1047" t="s">
        <v>120</v>
      </c>
      <c r="J1047" t="s">
        <v>115</v>
      </c>
      <c r="K1047">
        <v>0</v>
      </c>
      <c r="L1047">
        <v>3</v>
      </c>
      <c r="M1047">
        <v>0</v>
      </c>
      <c r="N1047">
        <v>2</v>
      </c>
      <c r="O1047">
        <v>1</v>
      </c>
      <c r="P1047">
        <v>0</v>
      </c>
      <c r="Q1047">
        <v>0</v>
      </c>
      <c r="S1047" t="str">
        <f>"18:41:19.391"</f>
        <v>18:41:19.391</v>
      </c>
      <c r="T1047" t="str">
        <f>"18:41:18.891"</f>
        <v>18:41:18.891</v>
      </c>
      <c r="U1047" t="str">
        <f t="shared" si="105"/>
        <v>AAB6EE</v>
      </c>
      <c r="V1047">
        <v>0</v>
      </c>
      <c r="W1047">
        <v>0</v>
      </c>
      <c r="X1047">
        <v>4</v>
      </c>
      <c r="Z1047">
        <v>0</v>
      </c>
      <c r="AA1047">
        <v>8</v>
      </c>
      <c r="AB1047">
        <v>3</v>
      </c>
      <c r="AC1047">
        <v>0</v>
      </c>
      <c r="AD1047">
        <v>10</v>
      </c>
      <c r="AE1047">
        <v>0</v>
      </c>
      <c r="AF1047">
        <v>0</v>
      </c>
      <c r="AG1047">
        <v>1</v>
      </c>
      <c r="AH1047">
        <v>1</v>
      </c>
      <c r="AI1047" t="s">
        <v>819</v>
      </c>
      <c r="AJ1047">
        <v>35.288815</v>
      </c>
      <c r="AK1047" t="s">
        <v>820</v>
      </c>
      <c r="AL1047">
        <v>-76.196537000000006</v>
      </c>
      <c r="AM1047">
        <v>25</v>
      </c>
      <c r="AN1047">
        <v>3425</v>
      </c>
      <c r="AO1047" t="s">
        <v>118</v>
      </c>
      <c r="AP1047">
        <v>-111</v>
      </c>
      <c r="AQ1047">
        <v>-191</v>
      </c>
      <c r="AR1047">
        <v>256</v>
      </c>
      <c r="AZ1047">
        <v>4516</v>
      </c>
      <c r="BA1047">
        <v>1</v>
      </c>
      <c r="BB1047" t="str">
        <f t="shared" si="107"/>
        <v xml:space="preserve">N79NX   </v>
      </c>
      <c r="BC1047">
        <v>1</v>
      </c>
      <c r="BE1047">
        <v>0</v>
      </c>
      <c r="BF1047">
        <v>0</v>
      </c>
      <c r="BG1047">
        <v>0</v>
      </c>
      <c r="BH1047">
        <v>3275</v>
      </c>
      <c r="BI1047">
        <v>0</v>
      </c>
      <c r="BJ1047">
        <v>0</v>
      </c>
      <c r="BK1047">
        <v>0</v>
      </c>
      <c r="BL1047">
        <v>0</v>
      </c>
      <c r="BO1047">
        <v>0</v>
      </c>
      <c r="BP1047">
        <v>0</v>
      </c>
      <c r="BW1047" t="str">
        <f>"18:41:19.391"</f>
        <v>18:41:19.391</v>
      </c>
      <c r="BZ1047">
        <v>0</v>
      </c>
      <c r="CA1047">
        <v>4096</v>
      </c>
      <c r="CB1047">
        <v>216</v>
      </c>
      <c r="CC1047">
        <v>504.84379999999999</v>
      </c>
      <c r="CD1047">
        <v>1</v>
      </c>
      <c r="CE1047">
        <v>1</v>
      </c>
      <c r="CF1047">
        <v>0</v>
      </c>
      <c r="CG1047">
        <v>1</v>
      </c>
      <c r="CH1047">
        <v>0</v>
      </c>
      <c r="CI1047">
        <v>1</v>
      </c>
      <c r="CJ1047">
        <v>0</v>
      </c>
      <c r="CK1047">
        <v>2</v>
      </c>
      <c r="CL1047">
        <v>0</v>
      </c>
      <c r="CM1047">
        <v>2</v>
      </c>
      <c r="CN1047">
        <v>0</v>
      </c>
      <c r="CO1047">
        <v>4</v>
      </c>
      <c r="CP1047" t="s">
        <v>119</v>
      </c>
      <c r="CQ1047">
        <v>145</v>
      </c>
      <c r="CR1047">
        <v>1</v>
      </c>
      <c r="CW1047">
        <v>9013359</v>
      </c>
      <c r="CY1047">
        <v>0</v>
      </c>
      <c r="CZ1047">
        <v>0</v>
      </c>
      <c r="DA1047">
        <v>1</v>
      </c>
      <c r="DB1047">
        <v>0</v>
      </c>
      <c r="DC1047">
        <v>0</v>
      </c>
      <c r="DD1047">
        <v>0</v>
      </c>
      <c r="DE1047">
        <v>0</v>
      </c>
      <c r="DF1047">
        <v>0</v>
      </c>
      <c r="DG1047">
        <v>0</v>
      </c>
      <c r="DH1047">
        <v>0</v>
      </c>
      <c r="DI1047">
        <v>0</v>
      </c>
    </row>
    <row r="1048" spans="1:113" x14ac:dyDescent="0.3">
      <c r="A1048" t="str">
        <f>"02/13/2022 18:41:19.914"</f>
        <v>02/13/2022 18:41:19.914</v>
      </c>
      <c r="C1048" t="str">
        <f t="shared" si="106"/>
        <v>FFDFD7C0</v>
      </c>
      <c r="D1048" t="s">
        <v>121</v>
      </c>
      <c r="E1048">
        <v>2</v>
      </c>
      <c r="H1048">
        <v>158</v>
      </c>
      <c r="I1048" t="s">
        <v>120</v>
      </c>
      <c r="J1048" t="s">
        <v>122</v>
      </c>
      <c r="K1048">
        <v>0</v>
      </c>
      <c r="L1048">
        <v>3</v>
      </c>
      <c r="M1048">
        <v>0</v>
      </c>
      <c r="N1048">
        <v>2</v>
      </c>
      <c r="O1048">
        <v>1</v>
      </c>
      <c r="P1048">
        <v>0</v>
      </c>
      <c r="Q1048">
        <v>0</v>
      </c>
      <c r="S1048" t="str">
        <f>"18:41:19.391"</f>
        <v>18:41:19.391</v>
      </c>
      <c r="T1048" t="str">
        <f>"18:41:18.891"</f>
        <v>18:41:18.891</v>
      </c>
      <c r="U1048" t="str">
        <f t="shared" si="105"/>
        <v>AAB6EE</v>
      </c>
      <c r="V1048">
        <v>0</v>
      </c>
      <c r="W1048">
        <v>0</v>
      </c>
      <c r="X1048">
        <v>4</v>
      </c>
      <c r="Z1048">
        <v>0</v>
      </c>
      <c r="AA1048">
        <v>8</v>
      </c>
      <c r="AB1048">
        <v>3</v>
      </c>
      <c r="AC1048">
        <v>0</v>
      </c>
      <c r="AD1048">
        <v>10</v>
      </c>
      <c r="AE1048">
        <v>0</v>
      </c>
      <c r="AF1048">
        <v>0</v>
      </c>
      <c r="AG1048">
        <v>1</v>
      </c>
      <c r="AH1048">
        <v>1</v>
      </c>
      <c r="AI1048" t="s">
        <v>819</v>
      </c>
      <c r="AJ1048">
        <v>35.288815</v>
      </c>
      <c r="AK1048" t="s">
        <v>820</v>
      </c>
      <c r="AL1048">
        <v>-76.196537000000006</v>
      </c>
      <c r="AM1048">
        <v>25</v>
      </c>
      <c r="AN1048">
        <v>3425</v>
      </c>
      <c r="AO1048" t="s">
        <v>118</v>
      </c>
      <c r="AP1048">
        <v>-111</v>
      </c>
      <c r="AQ1048">
        <v>-191</v>
      </c>
      <c r="AR1048">
        <v>256</v>
      </c>
      <c r="AZ1048">
        <v>4516</v>
      </c>
      <c r="BA1048">
        <v>1</v>
      </c>
      <c r="BB1048" t="str">
        <f t="shared" si="107"/>
        <v xml:space="preserve">N79NX   </v>
      </c>
      <c r="BC1048">
        <v>1</v>
      </c>
      <c r="BE1048">
        <v>0</v>
      </c>
      <c r="BF1048">
        <v>0</v>
      </c>
      <c r="BG1048">
        <v>0</v>
      </c>
      <c r="BH1048">
        <v>3275</v>
      </c>
      <c r="BI1048">
        <v>0</v>
      </c>
      <c r="BJ1048">
        <v>0</v>
      </c>
      <c r="BK1048">
        <v>0</v>
      </c>
      <c r="BL1048">
        <v>0</v>
      </c>
      <c r="BO1048">
        <v>0</v>
      </c>
      <c r="BP1048">
        <v>0</v>
      </c>
      <c r="BW1048" t="str">
        <f>"18:41:19.391"</f>
        <v>18:41:19.391</v>
      </c>
      <c r="BZ1048">
        <v>0</v>
      </c>
      <c r="CA1048">
        <v>4096</v>
      </c>
      <c r="CB1048">
        <v>216</v>
      </c>
      <c r="CC1048">
        <v>504.84379999999999</v>
      </c>
      <c r="CD1048">
        <v>1</v>
      </c>
      <c r="CE1048">
        <v>1</v>
      </c>
      <c r="CF1048">
        <v>0</v>
      </c>
      <c r="CG1048">
        <v>1</v>
      </c>
      <c r="CH1048">
        <v>0</v>
      </c>
      <c r="CI1048">
        <v>1</v>
      </c>
      <c r="CJ1048">
        <v>0</v>
      </c>
      <c r="CK1048">
        <v>2</v>
      </c>
      <c r="CL1048">
        <v>0</v>
      </c>
      <c r="CM1048">
        <v>2</v>
      </c>
      <c r="CN1048">
        <v>0</v>
      </c>
      <c r="CO1048">
        <v>4</v>
      </c>
      <c r="CP1048" t="s">
        <v>119</v>
      </c>
      <c r="CQ1048">
        <v>145</v>
      </c>
      <c r="CR1048">
        <v>1</v>
      </c>
      <c r="CW1048">
        <v>9013359</v>
      </c>
      <c r="CY1048">
        <v>0</v>
      </c>
      <c r="CZ1048">
        <v>0</v>
      </c>
      <c r="DA1048">
        <v>1</v>
      </c>
      <c r="DB1048">
        <v>0</v>
      </c>
      <c r="DC1048">
        <v>0</v>
      </c>
      <c r="DD1048">
        <v>0</v>
      </c>
      <c r="DE1048">
        <v>0</v>
      </c>
      <c r="DF1048">
        <v>0</v>
      </c>
      <c r="DG1048">
        <v>0</v>
      </c>
      <c r="DH1048">
        <v>0</v>
      </c>
      <c r="DI1048">
        <v>0</v>
      </c>
    </row>
    <row r="1049" spans="1:113" x14ac:dyDescent="0.3">
      <c r="A1049" t="str">
        <f>"02/13/2022 18:41:20.634"</f>
        <v>02/13/2022 18:41:20.634</v>
      </c>
      <c r="C1049" t="str">
        <f t="shared" si="106"/>
        <v>FFDFD7C0</v>
      </c>
      <c r="D1049" t="s">
        <v>121</v>
      </c>
      <c r="E1049">
        <v>2</v>
      </c>
      <c r="H1049">
        <v>158</v>
      </c>
      <c r="I1049" t="s">
        <v>120</v>
      </c>
      <c r="J1049" t="s">
        <v>122</v>
      </c>
      <c r="K1049">
        <v>0</v>
      </c>
      <c r="L1049">
        <v>3</v>
      </c>
      <c r="M1049">
        <v>0</v>
      </c>
      <c r="N1049">
        <v>2</v>
      </c>
      <c r="O1049">
        <v>1</v>
      </c>
      <c r="P1049">
        <v>0</v>
      </c>
      <c r="Q1049">
        <v>0</v>
      </c>
      <c r="S1049" t="str">
        <f>"18:41:20.320"</f>
        <v>18:41:20.320</v>
      </c>
      <c r="T1049" t="str">
        <f>"18:41:20.020"</f>
        <v>18:41:20.020</v>
      </c>
      <c r="U1049" t="str">
        <f t="shared" si="105"/>
        <v>AAB6EE</v>
      </c>
      <c r="V1049">
        <v>0</v>
      </c>
      <c r="W1049">
        <v>0</v>
      </c>
      <c r="X1049">
        <v>4</v>
      </c>
      <c r="Z1049">
        <v>0</v>
      </c>
      <c r="AA1049">
        <v>8</v>
      </c>
      <c r="AB1049">
        <v>3</v>
      </c>
      <c r="AC1049">
        <v>0</v>
      </c>
      <c r="AD1049">
        <v>10</v>
      </c>
      <c r="AE1049">
        <v>0</v>
      </c>
      <c r="AF1049">
        <v>0</v>
      </c>
      <c r="AG1049">
        <v>1</v>
      </c>
      <c r="AH1049">
        <v>1</v>
      </c>
      <c r="AI1049" t="s">
        <v>821</v>
      </c>
      <c r="AJ1049">
        <v>35.287956999999999</v>
      </c>
      <c r="AK1049" t="s">
        <v>822</v>
      </c>
      <c r="AL1049">
        <v>-76.197224000000006</v>
      </c>
      <c r="AM1049">
        <v>25</v>
      </c>
      <c r="AN1049">
        <v>3425</v>
      </c>
      <c r="AO1049" t="s">
        <v>118</v>
      </c>
      <c r="AP1049">
        <v>-118</v>
      </c>
      <c r="AQ1049">
        <v>-187</v>
      </c>
      <c r="AR1049">
        <v>192</v>
      </c>
      <c r="AZ1049">
        <v>4516</v>
      </c>
      <c r="BA1049">
        <v>1</v>
      </c>
      <c r="BB1049" t="str">
        <f t="shared" si="107"/>
        <v xml:space="preserve">N79NX   </v>
      </c>
      <c r="BC1049">
        <v>1</v>
      </c>
      <c r="BE1049">
        <v>0</v>
      </c>
      <c r="BF1049">
        <v>0</v>
      </c>
      <c r="BG1049">
        <v>0</v>
      </c>
      <c r="BH1049">
        <v>3275</v>
      </c>
      <c r="BI1049">
        <v>0</v>
      </c>
      <c r="BJ1049">
        <v>0</v>
      </c>
      <c r="BK1049">
        <v>0</v>
      </c>
      <c r="BL1049">
        <v>0</v>
      </c>
      <c r="BO1049">
        <v>0</v>
      </c>
      <c r="BP1049">
        <v>0</v>
      </c>
      <c r="BW1049" t="str">
        <f>"18:41:20.321"</f>
        <v>18:41:20.321</v>
      </c>
      <c r="BZ1049">
        <v>0</v>
      </c>
      <c r="CA1049">
        <v>4096</v>
      </c>
      <c r="CB1049">
        <v>216</v>
      </c>
      <c r="CC1049">
        <v>525.9375</v>
      </c>
      <c r="CD1049">
        <v>1</v>
      </c>
      <c r="CE1049">
        <v>1</v>
      </c>
      <c r="CF1049">
        <v>0</v>
      </c>
      <c r="CG1049">
        <v>1</v>
      </c>
      <c r="CH1049">
        <v>0</v>
      </c>
      <c r="CI1049">
        <v>1</v>
      </c>
      <c r="CJ1049">
        <v>0</v>
      </c>
      <c r="CK1049">
        <v>2</v>
      </c>
      <c r="CL1049">
        <v>0</v>
      </c>
      <c r="CM1049">
        <v>2</v>
      </c>
      <c r="CN1049">
        <v>0</v>
      </c>
      <c r="CO1049">
        <v>3</v>
      </c>
      <c r="CP1049" t="s">
        <v>119</v>
      </c>
      <c r="CQ1049">
        <v>145</v>
      </c>
      <c r="CR1049">
        <v>1</v>
      </c>
      <c r="CW1049">
        <v>9013807</v>
      </c>
      <c r="CY1049">
        <v>0</v>
      </c>
      <c r="CZ1049">
        <v>0</v>
      </c>
      <c r="DA1049">
        <v>0</v>
      </c>
      <c r="DB1049">
        <v>0</v>
      </c>
      <c r="DC1049">
        <v>0</v>
      </c>
      <c r="DD1049">
        <v>0</v>
      </c>
      <c r="DE1049">
        <v>0</v>
      </c>
      <c r="DF1049">
        <v>0</v>
      </c>
      <c r="DG1049">
        <v>0</v>
      </c>
      <c r="DH1049">
        <v>0</v>
      </c>
      <c r="DI1049">
        <v>0</v>
      </c>
    </row>
    <row r="1050" spans="1:113" x14ac:dyDescent="0.3">
      <c r="A1050" t="str">
        <f>"02/13/2022 18:41:20.634"</f>
        <v>02/13/2022 18:41:20.634</v>
      </c>
      <c r="C1050" t="str">
        <f t="shared" si="106"/>
        <v>FFDFD7C0</v>
      </c>
      <c r="D1050" t="s">
        <v>113</v>
      </c>
      <c r="E1050">
        <v>3</v>
      </c>
      <c r="F1050">
        <v>1003</v>
      </c>
      <c r="G1050" t="s">
        <v>114</v>
      </c>
      <c r="J1050" t="s">
        <v>115</v>
      </c>
      <c r="K1050">
        <v>0</v>
      </c>
      <c r="L1050">
        <v>3</v>
      </c>
      <c r="M1050">
        <v>0</v>
      </c>
      <c r="N1050">
        <v>2</v>
      </c>
      <c r="O1050">
        <v>1</v>
      </c>
      <c r="P1050">
        <v>0</v>
      </c>
      <c r="Q1050">
        <v>0</v>
      </c>
      <c r="S1050" t="str">
        <f>"18:41:20.320"</f>
        <v>18:41:20.320</v>
      </c>
      <c r="T1050" t="str">
        <f>"18:41:20.020"</f>
        <v>18:41:20.020</v>
      </c>
      <c r="U1050" t="str">
        <f t="shared" si="105"/>
        <v>AAB6EE</v>
      </c>
      <c r="V1050">
        <v>0</v>
      </c>
      <c r="W1050">
        <v>0</v>
      </c>
      <c r="X1050">
        <v>4</v>
      </c>
      <c r="Z1050">
        <v>0</v>
      </c>
      <c r="AA1050">
        <v>8</v>
      </c>
      <c r="AB1050">
        <v>3</v>
      </c>
      <c r="AC1050">
        <v>0</v>
      </c>
      <c r="AD1050">
        <v>10</v>
      </c>
      <c r="AE1050">
        <v>0</v>
      </c>
      <c r="AF1050">
        <v>0</v>
      </c>
      <c r="AG1050">
        <v>1</v>
      </c>
      <c r="AH1050">
        <v>1</v>
      </c>
      <c r="AI1050" t="s">
        <v>821</v>
      </c>
      <c r="AJ1050">
        <v>35.287956999999999</v>
      </c>
      <c r="AK1050" t="s">
        <v>822</v>
      </c>
      <c r="AL1050">
        <v>-76.197224000000006</v>
      </c>
      <c r="AM1050">
        <v>25</v>
      </c>
      <c r="AN1050">
        <v>3425</v>
      </c>
      <c r="AO1050" t="s">
        <v>118</v>
      </c>
      <c r="AP1050">
        <v>-118</v>
      </c>
      <c r="AQ1050">
        <v>-187</v>
      </c>
      <c r="AR1050">
        <v>192</v>
      </c>
      <c r="AZ1050">
        <v>4516</v>
      </c>
      <c r="BA1050">
        <v>1</v>
      </c>
      <c r="BB1050" t="str">
        <f t="shared" si="107"/>
        <v xml:space="preserve">N79NX   </v>
      </c>
      <c r="BC1050">
        <v>1</v>
      </c>
      <c r="BE1050">
        <v>0</v>
      </c>
      <c r="BF1050">
        <v>0</v>
      </c>
      <c r="BG1050">
        <v>0</v>
      </c>
      <c r="BH1050">
        <v>3275</v>
      </c>
      <c r="BI1050">
        <v>0</v>
      </c>
      <c r="BJ1050">
        <v>0</v>
      </c>
      <c r="BK1050">
        <v>0</v>
      </c>
      <c r="BL1050">
        <v>0</v>
      </c>
      <c r="BO1050">
        <v>0</v>
      </c>
      <c r="BP1050">
        <v>0</v>
      </c>
      <c r="BW1050" t="str">
        <f>"18:41:20.321"</f>
        <v>18:41:20.321</v>
      </c>
      <c r="BZ1050">
        <v>0</v>
      </c>
      <c r="CA1050">
        <v>4096</v>
      </c>
      <c r="CB1050">
        <v>216</v>
      </c>
      <c r="CC1050">
        <v>525.9375</v>
      </c>
      <c r="CD1050">
        <v>1</v>
      </c>
      <c r="CE1050">
        <v>1</v>
      </c>
      <c r="CF1050">
        <v>0</v>
      </c>
      <c r="CG1050">
        <v>1</v>
      </c>
      <c r="CH1050">
        <v>0</v>
      </c>
      <c r="CI1050">
        <v>1</v>
      </c>
      <c r="CJ1050">
        <v>0</v>
      </c>
      <c r="CK1050">
        <v>2</v>
      </c>
      <c r="CL1050">
        <v>0</v>
      </c>
      <c r="CM1050">
        <v>2</v>
      </c>
      <c r="CN1050">
        <v>0</v>
      </c>
      <c r="CO1050">
        <v>3</v>
      </c>
      <c r="CP1050" t="s">
        <v>119</v>
      </c>
      <c r="CQ1050">
        <v>145</v>
      </c>
      <c r="CR1050">
        <v>1</v>
      </c>
      <c r="CW1050">
        <v>9013807</v>
      </c>
      <c r="CY1050">
        <v>0</v>
      </c>
      <c r="CZ1050">
        <v>0</v>
      </c>
      <c r="DA1050">
        <v>1</v>
      </c>
      <c r="DB1050">
        <v>0</v>
      </c>
      <c r="DC1050">
        <v>0</v>
      </c>
      <c r="DD1050">
        <v>0</v>
      </c>
      <c r="DE1050">
        <v>0</v>
      </c>
      <c r="DF1050">
        <v>0</v>
      </c>
      <c r="DG1050">
        <v>0</v>
      </c>
      <c r="DH1050">
        <v>0</v>
      </c>
      <c r="DI1050">
        <v>0</v>
      </c>
    </row>
    <row r="1051" spans="1:113" x14ac:dyDescent="0.3">
      <c r="A1051" t="str">
        <f>"02/13/2022 18:41:20.634"</f>
        <v>02/13/2022 18:41:20.634</v>
      </c>
      <c r="C1051" t="str">
        <f t="shared" si="106"/>
        <v>FFDFD7C0</v>
      </c>
      <c r="D1051" t="s">
        <v>113</v>
      </c>
      <c r="E1051">
        <v>4</v>
      </c>
      <c r="F1051">
        <v>1004</v>
      </c>
      <c r="G1051" t="s">
        <v>120</v>
      </c>
      <c r="J1051" t="s">
        <v>115</v>
      </c>
      <c r="K1051">
        <v>0</v>
      </c>
      <c r="L1051">
        <v>3</v>
      </c>
      <c r="M1051">
        <v>0</v>
      </c>
      <c r="N1051">
        <v>2</v>
      </c>
      <c r="O1051">
        <v>1</v>
      </c>
      <c r="P1051">
        <v>0</v>
      </c>
      <c r="Q1051">
        <v>0</v>
      </c>
      <c r="S1051" t="str">
        <f>"18:41:20.320"</f>
        <v>18:41:20.320</v>
      </c>
      <c r="T1051" t="str">
        <f>"18:41:20.020"</f>
        <v>18:41:20.020</v>
      </c>
      <c r="U1051" t="str">
        <f t="shared" si="105"/>
        <v>AAB6EE</v>
      </c>
      <c r="V1051">
        <v>0</v>
      </c>
      <c r="W1051">
        <v>0</v>
      </c>
      <c r="X1051">
        <v>4</v>
      </c>
      <c r="Z1051">
        <v>0</v>
      </c>
      <c r="AA1051">
        <v>8</v>
      </c>
      <c r="AB1051">
        <v>3</v>
      </c>
      <c r="AC1051">
        <v>0</v>
      </c>
      <c r="AD1051">
        <v>10</v>
      </c>
      <c r="AE1051">
        <v>0</v>
      </c>
      <c r="AF1051">
        <v>0</v>
      </c>
      <c r="AG1051">
        <v>1</v>
      </c>
      <c r="AH1051">
        <v>1</v>
      </c>
      <c r="AI1051" t="s">
        <v>821</v>
      </c>
      <c r="AJ1051">
        <v>35.287956999999999</v>
      </c>
      <c r="AK1051" t="s">
        <v>822</v>
      </c>
      <c r="AL1051">
        <v>-76.197224000000006</v>
      </c>
      <c r="AM1051">
        <v>25</v>
      </c>
      <c r="AN1051">
        <v>3425</v>
      </c>
      <c r="AO1051" t="s">
        <v>118</v>
      </c>
      <c r="AP1051">
        <v>-118</v>
      </c>
      <c r="AQ1051">
        <v>-187</v>
      </c>
      <c r="AR1051">
        <v>192</v>
      </c>
      <c r="AZ1051">
        <v>4516</v>
      </c>
      <c r="BA1051">
        <v>1</v>
      </c>
      <c r="BB1051" t="str">
        <f t="shared" si="107"/>
        <v xml:space="preserve">N79NX   </v>
      </c>
      <c r="BC1051">
        <v>1</v>
      </c>
      <c r="BE1051">
        <v>0</v>
      </c>
      <c r="BF1051">
        <v>0</v>
      </c>
      <c r="BG1051">
        <v>0</v>
      </c>
      <c r="BH1051">
        <v>3275</v>
      </c>
      <c r="BI1051">
        <v>0</v>
      </c>
      <c r="BJ1051">
        <v>0</v>
      </c>
      <c r="BK1051">
        <v>0</v>
      </c>
      <c r="BL1051">
        <v>0</v>
      </c>
      <c r="BO1051">
        <v>0</v>
      </c>
      <c r="BP1051">
        <v>0</v>
      </c>
      <c r="BW1051" t="str">
        <f>"18:41:20.321"</f>
        <v>18:41:20.321</v>
      </c>
      <c r="BZ1051">
        <v>0</v>
      </c>
      <c r="CA1051">
        <v>4096</v>
      </c>
      <c r="CB1051">
        <v>216</v>
      </c>
      <c r="CC1051">
        <v>525.9375</v>
      </c>
      <c r="CD1051">
        <v>1</v>
      </c>
      <c r="CE1051">
        <v>1</v>
      </c>
      <c r="CF1051">
        <v>0</v>
      </c>
      <c r="CG1051">
        <v>1</v>
      </c>
      <c r="CH1051">
        <v>0</v>
      </c>
      <c r="CI1051">
        <v>1</v>
      </c>
      <c r="CJ1051">
        <v>0</v>
      </c>
      <c r="CK1051">
        <v>2</v>
      </c>
      <c r="CL1051">
        <v>0</v>
      </c>
      <c r="CM1051">
        <v>2</v>
      </c>
      <c r="CN1051">
        <v>0</v>
      </c>
      <c r="CO1051">
        <v>3</v>
      </c>
      <c r="CP1051" t="s">
        <v>119</v>
      </c>
      <c r="CQ1051">
        <v>145</v>
      </c>
      <c r="CR1051">
        <v>1</v>
      </c>
      <c r="CW1051">
        <v>9013807</v>
      </c>
      <c r="CY1051">
        <v>0</v>
      </c>
      <c r="CZ1051">
        <v>0</v>
      </c>
      <c r="DA1051">
        <v>1</v>
      </c>
      <c r="DB1051">
        <v>0</v>
      </c>
      <c r="DC1051">
        <v>0</v>
      </c>
      <c r="DD1051">
        <v>0</v>
      </c>
      <c r="DE1051">
        <v>0</v>
      </c>
      <c r="DF1051">
        <v>0</v>
      </c>
      <c r="DG1051">
        <v>0</v>
      </c>
      <c r="DH1051">
        <v>0</v>
      </c>
      <c r="DI1051">
        <v>0</v>
      </c>
    </row>
    <row r="1052" spans="1:113" x14ac:dyDescent="0.3">
      <c r="A1052" t="str">
        <f>"02/13/2022 18:41:21.665"</f>
        <v>02/13/2022 18:41:21.665</v>
      </c>
      <c r="C1052" t="str">
        <f t="shared" si="106"/>
        <v>FFDFD7C0</v>
      </c>
      <c r="D1052" t="s">
        <v>121</v>
      </c>
      <c r="E1052">
        <v>2</v>
      </c>
      <c r="H1052">
        <v>158</v>
      </c>
      <c r="I1052" t="s">
        <v>120</v>
      </c>
      <c r="J1052" t="s">
        <v>122</v>
      </c>
      <c r="K1052">
        <v>0</v>
      </c>
      <c r="L1052">
        <v>3</v>
      </c>
      <c r="M1052">
        <v>0</v>
      </c>
      <c r="N1052">
        <v>2</v>
      </c>
      <c r="O1052">
        <v>1</v>
      </c>
      <c r="P1052">
        <v>0</v>
      </c>
      <c r="Q1052">
        <v>0</v>
      </c>
      <c r="S1052" t="str">
        <f>"18:41:21.391"</f>
        <v>18:41:21.391</v>
      </c>
      <c r="T1052" t="str">
        <f>"18:41:20.391"</f>
        <v>18:41:20.391</v>
      </c>
      <c r="U1052" t="str">
        <f t="shared" si="105"/>
        <v>AAB6EE</v>
      </c>
      <c r="V1052">
        <v>0</v>
      </c>
      <c r="W1052">
        <v>0</v>
      </c>
      <c r="X1052">
        <v>4</v>
      </c>
      <c r="Z1052">
        <v>0</v>
      </c>
      <c r="AA1052">
        <v>8</v>
      </c>
      <c r="AB1052">
        <v>3</v>
      </c>
      <c r="AC1052">
        <v>0</v>
      </c>
      <c r="AD1052">
        <v>10</v>
      </c>
      <c r="AE1052">
        <v>0</v>
      </c>
      <c r="AF1052">
        <v>0</v>
      </c>
      <c r="AG1052">
        <v>1</v>
      </c>
      <c r="AH1052">
        <v>1</v>
      </c>
      <c r="AI1052" t="s">
        <v>823</v>
      </c>
      <c r="AJ1052">
        <v>35.287120000000002</v>
      </c>
      <c r="AK1052" t="s">
        <v>824</v>
      </c>
      <c r="AL1052">
        <v>-76.197909999999993</v>
      </c>
      <c r="AM1052">
        <v>25</v>
      </c>
      <c r="AN1052">
        <v>3425</v>
      </c>
      <c r="AO1052" t="s">
        <v>118</v>
      </c>
      <c r="AP1052">
        <v>-120</v>
      </c>
      <c r="AQ1052">
        <v>-185</v>
      </c>
      <c r="AR1052">
        <v>192</v>
      </c>
      <c r="AZ1052">
        <v>4516</v>
      </c>
      <c r="BA1052">
        <v>1</v>
      </c>
      <c r="BB1052" t="str">
        <f t="shared" si="107"/>
        <v xml:space="preserve">N79NX   </v>
      </c>
      <c r="BC1052">
        <v>1</v>
      </c>
      <c r="BE1052">
        <v>0</v>
      </c>
      <c r="BF1052">
        <v>0</v>
      </c>
      <c r="BG1052">
        <v>0</v>
      </c>
      <c r="BH1052">
        <v>3275</v>
      </c>
      <c r="BI1052">
        <v>0</v>
      </c>
      <c r="BJ1052">
        <v>0</v>
      </c>
      <c r="BK1052">
        <v>0</v>
      </c>
      <c r="BL1052">
        <v>0</v>
      </c>
      <c r="BO1052">
        <v>0</v>
      </c>
      <c r="BP1052">
        <v>0</v>
      </c>
      <c r="BW1052" t="str">
        <f>"18:41:21.391"</f>
        <v>18:41:21.391</v>
      </c>
      <c r="BZ1052">
        <v>0</v>
      </c>
      <c r="CA1052">
        <v>4096</v>
      </c>
      <c r="CB1052">
        <v>216</v>
      </c>
      <c r="CC1052">
        <v>525.9375</v>
      </c>
      <c r="CD1052">
        <v>1</v>
      </c>
      <c r="CE1052">
        <v>1</v>
      </c>
      <c r="CF1052">
        <v>0</v>
      </c>
      <c r="CG1052">
        <v>1</v>
      </c>
      <c r="CH1052">
        <v>0</v>
      </c>
      <c r="CI1052">
        <v>1</v>
      </c>
      <c r="CJ1052">
        <v>0</v>
      </c>
      <c r="CK1052">
        <v>2</v>
      </c>
      <c r="CL1052">
        <v>0</v>
      </c>
      <c r="CM1052">
        <v>2</v>
      </c>
      <c r="CN1052">
        <v>0</v>
      </c>
      <c r="CO1052">
        <v>3</v>
      </c>
      <c r="CP1052" t="s">
        <v>119</v>
      </c>
      <c r="CQ1052">
        <v>145</v>
      </c>
      <c r="CR1052">
        <v>1</v>
      </c>
      <c r="CW1052">
        <v>9014296</v>
      </c>
      <c r="CY1052">
        <v>0</v>
      </c>
      <c r="CZ1052">
        <v>0</v>
      </c>
      <c r="DA1052">
        <v>0</v>
      </c>
      <c r="DB1052">
        <v>0</v>
      </c>
      <c r="DC1052">
        <v>0</v>
      </c>
      <c r="DD1052">
        <v>0</v>
      </c>
      <c r="DE1052">
        <v>0</v>
      </c>
      <c r="DF1052">
        <v>0</v>
      </c>
      <c r="DG1052">
        <v>0</v>
      </c>
      <c r="DH1052">
        <v>0</v>
      </c>
      <c r="DI1052">
        <v>0</v>
      </c>
    </row>
    <row r="1053" spans="1:113" x14ac:dyDescent="0.3">
      <c r="A1053" t="str">
        <f>"02/13/2022 18:41:21.665"</f>
        <v>02/13/2022 18:41:21.665</v>
      </c>
      <c r="C1053" t="str">
        <f t="shared" si="106"/>
        <v>FFDFD7C0</v>
      </c>
      <c r="D1053" t="s">
        <v>113</v>
      </c>
      <c r="E1053">
        <v>3</v>
      </c>
      <c r="F1053">
        <v>1003</v>
      </c>
      <c r="G1053" t="s">
        <v>114</v>
      </c>
      <c r="J1053" t="s">
        <v>115</v>
      </c>
      <c r="K1053">
        <v>0</v>
      </c>
      <c r="L1053">
        <v>3</v>
      </c>
      <c r="M1053">
        <v>0</v>
      </c>
      <c r="N1053">
        <v>2</v>
      </c>
      <c r="O1053">
        <v>1</v>
      </c>
      <c r="P1053">
        <v>0</v>
      </c>
      <c r="Q1053">
        <v>0</v>
      </c>
      <c r="S1053" t="str">
        <f>"18:41:21.391"</f>
        <v>18:41:21.391</v>
      </c>
      <c r="T1053" t="str">
        <f>"18:41:20.391"</f>
        <v>18:41:20.391</v>
      </c>
      <c r="U1053" t="str">
        <f t="shared" si="105"/>
        <v>AAB6EE</v>
      </c>
      <c r="V1053">
        <v>0</v>
      </c>
      <c r="W1053">
        <v>0</v>
      </c>
      <c r="X1053">
        <v>4</v>
      </c>
      <c r="Z1053">
        <v>0</v>
      </c>
      <c r="AA1053">
        <v>8</v>
      </c>
      <c r="AB1053">
        <v>3</v>
      </c>
      <c r="AC1053">
        <v>0</v>
      </c>
      <c r="AD1053">
        <v>10</v>
      </c>
      <c r="AE1053">
        <v>0</v>
      </c>
      <c r="AF1053">
        <v>0</v>
      </c>
      <c r="AG1053">
        <v>1</v>
      </c>
      <c r="AH1053">
        <v>1</v>
      </c>
      <c r="AI1053" t="s">
        <v>823</v>
      </c>
      <c r="AJ1053">
        <v>35.287120000000002</v>
      </c>
      <c r="AK1053" t="s">
        <v>824</v>
      </c>
      <c r="AL1053">
        <v>-76.197909999999993</v>
      </c>
      <c r="AM1053">
        <v>25</v>
      </c>
      <c r="AN1053">
        <v>3425</v>
      </c>
      <c r="AO1053" t="s">
        <v>118</v>
      </c>
      <c r="AP1053">
        <v>-120</v>
      </c>
      <c r="AQ1053">
        <v>-185</v>
      </c>
      <c r="AR1053">
        <v>192</v>
      </c>
      <c r="AZ1053">
        <v>4516</v>
      </c>
      <c r="BA1053">
        <v>1</v>
      </c>
      <c r="BB1053" t="str">
        <f t="shared" si="107"/>
        <v xml:space="preserve">N79NX   </v>
      </c>
      <c r="BC1053">
        <v>1</v>
      </c>
      <c r="BE1053">
        <v>0</v>
      </c>
      <c r="BF1053">
        <v>0</v>
      </c>
      <c r="BG1053">
        <v>0</v>
      </c>
      <c r="BH1053">
        <v>3275</v>
      </c>
      <c r="BI1053">
        <v>0</v>
      </c>
      <c r="BJ1053">
        <v>0</v>
      </c>
      <c r="BK1053">
        <v>0</v>
      </c>
      <c r="BL1053">
        <v>0</v>
      </c>
      <c r="BO1053">
        <v>0</v>
      </c>
      <c r="BP1053">
        <v>0</v>
      </c>
      <c r="BW1053" t="str">
        <f>"18:41:21.391"</f>
        <v>18:41:21.391</v>
      </c>
      <c r="BZ1053">
        <v>0</v>
      </c>
      <c r="CA1053">
        <v>4096</v>
      </c>
      <c r="CB1053">
        <v>216</v>
      </c>
      <c r="CC1053">
        <v>525.9375</v>
      </c>
      <c r="CD1053">
        <v>1</v>
      </c>
      <c r="CE1053">
        <v>1</v>
      </c>
      <c r="CF1053">
        <v>0</v>
      </c>
      <c r="CG1053">
        <v>1</v>
      </c>
      <c r="CH1053">
        <v>0</v>
      </c>
      <c r="CI1053">
        <v>1</v>
      </c>
      <c r="CJ1053">
        <v>0</v>
      </c>
      <c r="CK1053">
        <v>2</v>
      </c>
      <c r="CL1053">
        <v>0</v>
      </c>
      <c r="CM1053">
        <v>2</v>
      </c>
      <c r="CN1053">
        <v>0</v>
      </c>
      <c r="CO1053">
        <v>3</v>
      </c>
      <c r="CP1053" t="s">
        <v>119</v>
      </c>
      <c r="CQ1053">
        <v>145</v>
      </c>
      <c r="CR1053">
        <v>1</v>
      </c>
      <c r="CW1053">
        <v>9014296</v>
      </c>
      <c r="CY1053">
        <v>0</v>
      </c>
      <c r="CZ1053">
        <v>0</v>
      </c>
      <c r="DA1053">
        <v>1</v>
      </c>
      <c r="DB1053">
        <v>0</v>
      </c>
      <c r="DC1053">
        <v>0</v>
      </c>
      <c r="DD1053">
        <v>0</v>
      </c>
      <c r="DE1053">
        <v>0</v>
      </c>
      <c r="DF1053">
        <v>0</v>
      </c>
      <c r="DG1053">
        <v>0</v>
      </c>
      <c r="DH1053">
        <v>0</v>
      </c>
      <c r="DI1053">
        <v>0</v>
      </c>
    </row>
    <row r="1054" spans="1:113" x14ac:dyDescent="0.3">
      <c r="A1054" t="str">
        <f>"02/13/2022 18:41:21.665"</f>
        <v>02/13/2022 18:41:21.665</v>
      </c>
      <c r="C1054" t="str">
        <f t="shared" si="106"/>
        <v>FFDFD7C0</v>
      </c>
      <c r="D1054" t="s">
        <v>113</v>
      </c>
      <c r="E1054">
        <v>4</v>
      </c>
      <c r="F1054">
        <v>1004</v>
      </c>
      <c r="G1054" t="s">
        <v>120</v>
      </c>
      <c r="J1054" t="s">
        <v>115</v>
      </c>
      <c r="K1054">
        <v>0</v>
      </c>
      <c r="L1054">
        <v>3</v>
      </c>
      <c r="M1054">
        <v>0</v>
      </c>
      <c r="N1054">
        <v>2</v>
      </c>
      <c r="O1054">
        <v>1</v>
      </c>
      <c r="P1054">
        <v>0</v>
      </c>
      <c r="Q1054">
        <v>0</v>
      </c>
      <c r="S1054" t="str">
        <f>"18:41:21.391"</f>
        <v>18:41:21.391</v>
      </c>
      <c r="T1054" t="str">
        <f>"18:41:20.391"</f>
        <v>18:41:20.391</v>
      </c>
      <c r="U1054" t="str">
        <f t="shared" si="105"/>
        <v>AAB6EE</v>
      </c>
      <c r="V1054">
        <v>0</v>
      </c>
      <c r="W1054">
        <v>0</v>
      </c>
      <c r="X1054">
        <v>4</v>
      </c>
      <c r="Z1054">
        <v>0</v>
      </c>
      <c r="AA1054">
        <v>8</v>
      </c>
      <c r="AB1054">
        <v>3</v>
      </c>
      <c r="AC1054">
        <v>0</v>
      </c>
      <c r="AD1054">
        <v>10</v>
      </c>
      <c r="AE1054">
        <v>0</v>
      </c>
      <c r="AF1054">
        <v>0</v>
      </c>
      <c r="AG1054">
        <v>1</v>
      </c>
      <c r="AH1054">
        <v>1</v>
      </c>
      <c r="AI1054" t="s">
        <v>823</v>
      </c>
      <c r="AJ1054">
        <v>35.287120000000002</v>
      </c>
      <c r="AK1054" t="s">
        <v>824</v>
      </c>
      <c r="AL1054">
        <v>-76.197909999999993</v>
      </c>
      <c r="AM1054">
        <v>25</v>
      </c>
      <c r="AN1054">
        <v>3425</v>
      </c>
      <c r="AO1054" t="s">
        <v>118</v>
      </c>
      <c r="AP1054">
        <v>-120</v>
      </c>
      <c r="AQ1054">
        <v>-185</v>
      </c>
      <c r="AR1054">
        <v>192</v>
      </c>
      <c r="AZ1054">
        <v>4516</v>
      </c>
      <c r="BA1054">
        <v>1</v>
      </c>
      <c r="BB1054" t="str">
        <f t="shared" si="107"/>
        <v xml:space="preserve">N79NX   </v>
      </c>
      <c r="BC1054">
        <v>1</v>
      </c>
      <c r="BE1054">
        <v>0</v>
      </c>
      <c r="BF1054">
        <v>0</v>
      </c>
      <c r="BG1054">
        <v>0</v>
      </c>
      <c r="BH1054">
        <v>3275</v>
      </c>
      <c r="BI1054">
        <v>0</v>
      </c>
      <c r="BJ1054">
        <v>0</v>
      </c>
      <c r="BK1054">
        <v>0</v>
      </c>
      <c r="BL1054">
        <v>0</v>
      </c>
      <c r="BO1054">
        <v>0</v>
      </c>
      <c r="BP1054">
        <v>0</v>
      </c>
      <c r="BW1054" t="str">
        <f>"18:41:21.391"</f>
        <v>18:41:21.391</v>
      </c>
      <c r="BZ1054">
        <v>0</v>
      </c>
      <c r="CA1054">
        <v>4096</v>
      </c>
      <c r="CB1054">
        <v>216</v>
      </c>
      <c r="CC1054">
        <v>525.9375</v>
      </c>
      <c r="CD1054">
        <v>1</v>
      </c>
      <c r="CE1054">
        <v>1</v>
      </c>
      <c r="CF1054">
        <v>0</v>
      </c>
      <c r="CG1054">
        <v>1</v>
      </c>
      <c r="CH1054">
        <v>0</v>
      </c>
      <c r="CI1054">
        <v>1</v>
      </c>
      <c r="CJ1054">
        <v>0</v>
      </c>
      <c r="CK1054">
        <v>2</v>
      </c>
      <c r="CL1054">
        <v>0</v>
      </c>
      <c r="CM1054">
        <v>2</v>
      </c>
      <c r="CN1054">
        <v>0</v>
      </c>
      <c r="CO1054">
        <v>3</v>
      </c>
      <c r="CP1054" t="s">
        <v>119</v>
      </c>
      <c r="CQ1054">
        <v>145</v>
      </c>
      <c r="CR1054">
        <v>1</v>
      </c>
      <c r="CW1054">
        <v>9014296</v>
      </c>
      <c r="CY1054">
        <v>0</v>
      </c>
      <c r="CZ1054">
        <v>0</v>
      </c>
      <c r="DA1054">
        <v>1</v>
      </c>
      <c r="DB1054">
        <v>0</v>
      </c>
      <c r="DC1054">
        <v>0</v>
      </c>
      <c r="DD1054">
        <v>0</v>
      </c>
      <c r="DE1054">
        <v>0</v>
      </c>
      <c r="DF1054">
        <v>0</v>
      </c>
      <c r="DG1054">
        <v>0</v>
      </c>
      <c r="DH1054">
        <v>0</v>
      </c>
      <c r="DI1054">
        <v>0</v>
      </c>
    </row>
    <row r="1055" spans="1:113" x14ac:dyDescent="0.3">
      <c r="A1055" t="str">
        <f>"02/13/2022 18:41:22.525"</f>
        <v>02/13/2022 18:41:22.525</v>
      </c>
      <c r="C1055" t="str">
        <f t="shared" si="106"/>
        <v>FFDFD7C0</v>
      </c>
      <c r="D1055" t="s">
        <v>113</v>
      </c>
      <c r="E1055">
        <v>3</v>
      </c>
      <c r="F1055">
        <v>1003</v>
      </c>
      <c r="G1055" t="s">
        <v>114</v>
      </c>
      <c r="J1055" t="s">
        <v>115</v>
      </c>
      <c r="K1055">
        <v>0</v>
      </c>
      <c r="L1055">
        <v>3</v>
      </c>
      <c r="M1055">
        <v>0</v>
      </c>
      <c r="N1055">
        <v>2</v>
      </c>
      <c r="O1055">
        <v>1</v>
      </c>
      <c r="P1055">
        <v>0</v>
      </c>
      <c r="Q1055">
        <v>0</v>
      </c>
      <c r="S1055" t="str">
        <f>"18:41:22.258"</f>
        <v>18:41:22.258</v>
      </c>
      <c r="T1055" t="str">
        <f>"18:41:22.158"</f>
        <v>18:41:22.158</v>
      </c>
      <c r="U1055" t="str">
        <f t="shared" si="105"/>
        <v>AAB6EE</v>
      </c>
      <c r="V1055">
        <v>0</v>
      </c>
      <c r="W1055">
        <v>0</v>
      </c>
      <c r="X1055">
        <v>4</v>
      </c>
      <c r="Z1055">
        <v>0</v>
      </c>
      <c r="AA1055">
        <v>8</v>
      </c>
      <c r="AB1055">
        <v>3</v>
      </c>
      <c r="AC1055">
        <v>0</v>
      </c>
      <c r="AD1055">
        <v>10</v>
      </c>
      <c r="AE1055">
        <v>0</v>
      </c>
      <c r="AF1055">
        <v>0</v>
      </c>
      <c r="AG1055">
        <v>1</v>
      </c>
      <c r="AH1055">
        <v>1</v>
      </c>
      <c r="AI1055" t="s">
        <v>825</v>
      </c>
      <c r="AJ1055">
        <v>35.286369000000001</v>
      </c>
      <c r="AK1055" t="s">
        <v>826</v>
      </c>
      <c r="AL1055">
        <v>-76.198597000000007</v>
      </c>
      <c r="AM1055">
        <v>25</v>
      </c>
      <c r="AN1055">
        <v>3425</v>
      </c>
      <c r="AO1055" t="s">
        <v>118</v>
      </c>
      <c r="AP1055">
        <v>-133</v>
      </c>
      <c r="AQ1055">
        <v>-176</v>
      </c>
      <c r="AR1055">
        <v>192</v>
      </c>
      <c r="AZ1055">
        <v>4516</v>
      </c>
      <c r="BA1055">
        <v>1</v>
      </c>
      <c r="BB1055" t="str">
        <f t="shared" si="107"/>
        <v xml:space="preserve">N79NX   </v>
      </c>
      <c r="BC1055">
        <v>1</v>
      </c>
      <c r="BE1055">
        <v>0</v>
      </c>
      <c r="BF1055">
        <v>0</v>
      </c>
      <c r="BG1055">
        <v>0</v>
      </c>
      <c r="BH1055">
        <v>3275</v>
      </c>
      <c r="BI1055">
        <v>0</v>
      </c>
      <c r="BJ1055">
        <v>0</v>
      </c>
      <c r="BK1055">
        <v>0</v>
      </c>
      <c r="BL1055">
        <v>0</v>
      </c>
      <c r="BO1055">
        <v>0</v>
      </c>
      <c r="BP1055">
        <v>0</v>
      </c>
      <c r="BW1055" t="str">
        <f>"18:41:22.261"</f>
        <v>18:41:22.261</v>
      </c>
      <c r="BZ1055">
        <v>0</v>
      </c>
      <c r="CA1055">
        <v>4096</v>
      </c>
      <c r="CB1055">
        <v>216</v>
      </c>
      <c r="CC1055">
        <v>525.9375</v>
      </c>
      <c r="CD1055">
        <v>1</v>
      </c>
      <c r="CE1055">
        <v>1</v>
      </c>
      <c r="CF1055">
        <v>0</v>
      </c>
      <c r="CG1055">
        <v>1</v>
      </c>
      <c r="CH1055">
        <v>0</v>
      </c>
      <c r="CI1055">
        <v>1</v>
      </c>
      <c r="CJ1055">
        <v>0</v>
      </c>
      <c r="CK1055">
        <v>2</v>
      </c>
      <c r="CL1055">
        <v>0</v>
      </c>
      <c r="CM1055">
        <v>2</v>
      </c>
      <c r="CN1055">
        <v>0</v>
      </c>
      <c r="CO1055">
        <v>4</v>
      </c>
      <c r="CP1055" t="s">
        <v>119</v>
      </c>
      <c r="CQ1055">
        <v>145</v>
      </c>
      <c r="CR1055">
        <v>1</v>
      </c>
      <c r="CW1055">
        <v>9014625</v>
      </c>
      <c r="CY1055">
        <v>0</v>
      </c>
      <c r="CZ1055">
        <v>0</v>
      </c>
      <c r="DA1055">
        <v>0</v>
      </c>
      <c r="DB1055">
        <v>0</v>
      </c>
      <c r="DC1055">
        <v>0</v>
      </c>
      <c r="DD1055">
        <v>0</v>
      </c>
      <c r="DE1055">
        <v>0</v>
      </c>
      <c r="DF1055">
        <v>0</v>
      </c>
      <c r="DG1055">
        <v>0</v>
      </c>
      <c r="DH1055">
        <v>0</v>
      </c>
      <c r="DI1055">
        <v>0</v>
      </c>
    </row>
    <row r="1056" spans="1:113" x14ac:dyDescent="0.3">
      <c r="A1056" t="str">
        <f>"02/13/2022 18:41:22.525"</f>
        <v>02/13/2022 18:41:22.525</v>
      </c>
      <c r="C1056" t="str">
        <f t="shared" si="106"/>
        <v>FFDFD7C0</v>
      </c>
      <c r="D1056" t="s">
        <v>113</v>
      </c>
      <c r="E1056">
        <v>4</v>
      </c>
      <c r="F1056">
        <v>1004</v>
      </c>
      <c r="G1056" t="s">
        <v>120</v>
      </c>
      <c r="J1056" t="s">
        <v>115</v>
      </c>
      <c r="K1056">
        <v>0</v>
      </c>
      <c r="L1056">
        <v>3</v>
      </c>
      <c r="M1056">
        <v>0</v>
      </c>
      <c r="N1056">
        <v>2</v>
      </c>
      <c r="O1056">
        <v>1</v>
      </c>
      <c r="P1056">
        <v>0</v>
      </c>
      <c r="Q1056">
        <v>0</v>
      </c>
      <c r="S1056" t="str">
        <f>"18:41:22.258"</f>
        <v>18:41:22.258</v>
      </c>
      <c r="T1056" t="str">
        <f>"18:41:22.158"</f>
        <v>18:41:22.158</v>
      </c>
      <c r="U1056" t="str">
        <f t="shared" si="105"/>
        <v>AAB6EE</v>
      </c>
      <c r="V1056">
        <v>0</v>
      </c>
      <c r="W1056">
        <v>0</v>
      </c>
      <c r="X1056">
        <v>4</v>
      </c>
      <c r="Z1056">
        <v>0</v>
      </c>
      <c r="AA1056">
        <v>8</v>
      </c>
      <c r="AB1056">
        <v>3</v>
      </c>
      <c r="AC1056">
        <v>0</v>
      </c>
      <c r="AD1056">
        <v>10</v>
      </c>
      <c r="AE1056">
        <v>0</v>
      </c>
      <c r="AF1056">
        <v>0</v>
      </c>
      <c r="AG1056">
        <v>1</v>
      </c>
      <c r="AH1056">
        <v>1</v>
      </c>
      <c r="AI1056" t="s">
        <v>825</v>
      </c>
      <c r="AJ1056">
        <v>35.286369000000001</v>
      </c>
      <c r="AK1056" t="s">
        <v>826</v>
      </c>
      <c r="AL1056">
        <v>-76.198597000000007</v>
      </c>
      <c r="AM1056">
        <v>25</v>
      </c>
      <c r="AN1056">
        <v>3425</v>
      </c>
      <c r="AO1056" t="s">
        <v>118</v>
      </c>
      <c r="AP1056">
        <v>-133</v>
      </c>
      <c r="AQ1056">
        <v>-176</v>
      </c>
      <c r="AR1056">
        <v>192</v>
      </c>
      <c r="AZ1056">
        <v>4516</v>
      </c>
      <c r="BA1056">
        <v>1</v>
      </c>
      <c r="BB1056" t="str">
        <f t="shared" si="107"/>
        <v xml:space="preserve">N79NX   </v>
      </c>
      <c r="BC1056">
        <v>1</v>
      </c>
      <c r="BE1056">
        <v>0</v>
      </c>
      <c r="BF1056">
        <v>0</v>
      </c>
      <c r="BG1056">
        <v>0</v>
      </c>
      <c r="BH1056">
        <v>3275</v>
      </c>
      <c r="BI1056">
        <v>0</v>
      </c>
      <c r="BJ1056">
        <v>0</v>
      </c>
      <c r="BK1056">
        <v>0</v>
      </c>
      <c r="BL1056">
        <v>0</v>
      </c>
      <c r="BO1056">
        <v>0</v>
      </c>
      <c r="BP1056">
        <v>0</v>
      </c>
      <c r="BW1056" t="str">
        <f>"18:41:22.261"</f>
        <v>18:41:22.261</v>
      </c>
      <c r="BZ1056">
        <v>0</v>
      </c>
      <c r="CA1056">
        <v>4096</v>
      </c>
      <c r="CB1056">
        <v>216</v>
      </c>
      <c r="CC1056">
        <v>525.9375</v>
      </c>
      <c r="CD1056">
        <v>1</v>
      </c>
      <c r="CE1056">
        <v>1</v>
      </c>
      <c r="CF1056">
        <v>0</v>
      </c>
      <c r="CG1056">
        <v>1</v>
      </c>
      <c r="CH1056">
        <v>0</v>
      </c>
      <c r="CI1056">
        <v>1</v>
      </c>
      <c r="CJ1056">
        <v>0</v>
      </c>
      <c r="CK1056">
        <v>2</v>
      </c>
      <c r="CL1056">
        <v>0</v>
      </c>
      <c r="CM1056">
        <v>2</v>
      </c>
      <c r="CN1056">
        <v>0</v>
      </c>
      <c r="CO1056">
        <v>4</v>
      </c>
      <c r="CP1056" t="s">
        <v>119</v>
      </c>
      <c r="CQ1056">
        <v>145</v>
      </c>
      <c r="CR1056">
        <v>1</v>
      </c>
      <c r="CW1056">
        <v>9014625</v>
      </c>
      <c r="CY1056">
        <v>0</v>
      </c>
      <c r="CZ1056">
        <v>0</v>
      </c>
      <c r="DA1056">
        <v>1</v>
      </c>
      <c r="DB1056">
        <v>0</v>
      </c>
      <c r="DC1056">
        <v>0</v>
      </c>
      <c r="DD1056">
        <v>0</v>
      </c>
      <c r="DE1056">
        <v>0</v>
      </c>
      <c r="DF1056">
        <v>0</v>
      </c>
      <c r="DG1056">
        <v>0</v>
      </c>
      <c r="DH1056">
        <v>0</v>
      </c>
      <c r="DI1056">
        <v>0</v>
      </c>
    </row>
    <row r="1057" spans="1:113" x14ac:dyDescent="0.3">
      <c r="A1057" t="str">
        <f>"02/13/2022 18:41:22.525"</f>
        <v>02/13/2022 18:41:22.525</v>
      </c>
      <c r="C1057" t="str">
        <f t="shared" si="106"/>
        <v>FFDFD7C0</v>
      </c>
      <c r="D1057" t="s">
        <v>121</v>
      </c>
      <c r="E1057">
        <v>2</v>
      </c>
      <c r="H1057">
        <v>158</v>
      </c>
      <c r="I1057" t="s">
        <v>120</v>
      </c>
      <c r="J1057" t="s">
        <v>122</v>
      </c>
      <c r="K1057">
        <v>0</v>
      </c>
      <c r="L1057">
        <v>3</v>
      </c>
      <c r="M1057">
        <v>0</v>
      </c>
      <c r="N1057">
        <v>2</v>
      </c>
      <c r="O1057">
        <v>1</v>
      </c>
      <c r="P1057">
        <v>0</v>
      </c>
      <c r="Q1057">
        <v>0</v>
      </c>
      <c r="S1057" t="str">
        <f>"18:41:22.258"</f>
        <v>18:41:22.258</v>
      </c>
      <c r="T1057" t="str">
        <f>"18:41:22.158"</f>
        <v>18:41:22.158</v>
      </c>
      <c r="U1057" t="str">
        <f t="shared" si="105"/>
        <v>AAB6EE</v>
      </c>
      <c r="V1057">
        <v>0</v>
      </c>
      <c r="W1057">
        <v>0</v>
      </c>
      <c r="X1057">
        <v>4</v>
      </c>
      <c r="Z1057">
        <v>0</v>
      </c>
      <c r="AA1057">
        <v>8</v>
      </c>
      <c r="AB1057">
        <v>3</v>
      </c>
      <c r="AC1057">
        <v>0</v>
      </c>
      <c r="AD1057">
        <v>10</v>
      </c>
      <c r="AE1057">
        <v>0</v>
      </c>
      <c r="AF1057">
        <v>0</v>
      </c>
      <c r="AG1057">
        <v>1</v>
      </c>
      <c r="AH1057">
        <v>1</v>
      </c>
      <c r="AI1057" t="s">
        <v>825</v>
      </c>
      <c r="AJ1057">
        <v>35.286369000000001</v>
      </c>
      <c r="AK1057" t="s">
        <v>826</v>
      </c>
      <c r="AL1057">
        <v>-76.198597000000007</v>
      </c>
      <c r="AM1057">
        <v>25</v>
      </c>
      <c r="AN1057">
        <v>3425</v>
      </c>
      <c r="AO1057" t="s">
        <v>118</v>
      </c>
      <c r="AP1057">
        <v>-133</v>
      </c>
      <c r="AQ1057">
        <v>-176</v>
      </c>
      <c r="AR1057">
        <v>192</v>
      </c>
      <c r="AZ1057">
        <v>4516</v>
      </c>
      <c r="BA1057">
        <v>1</v>
      </c>
      <c r="BB1057" t="str">
        <f t="shared" si="107"/>
        <v xml:space="preserve">N79NX   </v>
      </c>
      <c r="BC1057">
        <v>1</v>
      </c>
      <c r="BE1057">
        <v>0</v>
      </c>
      <c r="BF1057">
        <v>0</v>
      </c>
      <c r="BG1057">
        <v>0</v>
      </c>
      <c r="BH1057">
        <v>3275</v>
      </c>
      <c r="BI1057">
        <v>0</v>
      </c>
      <c r="BJ1057">
        <v>0</v>
      </c>
      <c r="BK1057">
        <v>0</v>
      </c>
      <c r="BL1057">
        <v>0</v>
      </c>
      <c r="BO1057">
        <v>0</v>
      </c>
      <c r="BP1057">
        <v>0</v>
      </c>
      <c r="BW1057" t="str">
        <f>"18:41:22.261"</f>
        <v>18:41:22.261</v>
      </c>
      <c r="BZ1057">
        <v>0</v>
      </c>
      <c r="CA1057">
        <v>4096</v>
      </c>
      <c r="CB1057">
        <v>216</v>
      </c>
      <c r="CC1057">
        <v>525.9375</v>
      </c>
      <c r="CD1057">
        <v>1</v>
      </c>
      <c r="CE1057">
        <v>1</v>
      </c>
      <c r="CF1057">
        <v>0</v>
      </c>
      <c r="CG1057">
        <v>1</v>
      </c>
      <c r="CH1057">
        <v>0</v>
      </c>
      <c r="CI1057">
        <v>1</v>
      </c>
      <c r="CJ1057">
        <v>0</v>
      </c>
      <c r="CK1057">
        <v>2</v>
      </c>
      <c r="CL1057">
        <v>0</v>
      </c>
      <c r="CM1057">
        <v>2</v>
      </c>
      <c r="CN1057">
        <v>0</v>
      </c>
      <c r="CO1057">
        <v>4</v>
      </c>
      <c r="CP1057" t="s">
        <v>119</v>
      </c>
      <c r="CQ1057">
        <v>145</v>
      </c>
      <c r="CR1057">
        <v>1</v>
      </c>
      <c r="CW1057">
        <v>9014625</v>
      </c>
      <c r="CY1057">
        <v>0</v>
      </c>
      <c r="CZ1057">
        <v>0</v>
      </c>
      <c r="DA1057">
        <v>1</v>
      </c>
      <c r="DB1057">
        <v>0</v>
      </c>
      <c r="DC1057">
        <v>0</v>
      </c>
      <c r="DD1057">
        <v>0</v>
      </c>
      <c r="DE1057">
        <v>0</v>
      </c>
      <c r="DF1057">
        <v>0</v>
      </c>
      <c r="DG1057">
        <v>0</v>
      </c>
      <c r="DH1057">
        <v>0</v>
      </c>
      <c r="DI1057">
        <v>0</v>
      </c>
    </row>
    <row r="1058" spans="1:113" x14ac:dyDescent="0.3">
      <c r="A1058" t="str">
        <f>"02/13/2022 18:41:23.369"</f>
        <v>02/13/2022 18:41:23.369</v>
      </c>
      <c r="C1058" t="str">
        <f t="shared" si="106"/>
        <v>FFDFD7C0</v>
      </c>
      <c r="D1058" t="s">
        <v>113</v>
      </c>
      <c r="E1058">
        <v>4</v>
      </c>
      <c r="F1058">
        <v>1004</v>
      </c>
      <c r="G1058" t="s">
        <v>120</v>
      </c>
      <c r="J1058" t="s">
        <v>115</v>
      </c>
      <c r="K1058">
        <v>0</v>
      </c>
      <c r="L1058">
        <v>3</v>
      </c>
      <c r="M1058">
        <v>0</v>
      </c>
      <c r="N1058">
        <v>2</v>
      </c>
      <c r="O1058">
        <v>1</v>
      </c>
      <c r="P1058">
        <v>0</v>
      </c>
      <c r="Q1058">
        <v>0</v>
      </c>
      <c r="S1058" t="str">
        <f t="shared" ref="S1058:T1060" si="110">"18:41:23.188"</f>
        <v>18:41:23.188</v>
      </c>
      <c r="T1058" t="str">
        <f t="shared" si="110"/>
        <v>18:41:23.188</v>
      </c>
      <c r="U1058" t="str">
        <f t="shared" si="105"/>
        <v>AAB6EE</v>
      </c>
      <c r="V1058">
        <v>0</v>
      </c>
      <c r="W1058">
        <v>0</v>
      </c>
      <c r="X1058">
        <v>4</v>
      </c>
      <c r="Z1058">
        <v>0</v>
      </c>
      <c r="AA1058">
        <v>8</v>
      </c>
      <c r="AB1058">
        <v>3</v>
      </c>
      <c r="AC1058">
        <v>0</v>
      </c>
      <c r="AD1058">
        <v>10</v>
      </c>
      <c r="AE1058">
        <v>0</v>
      </c>
      <c r="AF1058">
        <v>0</v>
      </c>
      <c r="AG1058">
        <v>1</v>
      </c>
      <c r="AH1058">
        <v>1</v>
      </c>
      <c r="AI1058" t="s">
        <v>827</v>
      </c>
      <c r="AJ1058">
        <v>35.285660999999998</v>
      </c>
      <c r="AK1058" t="s">
        <v>828</v>
      </c>
      <c r="AL1058">
        <v>-76.199284000000006</v>
      </c>
      <c r="AM1058">
        <v>25</v>
      </c>
      <c r="AN1058">
        <v>3425</v>
      </c>
      <c r="AO1058" t="s">
        <v>118</v>
      </c>
      <c r="AP1058">
        <v>-139</v>
      </c>
      <c r="AQ1058">
        <v>-171</v>
      </c>
      <c r="AR1058">
        <v>192</v>
      </c>
      <c r="AZ1058">
        <v>4516</v>
      </c>
      <c r="BA1058">
        <v>1</v>
      </c>
      <c r="BB1058" t="str">
        <f t="shared" si="107"/>
        <v xml:space="preserve">N79NX   </v>
      </c>
      <c r="BC1058">
        <v>1</v>
      </c>
      <c r="BE1058">
        <v>0</v>
      </c>
      <c r="BF1058">
        <v>0</v>
      </c>
      <c r="BG1058">
        <v>0</v>
      </c>
      <c r="BH1058">
        <v>3275</v>
      </c>
      <c r="BI1058">
        <v>0</v>
      </c>
      <c r="BJ1058">
        <v>0</v>
      </c>
      <c r="BK1058">
        <v>0</v>
      </c>
      <c r="BL1058">
        <v>0</v>
      </c>
      <c r="BO1058">
        <v>0</v>
      </c>
      <c r="BP1058">
        <v>0</v>
      </c>
      <c r="BW1058" t="str">
        <f>"18:41:23.191"</f>
        <v>18:41:23.191</v>
      </c>
      <c r="BZ1058">
        <v>0</v>
      </c>
      <c r="CA1058">
        <v>4096</v>
      </c>
      <c r="CB1058">
        <v>216</v>
      </c>
      <c r="CC1058">
        <v>525.9375</v>
      </c>
      <c r="CD1058">
        <v>1</v>
      </c>
      <c r="CE1058">
        <v>1</v>
      </c>
      <c r="CF1058">
        <v>0</v>
      </c>
      <c r="CG1058">
        <v>1</v>
      </c>
      <c r="CH1058">
        <v>0</v>
      </c>
      <c r="CI1058">
        <v>1</v>
      </c>
      <c r="CJ1058">
        <v>0</v>
      </c>
      <c r="CK1058">
        <v>2</v>
      </c>
      <c r="CL1058">
        <v>0</v>
      </c>
      <c r="CM1058">
        <v>2</v>
      </c>
      <c r="CN1058">
        <v>0</v>
      </c>
      <c r="CO1058">
        <v>3</v>
      </c>
      <c r="CP1058" t="s">
        <v>119</v>
      </c>
      <c r="CQ1058">
        <v>145</v>
      </c>
      <c r="CR1058">
        <v>1</v>
      </c>
      <c r="CW1058">
        <v>9015006</v>
      </c>
      <c r="CY1058">
        <v>0</v>
      </c>
      <c r="CZ1058">
        <v>0</v>
      </c>
      <c r="DA1058">
        <v>0</v>
      </c>
      <c r="DB1058">
        <v>0</v>
      </c>
      <c r="DC1058">
        <v>0</v>
      </c>
      <c r="DD1058">
        <v>0</v>
      </c>
      <c r="DE1058">
        <v>0</v>
      </c>
      <c r="DF1058">
        <v>0</v>
      </c>
      <c r="DG1058">
        <v>0</v>
      </c>
      <c r="DH1058">
        <v>0</v>
      </c>
      <c r="DI1058">
        <v>0</v>
      </c>
    </row>
    <row r="1059" spans="1:113" x14ac:dyDescent="0.3">
      <c r="A1059" t="str">
        <f>"02/13/2022 18:41:23.400"</f>
        <v>02/13/2022 18:41:23.400</v>
      </c>
      <c r="C1059" t="str">
        <f t="shared" si="106"/>
        <v>FFDFD7C0</v>
      </c>
      <c r="D1059" t="s">
        <v>121</v>
      </c>
      <c r="E1059">
        <v>2</v>
      </c>
      <c r="H1059">
        <v>158</v>
      </c>
      <c r="I1059" t="s">
        <v>120</v>
      </c>
      <c r="J1059" t="s">
        <v>122</v>
      </c>
      <c r="K1059">
        <v>0</v>
      </c>
      <c r="L1059">
        <v>3</v>
      </c>
      <c r="M1059">
        <v>0</v>
      </c>
      <c r="N1059">
        <v>2</v>
      </c>
      <c r="O1059">
        <v>1</v>
      </c>
      <c r="P1059">
        <v>0</v>
      </c>
      <c r="Q1059">
        <v>0</v>
      </c>
      <c r="S1059" t="str">
        <f t="shared" si="110"/>
        <v>18:41:23.188</v>
      </c>
      <c r="T1059" t="str">
        <f t="shared" si="110"/>
        <v>18:41:23.188</v>
      </c>
      <c r="U1059" t="str">
        <f t="shared" si="105"/>
        <v>AAB6EE</v>
      </c>
      <c r="V1059">
        <v>0</v>
      </c>
      <c r="W1059">
        <v>0</v>
      </c>
      <c r="X1059">
        <v>4</v>
      </c>
      <c r="Z1059">
        <v>0</v>
      </c>
      <c r="AA1059">
        <v>8</v>
      </c>
      <c r="AB1059">
        <v>3</v>
      </c>
      <c r="AC1059">
        <v>0</v>
      </c>
      <c r="AD1059">
        <v>10</v>
      </c>
      <c r="AE1059">
        <v>0</v>
      </c>
      <c r="AF1059">
        <v>0</v>
      </c>
      <c r="AG1059">
        <v>1</v>
      </c>
      <c r="AH1059">
        <v>1</v>
      </c>
      <c r="AI1059" t="s">
        <v>827</v>
      </c>
      <c r="AJ1059">
        <v>35.285660999999998</v>
      </c>
      <c r="AK1059" t="s">
        <v>828</v>
      </c>
      <c r="AL1059">
        <v>-76.199284000000006</v>
      </c>
      <c r="AM1059">
        <v>25</v>
      </c>
      <c r="AN1059">
        <v>3425</v>
      </c>
      <c r="AO1059" t="s">
        <v>118</v>
      </c>
      <c r="AP1059">
        <v>-139</v>
      </c>
      <c r="AQ1059">
        <v>-171</v>
      </c>
      <c r="AR1059">
        <v>192</v>
      </c>
      <c r="AZ1059">
        <v>4516</v>
      </c>
      <c r="BA1059">
        <v>1</v>
      </c>
      <c r="BB1059" t="str">
        <f t="shared" si="107"/>
        <v xml:space="preserve">N79NX   </v>
      </c>
      <c r="BC1059">
        <v>1</v>
      </c>
      <c r="BE1059">
        <v>0</v>
      </c>
      <c r="BF1059">
        <v>0</v>
      </c>
      <c r="BG1059">
        <v>0</v>
      </c>
      <c r="BH1059">
        <v>3275</v>
      </c>
      <c r="BI1059">
        <v>0</v>
      </c>
      <c r="BJ1059">
        <v>0</v>
      </c>
      <c r="BK1059">
        <v>0</v>
      </c>
      <c r="BL1059">
        <v>0</v>
      </c>
      <c r="BO1059">
        <v>0</v>
      </c>
      <c r="BP1059">
        <v>0</v>
      </c>
      <c r="BW1059" t="str">
        <f>"18:41:23.191"</f>
        <v>18:41:23.191</v>
      </c>
      <c r="BZ1059">
        <v>0</v>
      </c>
      <c r="CA1059">
        <v>4096</v>
      </c>
      <c r="CB1059">
        <v>216</v>
      </c>
      <c r="CC1059">
        <v>525.9375</v>
      </c>
      <c r="CD1059">
        <v>1</v>
      </c>
      <c r="CE1059">
        <v>1</v>
      </c>
      <c r="CF1059">
        <v>0</v>
      </c>
      <c r="CG1059">
        <v>1</v>
      </c>
      <c r="CH1059">
        <v>0</v>
      </c>
      <c r="CI1059">
        <v>1</v>
      </c>
      <c r="CJ1059">
        <v>0</v>
      </c>
      <c r="CK1059">
        <v>2</v>
      </c>
      <c r="CL1059">
        <v>0</v>
      </c>
      <c r="CM1059">
        <v>2</v>
      </c>
      <c r="CN1059">
        <v>0</v>
      </c>
      <c r="CO1059">
        <v>3</v>
      </c>
      <c r="CP1059" t="s">
        <v>119</v>
      </c>
      <c r="CQ1059">
        <v>145</v>
      </c>
      <c r="CR1059">
        <v>1</v>
      </c>
      <c r="CW1059">
        <v>9015006</v>
      </c>
      <c r="CY1059">
        <v>0</v>
      </c>
      <c r="CZ1059">
        <v>0</v>
      </c>
      <c r="DA1059">
        <v>1</v>
      </c>
      <c r="DB1059">
        <v>0</v>
      </c>
      <c r="DC1059">
        <v>0</v>
      </c>
      <c r="DD1059">
        <v>0</v>
      </c>
      <c r="DE1059">
        <v>0</v>
      </c>
      <c r="DF1059">
        <v>0</v>
      </c>
      <c r="DG1059">
        <v>0</v>
      </c>
      <c r="DH1059">
        <v>0</v>
      </c>
      <c r="DI1059">
        <v>0</v>
      </c>
    </row>
    <row r="1060" spans="1:113" x14ac:dyDescent="0.3">
      <c r="A1060" t="str">
        <f>"02/13/2022 18:41:23.447"</f>
        <v>02/13/2022 18:41:23.447</v>
      </c>
      <c r="C1060" t="str">
        <f t="shared" si="106"/>
        <v>FFDFD7C0</v>
      </c>
      <c r="D1060" t="s">
        <v>113</v>
      </c>
      <c r="E1060">
        <v>3</v>
      </c>
      <c r="F1060">
        <v>1003</v>
      </c>
      <c r="G1060" t="s">
        <v>114</v>
      </c>
      <c r="J1060" t="s">
        <v>115</v>
      </c>
      <c r="K1060">
        <v>0</v>
      </c>
      <c r="L1060">
        <v>3</v>
      </c>
      <c r="M1060">
        <v>0</v>
      </c>
      <c r="N1060">
        <v>2</v>
      </c>
      <c r="O1060">
        <v>1</v>
      </c>
      <c r="P1060">
        <v>0</v>
      </c>
      <c r="Q1060">
        <v>0</v>
      </c>
      <c r="S1060" t="str">
        <f t="shared" si="110"/>
        <v>18:41:23.188</v>
      </c>
      <c r="T1060" t="str">
        <f t="shared" si="110"/>
        <v>18:41:23.188</v>
      </c>
      <c r="U1060" t="str">
        <f t="shared" si="105"/>
        <v>AAB6EE</v>
      </c>
      <c r="V1060">
        <v>0</v>
      </c>
      <c r="W1060">
        <v>0</v>
      </c>
      <c r="X1060">
        <v>4</v>
      </c>
      <c r="Z1060">
        <v>0</v>
      </c>
      <c r="AA1060">
        <v>8</v>
      </c>
      <c r="AB1060">
        <v>3</v>
      </c>
      <c r="AC1060">
        <v>0</v>
      </c>
      <c r="AD1060">
        <v>10</v>
      </c>
      <c r="AE1060">
        <v>0</v>
      </c>
      <c r="AF1060">
        <v>0</v>
      </c>
      <c r="AG1060">
        <v>1</v>
      </c>
      <c r="AH1060">
        <v>1</v>
      </c>
      <c r="AI1060" t="s">
        <v>827</v>
      </c>
      <c r="AJ1060">
        <v>35.285660999999998</v>
      </c>
      <c r="AK1060" t="s">
        <v>828</v>
      </c>
      <c r="AL1060">
        <v>-76.199284000000006</v>
      </c>
      <c r="AM1060">
        <v>25</v>
      </c>
      <c r="AN1060">
        <v>3425</v>
      </c>
      <c r="AO1060" t="s">
        <v>118</v>
      </c>
      <c r="AP1060">
        <v>-139</v>
      </c>
      <c r="AQ1060">
        <v>-171</v>
      </c>
      <c r="AR1060">
        <v>192</v>
      </c>
      <c r="AZ1060">
        <v>4516</v>
      </c>
      <c r="BA1060">
        <v>1</v>
      </c>
      <c r="BB1060" t="str">
        <f t="shared" si="107"/>
        <v xml:space="preserve">N79NX   </v>
      </c>
      <c r="BC1060">
        <v>1</v>
      </c>
      <c r="BE1060">
        <v>0</v>
      </c>
      <c r="BF1060">
        <v>0</v>
      </c>
      <c r="BG1060">
        <v>0</v>
      </c>
      <c r="BH1060">
        <v>3275</v>
      </c>
      <c r="BI1060">
        <v>0</v>
      </c>
      <c r="BJ1060">
        <v>0</v>
      </c>
      <c r="BK1060">
        <v>0</v>
      </c>
      <c r="BL1060">
        <v>0</v>
      </c>
      <c r="BO1060">
        <v>0</v>
      </c>
      <c r="BP1060">
        <v>0</v>
      </c>
      <c r="BW1060" t="str">
        <f>"18:41:23.191"</f>
        <v>18:41:23.191</v>
      </c>
      <c r="BZ1060">
        <v>0</v>
      </c>
      <c r="CA1060">
        <v>4096</v>
      </c>
      <c r="CB1060">
        <v>216</v>
      </c>
      <c r="CC1060">
        <v>525.9375</v>
      </c>
      <c r="CD1060">
        <v>1</v>
      </c>
      <c r="CE1060">
        <v>1</v>
      </c>
      <c r="CF1060">
        <v>0</v>
      </c>
      <c r="CG1060">
        <v>1</v>
      </c>
      <c r="CH1060">
        <v>0</v>
      </c>
      <c r="CI1060">
        <v>1</v>
      </c>
      <c r="CJ1060">
        <v>0</v>
      </c>
      <c r="CK1060">
        <v>2</v>
      </c>
      <c r="CL1060">
        <v>0</v>
      </c>
      <c r="CM1060">
        <v>2</v>
      </c>
      <c r="CN1060">
        <v>0</v>
      </c>
      <c r="CO1060">
        <v>3</v>
      </c>
      <c r="CP1060" t="s">
        <v>119</v>
      </c>
      <c r="CQ1060">
        <v>145</v>
      </c>
      <c r="CR1060">
        <v>1</v>
      </c>
      <c r="CW1060">
        <v>9015006</v>
      </c>
      <c r="CY1060">
        <v>0</v>
      </c>
      <c r="CZ1060">
        <v>0</v>
      </c>
      <c r="DA1060">
        <v>1</v>
      </c>
      <c r="DB1060">
        <v>0</v>
      </c>
      <c r="DC1060">
        <v>0</v>
      </c>
      <c r="DD1060">
        <v>0</v>
      </c>
      <c r="DE1060">
        <v>0</v>
      </c>
      <c r="DF1060">
        <v>0</v>
      </c>
      <c r="DG1060">
        <v>0</v>
      </c>
      <c r="DH1060">
        <v>0</v>
      </c>
      <c r="DI1060">
        <v>0</v>
      </c>
    </row>
    <row r="1061" spans="1:113" x14ac:dyDescent="0.3">
      <c r="A1061" t="str">
        <f>"02/13/2022 18:41:24.339"</f>
        <v>02/13/2022 18:41:24.339</v>
      </c>
      <c r="C1061" t="str">
        <f t="shared" si="106"/>
        <v>FFDFD7C0</v>
      </c>
      <c r="D1061" t="s">
        <v>121</v>
      </c>
      <c r="E1061">
        <v>2</v>
      </c>
      <c r="H1061">
        <v>158</v>
      </c>
      <c r="I1061" t="s">
        <v>120</v>
      </c>
      <c r="J1061" t="s">
        <v>122</v>
      </c>
      <c r="K1061">
        <v>0</v>
      </c>
      <c r="L1061">
        <v>3</v>
      </c>
      <c r="M1061">
        <v>0</v>
      </c>
      <c r="N1061">
        <v>2</v>
      </c>
      <c r="O1061">
        <v>1</v>
      </c>
      <c r="P1061">
        <v>0</v>
      </c>
      <c r="Q1061">
        <v>0</v>
      </c>
      <c r="S1061" t="str">
        <f>"18:41:24.094"</f>
        <v>18:41:24.094</v>
      </c>
      <c r="T1061" t="str">
        <f>"18:41:23.194"</f>
        <v>18:41:23.194</v>
      </c>
      <c r="U1061" t="str">
        <f t="shared" si="105"/>
        <v>AAB6EE</v>
      </c>
      <c r="V1061">
        <v>0</v>
      </c>
      <c r="W1061">
        <v>0</v>
      </c>
      <c r="X1061">
        <v>4</v>
      </c>
      <c r="Z1061">
        <v>0</v>
      </c>
      <c r="AA1061">
        <v>8</v>
      </c>
      <c r="AB1061">
        <v>3</v>
      </c>
      <c r="AC1061">
        <v>0</v>
      </c>
      <c r="AD1061">
        <v>10</v>
      </c>
      <c r="AE1061">
        <v>0</v>
      </c>
      <c r="AF1061">
        <v>0</v>
      </c>
      <c r="AG1061">
        <v>1</v>
      </c>
      <c r="AH1061">
        <v>1</v>
      </c>
      <c r="AI1061" t="s">
        <v>829</v>
      </c>
      <c r="AJ1061">
        <v>35.284975000000003</v>
      </c>
      <c r="AK1061" t="s">
        <v>830</v>
      </c>
      <c r="AL1061">
        <v>-76.200012999999998</v>
      </c>
      <c r="AM1061">
        <v>25</v>
      </c>
      <c r="AN1061">
        <v>3425</v>
      </c>
      <c r="AO1061" t="s">
        <v>118</v>
      </c>
      <c r="AP1061">
        <v>-139</v>
      </c>
      <c r="AQ1061">
        <v>-171</v>
      </c>
      <c r="AR1061">
        <v>192</v>
      </c>
      <c r="AZ1061">
        <v>4516</v>
      </c>
      <c r="BA1061">
        <v>1</v>
      </c>
      <c r="BB1061" t="str">
        <f t="shared" si="107"/>
        <v xml:space="preserve">N79NX   </v>
      </c>
      <c r="BC1061">
        <v>1</v>
      </c>
      <c r="BE1061">
        <v>0</v>
      </c>
      <c r="BF1061">
        <v>0</v>
      </c>
      <c r="BG1061">
        <v>0</v>
      </c>
      <c r="BH1061">
        <v>3275</v>
      </c>
      <c r="BI1061">
        <v>0</v>
      </c>
      <c r="BJ1061">
        <v>0</v>
      </c>
      <c r="BK1061">
        <v>0</v>
      </c>
      <c r="BL1061">
        <v>0</v>
      </c>
      <c r="BO1061">
        <v>0</v>
      </c>
      <c r="BP1061">
        <v>0</v>
      </c>
      <c r="BW1061" t="str">
        <f>"18:41:24.101"</f>
        <v>18:41:24.101</v>
      </c>
      <c r="BZ1061">
        <v>0</v>
      </c>
      <c r="CA1061">
        <v>4096</v>
      </c>
      <c r="CB1061">
        <v>216</v>
      </c>
      <c r="CC1061">
        <v>525.9375</v>
      </c>
      <c r="CD1061">
        <v>1</v>
      </c>
      <c r="CE1061">
        <v>1</v>
      </c>
      <c r="CF1061">
        <v>0</v>
      </c>
      <c r="CG1061">
        <v>1</v>
      </c>
      <c r="CH1061">
        <v>0</v>
      </c>
      <c r="CI1061">
        <v>1</v>
      </c>
      <c r="CJ1061">
        <v>0</v>
      </c>
      <c r="CK1061">
        <v>2</v>
      </c>
      <c r="CL1061">
        <v>0</v>
      </c>
      <c r="CM1061">
        <v>2</v>
      </c>
      <c r="CN1061">
        <v>0</v>
      </c>
      <c r="CO1061">
        <v>3</v>
      </c>
      <c r="CP1061" t="s">
        <v>119</v>
      </c>
      <c r="CQ1061">
        <v>145</v>
      </c>
      <c r="CR1061">
        <v>1</v>
      </c>
      <c r="CW1061">
        <v>9015442</v>
      </c>
      <c r="CY1061">
        <v>0</v>
      </c>
      <c r="CZ1061">
        <v>0</v>
      </c>
      <c r="DA1061">
        <v>0</v>
      </c>
      <c r="DB1061">
        <v>0</v>
      </c>
      <c r="DC1061">
        <v>0</v>
      </c>
      <c r="DD1061">
        <v>0</v>
      </c>
      <c r="DE1061">
        <v>0</v>
      </c>
      <c r="DF1061">
        <v>0</v>
      </c>
      <c r="DG1061">
        <v>0</v>
      </c>
      <c r="DH1061">
        <v>0</v>
      </c>
      <c r="DI1061">
        <v>0</v>
      </c>
    </row>
    <row r="1062" spans="1:113" x14ac:dyDescent="0.3">
      <c r="A1062" t="str">
        <f>"02/13/2022 18:41:24.339"</f>
        <v>02/13/2022 18:41:24.339</v>
      </c>
      <c r="C1062" t="str">
        <f t="shared" si="106"/>
        <v>FFDFD7C0</v>
      </c>
      <c r="D1062" t="s">
        <v>113</v>
      </c>
      <c r="E1062">
        <v>3</v>
      </c>
      <c r="F1062">
        <v>1003</v>
      </c>
      <c r="G1062" t="s">
        <v>114</v>
      </c>
      <c r="J1062" t="s">
        <v>115</v>
      </c>
      <c r="K1062">
        <v>0</v>
      </c>
      <c r="L1062">
        <v>3</v>
      </c>
      <c r="M1062">
        <v>0</v>
      </c>
      <c r="N1062">
        <v>2</v>
      </c>
      <c r="O1062">
        <v>1</v>
      </c>
      <c r="P1062">
        <v>0</v>
      </c>
      <c r="Q1062">
        <v>0</v>
      </c>
      <c r="S1062" t="str">
        <f>"18:41:24.094"</f>
        <v>18:41:24.094</v>
      </c>
      <c r="T1062" t="str">
        <f>"18:41:23.194"</f>
        <v>18:41:23.194</v>
      </c>
      <c r="U1062" t="str">
        <f t="shared" si="105"/>
        <v>AAB6EE</v>
      </c>
      <c r="V1062">
        <v>0</v>
      </c>
      <c r="W1062">
        <v>0</v>
      </c>
      <c r="X1062">
        <v>4</v>
      </c>
      <c r="Z1062">
        <v>0</v>
      </c>
      <c r="AA1062">
        <v>8</v>
      </c>
      <c r="AB1062">
        <v>3</v>
      </c>
      <c r="AC1062">
        <v>0</v>
      </c>
      <c r="AD1062">
        <v>10</v>
      </c>
      <c r="AE1062">
        <v>0</v>
      </c>
      <c r="AF1062">
        <v>0</v>
      </c>
      <c r="AG1062">
        <v>1</v>
      </c>
      <c r="AH1062">
        <v>1</v>
      </c>
      <c r="AI1062" t="s">
        <v>829</v>
      </c>
      <c r="AJ1062">
        <v>35.284975000000003</v>
      </c>
      <c r="AK1062" t="s">
        <v>830</v>
      </c>
      <c r="AL1062">
        <v>-76.200012999999998</v>
      </c>
      <c r="AM1062">
        <v>25</v>
      </c>
      <c r="AN1062">
        <v>3425</v>
      </c>
      <c r="AO1062" t="s">
        <v>118</v>
      </c>
      <c r="AP1062">
        <v>-139</v>
      </c>
      <c r="AQ1062">
        <v>-171</v>
      </c>
      <c r="AR1062">
        <v>192</v>
      </c>
      <c r="AZ1062">
        <v>4516</v>
      </c>
      <c r="BA1062">
        <v>1</v>
      </c>
      <c r="BB1062" t="str">
        <f t="shared" si="107"/>
        <v xml:space="preserve">N79NX   </v>
      </c>
      <c r="BC1062">
        <v>1</v>
      </c>
      <c r="BE1062">
        <v>0</v>
      </c>
      <c r="BF1062">
        <v>0</v>
      </c>
      <c r="BG1062">
        <v>0</v>
      </c>
      <c r="BH1062">
        <v>3275</v>
      </c>
      <c r="BI1062">
        <v>0</v>
      </c>
      <c r="BJ1062">
        <v>0</v>
      </c>
      <c r="BK1062">
        <v>0</v>
      </c>
      <c r="BL1062">
        <v>0</v>
      </c>
      <c r="BO1062">
        <v>0</v>
      </c>
      <c r="BP1062">
        <v>0</v>
      </c>
      <c r="BW1062" t="str">
        <f>"18:41:24.101"</f>
        <v>18:41:24.101</v>
      </c>
      <c r="BZ1062">
        <v>0</v>
      </c>
      <c r="CA1062">
        <v>4096</v>
      </c>
      <c r="CB1062">
        <v>216</v>
      </c>
      <c r="CC1062">
        <v>525.9375</v>
      </c>
      <c r="CD1062">
        <v>1</v>
      </c>
      <c r="CE1062">
        <v>1</v>
      </c>
      <c r="CF1062">
        <v>0</v>
      </c>
      <c r="CG1062">
        <v>1</v>
      </c>
      <c r="CH1062">
        <v>0</v>
      </c>
      <c r="CI1062">
        <v>1</v>
      </c>
      <c r="CJ1062">
        <v>0</v>
      </c>
      <c r="CK1062">
        <v>2</v>
      </c>
      <c r="CL1062">
        <v>0</v>
      </c>
      <c r="CM1062">
        <v>2</v>
      </c>
      <c r="CN1062">
        <v>0</v>
      </c>
      <c r="CO1062">
        <v>3</v>
      </c>
      <c r="CP1062" t="s">
        <v>119</v>
      </c>
      <c r="CQ1062">
        <v>145</v>
      </c>
      <c r="CR1062">
        <v>1</v>
      </c>
      <c r="CW1062">
        <v>9015442</v>
      </c>
      <c r="CY1062">
        <v>0</v>
      </c>
      <c r="CZ1062">
        <v>0</v>
      </c>
      <c r="DA1062">
        <v>1</v>
      </c>
      <c r="DB1062">
        <v>0</v>
      </c>
      <c r="DC1062">
        <v>0</v>
      </c>
      <c r="DD1062">
        <v>0</v>
      </c>
      <c r="DE1062">
        <v>0</v>
      </c>
      <c r="DF1062">
        <v>0</v>
      </c>
      <c r="DG1062">
        <v>0</v>
      </c>
      <c r="DH1062">
        <v>0</v>
      </c>
      <c r="DI1062">
        <v>0</v>
      </c>
    </row>
    <row r="1063" spans="1:113" x14ac:dyDescent="0.3">
      <c r="A1063" t="str">
        <f>"02/13/2022 18:41:24.339"</f>
        <v>02/13/2022 18:41:24.339</v>
      </c>
      <c r="C1063" t="str">
        <f t="shared" si="106"/>
        <v>FFDFD7C0</v>
      </c>
      <c r="D1063" t="s">
        <v>113</v>
      </c>
      <c r="E1063">
        <v>4</v>
      </c>
      <c r="F1063">
        <v>1004</v>
      </c>
      <c r="G1063" t="s">
        <v>120</v>
      </c>
      <c r="J1063" t="s">
        <v>115</v>
      </c>
      <c r="K1063">
        <v>0</v>
      </c>
      <c r="L1063">
        <v>3</v>
      </c>
      <c r="M1063">
        <v>0</v>
      </c>
      <c r="N1063">
        <v>2</v>
      </c>
      <c r="O1063">
        <v>1</v>
      </c>
      <c r="P1063">
        <v>0</v>
      </c>
      <c r="Q1063">
        <v>0</v>
      </c>
      <c r="S1063" t="str">
        <f>"18:41:24.094"</f>
        <v>18:41:24.094</v>
      </c>
      <c r="T1063" t="str">
        <f>"18:41:23.194"</f>
        <v>18:41:23.194</v>
      </c>
      <c r="U1063" t="str">
        <f t="shared" si="105"/>
        <v>AAB6EE</v>
      </c>
      <c r="V1063">
        <v>0</v>
      </c>
      <c r="W1063">
        <v>0</v>
      </c>
      <c r="X1063">
        <v>4</v>
      </c>
      <c r="Z1063">
        <v>0</v>
      </c>
      <c r="AA1063">
        <v>8</v>
      </c>
      <c r="AB1063">
        <v>3</v>
      </c>
      <c r="AC1063">
        <v>0</v>
      </c>
      <c r="AD1063">
        <v>10</v>
      </c>
      <c r="AE1063">
        <v>0</v>
      </c>
      <c r="AF1063">
        <v>0</v>
      </c>
      <c r="AG1063">
        <v>1</v>
      </c>
      <c r="AH1063">
        <v>1</v>
      </c>
      <c r="AI1063" t="s">
        <v>829</v>
      </c>
      <c r="AJ1063">
        <v>35.284975000000003</v>
      </c>
      <c r="AK1063" t="s">
        <v>830</v>
      </c>
      <c r="AL1063">
        <v>-76.200012999999998</v>
      </c>
      <c r="AM1063">
        <v>25</v>
      </c>
      <c r="AN1063">
        <v>3425</v>
      </c>
      <c r="AO1063" t="s">
        <v>118</v>
      </c>
      <c r="AP1063">
        <v>-139</v>
      </c>
      <c r="AQ1063">
        <v>-171</v>
      </c>
      <c r="AR1063">
        <v>192</v>
      </c>
      <c r="AZ1063">
        <v>4516</v>
      </c>
      <c r="BA1063">
        <v>1</v>
      </c>
      <c r="BB1063" t="str">
        <f t="shared" si="107"/>
        <v xml:space="preserve">N79NX   </v>
      </c>
      <c r="BC1063">
        <v>1</v>
      </c>
      <c r="BE1063">
        <v>0</v>
      </c>
      <c r="BF1063">
        <v>0</v>
      </c>
      <c r="BG1063">
        <v>0</v>
      </c>
      <c r="BH1063">
        <v>3275</v>
      </c>
      <c r="BI1063">
        <v>0</v>
      </c>
      <c r="BJ1063">
        <v>0</v>
      </c>
      <c r="BK1063">
        <v>0</v>
      </c>
      <c r="BL1063">
        <v>0</v>
      </c>
      <c r="BO1063">
        <v>0</v>
      </c>
      <c r="BP1063">
        <v>0</v>
      </c>
      <c r="BW1063" t="str">
        <f>"18:41:24.101"</f>
        <v>18:41:24.101</v>
      </c>
      <c r="BZ1063">
        <v>0</v>
      </c>
      <c r="CA1063">
        <v>4096</v>
      </c>
      <c r="CB1063">
        <v>216</v>
      </c>
      <c r="CC1063">
        <v>525.9375</v>
      </c>
      <c r="CD1063">
        <v>1</v>
      </c>
      <c r="CE1063">
        <v>1</v>
      </c>
      <c r="CF1063">
        <v>0</v>
      </c>
      <c r="CG1063">
        <v>1</v>
      </c>
      <c r="CH1063">
        <v>0</v>
      </c>
      <c r="CI1063">
        <v>1</v>
      </c>
      <c r="CJ1063">
        <v>0</v>
      </c>
      <c r="CK1063">
        <v>2</v>
      </c>
      <c r="CL1063">
        <v>0</v>
      </c>
      <c r="CM1063">
        <v>2</v>
      </c>
      <c r="CN1063">
        <v>0</v>
      </c>
      <c r="CO1063">
        <v>3</v>
      </c>
      <c r="CP1063" t="s">
        <v>119</v>
      </c>
      <c r="CQ1063">
        <v>145</v>
      </c>
      <c r="CR1063">
        <v>1</v>
      </c>
      <c r="CW1063">
        <v>9015442</v>
      </c>
      <c r="CY1063">
        <v>0</v>
      </c>
      <c r="CZ1063">
        <v>0</v>
      </c>
      <c r="DA1063">
        <v>1</v>
      </c>
      <c r="DB1063">
        <v>0</v>
      </c>
      <c r="DC1063">
        <v>0</v>
      </c>
      <c r="DD1063">
        <v>0</v>
      </c>
      <c r="DE1063">
        <v>0</v>
      </c>
      <c r="DF1063">
        <v>0</v>
      </c>
      <c r="DG1063">
        <v>0</v>
      </c>
      <c r="DH1063">
        <v>0</v>
      </c>
      <c r="DI1063">
        <v>0</v>
      </c>
    </row>
    <row r="1064" spans="1:113" x14ac:dyDescent="0.3">
      <c r="A1064" t="str">
        <f>"02/13/2022 18:41:26.423"</f>
        <v>02/13/2022 18:41:26.423</v>
      </c>
      <c r="C1064" t="str">
        <f t="shared" si="106"/>
        <v>FFDFD7C0</v>
      </c>
      <c r="D1064" t="s">
        <v>121</v>
      </c>
      <c r="E1064">
        <v>2</v>
      </c>
      <c r="H1064">
        <v>158</v>
      </c>
      <c r="I1064" t="s">
        <v>120</v>
      </c>
      <c r="J1064" t="s">
        <v>122</v>
      </c>
      <c r="K1064">
        <v>0</v>
      </c>
      <c r="L1064">
        <v>3</v>
      </c>
      <c r="M1064">
        <v>0</v>
      </c>
      <c r="N1064">
        <v>2</v>
      </c>
      <c r="O1064">
        <v>1</v>
      </c>
      <c r="P1064">
        <v>0</v>
      </c>
      <c r="Q1064">
        <v>0</v>
      </c>
      <c r="S1064" t="str">
        <f>"18:41:26.258"</f>
        <v>18:41:26.258</v>
      </c>
      <c r="T1064" t="str">
        <f>"18:41:24.358"</f>
        <v>18:41:24.358</v>
      </c>
      <c r="U1064" t="str">
        <f t="shared" si="105"/>
        <v>AAB6EE</v>
      </c>
      <c r="V1064">
        <v>0</v>
      </c>
      <c r="W1064">
        <v>0</v>
      </c>
      <c r="X1064">
        <v>4</v>
      </c>
      <c r="Z1064">
        <v>0</v>
      </c>
      <c r="AA1064">
        <v>8</v>
      </c>
      <c r="AB1064">
        <v>3</v>
      </c>
      <c r="AC1064">
        <v>0</v>
      </c>
      <c r="AD1064">
        <v>10</v>
      </c>
      <c r="AE1064">
        <v>0</v>
      </c>
      <c r="AF1064">
        <v>0</v>
      </c>
      <c r="AG1064">
        <v>1</v>
      </c>
      <c r="AH1064">
        <v>1</v>
      </c>
      <c r="AI1064" t="s">
        <v>831</v>
      </c>
      <c r="AJ1064">
        <v>35.283344</v>
      </c>
      <c r="AK1064" t="s">
        <v>832</v>
      </c>
      <c r="AL1064">
        <v>-76.201922999999994</v>
      </c>
      <c r="AM1064">
        <v>25</v>
      </c>
      <c r="AN1064">
        <v>3425</v>
      </c>
      <c r="AO1064" t="s">
        <v>118</v>
      </c>
      <c r="AP1064">
        <v>-147</v>
      </c>
      <c r="AQ1064">
        <v>-164</v>
      </c>
      <c r="AR1064">
        <v>192</v>
      </c>
      <c r="AZ1064">
        <v>4516</v>
      </c>
      <c r="BA1064">
        <v>1</v>
      </c>
      <c r="BB1064" t="str">
        <f t="shared" si="107"/>
        <v xml:space="preserve">N79NX   </v>
      </c>
      <c r="BC1064">
        <v>1</v>
      </c>
      <c r="BE1064">
        <v>0</v>
      </c>
      <c r="BF1064">
        <v>0</v>
      </c>
      <c r="BG1064">
        <v>0</v>
      </c>
      <c r="BH1064">
        <v>3275</v>
      </c>
      <c r="BI1064">
        <v>0</v>
      </c>
      <c r="BJ1064">
        <v>0</v>
      </c>
      <c r="BK1064">
        <v>0</v>
      </c>
      <c r="BL1064">
        <v>0</v>
      </c>
      <c r="BO1064">
        <v>0</v>
      </c>
      <c r="BP1064">
        <v>0</v>
      </c>
      <c r="BW1064" t="str">
        <f>"18:41:26.261"</f>
        <v>18:41:26.261</v>
      </c>
      <c r="BZ1064">
        <v>0</v>
      </c>
      <c r="CA1064">
        <v>4096</v>
      </c>
      <c r="CB1064">
        <v>216</v>
      </c>
      <c r="CC1064">
        <v>525.9375</v>
      </c>
      <c r="CD1064">
        <v>1</v>
      </c>
      <c r="CE1064">
        <v>1</v>
      </c>
      <c r="CF1064">
        <v>0</v>
      </c>
      <c r="CG1064">
        <v>1</v>
      </c>
      <c r="CH1064">
        <v>0</v>
      </c>
      <c r="CI1064">
        <v>1</v>
      </c>
      <c r="CJ1064">
        <v>0</v>
      </c>
      <c r="CK1064">
        <v>2</v>
      </c>
      <c r="CL1064">
        <v>0</v>
      </c>
      <c r="CM1064">
        <v>2</v>
      </c>
      <c r="CN1064">
        <v>0</v>
      </c>
      <c r="CO1064">
        <v>2</v>
      </c>
      <c r="CP1064" t="s">
        <v>119</v>
      </c>
      <c r="CQ1064">
        <v>145</v>
      </c>
      <c r="CR1064">
        <v>1</v>
      </c>
      <c r="CW1064">
        <v>9016400</v>
      </c>
      <c r="CY1064">
        <v>0</v>
      </c>
      <c r="CZ1064">
        <v>0</v>
      </c>
      <c r="DA1064">
        <v>0</v>
      </c>
      <c r="DB1064">
        <v>0</v>
      </c>
      <c r="DC1064">
        <v>0</v>
      </c>
      <c r="DD1064">
        <v>0</v>
      </c>
      <c r="DE1064">
        <v>0</v>
      </c>
      <c r="DF1064">
        <v>0</v>
      </c>
      <c r="DG1064">
        <v>0</v>
      </c>
      <c r="DH1064">
        <v>0</v>
      </c>
      <c r="DI1064">
        <v>0</v>
      </c>
    </row>
    <row r="1065" spans="1:113" x14ac:dyDescent="0.3">
      <c r="A1065" t="str">
        <f>"02/13/2022 18:41:26.439"</f>
        <v>02/13/2022 18:41:26.439</v>
      </c>
      <c r="C1065" t="str">
        <f t="shared" si="106"/>
        <v>FFDFD7C0</v>
      </c>
      <c r="D1065" t="s">
        <v>113</v>
      </c>
      <c r="E1065">
        <v>3</v>
      </c>
      <c r="F1065">
        <v>1003</v>
      </c>
      <c r="G1065" t="s">
        <v>114</v>
      </c>
      <c r="J1065" t="s">
        <v>115</v>
      </c>
      <c r="K1065">
        <v>0</v>
      </c>
      <c r="L1065">
        <v>3</v>
      </c>
      <c r="M1065">
        <v>0</v>
      </c>
      <c r="N1065">
        <v>2</v>
      </c>
      <c r="O1065">
        <v>1</v>
      </c>
      <c r="P1065">
        <v>0</v>
      </c>
      <c r="Q1065">
        <v>0</v>
      </c>
      <c r="S1065" t="str">
        <f>"18:41:26.258"</f>
        <v>18:41:26.258</v>
      </c>
      <c r="T1065" t="str">
        <f>"18:41:24.358"</f>
        <v>18:41:24.358</v>
      </c>
      <c r="U1065" t="str">
        <f t="shared" si="105"/>
        <v>AAB6EE</v>
      </c>
      <c r="V1065">
        <v>0</v>
      </c>
      <c r="W1065">
        <v>0</v>
      </c>
      <c r="X1065">
        <v>4</v>
      </c>
      <c r="Z1065">
        <v>0</v>
      </c>
      <c r="AA1065">
        <v>8</v>
      </c>
      <c r="AB1065">
        <v>3</v>
      </c>
      <c r="AC1065">
        <v>0</v>
      </c>
      <c r="AD1065">
        <v>10</v>
      </c>
      <c r="AE1065">
        <v>0</v>
      </c>
      <c r="AF1065">
        <v>0</v>
      </c>
      <c r="AG1065">
        <v>1</v>
      </c>
      <c r="AH1065">
        <v>1</v>
      </c>
      <c r="AI1065" t="s">
        <v>831</v>
      </c>
      <c r="AJ1065">
        <v>35.283344</v>
      </c>
      <c r="AK1065" t="s">
        <v>832</v>
      </c>
      <c r="AL1065">
        <v>-76.201922999999994</v>
      </c>
      <c r="AM1065">
        <v>25</v>
      </c>
      <c r="AN1065">
        <v>3425</v>
      </c>
      <c r="AO1065" t="s">
        <v>118</v>
      </c>
      <c r="AP1065">
        <v>-147</v>
      </c>
      <c r="AQ1065">
        <v>-164</v>
      </c>
      <c r="AR1065">
        <v>192</v>
      </c>
      <c r="AZ1065">
        <v>4516</v>
      </c>
      <c r="BA1065">
        <v>1</v>
      </c>
      <c r="BB1065" t="str">
        <f t="shared" si="107"/>
        <v xml:space="preserve">N79NX   </v>
      </c>
      <c r="BC1065">
        <v>1</v>
      </c>
      <c r="BE1065">
        <v>0</v>
      </c>
      <c r="BF1065">
        <v>0</v>
      </c>
      <c r="BG1065">
        <v>0</v>
      </c>
      <c r="BH1065">
        <v>3275</v>
      </c>
      <c r="BI1065">
        <v>0</v>
      </c>
      <c r="BJ1065">
        <v>0</v>
      </c>
      <c r="BK1065">
        <v>0</v>
      </c>
      <c r="BL1065">
        <v>0</v>
      </c>
      <c r="BO1065">
        <v>0</v>
      </c>
      <c r="BP1065">
        <v>0</v>
      </c>
      <c r="BW1065" t="str">
        <f>"18:41:26.261"</f>
        <v>18:41:26.261</v>
      </c>
      <c r="BZ1065">
        <v>0</v>
      </c>
      <c r="CA1065">
        <v>4096</v>
      </c>
      <c r="CB1065">
        <v>216</v>
      </c>
      <c r="CC1065">
        <v>525.9375</v>
      </c>
      <c r="CD1065">
        <v>1</v>
      </c>
      <c r="CE1065">
        <v>1</v>
      </c>
      <c r="CF1065">
        <v>0</v>
      </c>
      <c r="CG1065">
        <v>1</v>
      </c>
      <c r="CH1065">
        <v>0</v>
      </c>
      <c r="CI1065">
        <v>1</v>
      </c>
      <c r="CJ1065">
        <v>0</v>
      </c>
      <c r="CK1065">
        <v>2</v>
      </c>
      <c r="CL1065">
        <v>0</v>
      </c>
      <c r="CM1065">
        <v>2</v>
      </c>
      <c r="CN1065">
        <v>0</v>
      </c>
      <c r="CO1065">
        <v>2</v>
      </c>
      <c r="CP1065" t="s">
        <v>119</v>
      </c>
      <c r="CQ1065">
        <v>145</v>
      </c>
      <c r="CR1065">
        <v>1</v>
      </c>
      <c r="CW1065">
        <v>9016400</v>
      </c>
      <c r="CY1065">
        <v>0</v>
      </c>
      <c r="CZ1065">
        <v>0</v>
      </c>
      <c r="DA1065">
        <v>1</v>
      </c>
      <c r="DB1065">
        <v>0</v>
      </c>
      <c r="DC1065">
        <v>0</v>
      </c>
      <c r="DD1065">
        <v>0</v>
      </c>
      <c r="DE1065">
        <v>0</v>
      </c>
      <c r="DF1065">
        <v>0</v>
      </c>
      <c r="DG1065">
        <v>0</v>
      </c>
      <c r="DH1065">
        <v>0</v>
      </c>
      <c r="DI1065">
        <v>0</v>
      </c>
    </row>
    <row r="1066" spans="1:113" x14ac:dyDescent="0.3">
      <c r="A1066" t="str">
        <f>"02/13/2022 18:41:26.454"</f>
        <v>02/13/2022 18:41:26.454</v>
      </c>
      <c r="C1066" t="str">
        <f t="shared" si="106"/>
        <v>FFDFD7C0</v>
      </c>
      <c r="D1066" t="s">
        <v>113</v>
      </c>
      <c r="E1066">
        <v>4</v>
      </c>
      <c r="F1066">
        <v>1004</v>
      </c>
      <c r="G1066" t="s">
        <v>120</v>
      </c>
      <c r="J1066" t="s">
        <v>115</v>
      </c>
      <c r="K1066">
        <v>0</v>
      </c>
      <c r="L1066">
        <v>3</v>
      </c>
      <c r="M1066">
        <v>0</v>
      </c>
      <c r="N1066">
        <v>2</v>
      </c>
      <c r="O1066">
        <v>1</v>
      </c>
      <c r="P1066">
        <v>0</v>
      </c>
      <c r="Q1066">
        <v>0</v>
      </c>
      <c r="S1066" t="str">
        <f>"18:41:26.258"</f>
        <v>18:41:26.258</v>
      </c>
      <c r="T1066" t="str">
        <f>"18:41:24.358"</f>
        <v>18:41:24.358</v>
      </c>
      <c r="U1066" t="str">
        <f t="shared" si="105"/>
        <v>AAB6EE</v>
      </c>
      <c r="V1066">
        <v>0</v>
      </c>
      <c r="W1066">
        <v>0</v>
      </c>
      <c r="X1066">
        <v>4</v>
      </c>
      <c r="Z1066">
        <v>0</v>
      </c>
      <c r="AA1066">
        <v>8</v>
      </c>
      <c r="AB1066">
        <v>3</v>
      </c>
      <c r="AC1066">
        <v>0</v>
      </c>
      <c r="AD1066">
        <v>10</v>
      </c>
      <c r="AE1066">
        <v>0</v>
      </c>
      <c r="AF1066">
        <v>0</v>
      </c>
      <c r="AG1066">
        <v>1</v>
      </c>
      <c r="AH1066">
        <v>1</v>
      </c>
      <c r="AI1066" t="s">
        <v>831</v>
      </c>
      <c r="AJ1066">
        <v>35.283344</v>
      </c>
      <c r="AK1066" t="s">
        <v>832</v>
      </c>
      <c r="AL1066">
        <v>-76.201922999999994</v>
      </c>
      <c r="AM1066">
        <v>25</v>
      </c>
      <c r="AN1066">
        <v>3425</v>
      </c>
      <c r="AO1066" t="s">
        <v>118</v>
      </c>
      <c r="AP1066">
        <v>-147</v>
      </c>
      <c r="AQ1066">
        <v>-164</v>
      </c>
      <c r="AR1066">
        <v>192</v>
      </c>
      <c r="AZ1066">
        <v>4516</v>
      </c>
      <c r="BA1066">
        <v>1</v>
      </c>
      <c r="BB1066" t="str">
        <f t="shared" si="107"/>
        <v xml:space="preserve">N79NX   </v>
      </c>
      <c r="BC1066">
        <v>1</v>
      </c>
      <c r="BE1066">
        <v>0</v>
      </c>
      <c r="BF1066">
        <v>0</v>
      </c>
      <c r="BG1066">
        <v>0</v>
      </c>
      <c r="BH1066">
        <v>3275</v>
      </c>
      <c r="BI1066">
        <v>0</v>
      </c>
      <c r="BJ1066">
        <v>0</v>
      </c>
      <c r="BK1066">
        <v>0</v>
      </c>
      <c r="BL1066">
        <v>0</v>
      </c>
      <c r="BO1066">
        <v>0</v>
      </c>
      <c r="BP1066">
        <v>0</v>
      </c>
      <c r="BW1066" t="str">
        <f>"18:41:26.261"</f>
        <v>18:41:26.261</v>
      </c>
      <c r="BZ1066">
        <v>0</v>
      </c>
      <c r="CA1066">
        <v>4096</v>
      </c>
      <c r="CB1066">
        <v>216</v>
      </c>
      <c r="CC1066">
        <v>525.9375</v>
      </c>
      <c r="CD1066">
        <v>1</v>
      </c>
      <c r="CE1066">
        <v>1</v>
      </c>
      <c r="CF1066">
        <v>0</v>
      </c>
      <c r="CG1066">
        <v>1</v>
      </c>
      <c r="CH1066">
        <v>0</v>
      </c>
      <c r="CI1066">
        <v>1</v>
      </c>
      <c r="CJ1066">
        <v>0</v>
      </c>
      <c r="CK1066">
        <v>2</v>
      </c>
      <c r="CL1066">
        <v>0</v>
      </c>
      <c r="CM1066">
        <v>2</v>
      </c>
      <c r="CN1066">
        <v>0</v>
      </c>
      <c r="CO1066">
        <v>2</v>
      </c>
      <c r="CP1066" t="s">
        <v>119</v>
      </c>
      <c r="CQ1066">
        <v>145</v>
      </c>
      <c r="CR1066">
        <v>1</v>
      </c>
      <c r="CW1066">
        <v>9016400</v>
      </c>
      <c r="CY1066">
        <v>0</v>
      </c>
      <c r="CZ1066">
        <v>0</v>
      </c>
      <c r="DA1066">
        <v>1</v>
      </c>
      <c r="DB1066">
        <v>0</v>
      </c>
      <c r="DC1066">
        <v>0</v>
      </c>
      <c r="DD1066">
        <v>0</v>
      </c>
      <c r="DE1066">
        <v>0</v>
      </c>
      <c r="DF1066">
        <v>0</v>
      </c>
      <c r="DG1066">
        <v>0</v>
      </c>
      <c r="DH1066">
        <v>0</v>
      </c>
      <c r="DI1066">
        <v>0</v>
      </c>
    </row>
    <row r="1067" spans="1:113" x14ac:dyDescent="0.3">
      <c r="A1067" t="str">
        <f>"02/13/2022 18:41:27.392"</f>
        <v>02/13/2022 18:41:27.392</v>
      </c>
      <c r="C1067" t="str">
        <f t="shared" si="106"/>
        <v>FFDFD7C0</v>
      </c>
      <c r="D1067" t="s">
        <v>121</v>
      </c>
      <c r="E1067">
        <v>2</v>
      </c>
      <c r="H1067">
        <v>158</v>
      </c>
      <c r="I1067" t="s">
        <v>120</v>
      </c>
      <c r="J1067" t="s">
        <v>122</v>
      </c>
      <c r="K1067">
        <v>0</v>
      </c>
      <c r="L1067">
        <v>3</v>
      </c>
      <c r="M1067">
        <v>0</v>
      </c>
      <c r="N1067">
        <v>2</v>
      </c>
      <c r="O1067">
        <v>1</v>
      </c>
      <c r="P1067">
        <v>0</v>
      </c>
      <c r="Q1067">
        <v>0</v>
      </c>
      <c r="S1067" t="str">
        <f>"18:41:27.188"</f>
        <v>18:41:27.188</v>
      </c>
      <c r="T1067" t="str">
        <f>"18:41:26.587"</f>
        <v>18:41:26.587</v>
      </c>
      <c r="U1067" t="str">
        <f t="shared" si="105"/>
        <v>AAB6EE</v>
      </c>
      <c r="V1067">
        <v>0</v>
      </c>
      <c r="W1067">
        <v>0</v>
      </c>
      <c r="X1067">
        <v>4</v>
      </c>
      <c r="Z1067">
        <v>0</v>
      </c>
      <c r="AA1067">
        <v>8</v>
      </c>
      <c r="AB1067">
        <v>3</v>
      </c>
      <c r="AC1067">
        <v>0</v>
      </c>
      <c r="AD1067">
        <v>10</v>
      </c>
      <c r="AE1067">
        <v>0</v>
      </c>
      <c r="AF1067">
        <v>0</v>
      </c>
      <c r="AG1067">
        <v>1</v>
      </c>
      <c r="AH1067">
        <v>1</v>
      </c>
      <c r="AI1067" t="s">
        <v>833</v>
      </c>
      <c r="AJ1067">
        <v>35.282722</v>
      </c>
      <c r="AK1067" t="s">
        <v>834</v>
      </c>
      <c r="AL1067">
        <v>-76.202717000000007</v>
      </c>
      <c r="AM1067">
        <v>25</v>
      </c>
      <c r="AN1067">
        <v>3425</v>
      </c>
      <c r="AO1067" t="s">
        <v>118</v>
      </c>
      <c r="AP1067">
        <v>-159</v>
      </c>
      <c r="AQ1067">
        <v>-151</v>
      </c>
      <c r="AR1067">
        <v>128</v>
      </c>
      <c r="AZ1067">
        <v>4516</v>
      </c>
      <c r="BA1067">
        <v>1</v>
      </c>
      <c r="BB1067" t="str">
        <f t="shared" si="107"/>
        <v xml:space="preserve">N79NX   </v>
      </c>
      <c r="BC1067">
        <v>1</v>
      </c>
      <c r="BE1067">
        <v>0</v>
      </c>
      <c r="BF1067">
        <v>0</v>
      </c>
      <c r="BG1067">
        <v>0</v>
      </c>
      <c r="BH1067">
        <v>3275</v>
      </c>
      <c r="BI1067">
        <v>0</v>
      </c>
      <c r="BJ1067">
        <v>0</v>
      </c>
      <c r="BK1067">
        <v>0</v>
      </c>
      <c r="BL1067">
        <v>0</v>
      </c>
      <c r="BO1067">
        <v>0</v>
      </c>
      <c r="BP1067">
        <v>0</v>
      </c>
      <c r="BW1067" t="str">
        <f>"18:41:27.191"</f>
        <v>18:41:27.191</v>
      </c>
      <c r="BZ1067">
        <v>0</v>
      </c>
      <c r="CA1067">
        <v>4096</v>
      </c>
      <c r="CB1067">
        <v>216</v>
      </c>
      <c r="CC1067">
        <v>525.9375</v>
      </c>
      <c r="CD1067">
        <v>1</v>
      </c>
      <c r="CE1067">
        <v>1</v>
      </c>
      <c r="CF1067">
        <v>0</v>
      </c>
      <c r="CG1067">
        <v>1</v>
      </c>
      <c r="CH1067">
        <v>0</v>
      </c>
      <c r="CI1067">
        <v>1</v>
      </c>
      <c r="CJ1067">
        <v>0</v>
      </c>
      <c r="CK1067">
        <v>2</v>
      </c>
      <c r="CL1067">
        <v>0</v>
      </c>
      <c r="CM1067">
        <v>2</v>
      </c>
      <c r="CN1067">
        <v>0</v>
      </c>
      <c r="CO1067">
        <v>3</v>
      </c>
      <c r="CP1067" t="s">
        <v>119</v>
      </c>
      <c r="CQ1067">
        <v>145</v>
      </c>
      <c r="CR1067">
        <v>1</v>
      </c>
      <c r="CW1067">
        <v>9016730</v>
      </c>
      <c r="CY1067">
        <v>0</v>
      </c>
      <c r="CZ1067">
        <v>0</v>
      </c>
      <c r="DA1067">
        <v>0</v>
      </c>
      <c r="DB1067">
        <v>0</v>
      </c>
      <c r="DC1067">
        <v>0</v>
      </c>
      <c r="DD1067">
        <v>0</v>
      </c>
      <c r="DE1067">
        <v>0</v>
      </c>
      <c r="DF1067">
        <v>0</v>
      </c>
      <c r="DG1067">
        <v>0</v>
      </c>
      <c r="DH1067">
        <v>0</v>
      </c>
      <c r="DI1067">
        <v>0</v>
      </c>
    </row>
    <row r="1068" spans="1:113" x14ac:dyDescent="0.3">
      <c r="A1068" t="str">
        <f>"02/13/2022 18:41:27.407"</f>
        <v>02/13/2022 18:41:27.407</v>
      </c>
      <c r="C1068" t="str">
        <f t="shared" si="106"/>
        <v>FFDFD7C0</v>
      </c>
      <c r="D1068" t="s">
        <v>113</v>
      </c>
      <c r="E1068">
        <v>3</v>
      </c>
      <c r="F1068">
        <v>1003</v>
      </c>
      <c r="G1068" t="s">
        <v>114</v>
      </c>
      <c r="J1068" t="s">
        <v>115</v>
      </c>
      <c r="K1068">
        <v>0</v>
      </c>
      <c r="L1068">
        <v>3</v>
      </c>
      <c r="M1068">
        <v>0</v>
      </c>
      <c r="N1068">
        <v>2</v>
      </c>
      <c r="O1068">
        <v>1</v>
      </c>
      <c r="P1068">
        <v>0</v>
      </c>
      <c r="Q1068">
        <v>0</v>
      </c>
      <c r="S1068" t="str">
        <f>"18:41:27.188"</f>
        <v>18:41:27.188</v>
      </c>
      <c r="T1068" t="str">
        <f>"18:41:26.587"</f>
        <v>18:41:26.587</v>
      </c>
      <c r="U1068" t="str">
        <f t="shared" si="105"/>
        <v>AAB6EE</v>
      </c>
      <c r="V1068">
        <v>0</v>
      </c>
      <c r="W1068">
        <v>0</v>
      </c>
      <c r="X1068">
        <v>4</v>
      </c>
      <c r="Z1068">
        <v>0</v>
      </c>
      <c r="AA1068">
        <v>8</v>
      </c>
      <c r="AB1068">
        <v>3</v>
      </c>
      <c r="AC1068">
        <v>0</v>
      </c>
      <c r="AD1068">
        <v>10</v>
      </c>
      <c r="AE1068">
        <v>0</v>
      </c>
      <c r="AF1068">
        <v>0</v>
      </c>
      <c r="AG1068">
        <v>1</v>
      </c>
      <c r="AH1068">
        <v>1</v>
      </c>
      <c r="AI1068" t="s">
        <v>833</v>
      </c>
      <c r="AJ1068">
        <v>35.282722</v>
      </c>
      <c r="AK1068" t="s">
        <v>834</v>
      </c>
      <c r="AL1068">
        <v>-76.202717000000007</v>
      </c>
      <c r="AM1068">
        <v>25</v>
      </c>
      <c r="AN1068">
        <v>3425</v>
      </c>
      <c r="AO1068" t="s">
        <v>118</v>
      </c>
      <c r="AP1068">
        <v>-159</v>
      </c>
      <c r="AQ1068">
        <v>-151</v>
      </c>
      <c r="AR1068">
        <v>128</v>
      </c>
      <c r="AZ1068">
        <v>4516</v>
      </c>
      <c r="BA1068">
        <v>1</v>
      </c>
      <c r="BB1068" t="str">
        <f t="shared" si="107"/>
        <v xml:space="preserve">N79NX   </v>
      </c>
      <c r="BC1068">
        <v>1</v>
      </c>
      <c r="BE1068">
        <v>0</v>
      </c>
      <c r="BF1068">
        <v>0</v>
      </c>
      <c r="BG1068">
        <v>0</v>
      </c>
      <c r="BH1068">
        <v>3275</v>
      </c>
      <c r="BI1068">
        <v>0</v>
      </c>
      <c r="BJ1068">
        <v>0</v>
      </c>
      <c r="BK1068">
        <v>0</v>
      </c>
      <c r="BL1068">
        <v>0</v>
      </c>
      <c r="BO1068">
        <v>0</v>
      </c>
      <c r="BP1068">
        <v>0</v>
      </c>
      <c r="BW1068" t="str">
        <f>"18:41:27.191"</f>
        <v>18:41:27.191</v>
      </c>
      <c r="BZ1068">
        <v>0</v>
      </c>
      <c r="CA1068">
        <v>4096</v>
      </c>
      <c r="CB1068">
        <v>216</v>
      </c>
      <c r="CC1068">
        <v>525.9375</v>
      </c>
      <c r="CD1068">
        <v>1</v>
      </c>
      <c r="CE1068">
        <v>1</v>
      </c>
      <c r="CF1068">
        <v>0</v>
      </c>
      <c r="CG1068">
        <v>1</v>
      </c>
      <c r="CH1068">
        <v>0</v>
      </c>
      <c r="CI1068">
        <v>1</v>
      </c>
      <c r="CJ1068">
        <v>0</v>
      </c>
      <c r="CK1068">
        <v>2</v>
      </c>
      <c r="CL1068">
        <v>0</v>
      </c>
      <c r="CM1068">
        <v>2</v>
      </c>
      <c r="CN1068">
        <v>0</v>
      </c>
      <c r="CO1068">
        <v>3</v>
      </c>
      <c r="CP1068" t="s">
        <v>119</v>
      </c>
      <c r="CQ1068">
        <v>145</v>
      </c>
      <c r="CR1068">
        <v>1</v>
      </c>
      <c r="CW1068">
        <v>9016730</v>
      </c>
      <c r="CY1068">
        <v>0</v>
      </c>
      <c r="CZ1068">
        <v>0</v>
      </c>
      <c r="DA1068">
        <v>1</v>
      </c>
      <c r="DB1068">
        <v>0</v>
      </c>
      <c r="DC1068">
        <v>0</v>
      </c>
      <c r="DD1068">
        <v>0</v>
      </c>
      <c r="DE1068">
        <v>0</v>
      </c>
      <c r="DF1068">
        <v>0</v>
      </c>
      <c r="DG1068">
        <v>0</v>
      </c>
      <c r="DH1068">
        <v>0</v>
      </c>
      <c r="DI1068">
        <v>0</v>
      </c>
    </row>
    <row r="1069" spans="1:113" x14ac:dyDescent="0.3">
      <c r="A1069" t="str">
        <f>"02/13/2022 18:41:27.407"</f>
        <v>02/13/2022 18:41:27.407</v>
      </c>
      <c r="C1069" t="str">
        <f t="shared" si="106"/>
        <v>FFDFD7C0</v>
      </c>
      <c r="D1069" t="s">
        <v>113</v>
      </c>
      <c r="E1069">
        <v>4</v>
      </c>
      <c r="F1069">
        <v>1004</v>
      </c>
      <c r="G1069" t="s">
        <v>120</v>
      </c>
      <c r="J1069" t="s">
        <v>115</v>
      </c>
      <c r="K1069">
        <v>0</v>
      </c>
      <c r="L1069">
        <v>3</v>
      </c>
      <c r="M1069">
        <v>0</v>
      </c>
      <c r="N1069">
        <v>2</v>
      </c>
      <c r="O1069">
        <v>1</v>
      </c>
      <c r="P1069">
        <v>0</v>
      </c>
      <c r="Q1069">
        <v>0</v>
      </c>
      <c r="S1069" t="str">
        <f>"18:41:27.188"</f>
        <v>18:41:27.188</v>
      </c>
      <c r="T1069" t="str">
        <f>"18:41:26.587"</f>
        <v>18:41:26.587</v>
      </c>
      <c r="U1069" t="str">
        <f t="shared" si="105"/>
        <v>AAB6EE</v>
      </c>
      <c r="V1069">
        <v>0</v>
      </c>
      <c r="W1069">
        <v>0</v>
      </c>
      <c r="X1069">
        <v>4</v>
      </c>
      <c r="Z1069">
        <v>0</v>
      </c>
      <c r="AA1069">
        <v>8</v>
      </c>
      <c r="AB1069">
        <v>3</v>
      </c>
      <c r="AC1069">
        <v>0</v>
      </c>
      <c r="AD1069">
        <v>10</v>
      </c>
      <c r="AE1069">
        <v>0</v>
      </c>
      <c r="AF1069">
        <v>0</v>
      </c>
      <c r="AG1069">
        <v>1</v>
      </c>
      <c r="AH1069">
        <v>1</v>
      </c>
      <c r="AI1069" t="s">
        <v>833</v>
      </c>
      <c r="AJ1069">
        <v>35.282722</v>
      </c>
      <c r="AK1069" t="s">
        <v>834</v>
      </c>
      <c r="AL1069">
        <v>-76.202717000000007</v>
      </c>
      <c r="AM1069">
        <v>25</v>
      </c>
      <c r="AN1069">
        <v>3425</v>
      </c>
      <c r="AO1069" t="s">
        <v>118</v>
      </c>
      <c r="AP1069">
        <v>-159</v>
      </c>
      <c r="AQ1069">
        <v>-151</v>
      </c>
      <c r="AR1069">
        <v>128</v>
      </c>
      <c r="AZ1069">
        <v>4516</v>
      </c>
      <c r="BA1069">
        <v>1</v>
      </c>
      <c r="BB1069" t="str">
        <f t="shared" si="107"/>
        <v xml:space="preserve">N79NX   </v>
      </c>
      <c r="BC1069">
        <v>1</v>
      </c>
      <c r="BE1069">
        <v>0</v>
      </c>
      <c r="BF1069">
        <v>0</v>
      </c>
      <c r="BG1069">
        <v>0</v>
      </c>
      <c r="BH1069">
        <v>3275</v>
      </c>
      <c r="BI1069">
        <v>0</v>
      </c>
      <c r="BJ1069">
        <v>0</v>
      </c>
      <c r="BK1069">
        <v>0</v>
      </c>
      <c r="BL1069">
        <v>0</v>
      </c>
      <c r="BO1069">
        <v>0</v>
      </c>
      <c r="BP1069">
        <v>0</v>
      </c>
      <c r="BW1069" t="str">
        <f>"18:41:27.191"</f>
        <v>18:41:27.191</v>
      </c>
      <c r="BZ1069">
        <v>0</v>
      </c>
      <c r="CA1069">
        <v>4096</v>
      </c>
      <c r="CB1069">
        <v>216</v>
      </c>
      <c r="CC1069">
        <v>525.9375</v>
      </c>
      <c r="CD1069">
        <v>1</v>
      </c>
      <c r="CE1069">
        <v>1</v>
      </c>
      <c r="CF1069">
        <v>0</v>
      </c>
      <c r="CG1069">
        <v>1</v>
      </c>
      <c r="CH1069">
        <v>0</v>
      </c>
      <c r="CI1069">
        <v>1</v>
      </c>
      <c r="CJ1069">
        <v>0</v>
      </c>
      <c r="CK1069">
        <v>2</v>
      </c>
      <c r="CL1069">
        <v>0</v>
      </c>
      <c r="CM1069">
        <v>2</v>
      </c>
      <c r="CN1069">
        <v>0</v>
      </c>
      <c r="CO1069">
        <v>3</v>
      </c>
      <c r="CP1069" t="s">
        <v>119</v>
      </c>
      <c r="CQ1069">
        <v>145</v>
      </c>
      <c r="CR1069">
        <v>1</v>
      </c>
      <c r="CW1069">
        <v>9016730</v>
      </c>
      <c r="CY1069">
        <v>0</v>
      </c>
      <c r="CZ1069">
        <v>0</v>
      </c>
      <c r="DA1069">
        <v>1</v>
      </c>
      <c r="DB1069">
        <v>0</v>
      </c>
      <c r="DC1069">
        <v>0</v>
      </c>
      <c r="DD1069">
        <v>0</v>
      </c>
      <c r="DE1069">
        <v>0</v>
      </c>
      <c r="DF1069">
        <v>0</v>
      </c>
      <c r="DG1069">
        <v>0</v>
      </c>
      <c r="DH1069">
        <v>0</v>
      </c>
      <c r="DI1069">
        <v>0</v>
      </c>
    </row>
    <row r="1070" spans="1:113" x14ac:dyDescent="0.3">
      <c r="A1070" t="str">
        <f>"02/13/2022 18:41:28.376"</f>
        <v>02/13/2022 18:41:28.376</v>
      </c>
      <c r="C1070" t="str">
        <f t="shared" si="106"/>
        <v>FFDFD7C0</v>
      </c>
      <c r="D1070" t="s">
        <v>121</v>
      </c>
      <c r="E1070">
        <v>2</v>
      </c>
      <c r="H1070">
        <v>158</v>
      </c>
      <c r="I1070" t="s">
        <v>120</v>
      </c>
      <c r="J1070" t="s">
        <v>122</v>
      </c>
      <c r="K1070">
        <v>0</v>
      </c>
      <c r="L1070">
        <v>3</v>
      </c>
      <c r="M1070">
        <v>0</v>
      </c>
      <c r="N1070">
        <v>2</v>
      </c>
      <c r="O1070">
        <v>1</v>
      </c>
      <c r="P1070">
        <v>0</v>
      </c>
      <c r="Q1070">
        <v>0</v>
      </c>
      <c r="S1070" t="str">
        <f>"18:41:28.125"</f>
        <v>18:41:28.125</v>
      </c>
      <c r="T1070" t="str">
        <f>"18:41:27.725"</f>
        <v>18:41:27.725</v>
      </c>
      <c r="U1070" t="str">
        <f t="shared" si="105"/>
        <v>AAB6EE</v>
      </c>
      <c r="V1070">
        <v>0</v>
      </c>
      <c r="W1070">
        <v>0</v>
      </c>
      <c r="X1070">
        <v>4</v>
      </c>
      <c r="Z1070">
        <v>0</v>
      </c>
      <c r="AA1070">
        <v>8</v>
      </c>
      <c r="AB1070">
        <v>3</v>
      </c>
      <c r="AC1070">
        <v>0</v>
      </c>
      <c r="AD1070">
        <v>10</v>
      </c>
      <c r="AE1070">
        <v>0</v>
      </c>
      <c r="AF1070">
        <v>0</v>
      </c>
      <c r="AG1070">
        <v>1</v>
      </c>
      <c r="AH1070">
        <v>1</v>
      </c>
      <c r="AI1070" t="s">
        <v>835</v>
      </c>
      <c r="AJ1070">
        <v>35.282099000000002</v>
      </c>
      <c r="AK1070" t="s">
        <v>836</v>
      </c>
      <c r="AL1070">
        <v>-76.203682000000001</v>
      </c>
      <c r="AM1070">
        <v>25</v>
      </c>
      <c r="AN1070">
        <v>3425</v>
      </c>
      <c r="AO1070" t="s">
        <v>118</v>
      </c>
      <c r="AP1070">
        <v>-166</v>
      </c>
      <c r="AQ1070">
        <v>-144</v>
      </c>
      <c r="AR1070">
        <v>128</v>
      </c>
      <c r="AZ1070">
        <v>4516</v>
      </c>
      <c r="BA1070">
        <v>1</v>
      </c>
      <c r="BB1070" t="str">
        <f t="shared" si="107"/>
        <v xml:space="preserve">N79NX   </v>
      </c>
      <c r="BC1070">
        <v>1</v>
      </c>
      <c r="BE1070">
        <v>0</v>
      </c>
      <c r="BF1070">
        <v>0</v>
      </c>
      <c r="BG1070">
        <v>0</v>
      </c>
      <c r="BH1070">
        <v>3275</v>
      </c>
      <c r="BI1070">
        <v>0</v>
      </c>
      <c r="BJ1070">
        <v>0</v>
      </c>
      <c r="BK1070">
        <v>0</v>
      </c>
      <c r="BL1070">
        <v>0</v>
      </c>
      <c r="BO1070">
        <v>0</v>
      </c>
      <c r="BP1070">
        <v>0</v>
      </c>
      <c r="BW1070" t="str">
        <f>"18:41:28.131"</f>
        <v>18:41:28.131</v>
      </c>
      <c r="BZ1070">
        <v>0</v>
      </c>
      <c r="CA1070">
        <v>4096</v>
      </c>
      <c r="CB1070">
        <v>216</v>
      </c>
      <c r="CC1070">
        <v>544.21879999999999</v>
      </c>
      <c r="CD1070">
        <v>1</v>
      </c>
      <c r="CE1070">
        <v>1</v>
      </c>
      <c r="CF1070">
        <v>0</v>
      </c>
      <c r="CG1070">
        <v>1</v>
      </c>
      <c r="CH1070">
        <v>0</v>
      </c>
      <c r="CI1070">
        <v>1</v>
      </c>
      <c r="CJ1070">
        <v>0</v>
      </c>
      <c r="CK1070">
        <v>2</v>
      </c>
      <c r="CL1070">
        <v>0</v>
      </c>
      <c r="CM1070">
        <v>2</v>
      </c>
      <c r="CN1070">
        <v>0</v>
      </c>
      <c r="CO1070">
        <v>3</v>
      </c>
      <c r="CP1070" t="s">
        <v>119</v>
      </c>
      <c r="CQ1070">
        <v>145</v>
      </c>
      <c r="CR1070">
        <v>1</v>
      </c>
      <c r="CW1070">
        <v>9017177</v>
      </c>
      <c r="CY1070">
        <v>0</v>
      </c>
      <c r="CZ1070">
        <v>0</v>
      </c>
      <c r="DA1070">
        <v>0</v>
      </c>
      <c r="DB1070">
        <v>0</v>
      </c>
      <c r="DC1070">
        <v>0</v>
      </c>
      <c r="DD1070">
        <v>0</v>
      </c>
      <c r="DE1070">
        <v>0</v>
      </c>
      <c r="DF1070">
        <v>0</v>
      </c>
      <c r="DG1070">
        <v>0</v>
      </c>
      <c r="DH1070">
        <v>0</v>
      </c>
      <c r="DI1070">
        <v>0</v>
      </c>
    </row>
    <row r="1071" spans="1:113" x14ac:dyDescent="0.3">
      <c r="A1071" t="str">
        <f>"02/13/2022 18:41:28.376"</f>
        <v>02/13/2022 18:41:28.376</v>
      </c>
      <c r="C1071" t="str">
        <f t="shared" si="106"/>
        <v>FFDFD7C0</v>
      </c>
      <c r="D1071" t="s">
        <v>113</v>
      </c>
      <c r="E1071">
        <v>3</v>
      </c>
      <c r="F1071">
        <v>1003</v>
      </c>
      <c r="G1071" t="s">
        <v>114</v>
      </c>
      <c r="J1071" t="s">
        <v>115</v>
      </c>
      <c r="K1071">
        <v>0</v>
      </c>
      <c r="L1071">
        <v>3</v>
      </c>
      <c r="M1071">
        <v>0</v>
      </c>
      <c r="N1071">
        <v>2</v>
      </c>
      <c r="O1071">
        <v>1</v>
      </c>
      <c r="P1071">
        <v>0</v>
      </c>
      <c r="Q1071">
        <v>0</v>
      </c>
      <c r="S1071" t="str">
        <f>"18:41:28.125"</f>
        <v>18:41:28.125</v>
      </c>
      <c r="T1071" t="str">
        <f>"18:41:27.725"</f>
        <v>18:41:27.725</v>
      </c>
      <c r="U1071" t="str">
        <f t="shared" si="105"/>
        <v>AAB6EE</v>
      </c>
      <c r="V1071">
        <v>0</v>
      </c>
      <c r="W1071">
        <v>0</v>
      </c>
      <c r="X1071">
        <v>4</v>
      </c>
      <c r="Z1071">
        <v>0</v>
      </c>
      <c r="AA1071">
        <v>8</v>
      </c>
      <c r="AB1071">
        <v>3</v>
      </c>
      <c r="AC1071">
        <v>0</v>
      </c>
      <c r="AD1071">
        <v>10</v>
      </c>
      <c r="AE1071">
        <v>0</v>
      </c>
      <c r="AF1071">
        <v>0</v>
      </c>
      <c r="AG1071">
        <v>1</v>
      </c>
      <c r="AH1071">
        <v>1</v>
      </c>
      <c r="AI1071" t="s">
        <v>835</v>
      </c>
      <c r="AJ1071">
        <v>35.282099000000002</v>
      </c>
      <c r="AK1071" t="s">
        <v>836</v>
      </c>
      <c r="AL1071">
        <v>-76.203682000000001</v>
      </c>
      <c r="AM1071">
        <v>25</v>
      </c>
      <c r="AN1071">
        <v>3425</v>
      </c>
      <c r="AO1071" t="s">
        <v>118</v>
      </c>
      <c r="AP1071">
        <v>-166</v>
      </c>
      <c r="AQ1071">
        <v>-144</v>
      </c>
      <c r="AR1071">
        <v>128</v>
      </c>
      <c r="AZ1071">
        <v>4516</v>
      </c>
      <c r="BA1071">
        <v>1</v>
      </c>
      <c r="BB1071" t="str">
        <f t="shared" si="107"/>
        <v xml:space="preserve">N79NX   </v>
      </c>
      <c r="BC1071">
        <v>1</v>
      </c>
      <c r="BE1071">
        <v>0</v>
      </c>
      <c r="BF1071">
        <v>0</v>
      </c>
      <c r="BG1071">
        <v>0</v>
      </c>
      <c r="BH1071">
        <v>3275</v>
      </c>
      <c r="BI1071">
        <v>0</v>
      </c>
      <c r="BJ1071">
        <v>0</v>
      </c>
      <c r="BK1071">
        <v>0</v>
      </c>
      <c r="BL1071">
        <v>0</v>
      </c>
      <c r="BO1071">
        <v>0</v>
      </c>
      <c r="BP1071">
        <v>0</v>
      </c>
      <c r="BW1071" t="str">
        <f>"18:41:28.131"</f>
        <v>18:41:28.131</v>
      </c>
      <c r="BZ1071">
        <v>0</v>
      </c>
      <c r="CA1071">
        <v>4096</v>
      </c>
      <c r="CB1071">
        <v>216</v>
      </c>
      <c r="CC1071">
        <v>544.21879999999999</v>
      </c>
      <c r="CD1071">
        <v>1</v>
      </c>
      <c r="CE1071">
        <v>1</v>
      </c>
      <c r="CF1071">
        <v>0</v>
      </c>
      <c r="CG1071">
        <v>1</v>
      </c>
      <c r="CH1071">
        <v>0</v>
      </c>
      <c r="CI1071">
        <v>1</v>
      </c>
      <c r="CJ1071">
        <v>0</v>
      </c>
      <c r="CK1071">
        <v>2</v>
      </c>
      <c r="CL1071">
        <v>0</v>
      </c>
      <c r="CM1071">
        <v>2</v>
      </c>
      <c r="CN1071">
        <v>0</v>
      </c>
      <c r="CO1071">
        <v>3</v>
      </c>
      <c r="CP1071" t="s">
        <v>119</v>
      </c>
      <c r="CQ1071">
        <v>145</v>
      </c>
      <c r="CR1071">
        <v>1</v>
      </c>
      <c r="CW1071">
        <v>9017177</v>
      </c>
      <c r="CY1071">
        <v>0</v>
      </c>
      <c r="CZ1071">
        <v>0</v>
      </c>
      <c r="DA1071">
        <v>1</v>
      </c>
      <c r="DB1071">
        <v>0</v>
      </c>
      <c r="DC1071">
        <v>0</v>
      </c>
      <c r="DD1071">
        <v>0</v>
      </c>
      <c r="DE1071">
        <v>0</v>
      </c>
      <c r="DF1071">
        <v>0</v>
      </c>
      <c r="DG1071">
        <v>0</v>
      </c>
      <c r="DH1071">
        <v>0</v>
      </c>
      <c r="DI1071">
        <v>0</v>
      </c>
    </row>
    <row r="1072" spans="1:113" x14ac:dyDescent="0.3">
      <c r="A1072" t="str">
        <f>"02/13/2022 18:41:28.376"</f>
        <v>02/13/2022 18:41:28.376</v>
      </c>
      <c r="C1072" t="str">
        <f t="shared" si="106"/>
        <v>FFDFD7C0</v>
      </c>
      <c r="D1072" t="s">
        <v>113</v>
      </c>
      <c r="E1072">
        <v>4</v>
      </c>
      <c r="F1072">
        <v>1004</v>
      </c>
      <c r="G1072" t="s">
        <v>120</v>
      </c>
      <c r="J1072" t="s">
        <v>115</v>
      </c>
      <c r="K1072">
        <v>0</v>
      </c>
      <c r="L1072">
        <v>3</v>
      </c>
      <c r="M1072">
        <v>0</v>
      </c>
      <c r="N1072">
        <v>2</v>
      </c>
      <c r="O1072">
        <v>1</v>
      </c>
      <c r="P1072">
        <v>0</v>
      </c>
      <c r="Q1072">
        <v>0</v>
      </c>
      <c r="S1072" t="str">
        <f>"18:41:28.125"</f>
        <v>18:41:28.125</v>
      </c>
      <c r="T1072" t="str">
        <f>"18:41:27.725"</f>
        <v>18:41:27.725</v>
      </c>
      <c r="U1072" t="str">
        <f t="shared" si="105"/>
        <v>AAB6EE</v>
      </c>
      <c r="V1072">
        <v>0</v>
      </c>
      <c r="W1072">
        <v>0</v>
      </c>
      <c r="X1072">
        <v>4</v>
      </c>
      <c r="Z1072">
        <v>0</v>
      </c>
      <c r="AA1072">
        <v>8</v>
      </c>
      <c r="AB1072">
        <v>3</v>
      </c>
      <c r="AC1072">
        <v>0</v>
      </c>
      <c r="AD1072">
        <v>10</v>
      </c>
      <c r="AE1072">
        <v>0</v>
      </c>
      <c r="AF1072">
        <v>0</v>
      </c>
      <c r="AG1072">
        <v>1</v>
      </c>
      <c r="AH1072">
        <v>1</v>
      </c>
      <c r="AI1072" t="s">
        <v>835</v>
      </c>
      <c r="AJ1072">
        <v>35.282099000000002</v>
      </c>
      <c r="AK1072" t="s">
        <v>836</v>
      </c>
      <c r="AL1072">
        <v>-76.203682000000001</v>
      </c>
      <c r="AM1072">
        <v>25</v>
      </c>
      <c r="AN1072">
        <v>3425</v>
      </c>
      <c r="AO1072" t="s">
        <v>118</v>
      </c>
      <c r="AP1072">
        <v>-166</v>
      </c>
      <c r="AQ1072">
        <v>-144</v>
      </c>
      <c r="AR1072">
        <v>128</v>
      </c>
      <c r="AZ1072">
        <v>4516</v>
      </c>
      <c r="BA1072">
        <v>1</v>
      </c>
      <c r="BB1072" t="str">
        <f t="shared" si="107"/>
        <v xml:space="preserve">N79NX   </v>
      </c>
      <c r="BC1072">
        <v>1</v>
      </c>
      <c r="BE1072">
        <v>0</v>
      </c>
      <c r="BF1072">
        <v>0</v>
      </c>
      <c r="BG1072">
        <v>0</v>
      </c>
      <c r="BH1072">
        <v>3275</v>
      </c>
      <c r="BI1072">
        <v>0</v>
      </c>
      <c r="BJ1072">
        <v>0</v>
      </c>
      <c r="BK1072">
        <v>0</v>
      </c>
      <c r="BL1072">
        <v>0</v>
      </c>
      <c r="BO1072">
        <v>0</v>
      </c>
      <c r="BP1072">
        <v>0</v>
      </c>
      <c r="BW1072" t="str">
        <f>"18:41:28.131"</f>
        <v>18:41:28.131</v>
      </c>
      <c r="BZ1072">
        <v>0</v>
      </c>
      <c r="CA1072">
        <v>4096</v>
      </c>
      <c r="CB1072">
        <v>216</v>
      </c>
      <c r="CC1072">
        <v>544.21879999999999</v>
      </c>
      <c r="CD1072">
        <v>1</v>
      </c>
      <c r="CE1072">
        <v>1</v>
      </c>
      <c r="CF1072">
        <v>0</v>
      </c>
      <c r="CG1072">
        <v>1</v>
      </c>
      <c r="CH1072">
        <v>0</v>
      </c>
      <c r="CI1072">
        <v>1</v>
      </c>
      <c r="CJ1072">
        <v>0</v>
      </c>
      <c r="CK1072">
        <v>2</v>
      </c>
      <c r="CL1072">
        <v>0</v>
      </c>
      <c r="CM1072">
        <v>2</v>
      </c>
      <c r="CN1072">
        <v>0</v>
      </c>
      <c r="CO1072">
        <v>3</v>
      </c>
      <c r="CP1072" t="s">
        <v>119</v>
      </c>
      <c r="CQ1072">
        <v>145</v>
      </c>
      <c r="CR1072">
        <v>1</v>
      </c>
      <c r="CW1072">
        <v>9017177</v>
      </c>
      <c r="CY1072">
        <v>0</v>
      </c>
      <c r="CZ1072">
        <v>0</v>
      </c>
      <c r="DA1072">
        <v>1</v>
      </c>
      <c r="DB1072">
        <v>0</v>
      </c>
      <c r="DC1072">
        <v>0</v>
      </c>
      <c r="DD1072">
        <v>0</v>
      </c>
      <c r="DE1072">
        <v>0</v>
      </c>
      <c r="DF1072">
        <v>0</v>
      </c>
      <c r="DG1072">
        <v>0</v>
      </c>
      <c r="DH1072">
        <v>0</v>
      </c>
      <c r="DI1072">
        <v>0</v>
      </c>
    </row>
    <row r="1073" spans="1:113" x14ac:dyDescent="0.3">
      <c r="A1073" t="str">
        <f>"02/13/2022 18:41:29.204"</f>
        <v>02/13/2022 18:41:29.204</v>
      </c>
      <c r="C1073" t="str">
        <f t="shared" si="106"/>
        <v>FFDFD7C0</v>
      </c>
      <c r="D1073" t="s">
        <v>121</v>
      </c>
      <c r="E1073">
        <v>2</v>
      </c>
      <c r="H1073">
        <v>158</v>
      </c>
      <c r="I1073" t="s">
        <v>120</v>
      </c>
      <c r="J1073" t="s">
        <v>122</v>
      </c>
      <c r="K1073">
        <v>0</v>
      </c>
      <c r="L1073">
        <v>3</v>
      </c>
      <c r="M1073">
        <v>0</v>
      </c>
      <c r="N1073">
        <v>2</v>
      </c>
      <c r="O1073">
        <v>1</v>
      </c>
      <c r="P1073">
        <v>0</v>
      </c>
      <c r="Q1073">
        <v>0</v>
      </c>
      <c r="S1073" t="str">
        <f>"18:41:28.961"</f>
        <v>18:41:28.961</v>
      </c>
      <c r="T1073" t="str">
        <f>"18:41:28.661"</f>
        <v>18:41:28.661</v>
      </c>
      <c r="U1073" t="str">
        <f t="shared" si="105"/>
        <v>AAB6EE</v>
      </c>
      <c r="V1073">
        <v>0</v>
      </c>
      <c r="W1073">
        <v>0</v>
      </c>
      <c r="X1073">
        <v>4</v>
      </c>
      <c r="Z1073">
        <v>0</v>
      </c>
      <c r="AA1073">
        <v>8</v>
      </c>
      <c r="AB1073">
        <v>3</v>
      </c>
      <c r="AC1073">
        <v>0</v>
      </c>
      <c r="AD1073">
        <v>10</v>
      </c>
      <c r="AE1073">
        <v>0</v>
      </c>
      <c r="AF1073">
        <v>0</v>
      </c>
      <c r="AG1073">
        <v>1</v>
      </c>
      <c r="AH1073">
        <v>1</v>
      </c>
      <c r="AI1073" t="s">
        <v>837</v>
      </c>
      <c r="AJ1073">
        <v>35.281584000000002</v>
      </c>
      <c r="AK1073" t="s">
        <v>838</v>
      </c>
      <c r="AL1073">
        <v>-76.204498000000001</v>
      </c>
      <c r="AM1073">
        <v>25</v>
      </c>
      <c r="AN1073">
        <v>3425</v>
      </c>
      <c r="AO1073" t="s">
        <v>118</v>
      </c>
      <c r="AP1073">
        <v>-170</v>
      </c>
      <c r="AQ1073">
        <v>-139</v>
      </c>
      <c r="AR1073">
        <v>128</v>
      </c>
      <c r="AZ1073">
        <v>4516</v>
      </c>
      <c r="BA1073">
        <v>1</v>
      </c>
      <c r="BB1073" t="str">
        <f t="shared" si="107"/>
        <v xml:space="preserve">N79NX   </v>
      </c>
      <c r="BC1073">
        <v>1</v>
      </c>
      <c r="BE1073">
        <v>0</v>
      </c>
      <c r="BF1073">
        <v>0</v>
      </c>
      <c r="BG1073">
        <v>0</v>
      </c>
      <c r="BH1073">
        <v>3275</v>
      </c>
      <c r="BI1073">
        <v>0</v>
      </c>
      <c r="BJ1073">
        <v>0</v>
      </c>
      <c r="BK1073">
        <v>0</v>
      </c>
      <c r="BL1073">
        <v>0</v>
      </c>
      <c r="BO1073">
        <v>0</v>
      </c>
      <c r="BP1073">
        <v>0</v>
      </c>
      <c r="BW1073" t="str">
        <f>"18:41:28.961"</f>
        <v>18:41:28.961</v>
      </c>
      <c r="BZ1073">
        <v>0</v>
      </c>
      <c r="CA1073">
        <v>4096</v>
      </c>
      <c r="CB1073">
        <v>216</v>
      </c>
      <c r="CC1073">
        <v>544.21879999999999</v>
      </c>
      <c r="CD1073">
        <v>1</v>
      </c>
      <c r="CE1073">
        <v>1</v>
      </c>
      <c r="CF1073">
        <v>0</v>
      </c>
      <c r="CG1073">
        <v>1</v>
      </c>
      <c r="CH1073">
        <v>0</v>
      </c>
      <c r="CI1073">
        <v>1</v>
      </c>
      <c r="CJ1073">
        <v>0</v>
      </c>
      <c r="CK1073">
        <v>2</v>
      </c>
      <c r="CL1073">
        <v>0</v>
      </c>
      <c r="CM1073">
        <v>2</v>
      </c>
      <c r="CN1073">
        <v>0</v>
      </c>
      <c r="CO1073">
        <v>4</v>
      </c>
      <c r="CP1073" t="s">
        <v>119</v>
      </c>
      <c r="CQ1073">
        <v>145</v>
      </c>
      <c r="CR1073">
        <v>1</v>
      </c>
      <c r="CW1073">
        <v>9017579</v>
      </c>
      <c r="CY1073">
        <v>0</v>
      </c>
      <c r="CZ1073">
        <v>0</v>
      </c>
      <c r="DA1073">
        <v>0</v>
      </c>
      <c r="DB1073">
        <v>0</v>
      </c>
      <c r="DC1073">
        <v>0</v>
      </c>
      <c r="DD1073">
        <v>0</v>
      </c>
      <c r="DE1073">
        <v>0</v>
      </c>
      <c r="DF1073">
        <v>0</v>
      </c>
      <c r="DG1073">
        <v>0</v>
      </c>
      <c r="DH1073">
        <v>0</v>
      </c>
      <c r="DI1073">
        <v>0</v>
      </c>
    </row>
    <row r="1074" spans="1:113" x14ac:dyDescent="0.3">
      <c r="A1074" t="str">
        <f>"02/13/2022 18:41:29.204"</f>
        <v>02/13/2022 18:41:29.204</v>
      </c>
      <c r="C1074" t="str">
        <f t="shared" si="106"/>
        <v>FFDFD7C0</v>
      </c>
      <c r="D1074" t="s">
        <v>113</v>
      </c>
      <c r="E1074">
        <v>3</v>
      </c>
      <c r="F1074">
        <v>1003</v>
      </c>
      <c r="G1074" t="s">
        <v>114</v>
      </c>
      <c r="J1074" t="s">
        <v>115</v>
      </c>
      <c r="K1074">
        <v>0</v>
      </c>
      <c r="L1074">
        <v>3</v>
      </c>
      <c r="M1074">
        <v>0</v>
      </c>
      <c r="N1074">
        <v>2</v>
      </c>
      <c r="O1074">
        <v>1</v>
      </c>
      <c r="P1074">
        <v>0</v>
      </c>
      <c r="Q1074">
        <v>0</v>
      </c>
      <c r="S1074" t="str">
        <f>"18:41:28.961"</f>
        <v>18:41:28.961</v>
      </c>
      <c r="T1074" t="str">
        <f>"18:41:28.661"</f>
        <v>18:41:28.661</v>
      </c>
      <c r="U1074" t="str">
        <f t="shared" si="105"/>
        <v>AAB6EE</v>
      </c>
      <c r="V1074">
        <v>0</v>
      </c>
      <c r="W1074">
        <v>0</v>
      </c>
      <c r="X1074">
        <v>4</v>
      </c>
      <c r="Z1074">
        <v>0</v>
      </c>
      <c r="AA1074">
        <v>8</v>
      </c>
      <c r="AB1074">
        <v>3</v>
      </c>
      <c r="AC1074">
        <v>0</v>
      </c>
      <c r="AD1074">
        <v>10</v>
      </c>
      <c r="AE1074">
        <v>0</v>
      </c>
      <c r="AF1074">
        <v>0</v>
      </c>
      <c r="AG1074">
        <v>1</v>
      </c>
      <c r="AH1074">
        <v>1</v>
      </c>
      <c r="AI1074" t="s">
        <v>837</v>
      </c>
      <c r="AJ1074">
        <v>35.281584000000002</v>
      </c>
      <c r="AK1074" t="s">
        <v>838</v>
      </c>
      <c r="AL1074">
        <v>-76.204498000000001</v>
      </c>
      <c r="AM1074">
        <v>25</v>
      </c>
      <c r="AN1074">
        <v>3425</v>
      </c>
      <c r="AO1074" t="s">
        <v>118</v>
      </c>
      <c r="AP1074">
        <v>-170</v>
      </c>
      <c r="AQ1074">
        <v>-139</v>
      </c>
      <c r="AR1074">
        <v>128</v>
      </c>
      <c r="AZ1074">
        <v>4516</v>
      </c>
      <c r="BA1074">
        <v>1</v>
      </c>
      <c r="BB1074" t="str">
        <f t="shared" si="107"/>
        <v xml:space="preserve">N79NX   </v>
      </c>
      <c r="BC1074">
        <v>1</v>
      </c>
      <c r="BE1074">
        <v>0</v>
      </c>
      <c r="BF1074">
        <v>0</v>
      </c>
      <c r="BG1074">
        <v>0</v>
      </c>
      <c r="BH1074">
        <v>3275</v>
      </c>
      <c r="BI1074">
        <v>0</v>
      </c>
      <c r="BJ1074">
        <v>0</v>
      </c>
      <c r="BK1074">
        <v>0</v>
      </c>
      <c r="BL1074">
        <v>0</v>
      </c>
      <c r="BO1074">
        <v>0</v>
      </c>
      <c r="BP1074">
        <v>0</v>
      </c>
      <c r="BW1074" t="str">
        <f>"18:41:28.961"</f>
        <v>18:41:28.961</v>
      </c>
      <c r="BZ1074">
        <v>0</v>
      </c>
      <c r="CA1074">
        <v>4096</v>
      </c>
      <c r="CB1074">
        <v>216</v>
      </c>
      <c r="CC1074">
        <v>544.21879999999999</v>
      </c>
      <c r="CD1074">
        <v>1</v>
      </c>
      <c r="CE1074">
        <v>1</v>
      </c>
      <c r="CF1074">
        <v>0</v>
      </c>
      <c r="CG1074">
        <v>1</v>
      </c>
      <c r="CH1074">
        <v>0</v>
      </c>
      <c r="CI1074">
        <v>1</v>
      </c>
      <c r="CJ1074">
        <v>0</v>
      </c>
      <c r="CK1074">
        <v>2</v>
      </c>
      <c r="CL1074">
        <v>0</v>
      </c>
      <c r="CM1074">
        <v>2</v>
      </c>
      <c r="CN1074">
        <v>0</v>
      </c>
      <c r="CO1074">
        <v>4</v>
      </c>
      <c r="CP1074" t="s">
        <v>119</v>
      </c>
      <c r="CQ1074">
        <v>145</v>
      </c>
      <c r="CR1074">
        <v>1</v>
      </c>
      <c r="CW1074">
        <v>9017579</v>
      </c>
      <c r="CY1074">
        <v>0</v>
      </c>
      <c r="CZ1074">
        <v>0</v>
      </c>
      <c r="DA1074">
        <v>1</v>
      </c>
      <c r="DB1074">
        <v>0</v>
      </c>
      <c r="DC1074">
        <v>0</v>
      </c>
      <c r="DD1074">
        <v>0</v>
      </c>
      <c r="DE1074">
        <v>0</v>
      </c>
      <c r="DF1074">
        <v>0</v>
      </c>
      <c r="DG1074">
        <v>0</v>
      </c>
      <c r="DH1074">
        <v>0</v>
      </c>
      <c r="DI1074">
        <v>0</v>
      </c>
    </row>
    <row r="1075" spans="1:113" x14ac:dyDescent="0.3">
      <c r="A1075" t="str">
        <f>"02/13/2022 18:41:29.204"</f>
        <v>02/13/2022 18:41:29.204</v>
      </c>
      <c r="C1075" t="str">
        <f t="shared" si="106"/>
        <v>FFDFD7C0</v>
      </c>
      <c r="D1075" t="s">
        <v>113</v>
      </c>
      <c r="E1075">
        <v>4</v>
      </c>
      <c r="F1075">
        <v>1004</v>
      </c>
      <c r="G1075" t="s">
        <v>120</v>
      </c>
      <c r="J1075" t="s">
        <v>115</v>
      </c>
      <c r="K1075">
        <v>0</v>
      </c>
      <c r="L1075">
        <v>3</v>
      </c>
      <c r="M1075">
        <v>0</v>
      </c>
      <c r="N1075">
        <v>2</v>
      </c>
      <c r="O1075">
        <v>1</v>
      </c>
      <c r="P1075">
        <v>0</v>
      </c>
      <c r="Q1075">
        <v>0</v>
      </c>
      <c r="S1075" t="str">
        <f>"18:41:28.961"</f>
        <v>18:41:28.961</v>
      </c>
      <c r="T1075" t="str">
        <f>"18:41:28.661"</f>
        <v>18:41:28.661</v>
      </c>
      <c r="U1075" t="str">
        <f t="shared" si="105"/>
        <v>AAB6EE</v>
      </c>
      <c r="V1075">
        <v>0</v>
      </c>
      <c r="W1075">
        <v>0</v>
      </c>
      <c r="X1075">
        <v>4</v>
      </c>
      <c r="Z1075">
        <v>0</v>
      </c>
      <c r="AA1075">
        <v>8</v>
      </c>
      <c r="AB1075">
        <v>3</v>
      </c>
      <c r="AC1075">
        <v>0</v>
      </c>
      <c r="AD1075">
        <v>10</v>
      </c>
      <c r="AE1075">
        <v>0</v>
      </c>
      <c r="AF1075">
        <v>0</v>
      </c>
      <c r="AG1075">
        <v>1</v>
      </c>
      <c r="AH1075">
        <v>1</v>
      </c>
      <c r="AI1075" t="s">
        <v>837</v>
      </c>
      <c r="AJ1075">
        <v>35.281584000000002</v>
      </c>
      <c r="AK1075" t="s">
        <v>838</v>
      </c>
      <c r="AL1075">
        <v>-76.204498000000001</v>
      </c>
      <c r="AM1075">
        <v>25</v>
      </c>
      <c r="AN1075">
        <v>3425</v>
      </c>
      <c r="AO1075" t="s">
        <v>118</v>
      </c>
      <c r="AP1075">
        <v>-170</v>
      </c>
      <c r="AQ1075">
        <v>-139</v>
      </c>
      <c r="AR1075">
        <v>128</v>
      </c>
      <c r="AZ1075">
        <v>4516</v>
      </c>
      <c r="BA1075">
        <v>1</v>
      </c>
      <c r="BB1075" t="str">
        <f t="shared" si="107"/>
        <v xml:space="preserve">N79NX   </v>
      </c>
      <c r="BC1075">
        <v>1</v>
      </c>
      <c r="BE1075">
        <v>0</v>
      </c>
      <c r="BF1075">
        <v>0</v>
      </c>
      <c r="BG1075">
        <v>0</v>
      </c>
      <c r="BH1075">
        <v>3275</v>
      </c>
      <c r="BI1075">
        <v>0</v>
      </c>
      <c r="BJ1075">
        <v>0</v>
      </c>
      <c r="BK1075">
        <v>0</v>
      </c>
      <c r="BL1075">
        <v>0</v>
      </c>
      <c r="BO1075">
        <v>0</v>
      </c>
      <c r="BP1075">
        <v>0</v>
      </c>
      <c r="BW1075" t="str">
        <f>"18:41:28.961"</f>
        <v>18:41:28.961</v>
      </c>
      <c r="BZ1075">
        <v>0</v>
      </c>
      <c r="CA1075">
        <v>4096</v>
      </c>
      <c r="CB1075">
        <v>216</v>
      </c>
      <c r="CC1075">
        <v>544.21879999999999</v>
      </c>
      <c r="CD1075">
        <v>1</v>
      </c>
      <c r="CE1075">
        <v>1</v>
      </c>
      <c r="CF1075">
        <v>0</v>
      </c>
      <c r="CG1075">
        <v>1</v>
      </c>
      <c r="CH1075">
        <v>0</v>
      </c>
      <c r="CI1075">
        <v>1</v>
      </c>
      <c r="CJ1075">
        <v>0</v>
      </c>
      <c r="CK1075">
        <v>2</v>
      </c>
      <c r="CL1075">
        <v>0</v>
      </c>
      <c r="CM1075">
        <v>2</v>
      </c>
      <c r="CN1075">
        <v>0</v>
      </c>
      <c r="CO1075">
        <v>4</v>
      </c>
      <c r="CP1075" t="s">
        <v>119</v>
      </c>
      <c r="CQ1075">
        <v>145</v>
      </c>
      <c r="CR1075">
        <v>1</v>
      </c>
      <c r="CW1075">
        <v>9017579</v>
      </c>
      <c r="CY1075">
        <v>0</v>
      </c>
      <c r="CZ1075">
        <v>0</v>
      </c>
      <c r="DA1075">
        <v>1</v>
      </c>
      <c r="DB1075">
        <v>0</v>
      </c>
      <c r="DC1075">
        <v>0</v>
      </c>
      <c r="DD1075">
        <v>0</v>
      </c>
      <c r="DE1075">
        <v>0</v>
      </c>
      <c r="DF1075">
        <v>0</v>
      </c>
      <c r="DG1075">
        <v>0</v>
      </c>
      <c r="DH1075">
        <v>0</v>
      </c>
      <c r="DI1075">
        <v>0</v>
      </c>
    </row>
    <row r="1076" spans="1:113" x14ac:dyDescent="0.3">
      <c r="A1076" t="str">
        <f>"02/13/2022 18:41:30.269"</f>
        <v>02/13/2022 18:41:30.269</v>
      </c>
      <c r="C1076" t="str">
        <f t="shared" si="106"/>
        <v>FFDFD7C0</v>
      </c>
      <c r="D1076" t="s">
        <v>113</v>
      </c>
      <c r="E1076">
        <v>3</v>
      </c>
      <c r="F1076">
        <v>1003</v>
      </c>
      <c r="G1076" t="s">
        <v>114</v>
      </c>
      <c r="J1076" t="s">
        <v>115</v>
      </c>
      <c r="K1076">
        <v>0</v>
      </c>
      <c r="L1076">
        <v>3</v>
      </c>
      <c r="M1076">
        <v>0</v>
      </c>
      <c r="N1076">
        <v>2</v>
      </c>
      <c r="O1076">
        <v>1</v>
      </c>
      <c r="P1076">
        <v>0</v>
      </c>
      <c r="Q1076">
        <v>0</v>
      </c>
      <c r="S1076" t="str">
        <f>"18:41:30.008"</f>
        <v>18:41:30.008</v>
      </c>
      <c r="T1076" t="str">
        <f>"18:41:29.608"</f>
        <v>18:41:29.608</v>
      </c>
      <c r="U1076" t="str">
        <f t="shared" si="105"/>
        <v>AAB6EE</v>
      </c>
      <c r="V1076">
        <v>0</v>
      </c>
      <c r="W1076">
        <v>0</v>
      </c>
      <c r="X1076">
        <v>4</v>
      </c>
      <c r="Z1076">
        <v>0</v>
      </c>
      <c r="AA1076">
        <v>8</v>
      </c>
      <c r="AB1076">
        <v>3</v>
      </c>
      <c r="AC1076">
        <v>0</v>
      </c>
      <c r="AD1076">
        <v>10</v>
      </c>
      <c r="AE1076">
        <v>0</v>
      </c>
      <c r="AF1076">
        <v>0</v>
      </c>
      <c r="AG1076">
        <v>1</v>
      </c>
      <c r="AH1076">
        <v>1</v>
      </c>
      <c r="AI1076" t="s">
        <v>839</v>
      </c>
      <c r="AJ1076">
        <v>35.280918999999997</v>
      </c>
      <c r="AK1076" t="s">
        <v>840</v>
      </c>
      <c r="AL1076">
        <v>-76.205549000000005</v>
      </c>
      <c r="AM1076">
        <v>25</v>
      </c>
      <c r="AN1076">
        <v>3425</v>
      </c>
      <c r="AO1076" t="s">
        <v>118</v>
      </c>
      <c r="AP1076">
        <v>-176</v>
      </c>
      <c r="AQ1076">
        <v>-132</v>
      </c>
      <c r="AR1076">
        <v>64</v>
      </c>
      <c r="AZ1076">
        <v>4516</v>
      </c>
      <c r="BA1076">
        <v>1</v>
      </c>
      <c r="BB1076" t="str">
        <f t="shared" si="107"/>
        <v xml:space="preserve">N79NX   </v>
      </c>
      <c r="BC1076">
        <v>1</v>
      </c>
      <c r="BE1076">
        <v>0</v>
      </c>
      <c r="BF1076">
        <v>0</v>
      </c>
      <c r="BG1076">
        <v>0</v>
      </c>
      <c r="BH1076">
        <v>3275</v>
      </c>
      <c r="BI1076">
        <v>0</v>
      </c>
      <c r="BJ1076">
        <v>0</v>
      </c>
      <c r="BK1076">
        <v>0</v>
      </c>
      <c r="BL1076">
        <v>0</v>
      </c>
      <c r="BO1076">
        <v>0</v>
      </c>
      <c r="BP1076">
        <v>0</v>
      </c>
      <c r="BW1076" t="str">
        <f>"18:41:30.011"</f>
        <v>18:41:30.011</v>
      </c>
      <c r="BZ1076">
        <v>0</v>
      </c>
      <c r="CA1076">
        <v>4096</v>
      </c>
      <c r="CB1076">
        <v>216</v>
      </c>
      <c r="CC1076">
        <v>544.21879999999999</v>
      </c>
      <c r="CD1076">
        <v>1</v>
      </c>
      <c r="CE1076">
        <v>1</v>
      </c>
      <c r="CF1076">
        <v>0</v>
      </c>
      <c r="CG1076">
        <v>1</v>
      </c>
      <c r="CH1076">
        <v>0</v>
      </c>
      <c r="CI1076">
        <v>1</v>
      </c>
      <c r="CJ1076">
        <v>0</v>
      </c>
      <c r="CK1076">
        <v>2</v>
      </c>
      <c r="CL1076">
        <v>0</v>
      </c>
      <c r="CM1076">
        <v>2</v>
      </c>
      <c r="CN1076">
        <v>0</v>
      </c>
      <c r="CO1076">
        <v>4</v>
      </c>
      <c r="CP1076" t="s">
        <v>119</v>
      </c>
      <c r="CQ1076">
        <v>145</v>
      </c>
      <c r="CR1076">
        <v>1</v>
      </c>
      <c r="CW1076">
        <v>9018073</v>
      </c>
      <c r="CY1076">
        <v>0</v>
      </c>
      <c r="CZ1076">
        <v>0</v>
      </c>
      <c r="DA1076">
        <v>0</v>
      </c>
      <c r="DB1076">
        <v>0</v>
      </c>
      <c r="DC1076">
        <v>0</v>
      </c>
      <c r="DD1076">
        <v>0</v>
      </c>
      <c r="DE1076">
        <v>0</v>
      </c>
      <c r="DF1076">
        <v>0</v>
      </c>
      <c r="DG1076">
        <v>0</v>
      </c>
      <c r="DH1076">
        <v>0</v>
      </c>
      <c r="DI1076">
        <v>0</v>
      </c>
    </row>
    <row r="1077" spans="1:113" x14ac:dyDescent="0.3">
      <c r="A1077" t="str">
        <f>"02/13/2022 18:41:30.269"</f>
        <v>02/13/2022 18:41:30.269</v>
      </c>
      <c r="C1077" t="str">
        <f t="shared" si="106"/>
        <v>FFDFD7C0</v>
      </c>
      <c r="D1077" t="s">
        <v>121</v>
      </c>
      <c r="E1077">
        <v>2</v>
      </c>
      <c r="H1077">
        <v>158</v>
      </c>
      <c r="I1077" t="s">
        <v>120</v>
      </c>
      <c r="J1077" t="s">
        <v>122</v>
      </c>
      <c r="K1077">
        <v>0</v>
      </c>
      <c r="L1077">
        <v>3</v>
      </c>
      <c r="M1077">
        <v>0</v>
      </c>
      <c r="N1077">
        <v>2</v>
      </c>
      <c r="O1077">
        <v>1</v>
      </c>
      <c r="P1077">
        <v>0</v>
      </c>
      <c r="Q1077">
        <v>0</v>
      </c>
      <c r="S1077" t="str">
        <f>"18:41:30.008"</f>
        <v>18:41:30.008</v>
      </c>
      <c r="T1077" t="str">
        <f>"18:41:29.608"</f>
        <v>18:41:29.608</v>
      </c>
      <c r="U1077" t="str">
        <f t="shared" si="105"/>
        <v>AAB6EE</v>
      </c>
      <c r="V1077">
        <v>0</v>
      </c>
      <c r="W1077">
        <v>0</v>
      </c>
      <c r="X1077">
        <v>4</v>
      </c>
      <c r="Z1077">
        <v>0</v>
      </c>
      <c r="AA1077">
        <v>8</v>
      </c>
      <c r="AB1077">
        <v>3</v>
      </c>
      <c r="AC1077">
        <v>0</v>
      </c>
      <c r="AD1077">
        <v>10</v>
      </c>
      <c r="AE1077">
        <v>0</v>
      </c>
      <c r="AF1077">
        <v>0</v>
      </c>
      <c r="AG1077">
        <v>1</v>
      </c>
      <c r="AH1077">
        <v>1</v>
      </c>
      <c r="AI1077" t="s">
        <v>839</v>
      </c>
      <c r="AJ1077">
        <v>35.280918999999997</v>
      </c>
      <c r="AK1077" t="s">
        <v>840</v>
      </c>
      <c r="AL1077">
        <v>-76.205549000000005</v>
      </c>
      <c r="AM1077">
        <v>25</v>
      </c>
      <c r="AN1077">
        <v>3425</v>
      </c>
      <c r="AO1077" t="s">
        <v>118</v>
      </c>
      <c r="AP1077">
        <v>-176</v>
      </c>
      <c r="AQ1077">
        <v>-132</v>
      </c>
      <c r="AR1077">
        <v>64</v>
      </c>
      <c r="AZ1077">
        <v>4516</v>
      </c>
      <c r="BA1077">
        <v>1</v>
      </c>
      <c r="BB1077" t="str">
        <f t="shared" si="107"/>
        <v xml:space="preserve">N79NX   </v>
      </c>
      <c r="BC1077">
        <v>1</v>
      </c>
      <c r="BE1077">
        <v>0</v>
      </c>
      <c r="BF1077">
        <v>0</v>
      </c>
      <c r="BG1077">
        <v>0</v>
      </c>
      <c r="BH1077">
        <v>3275</v>
      </c>
      <c r="BI1077">
        <v>0</v>
      </c>
      <c r="BJ1077">
        <v>0</v>
      </c>
      <c r="BK1077">
        <v>0</v>
      </c>
      <c r="BL1077">
        <v>0</v>
      </c>
      <c r="BO1077">
        <v>0</v>
      </c>
      <c r="BP1077">
        <v>0</v>
      </c>
      <c r="BW1077" t="str">
        <f>"18:41:30.011"</f>
        <v>18:41:30.011</v>
      </c>
      <c r="BZ1077">
        <v>0</v>
      </c>
      <c r="CA1077">
        <v>4096</v>
      </c>
      <c r="CB1077">
        <v>216</v>
      </c>
      <c r="CC1077">
        <v>544.21879999999999</v>
      </c>
      <c r="CD1077">
        <v>1</v>
      </c>
      <c r="CE1077">
        <v>1</v>
      </c>
      <c r="CF1077">
        <v>0</v>
      </c>
      <c r="CG1077">
        <v>1</v>
      </c>
      <c r="CH1077">
        <v>0</v>
      </c>
      <c r="CI1077">
        <v>1</v>
      </c>
      <c r="CJ1077">
        <v>0</v>
      </c>
      <c r="CK1077">
        <v>2</v>
      </c>
      <c r="CL1077">
        <v>0</v>
      </c>
      <c r="CM1077">
        <v>2</v>
      </c>
      <c r="CN1077">
        <v>0</v>
      </c>
      <c r="CO1077">
        <v>4</v>
      </c>
      <c r="CP1077" t="s">
        <v>119</v>
      </c>
      <c r="CQ1077">
        <v>145</v>
      </c>
      <c r="CR1077">
        <v>1</v>
      </c>
      <c r="CW1077">
        <v>9018073</v>
      </c>
      <c r="CY1077">
        <v>0</v>
      </c>
      <c r="CZ1077">
        <v>0</v>
      </c>
      <c r="DA1077">
        <v>1</v>
      </c>
      <c r="DB1077">
        <v>0</v>
      </c>
      <c r="DC1077">
        <v>0</v>
      </c>
      <c r="DD1077">
        <v>0</v>
      </c>
      <c r="DE1077">
        <v>0</v>
      </c>
      <c r="DF1077">
        <v>0</v>
      </c>
      <c r="DG1077">
        <v>0</v>
      </c>
      <c r="DH1077">
        <v>0</v>
      </c>
      <c r="DI1077">
        <v>0</v>
      </c>
    </row>
    <row r="1078" spans="1:113" x14ac:dyDescent="0.3">
      <c r="A1078" t="str">
        <f>"02/13/2022 18:41:30.269"</f>
        <v>02/13/2022 18:41:30.269</v>
      </c>
      <c r="C1078" t="str">
        <f t="shared" si="106"/>
        <v>FFDFD7C0</v>
      </c>
      <c r="D1078" t="s">
        <v>113</v>
      </c>
      <c r="E1078">
        <v>4</v>
      </c>
      <c r="F1078">
        <v>1004</v>
      </c>
      <c r="G1078" t="s">
        <v>120</v>
      </c>
      <c r="J1078" t="s">
        <v>115</v>
      </c>
      <c r="K1078">
        <v>0</v>
      </c>
      <c r="L1078">
        <v>3</v>
      </c>
      <c r="M1078">
        <v>0</v>
      </c>
      <c r="N1078">
        <v>2</v>
      </c>
      <c r="O1078">
        <v>1</v>
      </c>
      <c r="P1078">
        <v>0</v>
      </c>
      <c r="Q1078">
        <v>0</v>
      </c>
      <c r="S1078" t="str">
        <f>"18:41:30.008"</f>
        <v>18:41:30.008</v>
      </c>
      <c r="T1078" t="str">
        <f>"18:41:29.608"</f>
        <v>18:41:29.608</v>
      </c>
      <c r="U1078" t="str">
        <f t="shared" si="105"/>
        <v>AAB6EE</v>
      </c>
      <c r="V1078">
        <v>0</v>
      </c>
      <c r="W1078">
        <v>0</v>
      </c>
      <c r="X1078">
        <v>4</v>
      </c>
      <c r="Z1078">
        <v>0</v>
      </c>
      <c r="AA1078">
        <v>8</v>
      </c>
      <c r="AB1078">
        <v>3</v>
      </c>
      <c r="AC1078">
        <v>0</v>
      </c>
      <c r="AD1078">
        <v>10</v>
      </c>
      <c r="AE1078">
        <v>0</v>
      </c>
      <c r="AF1078">
        <v>0</v>
      </c>
      <c r="AG1078">
        <v>1</v>
      </c>
      <c r="AH1078">
        <v>1</v>
      </c>
      <c r="AI1078" t="s">
        <v>839</v>
      </c>
      <c r="AJ1078">
        <v>35.280918999999997</v>
      </c>
      <c r="AK1078" t="s">
        <v>840</v>
      </c>
      <c r="AL1078">
        <v>-76.205549000000005</v>
      </c>
      <c r="AM1078">
        <v>25</v>
      </c>
      <c r="AN1078">
        <v>3425</v>
      </c>
      <c r="AO1078" t="s">
        <v>118</v>
      </c>
      <c r="AP1078">
        <v>-176</v>
      </c>
      <c r="AQ1078">
        <v>-132</v>
      </c>
      <c r="AR1078">
        <v>64</v>
      </c>
      <c r="AZ1078">
        <v>4516</v>
      </c>
      <c r="BA1078">
        <v>1</v>
      </c>
      <c r="BB1078" t="str">
        <f t="shared" si="107"/>
        <v xml:space="preserve">N79NX   </v>
      </c>
      <c r="BC1078">
        <v>1</v>
      </c>
      <c r="BE1078">
        <v>0</v>
      </c>
      <c r="BF1078">
        <v>0</v>
      </c>
      <c r="BG1078">
        <v>0</v>
      </c>
      <c r="BH1078">
        <v>3275</v>
      </c>
      <c r="BI1078">
        <v>0</v>
      </c>
      <c r="BJ1078">
        <v>0</v>
      </c>
      <c r="BK1078">
        <v>0</v>
      </c>
      <c r="BL1078">
        <v>0</v>
      </c>
      <c r="BO1078">
        <v>0</v>
      </c>
      <c r="BP1078">
        <v>0</v>
      </c>
      <c r="BW1078" t="str">
        <f>"18:41:30.011"</f>
        <v>18:41:30.011</v>
      </c>
      <c r="BZ1078">
        <v>0</v>
      </c>
      <c r="CA1078">
        <v>4096</v>
      </c>
      <c r="CB1078">
        <v>216</v>
      </c>
      <c r="CC1078">
        <v>544.21879999999999</v>
      </c>
      <c r="CD1078">
        <v>1</v>
      </c>
      <c r="CE1078">
        <v>1</v>
      </c>
      <c r="CF1078">
        <v>0</v>
      </c>
      <c r="CG1078">
        <v>1</v>
      </c>
      <c r="CH1078">
        <v>0</v>
      </c>
      <c r="CI1078">
        <v>1</v>
      </c>
      <c r="CJ1078">
        <v>0</v>
      </c>
      <c r="CK1078">
        <v>2</v>
      </c>
      <c r="CL1078">
        <v>0</v>
      </c>
      <c r="CM1078">
        <v>2</v>
      </c>
      <c r="CN1078">
        <v>0</v>
      </c>
      <c r="CO1078">
        <v>4</v>
      </c>
      <c r="CP1078" t="s">
        <v>119</v>
      </c>
      <c r="CQ1078">
        <v>145</v>
      </c>
      <c r="CR1078">
        <v>1</v>
      </c>
      <c r="CW1078">
        <v>9018073</v>
      </c>
      <c r="CY1078">
        <v>0</v>
      </c>
      <c r="CZ1078">
        <v>0</v>
      </c>
      <c r="DA1078">
        <v>1</v>
      </c>
      <c r="DB1078">
        <v>0</v>
      </c>
      <c r="DC1078">
        <v>0</v>
      </c>
      <c r="DD1078">
        <v>0</v>
      </c>
      <c r="DE1078">
        <v>0</v>
      </c>
      <c r="DF1078">
        <v>0</v>
      </c>
      <c r="DG1078">
        <v>0</v>
      </c>
      <c r="DH1078">
        <v>0</v>
      </c>
      <c r="DI1078">
        <v>0</v>
      </c>
    </row>
    <row r="1079" spans="1:113" x14ac:dyDescent="0.3">
      <c r="A1079" t="str">
        <f>"02/13/2022 18:41:31.332"</f>
        <v>02/13/2022 18:41:31.332</v>
      </c>
      <c r="C1079" t="str">
        <f t="shared" si="106"/>
        <v>FFDFD7C0</v>
      </c>
      <c r="D1079" t="s">
        <v>113</v>
      </c>
      <c r="E1079">
        <v>3</v>
      </c>
      <c r="F1079">
        <v>1003</v>
      </c>
      <c r="G1079" t="s">
        <v>114</v>
      </c>
      <c r="J1079" t="s">
        <v>115</v>
      </c>
      <c r="K1079">
        <v>0</v>
      </c>
      <c r="L1079">
        <v>3</v>
      </c>
      <c r="M1079">
        <v>0</v>
      </c>
      <c r="N1079">
        <v>2</v>
      </c>
      <c r="O1079">
        <v>1</v>
      </c>
      <c r="P1079">
        <v>0</v>
      </c>
      <c r="Q1079">
        <v>0</v>
      </c>
      <c r="S1079" t="str">
        <f>"18:41:31.086"</f>
        <v>18:41:31.086</v>
      </c>
      <c r="T1079" t="str">
        <f>"18:41:30.586"</f>
        <v>18:41:30.586</v>
      </c>
      <c r="U1079" t="str">
        <f t="shared" si="105"/>
        <v>AAB6EE</v>
      </c>
      <c r="V1079">
        <v>0</v>
      </c>
      <c r="W1079">
        <v>0</v>
      </c>
      <c r="X1079">
        <v>4</v>
      </c>
      <c r="Z1079">
        <v>0</v>
      </c>
      <c r="AA1079">
        <v>8</v>
      </c>
      <c r="AB1079">
        <v>3</v>
      </c>
      <c r="AC1079">
        <v>0</v>
      </c>
      <c r="AD1079">
        <v>10</v>
      </c>
      <c r="AE1079">
        <v>0</v>
      </c>
      <c r="AF1079">
        <v>0</v>
      </c>
      <c r="AG1079">
        <v>1</v>
      </c>
      <c r="AH1079">
        <v>1</v>
      </c>
      <c r="AI1079" t="s">
        <v>841</v>
      </c>
      <c r="AJ1079">
        <v>35.280318000000001</v>
      </c>
      <c r="AK1079" t="s">
        <v>842</v>
      </c>
      <c r="AL1079">
        <v>-76.206601000000006</v>
      </c>
      <c r="AM1079">
        <v>25</v>
      </c>
      <c r="AN1079">
        <v>3425</v>
      </c>
      <c r="AO1079" t="s">
        <v>118</v>
      </c>
      <c r="AP1079">
        <v>-180</v>
      </c>
      <c r="AQ1079">
        <v>-125</v>
      </c>
      <c r="AR1079">
        <v>64</v>
      </c>
      <c r="AZ1079">
        <v>4516</v>
      </c>
      <c r="BA1079">
        <v>1</v>
      </c>
      <c r="BB1079" t="str">
        <f t="shared" si="107"/>
        <v xml:space="preserve">N79NX   </v>
      </c>
      <c r="BC1079">
        <v>1</v>
      </c>
      <c r="BE1079">
        <v>0</v>
      </c>
      <c r="BF1079">
        <v>0</v>
      </c>
      <c r="BG1079">
        <v>0</v>
      </c>
      <c r="BH1079">
        <v>3275</v>
      </c>
      <c r="BI1079">
        <v>0</v>
      </c>
      <c r="BJ1079">
        <v>0</v>
      </c>
      <c r="BK1079">
        <v>0</v>
      </c>
      <c r="BL1079">
        <v>0</v>
      </c>
      <c r="BO1079">
        <v>0</v>
      </c>
      <c r="BP1079">
        <v>0</v>
      </c>
      <c r="BW1079" t="str">
        <f>"18:41:31.091"</f>
        <v>18:41:31.091</v>
      </c>
      <c r="BZ1079">
        <v>0</v>
      </c>
      <c r="CA1079">
        <v>4096</v>
      </c>
      <c r="CB1079">
        <v>216</v>
      </c>
      <c r="CC1079">
        <v>544.21879999999999</v>
      </c>
      <c r="CD1079">
        <v>1</v>
      </c>
      <c r="CE1079">
        <v>1</v>
      </c>
      <c r="CF1079">
        <v>0</v>
      </c>
      <c r="CG1079">
        <v>1</v>
      </c>
      <c r="CH1079">
        <v>0</v>
      </c>
      <c r="CI1079">
        <v>1</v>
      </c>
      <c r="CJ1079">
        <v>0</v>
      </c>
      <c r="CK1079">
        <v>2</v>
      </c>
      <c r="CL1079">
        <v>0</v>
      </c>
      <c r="CM1079">
        <v>2</v>
      </c>
      <c r="CN1079">
        <v>0</v>
      </c>
      <c r="CO1079">
        <v>3</v>
      </c>
      <c r="CP1079" t="s">
        <v>119</v>
      </c>
      <c r="CQ1079">
        <v>145</v>
      </c>
      <c r="CR1079">
        <v>1</v>
      </c>
      <c r="CW1079">
        <v>9018545</v>
      </c>
      <c r="CY1079">
        <v>0</v>
      </c>
      <c r="CZ1079">
        <v>0</v>
      </c>
      <c r="DA1079">
        <v>0</v>
      </c>
      <c r="DB1079">
        <v>0</v>
      </c>
      <c r="DC1079">
        <v>0</v>
      </c>
      <c r="DD1079">
        <v>0</v>
      </c>
      <c r="DE1079">
        <v>0</v>
      </c>
      <c r="DF1079">
        <v>0</v>
      </c>
      <c r="DG1079">
        <v>0</v>
      </c>
      <c r="DH1079">
        <v>0</v>
      </c>
      <c r="DI1079">
        <v>0</v>
      </c>
    </row>
    <row r="1080" spans="1:113" x14ac:dyDescent="0.3">
      <c r="A1080" t="str">
        <f>"02/13/2022 18:41:31.332"</f>
        <v>02/13/2022 18:41:31.332</v>
      </c>
      <c r="C1080" t="str">
        <f t="shared" si="106"/>
        <v>FFDFD7C0</v>
      </c>
      <c r="D1080" t="s">
        <v>113</v>
      </c>
      <c r="E1080">
        <v>4</v>
      </c>
      <c r="F1080">
        <v>1004</v>
      </c>
      <c r="G1080" t="s">
        <v>120</v>
      </c>
      <c r="J1080" t="s">
        <v>115</v>
      </c>
      <c r="K1080">
        <v>0</v>
      </c>
      <c r="L1080">
        <v>3</v>
      </c>
      <c r="M1080">
        <v>0</v>
      </c>
      <c r="N1080">
        <v>2</v>
      </c>
      <c r="O1080">
        <v>1</v>
      </c>
      <c r="P1080">
        <v>0</v>
      </c>
      <c r="Q1080">
        <v>0</v>
      </c>
      <c r="S1080" t="str">
        <f>"18:41:31.086"</f>
        <v>18:41:31.086</v>
      </c>
      <c r="T1080" t="str">
        <f>"18:41:30.586"</f>
        <v>18:41:30.586</v>
      </c>
      <c r="U1080" t="str">
        <f t="shared" si="105"/>
        <v>AAB6EE</v>
      </c>
      <c r="V1080">
        <v>0</v>
      </c>
      <c r="W1080">
        <v>0</v>
      </c>
      <c r="X1080">
        <v>4</v>
      </c>
      <c r="Z1080">
        <v>0</v>
      </c>
      <c r="AA1080">
        <v>8</v>
      </c>
      <c r="AB1080">
        <v>3</v>
      </c>
      <c r="AC1080">
        <v>0</v>
      </c>
      <c r="AD1080">
        <v>10</v>
      </c>
      <c r="AE1080">
        <v>0</v>
      </c>
      <c r="AF1080">
        <v>0</v>
      </c>
      <c r="AG1080">
        <v>1</v>
      </c>
      <c r="AH1080">
        <v>1</v>
      </c>
      <c r="AI1080" t="s">
        <v>841</v>
      </c>
      <c r="AJ1080">
        <v>35.280318000000001</v>
      </c>
      <c r="AK1080" t="s">
        <v>842</v>
      </c>
      <c r="AL1080">
        <v>-76.206601000000006</v>
      </c>
      <c r="AM1080">
        <v>25</v>
      </c>
      <c r="AN1080">
        <v>3425</v>
      </c>
      <c r="AO1080" t="s">
        <v>118</v>
      </c>
      <c r="AP1080">
        <v>-180</v>
      </c>
      <c r="AQ1080">
        <v>-125</v>
      </c>
      <c r="AR1080">
        <v>64</v>
      </c>
      <c r="AZ1080">
        <v>4516</v>
      </c>
      <c r="BA1080">
        <v>1</v>
      </c>
      <c r="BB1080" t="str">
        <f t="shared" si="107"/>
        <v xml:space="preserve">N79NX   </v>
      </c>
      <c r="BC1080">
        <v>1</v>
      </c>
      <c r="BE1080">
        <v>0</v>
      </c>
      <c r="BF1080">
        <v>0</v>
      </c>
      <c r="BG1080">
        <v>0</v>
      </c>
      <c r="BH1080">
        <v>3275</v>
      </c>
      <c r="BI1080">
        <v>0</v>
      </c>
      <c r="BJ1080">
        <v>0</v>
      </c>
      <c r="BK1080">
        <v>0</v>
      </c>
      <c r="BL1080">
        <v>0</v>
      </c>
      <c r="BO1080">
        <v>0</v>
      </c>
      <c r="BP1080">
        <v>0</v>
      </c>
      <c r="BW1080" t="str">
        <f>"18:41:31.091"</f>
        <v>18:41:31.091</v>
      </c>
      <c r="BZ1080">
        <v>0</v>
      </c>
      <c r="CA1080">
        <v>4096</v>
      </c>
      <c r="CB1080">
        <v>216</v>
      </c>
      <c r="CC1080">
        <v>544.21879999999999</v>
      </c>
      <c r="CD1080">
        <v>1</v>
      </c>
      <c r="CE1080">
        <v>1</v>
      </c>
      <c r="CF1080">
        <v>0</v>
      </c>
      <c r="CG1080">
        <v>1</v>
      </c>
      <c r="CH1080">
        <v>0</v>
      </c>
      <c r="CI1080">
        <v>1</v>
      </c>
      <c r="CJ1080">
        <v>0</v>
      </c>
      <c r="CK1080">
        <v>2</v>
      </c>
      <c r="CL1080">
        <v>0</v>
      </c>
      <c r="CM1080">
        <v>2</v>
      </c>
      <c r="CN1080">
        <v>0</v>
      </c>
      <c r="CO1080">
        <v>3</v>
      </c>
      <c r="CP1080" t="s">
        <v>119</v>
      </c>
      <c r="CQ1080">
        <v>145</v>
      </c>
      <c r="CR1080">
        <v>1</v>
      </c>
      <c r="CW1080">
        <v>9018545</v>
      </c>
      <c r="CY1080">
        <v>0</v>
      </c>
      <c r="CZ1080">
        <v>0</v>
      </c>
      <c r="DA1080">
        <v>1</v>
      </c>
      <c r="DB1080">
        <v>0</v>
      </c>
      <c r="DC1080">
        <v>0</v>
      </c>
      <c r="DD1080">
        <v>0</v>
      </c>
      <c r="DE1080">
        <v>0</v>
      </c>
      <c r="DF1080">
        <v>0</v>
      </c>
      <c r="DG1080">
        <v>0</v>
      </c>
      <c r="DH1080">
        <v>0</v>
      </c>
      <c r="DI1080">
        <v>0</v>
      </c>
    </row>
    <row r="1081" spans="1:113" x14ac:dyDescent="0.3">
      <c r="A1081" t="str">
        <f>"02/13/2022 18:41:31.332"</f>
        <v>02/13/2022 18:41:31.332</v>
      </c>
      <c r="C1081" t="str">
        <f t="shared" si="106"/>
        <v>FFDFD7C0</v>
      </c>
      <c r="D1081" t="s">
        <v>121</v>
      </c>
      <c r="E1081">
        <v>2</v>
      </c>
      <c r="H1081">
        <v>158</v>
      </c>
      <c r="I1081" t="s">
        <v>120</v>
      </c>
      <c r="J1081" t="s">
        <v>122</v>
      </c>
      <c r="K1081">
        <v>0</v>
      </c>
      <c r="L1081">
        <v>3</v>
      </c>
      <c r="M1081">
        <v>0</v>
      </c>
      <c r="N1081">
        <v>2</v>
      </c>
      <c r="O1081">
        <v>1</v>
      </c>
      <c r="P1081">
        <v>0</v>
      </c>
      <c r="Q1081">
        <v>0</v>
      </c>
      <c r="S1081" t="str">
        <f>"18:41:31.086"</f>
        <v>18:41:31.086</v>
      </c>
      <c r="T1081" t="str">
        <f>"18:41:30.586"</f>
        <v>18:41:30.586</v>
      </c>
      <c r="U1081" t="str">
        <f t="shared" si="105"/>
        <v>AAB6EE</v>
      </c>
      <c r="V1081">
        <v>0</v>
      </c>
      <c r="W1081">
        <v>0</v>
      </c>
      <c r="X1081">
        <v>4</v>
      </c>
      <c r="Z1081">
        <v>0</v>
      </c>
      <c r="AA1081">
        <v>8</v>
      </c>
      <c r="AB1081">
        <v>3</v>
      </c>
      <c r="AC1081">
        <v>0</v>
      </c>
      <c r="AD1081">
        <v>10</v>
      </c>
      <c r="AE1081">
        <v>0</v>
      </c>
      <c r="AF1081">
        <v>0</v>
      </c>
      <c r="AG1081">
        <v>1</v>
      </c>
      <c r="AH1081">
        <v>1</v>
      </c>
      <c r="AI1081" t="s">
        <v>841</v>
      </c>
      <c r="AJ1081">
        <v>35.280318000000001</v>
      </c>
      <c r="AK1081" t="s">
        <v>842</v>
      </c>
      <c r="AL1081">
        <v>-76.206601000000006</v>
      </c>
      <c r="AM1081">
        <v>25</v>
      </c>
      <c r="AN1081">
        <v>3425</v>
      </c>
      <c r="AO1081" t="s">
        <v>118</v>
      </c>
      <c r="AP1081">
        <v>-180</v>
      </c>
      <c r="AQ1081">
        <v>-125</v>
      </c>
      <c r="AR1081">
        <v>64</v>
      </c>
      <c r="AZ1081">
        <v>4516</v>
      </c>
      <c r="BA1081">
        <v>1</v>
      </c>
      <c r="BB1081" t="str">
        <f t="shared" si="107"/>
        <v xml:space="preserve">N79NX   </v>
      </c>
      <c r="BC1081">
        <v>1</v>
      </c>
      <c r="BE1081">
        <v>0</v>
      </c>
      <c r="BF1081">
        <v>0</v>
      </c>
      <c r="BG1081">
        <v>0</v>
      </c>
      <c r="BH1081">
        <v>3275</v>
      </c>
      <c r="BI1081">
        <v>0</v>
      </c>
      <c r="BJ1081">
        <v>0</v>
      </c>
      <c r="BK1081">
        <v>0</v>
      </c>
      <c r="BL1081">
        <v>0</v>
      </c>
      <c r="BO1081">
        <v>0</v>
      </c>
      <c r="BP1081">
        <v>0</v>
      </c>
      <c r="BW1081" t="str">
        <f>"18:41:31.091"</f>
        <v>18:41:31.091</v>
      </c>
      <c r="BZ1081">
        <v>0</v>
      </c>
      <c r="CA1081">
        <v>4096</v>
      </c>
      <c r="CB1081">
        <v>216</v>
      </c>
      <c r="CC1081">
        <v>544.21879999999999</v>
      </c>
      <c r="CD1081">
        <v>1</v>
      </c>
      <c r="CE1081">
        <v>1</v>
      </c>
      <c r="CF1081">
        <v>0</v>
      </c>
      <c r="CG1081">
        <v>1</v>
      </c>
      <c r="CH1081">
        <v>0</v>
      </c>
      <c r="CI1081">
        <v>1</v>
      </c>
      <c r="CJ1081">
        <v>0</v>
      </c>
      <c r="CK1081">
        <v>2</v>
      </c>
      <c r="CL1081">
        <v>0</v>
      </c>
      <c r="CM1081">
        <v>2</v>
      </c>
      <c r="CN1081">
        <v>0</v>
      </c>
      <c r="CO1081">
        <v>3</v>
      </c>
      <c r="CP1081" t="s">
        <v>119</v>
      </c>
      <c r="CQ1081">
        <v>145</v>
      </c>
      <c r="CR1081">
        <v>1</v>
      </c>
      <c r="CW1081">
        <v>9018545</v>
      </c>
      <c r="CY1081">
        <v>0</v>
      </c>
      <c r="CZ1081">
        <v>0</v>
      </c>
      <c r="DA1081">
        <v>1</v>
      </c>
      <c r="DB1081">
        <v>0</v>
      </c>
      <c r="DC1081">
        <v>0</v>
      </c>
      <c r="DD1081">
        <v>0</v>
      </c>
      <c r="DE1081">
        <v>0</v>
      </c>
      <c r="DF1081">
        <v>0</v>
      </c>
      <c r="DG1081">
        <v>0</v>
      </c>
      <c r="DH1081">
        <v>0</v>
      </c>
      <c r="DI1081">
        <v>0</v>
      </c>
    </row>
    <row r="1082" spans="1:113" x14ac:dyDescent="0.3">
      <c r="A1082" t="str">
        <f>"02/13/2022 18:41:32.411"</f>
        <v>02/13/2022 18:41:32.411</v>
      </c>
      <c r="C1082" t="str">
        <f t="shared" si="106"/>
        <v>FFDFD7C0</v>
      </c>
      <c r="D1082" t="s">
        <v>113</v>
      </c>
      <c r="E1082">
        <v>3</v>
      </c>
      <c r="F1082">
        <v>1003</v>
      </c>
      <c r="G1082" t="s">
        <v>114</v>
      </c>
      <c r="J1082" t="s">
        <v>115</v>
      </c>
      <c r="K1082">
        <v>0</v>
      </c>
      <c r="L1082">
        <v>3</v>
      </c>
      <c r="M1082">
        <v>0</v>
      </c>
      <c r="N1082">
        <v>2</v>
      </c>
      <c r="O1082">
        <v>1</v>
      </c>
      <c r="P1082">
        <v>0</v>
      </c>
      <c r="Q1082">
        <v>0</v>
      </c>
      <c r="S1082" t="str">
        <f>"18:41:32.211"</f>
        <v>18:41:32.211</v>
      </c>
      <c r="T1082" t="str">
        <f>"18:41:32.111"</f>
        <v>18:41:32.111</v>
      </c>
      <c r="U1082" t="str">
        <f t="shared" si="105"/>
        <v>AAB6EE</v>
      </c>
      <c r="V1082">
        <v>0</v>
      </c>
      <c r="W1082">
        <v>0</v>
      </c>
      <c r="X1082">
        <v>4</v>
      </c>
      <c r="Z1082">
        <v>0</v>
      </c>
      <c r="AA1082">
        <v>8</v>
      </c>
      <c r="AB1082">
        <v>3</v>
      </c>
      <c r="AC1082">
        <v>0</v>
      </c>
      <c r="AD1082">
        <v>10</v>
      </c>
      <c r="AE1082">
        <v>0</v>
      </c>
      <c r="AF1082">
        <v>0</v>
      </c>
      <c r="AG1082">
        <v>1</v>
      </c>
      <c r="AH1082">
        <v>1</v>
      </c>
      <c r="AI1082" t="s">
        <v>843</v>
      </c>
      <c r="AJ1082">
        <v>35.279696000000001</v>
      </c>
      <c r="AK1082" t="s">
        <v>844</v>
      </c>
      <c r="AL1082">
        <v>-76.207824000000002</v>
      </c>
      <c r="AM1082">
        <v>25</v>
      </c>
      <c r="AN1082">
        <v>3450</v>
      </c>
      <c r="AO1082" t="s">
        <v>118</v>
      </c>
      <c r="AP1082">
        <v>-188</v>
      </c>
      <c r="AQ1082">
        <v>-113</v>
      </c>
      <c r="AR1082">
        <v>0</v>
      </c>
      <c r="AZ1082">
        <v>4516</v>
      </c>
      <c r="BA1082">
        <v>1</v>
      </c>
      <c r="BB1082" t="str">
        <f t="shared" si="107"/>
        <v xml:space="preserve">N79NX   </v>
      </c>
      <c r="BC1082">
        <v>1</v>
      </c>
      <c r="BE1082">
        <v>0</v>
      </c>
      <c r="BF1082">
        <v>0</v>
      </c>
      <c r="BG1082">
        <v>0</v>
      </c>
      <c r="BH1082">
        <v>3300</v>
      </c>
      <c r="BI1082">
        <v>0</v>
      </c>
      <c r="BJ1082">
        <v>0</v>
      </c>
      <c r="BK1082">
        <v>0</v>
      </c>
      <c r="BL1082">
        <v>0</v>
      </c>
      <c r="BO1082">
        <v>0</v>
      </c>
      <c r="BP1082">
        <v>0</v>
      </c>
      <c r="BW1082" t="str">
        <f>"18:41:32.211"</f>
        <v>18:41:32.211</v>
      </c>
      <c r="BZ1082">
        <v>0</v>
      </c>
      <c r="CA1082">
        <v>4096</v>
      </c>
      <c r="CB1082">
        <v>216</v>
      </c>
      <c r="CC1082">
        <v>618.75</v>
      </c>
      <c r="CD1082">
        <v>1</v>
      </c>
      <c r="CE1082">
        <v>1</v>
      </c>
      <c r="CF1082">
        <v>0</v>
      </c>
      <c r="CG1082">
        <v>1</v>
      </c>
      <c r="CH1082">
        <v>0</v>
      </c>
      <c r="CI1082">
        <v>1</v>
      </c>
      <c r="CJ1082">
        <v>0</v>
      </c>
      <c r="CK1082">
        <v>2</v>
      </c>
      <c r="CL1082">
        <v>0</v>
      </c>
      <c r="CM1082">
        <v>2</v>
      </c>
      <c r="CN1082">
        <v>0</v>
      </c>
      <c r="CO1082">
        <v>3</v>
      </c>
      <c r="CP1082" t="s">
        <v>119</v>
      </c>
      <c r="CQ1082">
        <v>145</v>
      </c>
      <c r="CR1082">
        <v>1</v>
      </c>
      <c r="CW1082">
        <v>9019015</v>
      </c>
      <c r="CY1082">
        <v>0</v>
      </c>
      <c r="CZ1082">
        <v>0</v>
      </c>
      <c r="DA1082">
        <v>0</v>
      </c>
      <c r="DB1082">
        <v>0</v>
      </c>
      <c r="DC1082">
        <v>0</v>
      </c>
      <c r="DD1082">
        <v>0</v>
      </c>
      <c r="DE1082">
        <v>0</v>
      </c>
      <c r="DF1082">
        <v>0</v>
      </c>
      <c r="DG1082">
        <v>0</v>
      </c>
      <c r="DH1082">
        <v>0</v>
      </c>
      <c r="DI1082">
        <v>0</v>
      </c>
    </row>
    <row r="1083" spans="1:113" x14ac:dyDescent="0.3">
      <c r="A1083" t="str">
        <f>"02/13/2022 18:41:32.411"</f>
        <v>02/13/2022 18:41:32.411</v>
      </c>
      <c r="C1083" t="str">
        <f t="shared" si="106"/>
        <v>FFDFD7C0</v>
      </c>
      <c r="D1083" t="s">
        <v>113</v>
      </c>
      <c r="E1083">
        <v>4</v>
      </c>
      <c r="F1083">
        <v>1004</v>
      </c>
      <c r="G1083" t="s">
        <v>120</v>
      </c>
      <c r="J1083" t="s">
        <v>115</v>
      </c>
      <c r="K1083">
        <v>0</v>
      </c>
      <c r="L1083">
        <v>3</v>
      </c>
      <c r="M1083">
        <v>0</v>
      </c>
      <c r="N1083">
        <v>2</v>
      </c>
      <c r="O1083">
        <v>1</v>
      </c>
      <c r="P1083">
        <v>0</v>
      </c>
      <c r="Q1083">
        <v>0</v>
      </c>
      <c r="S1083" t="str">
        <f>"18:41:32.211"</f>
        <v>18:41:32.211</v>
      </c>
      <c r="T1083" t="str">
        <f>"18:41:32.111"</f>
        <v>18:41:32.111</v>
      </c>
      <c r="U1083" t="str">
        <f t="shared" si="105"/>
        <v>AAB6EE</v>
      </c>
      <c r="V1083">
        <v>0</v>
      </c>
      <c r="W1083">
        <v>0</v>
      </c>
      <c r="X1083">
        <v>4</v>
      </c>
      <c r="Z1083">
        <v>0</v>
      </c>
      <c r="AA1083">
        <v>8</v>
      </c>
      <c r="AB1083">
        <v>3</v>
      </c>
      <c r="AC1083">
        <v>0</v>
      </c>
      <c r="AD1083">
        <v>10</v>
      </c>
      <c r="AE1083">
        <v>0</v>
      </c>
      <c r="AF1083">
        <v>0</v>
      </c>
      <c r="AG1083">
        <v>1</v>
      </c>
      <c r="AH1083">
        <v>1</v>
      </c>
      <c r="AI1083" t="s">
        <v>843</v>
      </c>
      <c r="AJ1083">
        <v>35.279696000000001</v>
      </c>
      <c r="AK1083" t="s">
        <v>844</v>
      </c>
      <c r="AL1083">
        <v>-76.207824000000002</v>
      </c>
      <c r="AM1083">
        <v>25</v>
      </c>
      <c r="AN1083">
        <v>3450</v>
      </c>
      <c r="AO1083" t="s">
        <v>118</v>
      </c>
      <c r="AP1083">
        <v>-188</v>
      </c>
      <c r="AQ1083">
        <v>-113</v>
      </c>
      <c r="AR1083">
        <v>0</v>
      </c>
      <c r="AZ1083">
        <v>4516</v>
      </c>
      <c r="BA1083">
        <v>1</v>
      </c>
      <c r="BB1083" t="str">
        <f t="shared" si="107"/>
        <v xml:space="preserve">N79NX   </v>
      </c>
      <c r="BC1083">
        <v>1</v>
      </c>
      <c r="BE1083">
        <v>0</v>
      </c>
      <c r="BF1083">
        <v>0</v>
      </c>
      <c r="BG1083">
        <v>0</v>
      </c>
      <c r="BH1083">
        <v>3300</v>
      </c>
      <c r="BI1083">
        <v>0</v>
      </c>
      <c r="BJ1083">
        <v>0</v>
      </c>
      <c r="BK1083">
        <v>0</v>
      </c>
      <c r="BL1083">
        <v>0</v>
      </c>
      <c r="BO1083">
        <v>0</v>
      </c>
      <c r="BP1083">
        <v>0</v>
      </c>
      <c r="BW1083" t="str">
        <f>"18:41:32.211"</f>
        <v>18:41:32.211</v>
      </c>
      <c r="BZ1083">
        <v>0</v>
      </c>
      <c r="CA1083">
        <v>4096</v>
      </c>
      <c r="CB1083">
        <v>216</v>
      </c>
      <c r="CC1083">
        <v>618.75</v>
      </c>
      <c r="CD1083">
        <v>1</v>
      </c>
      <c r="CE1083">
        <v>1</v>
      </c>
      <c r="CF1083">
        <v>0</v>
      </c>
      <c r="CG1083">
        <v>1</v>
      </c>
      <c r="CH1083">
        <v>0</v>
      </c>
      <c r="CI1083">
        <v>1</v>
      </c>
      <c r="CJ1083">
        <v>0</v>
      </c>
      <c r="CK1083">
        <v>2</v>
      </c>
      <c r="CL1083">
        <v>0</v>
      </c>
      <c r="CM1083">
        <v>2</v>
      </c>
      <c r="CN1083">
        <v>0</v>
      </c>
      <c r="CO1083">
        <v>3</v>
      </c>
      <c r="CP1083" t="s">
        <v>119</v>
      </c>
      <c r="CQ1083">
        <v>145</v>
      </c>
      <c r="CR1083">
        <v>1</v>
      </c>
      <c r="CW1083">
        <v>9019015</v>
      </c>
      <c r="CY1083">
        <v>0</v>
      </c>
      <c r="CZ1083">
        <v>0</v>
      </c>
      <c r="DA1083">
        <v>1</v>
      </c>
      <c r="DB1083">
        <v>0</v>
      </c>
      <c r="DC1083">
        <v>0</v>
      </c>
      <c r="DD1083">
        <v>0</v>
      </c>
      <c r="DE1083">
        <v>0</v>
      </c>
      <c r="DF1083">
        <v>0</v>
      </c>
      <c r="DG1083">
        <v>0</v>
      </c>
      <c r="DH1083">
        <v>0</v>
      </c>
      <c r="DI1083">
        <v>0</v>
      </c>
    </row>
    <row r="1084" spans="1:113" x14ac:dyDescent="0.3">
      <c r="A1084" t="str">
        <f>"02/13/2022 18:41:32.411"</f>
        <v>02/13/2022 18:41:32.411</v>
      </c>
      <c r="C1084" t="str">
        <f t="shared" si="106"/>
        <v>FFDFD7C0</v>
      </c>
      <c r="D1084" t="s">
        <v>121</v>
      </c>
      <c r="E1084">
        <v>2</v>
      </c>
      <c r="H1084">
        <v>158</v>
      </c>
      <c r="I1084" t="s">
        <v>120</v>
      </c>
      <c r="J1084" t="s">
        <v>122</v>
      </c>
      <c r="K1084">
        <v>0</v>
      </c>
      <c r="L1084">
        <v>3</v>
      </c>
      <c r="M1084">
        <v>0</v>
      </c>
      <c r="N1084">
        <v>2</v>
      </c>
      <c r="O1084">
        <v>1</v>
      </c>
      <c r="P1084">
        <v>0</v>
      </c>
      <c r="Q1084">
        <v>0</v>
      </c>
      <c r="S1084" t="str">
        <f>"18:41:32.211"</f>
        <v>18:41:32.211</v>
      </c>
      <c r="T1084" t="str">
        <f>"18:41:32.111"</f>
        <v>18:41:32.111</v>
      </c>
      <c r="U1084" t="str">
        <f t="shared" si="105"/>
        <v>AAB6EE</v>
      </c>
      <c r="V1084">
        <v>0</v>
      </c>
      <c r="W1084">
        <v>0</v>
      </c>
      <c r="X1084">
        <v>4</v>
      </c>
      <c r="Z1084">
        <v>0</v>
      </c>
      <c r="AA1084">
        <v>8</v>
      </c>
      <c r="AB1084">
        <v>3</v>
      </c>
      <c r="AC1084">
        <v>0</v>
      </c>
      <c r="AD1084">
        <v>10</v>
      </c>
      <c r="AE1084">
        <v>0</v>
      </c>
      <c r="AF1084">
        <v>0</v>
      </c>
      <c r="AG1084">
        <v>1</v>
      </c>
      <c r="AH1084">
        <v>1</v>
      </c>
      <c r="AI1084" t="s">
        <v>843</v>
      </c>
      <c r="AJ1084">
        <v>35.279696000000001</v>
      </c>
      <c r="AK1084" t="s">
        <v>844</v>
      </c>
      <c r="AL1084">
        <v>-76.207824000000002</v>
      </c>
      <c r="AM1084">
        <v>25</v>
      </c>
      <c r="AN1084">
        <v>3450</v>
      </c>
      <c r="AO1084" t="s">
        <v>118</v>
      </c>
      <c r="AP1084">
        <v>-188</v>
      </c>
      <c r="AQ1084">
        <v>-113</v>
      </c>
      <c r="AR1084">
        <v>0</v>
      </c>
      <c r="AZ1084">
        <v>4516</v>
      </c>
      <c r="BA1084">
        <v>1</v>
      </c>
      <c r="BB1084" t="str">
        <f t="shared" si="107"/>
        <v xml:space="preserve">N79NX   </v>
      </c>
      <c r="BC1084">
        <v>1</v>
      </c>
      <c r="BE1084">
        <v>0</v>
      </c>
      <c r="BF1084">
        <v>0</v>
      </c>
      <c r="BG1084">
        <v>0</v>
      </c>
      <c r="BH1084">
        <v>3300</v>
      </c>
      <c r="BI1084">
        <v>0</v>
      </c>
      <c r="BJ1084">
        <v>0</v>
      </c>
      <c r="BK1084">
        <v>0</v>
      </c>
      <c r="BL1084">
        <v>0</v>
      </c>
      <c r="BO1084">
        <v>0</v>
      </c>
      <c r="BP1084">
        <v>0</v>
      </c>
      <c r="BW1084" t="str">
        <f>"18:41:32.211"</f>
        <v>18:41:32.211</v>
      </c>
      <c r="BZ1084">
        <v>0</v>
      </c>
      <c r="CA1084">
        <v>4096</v>
      </c>
      <c r="CB1084">
        <v>216</v>
      </c>
      <c r="CC1084">
        <v>618.75</v>
      </c>
      <c r="CD1084">
        <v>1</v>
      </c>
      <c r="CE1084">
        <v>1</v>
      </c>
      <c r="CF1084">
        <v>0</v>
      </c>
      <c r="CG1084">
        <v>1</v>
      </c>
      <c r="CH1084">
        <v>0</v>
      </c>
      <c r="CI1084">
        <v>1</v>
      </c>
      <c r="CJ1084">
        <v>0</v>
      </c>
      <c r="CK1084">
        <v>2</v>
      </c>
      <c r="CL1084">
        <v>0</v>
      </c>
      <c r="CM1084">
        <v>2</v>
      </c>
      <c r="CN1084">
        <v>0</v>
      </c>
      <c r="CO1084">
        <v>3</v>
      </c>
      <c r="CP1084" t="s">
        <v>119</v>
      </c>
      <c r="CQ1084">
        <v>145</v>
      </c>
      <c r="CR1084">
        <v>1</v>
      </c>
      <c r="CW1084">
        <v>9019015</v>
      </c>
      <c r="CY1084">
        <v>0</v>
      </c>
      <c r="CZ1084">
        <v>0</v>
      </c>
      <c r="DA1084">
        <v>1</v>
      </c>
      <c r="DB1084">
        <v>0</v>
      </c>
      <c r="DC1084">
        <v>0</v>
      </c>
      <c r="DD1084">
        <v>0</v>
      </c>
      <c r="DE1084">
        <v>0</v>
      </c>
      <c r="DF1084">
        <v>0</v>
      </c>
      <c r="DG1084">
        <v>0</v>
      </c>
      <c r="DH1084">
        <v>0</v>
      </c>
      <c r="DI1084">
        <v>0</v>
      </c>
    </row>
    <row r="1085" spans="1:113" x14ac:dyDescent="0.3">
      <c r="A1085" t="str">
        <f>"02/13/2022 18:41:33.536"</f>
        <v>02/13/2022 18:41:33.536</v>
      </c>
      <c r="C1085" t="str">
        <f t="shared" si="106"/>
        <v>FFDFD7C0</v>
      </c>
      <c r="D1085" t="s">
        <v>113</v>
      </c>
      <c r="E1085">
        <v>3</v>
      </c>
      <c r="F1085">
        <v>1003</v>
      </c>
      <c r="G1085" t="s">
        <v>114</v>
      </c>
      <c r="J1085" t="s">
        <v>115</v>
      </c>
      <c r="K1085">
        <v>0</v>
      </c>
      <c r="L1085">
        <v>3</v>
      </c>
      <c r="M1085">
        <v>0</v>
      </c>
      <c r="N1085">
        <v>2</v>
      </c>
      <c r="O1085">
        <v>1</v>
      </c>
      <c r="P1085">
        <v>0</v>
      </c>
      <c r="Q1085">
        <v>0</v>
      </c>
      <c r="S1085" t="str">
        <f>"18:41:33.336"</f>
        <v>18:41:33.336</v>
      </c>
      <c r="T1085" t="str">
        <f>"18:41:33.036"</f>
        <v>18:41:33.036</v>
      </c>
      <c r="U1085" t="str">
        <f t="shared" si="105"/>
        <v>AAB6EE</v>
      </c>
      <c r="V1085">
        <v>0</v>
      </c>
      <c r="W1085">
        <v>0</v>
      </c>
      <c r="X1085">
        <v>4</v>
      </c>
      <c r="Z1085">
        <v>0</v>
      </c>
      <c r="AA1085">
        <v>8</v>
      </c>
      <c r="AB1085">
        <v>3</v>
      </c>
      <c r="AC1085">
        <v>0</v>
      </c>
      <c r="AD1085">
        <v>10</v>
      </c>
      <c r="AE1085">
        <v>0</v>
      </c>
      <c r="AF1085">
        <v>0</v>
      </c>
      <c r="AG1085">
        <v>1</v>
      </c>
      <c r="AH1085">
        <v>1</v>
      </c>
      <c r="AI1085" t="s">
        <v>845</v>
      </c>
      <c r="AJ1085">
        <v>35.279159999999997</v>
      </c>
      <c r="AK1085" t="s">
        <v>846</v>
      </c>
      <c r="AL1085">
        <v>-76.209068000000002</v>
      </c>
      <c r="AM1085">
        <v>25</v>
      </c>
      <c r="AN1085">
        <v>3450</v>
      </c>
      <c r="AO1085" t="s">
        <v>118</v>
      </c>
      <c r="AP1085">
        <v>-192</v>
      </c>
      <c r="AQ1085">
        <v>-107</v>
      </c>
      <c r="AR1085">
        <v>0</v>
      </c>
      <c r="AZ1085">
        <v>4516</v>
      </c>
      <c r="BA1085">
        <v>1</v>
      </c>
      <c r="BB1085" t="str">
        <f t="shared" si="107"/>
        <v xml:space="preserve">N79NX   </v>
      </c>
      <c r="BC1085">
        <v>1</v>
      </c>
      <c r="BE1085">
        <v>0</v>
      </c>
      <c r="BF1085">
        <v>0</v>
      </c>
      <c r="BG1085">
        <v>0</v>
      </c>
      <c r="BH1085">
        <v>3300</v>
      </c>
      <c r="BI1085">
        <v>0</v>
      </c>
      <c r="BJ1085">
        <v>0</v>
      </c>
      <c r="BK1085">
        <v>0</v>
      </c>
      <c r="BL1085">
        <v>0</v>
      </c>
      <c r="BO1085">
        <v>0</v>
      </c>
      <c r="BP1085">
        <v>0</v>
      </c>
      <c r="BW1085" t="str">
        <f>"18:41:33.341"</f>
        <v>18:41:33.341</v>
      </c>
      <c r="BZ1085">
        <v>0</v>
      </c>
      <c r="CA1085">
        <v>4096</v>
      </c>
      <c r="CB1085">
        <v>216</v>
      </c>
      <c r="CC1085">
        <v>617.34379999999999</v>
      </c>
      <c r="CD1085">
        <v>1</v>
      </c>
      <c r="CE1085">
        <v>1</v>
      </c>
      <c r="CF1085">
        <v>0</v>
      </c>
      <c r="CG1085">
        <v>1</v>
      </c>
      <c r="CH1085">
        <v>0</v>
      </c>
      <c r="CI1085">
        <v>1</v>
      </c>
      <c r="CJ1085">
        <v>0</v>
      </c>
      <c r="CK1085">
        <v>2</v>
      </c>
      <c r="CL1085">
        <v>0</v>
      </c>
      <c r="CM1085">
        <v>2</v>
      </c>
      <c r="CN1085">
        <v>0</v>
      </c>
      <c r="CO1085">
        <v>3</v>
      </c>
      <c r="CP1085" t="s">
        <v>119</v>
      </c>
      <c r="CQ1085">
        <v>145</v>
      </c>
      <c r="CR1085">
        <v>1</v>
      </c>
      <c r="CW1085">
        <v>9019572</v>
      </c>
      <c r="CY1085">
        <v>0</v>
      </c>
      <c r="CZ1085">
        <v>0</v>
      </c>
      <c r="DA1085">
        <v>0</v>
      </c>
      <c r="DB1085">
        <v>0</v>
      </c>
      <c r="DC1085">
        <v>0</v>
      </c>
      <c r="DD1085">
        <v>0</v>
      </c>
      <c r="DE1085">
        <v>0</v>
      </c>
      <c r="DF1085">
        <v>0</v>
      </c>
      <c r="DG1085">
        <v>0</v>
      </c>
      <c r="DH1085">
        <v>0</v>
      </c>
      <c r="DI1085">
        <v>0</v>
      </c>
    </row>
    <row r="1086" spans="1:113" x14ac:dyDescent="0.3">
      <c r="A1086" t="str">
        <f>"02/13/2022 18:41:33.536"</f>
        <v>02/13/2022 18:41:33.536</v>
      </c>
      <c r="C1086" t="str">
        <f t="shared" si="106"/>
        <v>FFDFD7C0</v>
      </c>
      <c r="D1086" t="s">
        <v>113</v>
      </c>
      <c r="E1086">
        <v>4</v>
      </c>
      <c r="F1086">
        <v>1004</v>
      </c>
      <c r="G1086" t="s">
        <v>120</v>
      </c>
      <c r="J1086" t="s">
        <v>115</v>
      </c>
      <c r="K1086">
        <v>0</v>
      </c>
      <c r="L1086">
        <v>3</v>
      </c>
      <c r="M1086">
        <v>0</v>
      </c>
      <c r="N1086">
        <v>2</v>
      </c>
      <c r="O1086">
        <v>1</v>
      </c>
      <c r="P1086">
        <v>0</v>
      </c>
      <c r="Q1086">
        <v>0</v>
      </c>
      <c r="S1086" t="str">
        <f>"18:41:33.336"</f>
        <v>18:41:33.336</v>
      </c>
      <c r="T1086" t="str">
        <f>"18:41:33.036"</f>
        <v>18:41:33.036</v>
      </c>
      <c r="U1086" t="str">
        <f t="shared" si="105"/>
        <v>AAB6EE</v>
      </c>
      <c r="V1086">
        <v>0</v>
      </c>
      <c r="W1086">
        <v>0</v>
      </c>
      <c r="X1086">
        <v>4</v>
      </c>
      <c r="Z1086">
        <v>0</v>
      </c>
      <c r="AA1086">
        <v>8</v>
      </c>
      <c r="AB1086">
        <v>3</v>
      </c>
      <c r="AC1086">
        <v>0</v>
      </c>
      <c r="AD1086">
        <v>10</v>
      </c>
      <c r="AE1086">
        <v>0</v>
      </c>
      <c r="AF1086">
        <v>0</v>
      </c>
      <c r="AG1086">
        <v>1</v>
      </c>
      <c r="AH1086">
        <v>1</v>
      </c>
      <c r="AI1086" t="s">
        <v>845</v>
      </c>
      <c r="AJ1086">
        <v>35.279159999999997</v>
      </c>
      <c r="AK1086" t="s">
        <v>846</v>
      </c>
      <c r="AL1086">
        <v>-76.209068000000002</v>
      </c>
      <c r="AM1086">
        <v>25</v>
      </c>
      <c r="AN1086">
        <v>3450</v>
      </c>
      <c r="AO1086" t="s">
        <v>118</v>
      </c>
      <c r="AP1086">
        <v>-192</v>
      </c>
      <c r="AQ1086">
        <v>-107</v>
      </c>
      <c r="AR1086">
        <v>0</v>
      </c>
      <c r="AZ1086">
        <v>4516</v>
      </c>
      <c r="BA1086">
        <v>1</v>
      </c>
      <c r="BB1086" t="str">
        <f t="shared" si="107"/>
        <v xml:space="preserve">N79NX   </v>
      </c>
      <c r="BC1086">
        <v>1</v>
      </c>
      <c r="BE1086">
        <v>0</v>
      </c>
      <c r="BF1086">
        <v>0</v>
      </c>
      <c r="BG1086">
        <v>0</v>
      </c>
      <c r="BH1086">
        <v>3300</v>
      </c>
      <c r="BI1086">
        <v>0</v>
      </c>
      <c r="BJ1086">
        <v>0</v>
      </c>
      <c r="BK1086">
        <v>0</v>
      </c>
      <c r="BL1086">
        <v>0</v>
      </c>
      <c r="BO1086">
        <v>0</v>
      </c>
      <c r="BP1086">
        <v>0</v>
      </c>
      <c r="BW1086" t="str">
        <f>"18:41:33.341"</f>
        <v>18:41:33.341</v>
      </c>
      <c r="BZ1086">
        <v>0</v>
      </c>
      <c r="CA1086">
        <v>4096</v>
      </c>
      <c r="CB1086">
        <v>216</v>
      </c>
      <c r="CC1086">
        <v>617.34379999999999</v>
      </c>
      <c r="CD1086">
        <v>1</v>
      </c>
      <c r="CE1086">
        <v>1</v>
      </c>
      <c r="CF1086">
        <v>0</v>
      </c>
      <c r="CG1086">
        <v>1</v>
      </c>
      <c r="CH1086">
        <v>0</v>
      </c>
      <c r="CI1086">
        <v>1</v>
      </c>
      <c r="CJ1086">
        <v>0</v>
      </c>
      <c r="CK1086">
        <v>2</v>
      </c>
      <c r="CL1086">
        <v>0</v>
      </c>
      <c r="CM1086">
        <v>2</v>
      </c>
      <c r="CN1086">
        <v>0</v>
      </c>
      <c r="CO1086">
        <v>3</v>
      </c>
      <c r="CP1086" t="s">
        <v>119</v>
      </c>
      <c r="CQ1086">
        <v>145</v>
      </c>
      <c r="CR1086">
        <v>1</v>
      </c>
      <c r="CW1086">
        <v>9019572</v>
      </c>
      <c r="CY1086">
        <v>0</v>
      </c>
      <c r="CZ1086">
        <v>0</v>
      </c>
      <c r="DA1086">
        <v>1</v>
      </c>
      <c r="DB1086">
        <v>0</v>
      </c>
      <c r="DC1086">
        <v>0</v>
      </c>
      <c r="DD1086">
        <v>0</v>
      </c>
      <c r="DE1086">
        <v>0</v>
      </c>
      <c r="DF1086">
        <v>0</v>
      </c>
      <c r="DG1086">
        <v>0</v>
      </c>
      <c r="DH1086">
        <v>0</v>
      </c>
      <c r="DI1086">
        <v>0</v>
      </c>
    </row>
    <row r="1087" spans="1:113" x14ac:dyDescent="0.3">
      <c r="A1087" t="str">
        <f>"02/13/2022 18:41:33.614"</f>
        <v>02/13/2022 18:41:33.614</v>
      </c>
      <c r="C1087" t="str">
        <f t="shared" si="106"/>
        <v>FFDFD7C0</v>
      </c>
      <c r="D1087" t="s">
        <v>121</v>
      </c>
      <c r="E1087">
        <v>2</v>
      </c>
      <c r="H1087">
        <v>158</v>
      </c>
      <c r="I1087" t="s">
        <v>120</v>
      </c>
      <c r="J1087" t="s">
        <v>122</v>
      </c>
      <c r="K1087">
        <v>0</v>
      </c>
      <c r="L1087">
        <v>3</v>
      </c>
      <c r="M1087">
        <v>0</v>
      </c>
      <c r="N1087">
        <v>2</v>
      </c>
      <c r="O1087">
        <v>1</v>
      </c>
      <c r="P1087">
        <v>0</v>
      </c>
      <c r="Q1087">
        <v>0</v>
      </c>
      <c r="S1087" t="str">
        <f>"18:41:33.336"</f>
        <v>18:41:33.336</v>
      </c>
      <c r="T1087" t="str">
        <f>"18:41:33.036"</f>
        <v>18:41:33.036</v>
      </c>
      <c r="U1087" t="str">
        <f t="shared" si="105"/>
        <v>AAB6EE</v>
      </c>
      <c r="V1087">
        <v>0</v>
      </c>
      <c r="W1087">
        <v>0</v>
      </c>
      <c r="X1087">
        <v>4</v>
      </c>
      <c r="Z1087">
        <v>0</v>
      </c>
      <c r="AA1087">
        <v>8</v>
      </c>
      <c r="AB1087">
        <v>3</v>
      </c>
      <c r="AC1087">
        <v>0</v>
      </c>
      <c r="AD1087">
        <v>10</v>
      </c>
      <c r="AE1087">
        <v>0</v>
      </c>
      <c r="AF1087">
        <v>0</v>
      </c>
      <c r="AG1087">
        <v>1</v>
      </c>
      <c r="AH1087">
        <v>1</v>
      </c>
      <c r="AI1087" t="s">
        <v>845</v>
      </c>
      <c r="AJ1087">
        <v>35.279159999999997</v>
      </c>
      <c r="AK1087" t="s">
        <v>846</v>
      </c>
      <c r="AL1087">
        <v>-76.209068000000002</v>
      </c>
      <c r="AM1087">
        <v>25</v>
      </c>
      <c r="AN1087">
        <v>3450</v>
      </c>
      <c r="AO1087" t="s">
        <v>118</v>
      </c>
      <c r="AP1087">
        <v>-192</v>
      </c>
      <c r="AQ1087">
        <v>-107</v>
      </c>
      <c r="AR1087">
        <v>0</v>
      </c>
      <c r="AZ1087">
        <v>4516</v>
      </c>
      <c r="BA1087">
        <v>1</v>
      </c>
      <c r="BB1087" t="str">
        <f t="shared" si="107"/>
        <v xml:space="preserve">N79NX   </v>
      </c>
      <c r="BC1087">
        <v>1</v>
      </c>
      <c r="BE1087">
        <v>0</v>
      </c>
      <c r="BF1087">
        <v>0</v>
      </c>
      <c r="BG1087">
        <v>0</v>
      </c>
      <c r="BH1087">
        <v>3300</v>
      </c>
      <c r="BI1087">
        <v>0</v>
      </c>
      <c r="BJ1087">
        <v>0</v>
      </c>
      <c r="BK1087">
        <v>0</v>
      </c>
      <c r="BL1087">
        <v>0</v>
      </c>
      <c r="BO1087">
        <v>0</v>
      </c>
      <c r="BP1087">
        <v>0</v>
      </c>
      <c r="BW1087" t="str">
        <f>"18:41:33.341"</f>
        <v>18:41:33.341</v>
      </c>
      <c r="BZ1087">
        <v>0</v>
      </c>
      <c r="CA1087">
        <v>4096</v>
      </c>
      <c r="CB1087">
        <v>216</v>
      </c>
      <c r="CC1087">
        <v>617.34379999999999</v>
      </c>
      <c r="CD1087">
        <v>1</v>
      </c>
      <c r="CE1087">
        <v>1</v>
      </c>
      <c r="CF1087">
        <v>0</v>
      </c>
      <c r="CG1087">
        <v>1</v>
      </c>
      <c r="CH1087">
        <v>0</v>
      </c>
      <c r="CI1087">
        <v>1</v>
      </c>
      <c r="CJ1087">
        <v>0</v>
      </c>
      <c r="CK1087">
        <v>2</v>
      </c>
      <c r="CL1087">
        <v>0</v>
      </c>
      <c r="CM1087">
        <v>2</v>
      </c>
      <c r="CN1087">
        <v>0</v>
      </c>
      <c r="CO1087">
        <v>3</v>
      </c>
      <c r="CP1087" t="s">
        <v>119</v>
      </c>
      <c r="CQ1087">
        <v>145</v>
      </c>
      <c r="CR1087">
        <v>1</v>
      </c>
      <c r="CW1087">
        <v>9019572</v>
      </c>
      <c r="CY1087">
        <v>0</v>
      </c>
      <c r="CZ1087">
        <v>0</v>
      </c>
      <c r="DA1087">
        <v>1</v>
      </c>
      <c r="DB1087">
        <v>0</v>
      </c>
      <c r="DC1087">
        <v>0</v>
      </c>
      <c r="DD1087">
        <v>0</v>
      </c>
      <c r="DE1087">
        <v>0</v>
      </c>
      <c r="DF1087">
        <v>0</v>
      </c>
      <c r="DG1087">
        <v>0</v>
      </c>
      <c r="DH1087">
        <v>0</v>
      </c>
      <c r="DI1087">
        <v>0</v>
      </c>
    </row>
    <row r="1088" spans="1:113" x14ac:dyDescent="0.3">
      <c r="A1088" t="str">
        <f>"02/13/2022 18:41:34.474"</f>
        <v>02/13/2022 18:41:34.474</v>
      </c>
      <c r="C1088" t="str">
        <f t="shared" si="106"/>
        <v>FFDFD7C0</v>
      </c>
      <c r="D1088" t="s">
        <v>121</v>
      </c>
      <c r="E1088">
        <v>2</v>
      </c>
      <c r="H1088">
        <v>158</v>
      </c>
      <c r="I1088" t="s">
        <v>120</v>
      </c>
      <c r="J1088" t="s">
        <v>122</v>
      </c>
      <c r="K1088">
        <v>0</v>
      </c>
      <c r="L1088">
        <v>3</v>
      </c>
      <c r="M1088">
        <v>0</v>
      </c>
      <c r="N1088">
        <v>2</v>
      </c>
      <c r="O1088">
        <v>1</v>
      </c>
      <c r="P1088">
        <v>0</v>
      </c>
      <c r="Q1088">
        <v>0</v>
      </c>
      <c r="S1088" t="str">
        <f>"18:41:34.258"</f>
        <v>18:41:34.258</v>
      </c>
      <c r="T1088" t="str">
        <f>"18:41:33.858"</f>
        <v>18:41:33.858</v>
      </c>
      <c r="U1088" t="str">
        <f t="shared" si="105"/>
        <v>AAB6EE</v>
      </c>
      <c r="V1088">
        <v>0</v>
      </c>
      <c r="W1088">
        <v>0</v>
      </c>
      <c r="X1088">
        <v>4</v>
      </c>
      <c r="Z1088">
        <v>0</v>
      </c>
      <c r="AA1088">
        <v>8</v>
      </c>
      <c r="AB1088">
        <v>3</v>
      </c>
      <c r="AC1088">
        <v>0</v>
      </c>
      <c r="AD1088">
        <v>10</v>
      </c>
      <c r="AE1088">
        <v>0</v>
      </c>
      <c r="AF1088">
        <v>0</v>
      </c>
      <c r="AG1088">
        <v>1</v>
      </c>
      <c r="AH1088">
        <v>1</v>
      </c>
      <c r="AI1088" t="s">
        <v>847</v>
      </c>
      <c r="AJ1088">
        <v>35.278730000000003</v>
      </c>
      <c r="AK1088" t="s">
        <v>848</v>
      </c>
      <c r="AL1088">
        <v>-76.210054999999997</v>
      </c>
      <c r="AM1088">
        <v>25</v>
      </c>
      <c r="AN1088">
        <v>3450</v>
      </c>
      <c r="AO1088" t="s">
        <v>118</v>
      </c>
      <c r="AP1088">
        <v>-195</v>
      </c>
      <c r="AQ1088">
        <v>-101</v>
      </c>
      <c r="AR1088">
        <v>0</v>
      </c>
      <c r="AZ1088">
        <v>4516</v>
      </c>
      <c r="BA1088">
        <v>1</v>
      </c>
      <c r="BB1088" t="str">
        <f t="shared" si="107"/>
        <v xml:space="preserve">N79NX   </v>
      </c>
      <c r="BC1088">
        <v>1</v>
      </c>
      <c r="BE1088">
        <v>0</v>
      </c>
      <c r="BF1088">
        <v>0</v>
      </c>
      <c r="BG1088">
        <v>0</v>
      </c>
      <c r="BH1088">
        <v>3300</v>
      </c>
      <c r="BI1088">
        <v>0</v>
      </c>
      <c r="BJ1088">
        <v>0</v>
      </c>
      <c r="BK1088">
        <v>0</v>
      </c>
      <c r="BL1088">
        <v>0</v>
      </c>
      <c r="BO1088">
        <v>0</v>
      </c>
      <c r="BP1088">
        <v>0</v>
      </c>
      <c r="BW1088" t="str">
        <f>"18:41:34.261"</f>
        <v>18:41:34.261</v>
      </c>
      <c r="BZ1088">
        <v>0</v>
      </c>
      <c r="CA1088">
        <v>4096</v>
      </c>
      <c r="CB1088">
        <v>216</v>
      </c>
      <c r="CC1088">
        <v>617.34379999999999</v>
      </c>
      <c r="CD1088">
        <v>1</v>
      </c>
      <c r="CE1088">
        <v>1</v>
      </c>
      <c r="CF1088">
        <v>0</v>
      </c>
      <c r="CG1088">
        <v>1</v>
      </c>
      <c r="CH1088">
        <v>0</v>
      </c>
      <c r="CI1088">
        <v>1</v>
      </c>
      <c r="CJ1088">
        <v>0</v>
      </c>
      <c r="CK1088">
        <v>2</v>
      </c>
      <c r="CL1088">
        <v>0</v>
      </c>
      <c r="CM1088">
        <v>2</v>
      </c>
      <c r="CN1088">
        <v>0</v>
      </c>
      <c r="CO1088">
        <v>3</v>
      </c>
      <c r="CP1088" t="s">
        <v>119</v>
      </c>
      <c r="CQ1088">
        <v>145</v>
      </c>
      <c r="CR1088">
        <v>1</v>
      </c>
      <c r="CW1088">
        <v>9019986</v>
      </c>
      <c r="CY1088">
        <v>0</v>
      </c>
      <c r="CZ1088">
        <v>0</v>
      </c>
      <c r="DA1088">
        <v>0</v>
      </c>
      <c r="DB1088">
        <v>0</v>
      </c>
      <c r="DC1088">
        <v>0</v>
      </c>
      <c r="DD1088">
        <v>0</v>
      </c>
      <c r="DE1088">
        <v>0</v>
      </c>
      <c r="DF1088">
        <v>0</v>
      </c>
      <c r="DG1088">
        <v>0</v>
      </c>
      <c r="DH1088">
        <v>0</v>
      </c>
      <c r="DI1088">
        <v>0</v>
      </c>
    </row>
    <row r="1089" spans="1:113" x14ac:dyDescent="0.3">
      <c r="A1089" t="str">
        <f>"02/13/2022 18:41:34.506"</f>
        <v>02/13/2022 18:41:34.506</v>
      </c>
      <c r="C1089" t="str">
        <f t="shared" si="106"/>
        <v>FFDFD7C0</v>
      </c>
      <c r="D1089" t="s">
        <v>113</v>
      </c>
      <c r="E1089">
        <v>3</v>
      </c>
      <c r="F1089">
        <v>1003</v>
      </c>
      <c r="G1089" t="s">
        <v>114</v>
      </c>
      <c r="J1089" t="s">
        <v>115</v>
      </c>
      <c r="K1089">
        <v>0</v>
      </c>
      <c r="L1089">
        <v>3</v>
      </c>
      <c r="M1089">
        <v>0</v>
      </c>
      <c r="N1089">
        <v>2</v>
      </c>
      <c r="O1089">
        <v>1</v>
      </c>
      <c r="P1089">
        <v>0</v>
      </c>
      <c r="Q1089">
        <v>0</v>
      </c>
      <c r="S1089" t="str">
        <f>"18:41:34.258"</f>
        <v>18:41:34.258</v>
      </c>
      <c r="T1089" t="str">
        <f>"18:41:33.858"</f>
        <v>18:41:33.858</v>
      </c>
      <c r="U1089" t="str">
        <f t="shared" si="105"/>
        <v>AAB6EE</v>
      </c>
      <c r="V1089">
        <v>0</v>
      </c>
      <c r="W1089">
        <v>0</v>
      </c>
      <c r="X1089">
        <v>4</v>
      </c>
      <c r="Z1089">
        <v>0</v>
      </c>
      <c r="AA1089">
        <v>8</v>
      </c>
      <c r="AB1089">
        <v>3</v>
      </c>
      <c r="AC1089">
        <v>0</v>
      </c>
      <c r="AD1089">
        <v>10</v>
      </c>
      <c r="AE1089">
        <v>0</v>
      </c>
      <c r="AF1089">
        <v>0</v>
      </c>
      <c r="AG1089">
        <v>1</v>
      </c>
      <c r="AH1089">
        <v>1</v>
      </c>
      <c r="AI1089" t="s">
        <v>847</v>
      </c>
      <c r="AJ1089">
        <v>35.278730000000003</v>
      </c>
      <c r="AK1089" t="s">
        <v>848</v>
      </c>
      <c r="AL1089">
        <v>-76.210054999999997</v>
      </c>
      <c r="AM1089">
        <v>25</v>
      </c>
      <c r="AN1089">
        <v>3450</v>
      </c>
      <c r="AO1089" t="s">
        <v>118</v>
      </c>
      <c r="AP1089">
        <v>-195</v>
      </c>
      <c r="AQ1089">
        <v>-101</v>
      </c>
      <c r="AR1089">
        <v>0</v>
      </c>
      <c r="AZ1089">
        <v>4516</v>
      </c>
      <c r="BA1089">
        <v>1</v>
      </c>
      <c r="BB1089" t="str">
        <f t="shared" si="107"/>
        <v xml:space="preserve">N79NX   </v>
      </c>
      <c r="BC1089">
        <v>1</v>
      </c>
      <c r="BE1089">
        <v>0</v>
      </c>
      <c r="BF1089">
        <v>0</v>
      </c>
      <c r="BG1089">
        <v>0</v>
      </c>
      <c r="BH1089">
        <v>3300</v>
      </c>
      <c r="BI1089">
        <v>0</v>
      </c>
      <c r="BJ1089">
        <v>0</v>
      </c>
      <c r="BK1089">
        <v>0</v>
      </c>
      <c r="BL1089">
        <v>0</v>
      </c>
      <c r="BO1089">
        <v>0</v>
      </c>
      <c r="BP1089">
        <v>0</v>
      </c>
      <c r="BW1089" t="str">
        <f>"18:41:34.261"</f>
        <v>18:41:34.261</v>
      </c>
      <c r="BZ1089">
        <v>0</v>
      </c>
      <c r="CA1089">
        <v>4096</v>
      </c>
      <c r="CB1089">
        <v>216</v>
      </c>
      <c r="CC1089">
        <v>617.34379999999999</v>
      </c>
      <c r="CD1089">
        <v>1</v>
      </c>
      <c r="CE1089">
        <v>1</v>
      </c>
      <c r="CF1089">
        <v>0</v>
      </c>
      <c r="CG1089">
        <v>1</v>
      </c>
      <c r="CH1089">
        <v>0</v>
      </c>
      <c r="CI1089">
        <v>1</v>
      </c>
      <c r="CJ1089">
        <v>0</v>
      </c>
      <c r="CK1089">
        <v>2</v>
      </c>
      <c r="CL1089">
        <v>0</v>
      </c>
      <c r="CM1089">
        <v>2</v>
      </c>
      <c r="CN1089">
        <v>0</v>
      </c>
      <c r="CO1089">
        <v>3</v>
      </c>
      <c r="CP1089" t="s">
        <v>119</v>
      </c>
      <c r="CQ1089">
        <v>145</v>
      </c>
      <c r="CR1089">
        <v>1</v>
      </c>
      <c r="CW1089">
        <v>9019986</v>
      </c>
      <c r="CY1089">
        <v>0</v>
      </c>
      <c r="CZ1089">
        <v>0</v>
      </c>
      <c r="DA1089">
        <v>1</v>
      </c>
      <c r="DB1089">
        <v>0</v>
      </c>
      <c r="DC1089">
        <v>0</v>
      </c>
      <c r="DD1089">
        <v>0</v>
      </c>
      <c r="DE1089">
        <v>0</v>
      </c>
      <c r="DF1089">
        <v>0</v>
      </c>
      <c r="DG1089">
        <v>0</v>
      </c>
      <c r="DH1089">
        <v>0</v>
      </c>
      <c r="DI1089">
        <v>0</v>
      </c>
    </row>
    <row r="1090" spans="1:113" x14ac:dyDescent="0.3">
      <c r="A1090" t="str">
        <f>"02/13/2022 18:41:34.506"</f>
        <v>02/13/2022 18:41:34.506</v>
      </c>
      <c r="C1090" t="str">
        <f t="shared" si="106"/>
        <v>FFDFD7C0</v>
      </c>
      <c r="D1090" t="s">
        <v>113</v>
      </c>
      <c r="E1090">
        <v>4</v>
      </c>
      <c r="F1090">
        <v>1004</v>
      </c>
      <c r="G1090" t="s">
        <v>120</v>
      </c>
      <c r="J1090" t="s">
        <v>115</v>
      </c>
      <c r="K1090">
        <v>0</v>
      </c>
      <c r="L1090">
        <v>3</v>
      </c>
      <c r="M1090">
        <v>0</v>
      </c>
      <c r="N1090">
        <v>2</v>
      </c>
      <c r="O1090">
        <v>1</v>
      </c>
      <c r="P1090">
        <v>0</v>
      </c>
      <c r="Q1090">
        <v>0</v>
      </c>
      <c r="S1090" t="str">
        <f>"18:41:34.258"</f>
        <v>18:41:34.258</v>
      </c>
      <c r="T1090" t="str">
        <f>"18:41:33.858"</f>
        <v>18:41:33.858</v>
      </c>
      <c r="U1090" t="str">
        <f t="shared" ref="U1090:U1153" si="111">"AAB6EE"</f>
        <v>AAB6EE</v>
      </c>
      <c r="V1090">
        <v>0</v>
      </c>
      <c r="W1090">
        <v>0</v>
      </c>
      <c r="X1090">
        <v>4</v>
      </c>
      <c r="Z1090">
        <v>0</v>
      </c>
      <c r="AA1090">
        <v>8</v>
      </c>
      <c r="AB1090">
        <v>3</v>
      </c>
      <c r="AC1090">
        <v>0</v>
      </c>
      <c r="AD1090">
        <v>10</v>
      </c>
      <c r="AE1090">
        <v>0</v>
      </c>
      <c r="AF1090">
        <v>0</v>
      </c>
      <c r="AG1090">
        <v>1</v>
      </c>
      <c r="AH1090">
        <v>1</v>
      </c>
      <c r="AI1090" t="s">
        <v>847</v>
      </c>
      <c r="AJ1090">
        <v>35.278730000000003</v>
      </c>
      <c r="AK1090" t="s">
        <v>848</v>
      </c>
      <c r="AL1090">
        <v>-76.210054999999997</v>
      </c>
      <c r="AM1090">
        <v>25</v>
      </c>
      <c r="AN1090">
        <v>3450</v>
      </c>
      <c r="AO1090" t="s">
        <v>118</v>
      </c>
      <c r="AP1090">
        <v>-195</v>
      </c>
      <c r="AQ1090">
        <v>-101</v>
      </c>
      <c r="AR1090">
        <v>0</v>
      </c>
      <c r="AZ1090">
        <v>4516</v>
      </c>
      <c r="BA1090">
        <v>1</v>
      </c>
      <c r="BB1090" t="str">
        <f t="shared" si="107"/>
        <v xml:space="preserve">N79NX   </v>
      </c>
      <c r="BC1090">
        <v>1</v>
      </c>
      <c r="BE1090">
        <v>0</v>
      </c>
      <c r="BF1090">
        <v>0</v>
      </c>
      <c r="BG1090">
        <v>0</v>
      </c>
      <c r="BH1090">
        <v>3300</v>
      </c>
      <c r="BI1090">
        <v>0</v>
      </c>
      <c r="BJ1090">
        <v>0</v>
      </c>
      <c r="BK1090">
        <v>0</v>
      </c>
      <c r="BL1090">
        <v>0</v>
      </c>
      <c r="BO1090">
        <v>0</v>
      </c>
      <c r="BP1090">
        <v>0</v>
      </c>
      <c r="BW1090" t="str">
        <f>"18:41:34.261"</f>
        <v>18:41:34.261</v>
      </c>
      <c r="BZ1090">
        <v>0</v>
      </c>
      <c r="CA1090">
        <v>4096</v>
      </c>
      <c r="CB1090">
        <v>216</v>
      </c>
      <c r="CC1090">
        <v>617.34379999999999</v>
      </c>
      <c r="CD1090">
        <v>1</v>
      </c>
      <c r="CE1090">
        <v>1</v>
      </c>
      <c r="CF1090">
        <v>0</v>
      </c>
      <c r="CG1090">
        <v>1</v>
      </c>
      <c r="CH1090">
        <v>0</v>
      </c>
      <c r="CI1090">
        <v>1</v>
      </c>
      <c r="CJ1090">
        <v>0</v>
      </c>
      <c r="CK1090">
        <v>2</v>
      </c>
      <c r="CL1090">
        <v>0</v>
      </c>
      <c r="CM1090">
        <v>2</v>
      </c>
      <c r="CN1090">
        <v>0</v>
      </c>
      <c r="CO1090">
        <v>3</v>
      </c>
      <c r="CP1090" t="s">
        <v>119</v>
      </c>
      <c r="CQ1090">
        <v>145</v>
      </c>
      <c r="CR1090">
        <v>1</v>
      </c>
      <c r="CW1090">
        <v>9019986</v>
      </c>
      <c r="CY1090">
        <v>0</v>
      </c>
      <c r="CZ1090">
        <v>0</v>
      </c>
      <c r="DA1090">
        <v>1</v>
      </c>
      <c r="DB1090">
        <v>0</v>
      </c>
      <c r="DC1090">
        <v>0</v>
      </c>
      <c r="DD1090">
        <v>0</v>
      </c>
      <c r="DE1090">
        <v>0</v>
      </c>
      <c r="DF1090">
        <v>0</v>
      </c>
      <c r="DG1090">
        <v>0</v>
      </c>
      <c r="DH1090">
        <v>0</v>
      </c>
      <c r="DI1090">
        <v>0</v>
      </c>
    </row>
    <row r="1091" spans="1:113" x14ac:dyDescent="0.3">
      <c r="A1091" t="str">
        <f>"02/13/2022 18:41:35.476"</f>
        <v>02/13/2022 18:41:35.476</v>
      </c>
      <c r="C1091" t="str">
        <f t="shared" si="106"/>
        <v>FFDFD7C0</v>
      </c>
      <c r="D1091" t="s">
        <v>113</v>
      </c>
      <c r="E1091">
        <v>3</v>
      </c>
      <c r="F1091">
        <v>1003</v>
      </c>
      <c r="G1091" t="s">
        <v>114</v>
      </c>
      <c r="J1091" t="s">
        <v>115</v>
      </c>
      <c r="K1091">
        <v>0</v>
      </c>
      <c r="L1091">
        <v>3</v>
      </c>
      <c r="M1091">
        <v>0</v>
      </c>
      <c r="N1091">
        <v>2</v>
      </c>
      <c r="O1091">
        <v>1</v>
      </c>
      <c r="P1091">
        <v>0</v>
      </c>
      <c r="Q1091">
        <v>0</v>
      </c>
      <c r="S1091" t="str">
        <f>"18:41:35.250"</f>
        <v>18:41:35.250</v>
      </c>
      <c r="T1091" t="str">
        <f>"18:41:34.850"</f>
        <v>18:41:34.850</v>
      </c>
      <c r="U1091" t="str">
        <f t="shared" si="111"/>
        <v>AAB6EE</v>
      </c>
      <c r="V1091">
        <v>0</v>
      </c>
      <c r="W1091">
        <v>0</v>
      </c>
      <c r="X1091">
        <v>4</v>
      </c>
      <c r="Z1091">
        <v>0</v>
      </c>
      <c r="AA1091">
        <v>8</v>
      </c>
      <c r="AB1091">
        <v>3</v>
      </c>
      <c r="AC1091">
        <v>0</v>
      </c>
      <c r="AD1091">
        <v>10</v>
      </c>
      <c r="AE1091">
        <v>0</v>
      </c>
      <c r="AF1091">
        <v>0</v>
      </c>
      <c r="AG1091">
        <v>1</v>
      </c>
      <c r="AH1091">
        <v>1</v>
      </c>
      <c r="AI1091" t="s">
        <v>849</v>
      </c>
      <c r="AJ1091">
        <v>35.278300999999999</v>
      </c>
      <c r="AK1091" t="s">
        <v>850</v>
      </c>
      <c r="AL1091">
        <v>-76.211170999999993</v>
      </c>
      <c r="AM1091">
        <v>25</v>
      </c>
      <c r="AN1091">
        <v>3450</v>
      </c>
      <c r="AO1091" t="s">
        <v>118</v>
      </c>
      <c r="AP1091">
        <v>-200</v>
      </c>
      <c r="AQ1091">
        <v>-92</v>
      </c>
      <c r="AR1091">
        <v>-64</v>
      </c>
      <c r="AZ1091">
        <v>4516</v>
      </c>
      <c r="BA1091">
        <v>1</v>
      </c>
      <c r="BB1091" t="str">
        <f t="shared" si="107"/>
        <v xml:space="preserve">N79NX   </v>
      </c>
      <c r="BC1091">
        <v>1</v>
      </c>
      <c r="BE1091">
        <v>0</v>
      </c>
      <c r="BF1091">
        <v>0</v>
      </c>
      <c r="BG1091">
        <v>0</v>
      </c>
      <c r="BH1091">
        <v>3300</v>
      </c>
      <c r="BI1091">
        <v>0</v>
      </c>
      <c r="BJ1091">
        <v>0</v>
      </c>
      <c r="BK1091">
        <v>0</v>
      </c>
      <c r="BL1091">
        <v>0</v>
      </c>
      <c r="BO1091">
        <v>0</v>
      </c>
      <c r="BP1091">
        <v>0</v>
      </c>
      <c r="BW1091" t="str">
        <f>"18:41:35.251"</f>
        <v>18:41:35.251</v>
      </c>
      <c r="BZ1091">
        <v>0</v>
      </c>
      <c r="CA1091">
        <v>4096</v>
      </c>
      <c r="CB1091">
        <v>216</v>
      </c>
      <c r="CC1091">
        <v>618.75</v>
      </c>
      <c r="CD1091">
        <v>1</v>
      </c>
      <c r="CE1091">
        <v>1</v>
      </c>
      <c r="CF1091">
        <v>0</v>
      </c>
      <c r="CG1091">
        <v>1</v>
      </c>
      <c r="CH1091">
        <v>0</v>
      </c>
      <c r="CI1091">
        <v>1</v>
      </c>
      <c r="CJ1091">
        <v>0</v>
      </c>
      <c r="CK1091">
        <v>2</v>
      </c>
      <c r="CL1091">
        <v>0</v>
      </c>
      <c r="CM1091">
        <v>2</v>
      </c>
      <c r="CN1091">
        <v>0</v>
      </c>
      <c r="CO1091">
        <v>3</v>
      </c>
      <c r="CP1091" t="s">
        <v>119</v>
      </c>
      <c r="CQ1091">
        <v>145</v>
      </c>
      <c r="CR1091">
        <v>1</v>
      </c>
      <c r="CW1091">
        <v>9020412</v>
      </c>
      <c r="CY1091">
        <v>0</v>
      </c>
      <c r="CZ1091">
        <v>0</v>
      </c>
      <c r="DA1091">
        <v>0</v>
      </c>
      <c r="DB1091">
        <v>0</v>
      </c>
      <c r="DC1091">
        <v>0</v>
      </c>
      <c r="DD1091">
        <v>0</v>
      </c>
      <c r="DE1091">
        <v>0</v>
      </c>
      <c r="DF1091">
        <v>0</v>
      </c>
      <c r="DG1091">
        <v>0</v>
      </c>
      <c r="DH1091">
        <v>0</v>
      </c>
      <c r="DI1091">
        <v>0</v>
      </c>
    </row>
    <row r="1092" spans="1:113" x14ac:dyDescent="0.3">
      <c r="A1092" t="str">
        <f>"02/13/2022 18:41:35.476"</f>
        <v>02/13/2022 18:41:35.476</v>
      </c>
      <c r="C1092" t="str">
        <f t="shared" si="106"/>
        <v>FFDFD7C0</v>
      </c>
      <c r="D1092" t="s">
        <v>121</v>
      </c>
      <c r="E1092">
        <v>2</v>
      </c>
      <c r="H1092">
        <v>158</v>
      </c>
      <c r="I1092" t="s">
        <v>120</v>
      </c>
      <c r="J1092" t="s">
        <v>122</v>
      </c>
      <c r="K1092">
        <v>0</v>
      </c>
      <c r="L1092">
        <v>3</v>
      </c>
      <c r="M1092">
        <v>0</v>
      </c>
      <c r="N1092">
        <v>2</v>
      </c>
      <c r="O1092">
        <v>1</v>
      </c>
      <c r="P1092">
        <v>0</v>
      </c>
      <c r="Q1092">
        <v>0</v>
      </c>
      <c r="S1092" t="str">
        <f>"18:41:35.250"</f>
        <v>18:41:35.250</v>
      </c>
      <c r="T1092" t="str">
        <f>"18:41:34.850"</f>
        <v>18:41:34.850</v>
      </c>
      <c r="U1092" t="str">
        <f t="shared" si="111"/>
        <v>AAB6EE</v>
      </c>
      <c r="V1092">
        <v>0</v>
      </c>
      <c r="W1092">
        <v>0</v>
      </c>
      <c r="X1092">
        <v>4</v>
      </c>
      <c r="Z1092">
        <v>0</v>
      </c>
      <c r="AA1092">
        <v>8</v>
      </c>
      <c r="AB1092">
        <v>3</v>
      </c>
      <c r="AC1092">
        <v>0</v>
      </c>
      <c r="AD1092">
        <v>10</v>
      </c>
      <c r="AE1092">
        <v>0</v>
      </c>
      <c r="AF1092">
        <v>0</v>
      </c>
      <c r="AG1092">
        <v>1</v>
      </c>
      <c r="AH1092">
        <v>1</v>
      </c>
      <c r="AI1092" t="s">
        <v>849</v>
      </c>
      <c r="AJ1092">
        <v>35.278300999999999</v>
      </c>
      <c r="AK1092" t="s">
        <v>850</v>
      </c>
      <c r="AL1092">
        <v>-76.211170999999993</v>
      </c>
      <c r="AM1092">
        <v>25</v>
      </c>
      <c r="AN1092">
        <v>3450</v>
      </c>
      <c r="AO1092" t="s">
        <v>118</v>
      </c>
      <c r="AP1092">
        <v>-200</v>
      </c>
      <c r="AQ1092">
        <v>-92</v>
      </c>
      <c r="AR1092">
        <v>-64</v>
      </c>
      <c r="AZ1092">
        <v>4516</v>
      </c>
      <c r="BA1092">
        <v>1</v>
      </c>
      <c r="BB1092" t="str">
        <f t="shared" si="107"/>
        <v xml:space="preserve">N79NX   </v>
      </c>
      <c r="BC1092">
        <v>1</v>
      </c>
      <c r="BE1092">
        <v>0</v>
      </c>
      <c r="BF1092">
        <v>0</v>
      </c>
      <c r="BG1092">
        <v>0</v>
      </c>
      <c r="BH1092">
        <v>3300</v>
      </c>
      <c r="BI1092">
        <v>0</v>
      </c>
      <c r="BJ1092">
        <v>0</v>
      </c>
      <c r="BK1092">
        <v>0</v>
      </c>
      <c r="BL1092">
        <v>0</v>
      </c>
      <c r="BO1092">
        <v>0</v>
      </c>
      <c r="BP1092">
        <v>0</v>
      </c>
      <c r="BW1092" t="str">
        <f>"18:41:35.251"</f>
        <v>18:41:35.251</v>
      </c>
      <c r="BZ1092">
        <v>0</v>
      </c>
      <c r="CA1092">
        <v>4096</v>
      </c>
      <c r="CB1092">
        <v>216</v>
      </c>
      <c r="CC1092">
        <v>618.75</v>
      </c>
      <c r="CD1092">
        <v>1</v>
      </c>
      <c r="CE1092">
        <v>1</v>
      </c>
      <c r="CF1092">
        <v>0</v>
      </c>
      <c r="CG1092">
        <v>1</v>
      </c>
      <c r="CH1092">
        <v>0</v>
      </c>
      <c r="CI1092">
        <v>1</v>
      </c>
      <c r="CJ1092">
        <v>0</v>
      </c>
      <c r="CK1092">
        <v>2</v>
      </c>
      <c r="CL1092">
        <v>0</v>
      </c>
      <c r="CM1092">
        <v>2</v>
      </c>
      <c r="CN1092">
        <v>0</v>
      </c>
      <c r="CO1092">
        <v>3</v>
      </c>
      <c r="CP1092" t="s">
        <v>119</v>
      </c>
      <c r="CQ1092">
        <v>145</v>
      </c>
      <c r="CR1092">
        <v>1</v>
      </c>
      <c r="CW1092">
        <v>9020412</v>
      </c>
      <c r="CY1092">
        <v>0</v>
      </c>
      <c r="CZ1092">
        <v>0</v>
      </c>
      <c r="DA1092">
        <v>1</v>
      </c>
      <c r="DB1092">
        <v>0</v>
      </c>
      <c r="DC1092">
        <v>0</v>
      </c>
      <c r="DD1092">
        <v>0</v>
      </c>
      <c r="DE1092">
        <v>0</v>
      </c>
      <c r="DF1092">
        <v>0</v>
      </c>
      <c r="DG1092">
        <v>0</v>
      </c>
      <c r="DH1092">
        <v>0</v>
      </c>
      <c r="DI1092">
        <v>0</v>
      </c>
    </row>
    <row r="1093" spans="1:113" x14ac:dyDescent="0.3">
      <c r="A1093" t="str">
        <f>"02/13/2022 18:41:35.476"</f>
        <v>02/13/2022 18:41:35.476</v>
      </c>
      <c r="C1093" t="str">
        <f t="shared" ref="C1093:C1156" si="112">"FFDFD7C0"</f>
        <v>FFDFD7C0</v>
      </c>
      <c r="D1093" t="s">
        <v>113</v>
      </c>
      <c r="E1093">
        <v>4</v>
      </c>
      <c r="F1093">
        <v>1004</v>
      </c>
      <c r="G1093" t="s">
        <v>120</v>
      </c>
      <c r="J1093" t="s">
        <v>115</v>
      </c>
      <c r="K1093">
        <v>0</v>
      </c>
      <c r="L1093">
        <v>3</v>
      </c>
      <c r="M1093">
        <v>0</v>
      </c>
      <c r="N1093">
        <v>2</v>
      </c>
      <c r="O1093">
        <v>1</v>
      </c>
      <c r="P1093">
        <v>0</v>
      </c>
      <c r="Q1093">
        <v>0</v>
      </c>
      <c r="S1093" t="str">
        <f>"18:41:35.250"</f>
        <v>18:41:35.250</v>
      </c>
      <c r="T1093" t="str">
        <f>"18:41:34.850"</f>
        <v>18:41:34.850</v>
      </c>
      <c r="U1093" t="str">
        <f t="shared" si="111"/>
        <v>AAB6EE</v>
      </c>
      <c r="V1093">
        <v>0</v>
      </c>
      <c r="W1093">
        <v>0</v>
      </c>
      <c r="X1093">
        <v>4</v>
      </c>
      <c r="Z1093">
        <v>0</v>
      </c>
      <c r="AA1093">
        <v>8</v>
      </c>
      <c r="AB1093">
        <v>3</v>
      </c>
      <c r="AC1093">
        <v>0</v>
      </c>
      <c r="AD1093">
        <v>10</v>
      </c>
      <c r="AE1093">
        <v>0</v>
      </c>
      <c r="AF1093">
        <v>0</v>
      </c>
      <c r="AG1093">
        <v>1</v>
      </c>
      <c r="AH1093">
        <v>1</v>
      </c>
      <c r="AI1093" t="s">
        <v>849</v>
      </c>
      <c r="AJ1093">
        <v>35.278300999999999</v>
      </c>
      <c r="AK1093" t="s">
        <v>850</v>
      </c>
      <c r="AL1093">
        <v>-76.211170999999993</v>
      </c>
      <c r="AM1093">
        <v>25</v>
      </c>
      <c r="AN1093">
        <v>3450</v>
      </c>
      <c r="AO1093" t="s">
        <v>118</v>
      </c>
      <c r="AP1093">
        <v>-200</v>
      </c>
      <c r="AQ1093">
        <v>-92</v>
      </c>
      <c r="AR1093">
        <v>-64</v>
      </c>
      <c r="AZ1093">
        <v>4516</v>
      </c>
      <c r="BA1093">
        <v>1</v>
      </c>
      <c r="BB1093" t="str">
        <f t="shared" ref="BB1093:BB1156" si="113">"N79NX   "</f>
        <v xml:space="preserve">N79NX   </v>
      </c>
      <c r="BC1093">
        <v>1</v>
      </c>
      <c r="BE1093">
        <v>0</v>
      </c>
      <c r="BF1093">
        <v>0</v>
      </c>
      <c r="BG1093">
        <v>0</v>
      </c>
      <c r="BH1093">
        <v>3300</v>
      </c>
      <c r="BI1093">
        <v>0</v>
      </c>
      <c r="BJ1093">
        <v>0</v>
      </c>
      <c r="BK1093">
        <v>0</v>
      </c>
      <c r="BL1093">
        <v>0</v>
      </c>
      <c r="BO1093">
        <v>0</v>
      </c>
      <c r="BP1093">
        <v>0</v>
      </c>
      <c r="BW1093" t="str">
        <f>"18:41:35.251"</f>
        <v>18:41:35.251</v>
      </c>
      <c r="BZ1093">
        <v>0</v>
      </c>
      <c r="CA1093">
        <v>4096</v>
      </c>
      <c r="CB1093">
        <v>216</v>
      </c>
      <c r="CC1093">
        <v>618.75</v>
      </c>
      <c r="CD1093">
        <v>1</v>
      </c>
      <c r="CE1093">
        <v>1</v>
      </c>
      <c r="CF1093">
        <v>0</v>
      </c>
      <c r="CG1093">
        <v>1</v>
      </c>
      <c r="CH1093">
        <v>0</v>
      </c>
      <c r="CI1093">
        <v>1</v>
      </c>
      <c r="CJ1093">
        <v>0</v>
      </c>
      <c r="CK1093">
        <v>2</v>
      </c>
      <c r="CL1093">
        <v>0</v>
      </c>
      <c r="CM1093">
        <v>2</v>
      </c>
      <c r="CN1093">
        <v>0</v>
      </c>
      <c r="CO1093">
        <v>3</v>
      </c>
      <c r="CP1093" t="s">
        <v>119</v>
      </c>
      <c r="CQ1093">
        <v>145</v>
      </c>
      <c r="CR1093">
        <v>1</v>
      </c>
      <c r="CW1093">
        <v>9020412</v>
      </c>
      <c r="CY1093">
        <v>0</v>
      </c>
      <c r="CZ1093">
        <v>0</v>
      </c>
      <c r="DA1093">
        <v>1</v>
      </c>
      <c r="DB1093">
        <v>0</v>
      </c>
      <c r="DC1093">
        <v>0</v>
      </c>
      <c r="DD1093">
        <v>0</v>
      </c>
      <c r="DE1093">
        <v>0</v>
      </c>
      <c r="DF1093">
        <v>0</v>
      </c>
      <c r="DG1093">
        <v>0</v>
      </c>
      <c r="DH1093">
        <v>0</v>
      </c>
      <c r="DI1093">
        <v>0</v>
      </c>
    </row>
    <row r="1094" spans="1:113" x14ac:dyDescent="0.3">
      <c r="A1094" t="str">
        <f>"02/13/2022 18:41:36.417"</f>
        <v>02/13/2022 18:41:36.417</v>
      </c>
      <c r="C1094" t="str">
        <f t="shared" si="112"/>
        <v>FFDFD7C0</v>
      </c>
      <c r="D1094" t="s">
        <v>113</v>
      </c>
      <c r="E1094">
        <v>3</v>
      </c>
      <c r="F1094">
        <v>1003</v>
      </c>
      <c r="G1094" t="s">
        <v>114</v>
      </c>
      <c r="J1094" t="s">
        <v>115</v>
      </c>
      <c r="K1094">
        <v>0</v>
      </c>
      <c r="L1094">
        <v>3</v>
      </c>
      <c r="M1094">
        <v>0</v>
      </c>
      <c r="N1094">
        <v>2</v>
      </c>
      <c r="O1094">
        <v>1</v>
      </c>
      <c r="P1094">
        <v>0</v>
      </c>
      <c r="Q1094">
        <v>0</v>
      </c>
      <c r="S1094" t="str">
        <f>"18:41:36.180"</f>
        <v>18:41:36.180</v>
      </c>
      <c r="T1094" t="str">
        <f>"18:41:35.480"</f>
        <v>18:41:35.480</v>
      </c>
      <c r="U1094" t="str">
        <f t="shared" si="111"/>
        <v>AAB6EE</v>
      </c>
      <c r="V1094">
        <v>0</v>
      </c>
      <c r="W1094">
        <v>0</v>
      </c>
      <c r="X1094">
        <v>4</v>
      </c>
      <c r="Z1094">
        <v>0</v>
      </c>
      <c r="AA1094">
        <v>8</v>
      </c>
      <c r="AB1094">
        <v>3</v>
      </c>
      <c r="AC1094">
        <v>0</v>
      </c>
      <c r="AD1094">
        <v>10</v>
      </c>
      <c r="AE1094">
        <v>0</v>
      </c>
      <c r="AF1094">
        <v>0</v>
      </c>
      <c r="AG1094">
        <v>1</v>
      </c>
      <c r="AH1094">
        <v>1</v>
      </c>
      <c r="AI1094" t="s">
        <v>851</v>
      </c>
      <c r="AJ1094">
        <v>35.277979000000002</v>
      </c>
      <c r="AK1094" t="s">
        <v>852</v>
      </c>
      <c r="AL1094">
        <v>-76.212222999999994</v>
      </c>
      <c r="AM1094">
        <v>25</v>
      </c>
      <c r="AN1094">
        <v>3450</v>
      </c>
      <c r="AO1094" t="s">
        <v>118</v>
      </c>
      <c r="AP1094">
        <v>-202</v>
      </c>
      <c r="AQ1094">
        <v>-88</v>
      </c>
      <c r="AR1094">
        <v>-64</v>
      </c>
      <c r="AZ1094">
        <v>4516</v>
      </c>
      <c r="BA1094">
        <v>1</v>
      </c>
      <c r="BB1094" t="str">
        <f t="shared" si="113"/>
        <v xml:space="preserve">N79NX   </v>
      </c>
      <c r="BC1094">
        <v>1</v>
      </c>
      <c r="BE1094">
        <v>0</v>
      </c>
      <c r="BF1094">
        <v>0</v>
      </c>
      <c r="BG1094">
        <v>0</v>
      </c>
      <c r="BH1094">
        <v>3300</v>
      </c>
      <c r="BI1094">
        <v>0</v>
      </c>
      <c r="BJ1094">
        <v>0</v>
      </c>
      <c r="BK1094">
        <v>0</v>
      </c>
      <c r="BL1094">
        <v>0</v>
      </c>
      <c r="BO1094">
        <v>0</v>
      </c>
      <c r="BP1094">
        <v>0</v>
      </c>
      <c r="BW1094" t="str">
        <f>"18:41:36.181"</f>
        <v>18:41:36.181</v>
      </c>
      <c r="BZ1094">
        <v>0</v>
      </c>
      <c r="CA1094">
        <v>4096</v>
      </c>
      <c r="CB1094">
        <v>216</v>
      </c>
      <c r="CC1094">
        <v>630</v>
      </c>
      <c r="CD1094">
        <v>1</v>
      </c>
      <c r="CE1094">
        <v>1</v>
      </c>
      <c r="CF1094">
        <v>0</v>
      </c>
      <c r="CG1094">
        <v>1</v>
      </c>
      <c r="CH1094">
        <v>0</v>
      </c>
      <c r="CI1094">
        <v>1</v>
      </c>
      <c r="CJ1094">
        <v>0</v>
      </c>
      <c r="CK1094">
        <v>2</v>
      </c>
      <c r="CL1094">
        <v>0</v>
      </c>
      <c r="CM1094">
        <v>2</v>
      </c>
      <c r="CN1094">
        <v>0</v>
      </c>
      <c r="CO1094">
        <v>3</v>
      </c>
      <c r="CP1094" t="s">
        <v>119</v>
      </c>
      <c r="CQ1094">
        <v>145</v>
      </c>
      <c r="CR1094">
        <v>1</v>
      </c>
      <c r="CW1094">
        <v>9020747</v>
      </c>
      <c r="CY1094">
        <v>0</v>
      </c>
      <c r="CZ1094">
        <v>0</v>
      </c>
      <c r="DA1094">
        <v>0</v>
      </c>
      <c r="DB1094">
        <v>0</v>
      </c>
      <c r="DC1094">
        <v>0</v>
      </c>
      <c r="DD1094">
        <v>0</v>
      </c>
      <c r="DE1094">
        <v>0</v>
      </c>
      <c r="DF1094">
        <v>0</v>
      </c>
      <c r="DG1094">
        <v>0</v>
      </c>
      <c r="DH1094">
        <v>0</v>
      </c>
      <c r="DI1094">
        <v>0</v>
      </c>
    </row>
    <row r="1095" spans="1:113" x14ac:dyDescent="0.3">
      <c r="A1095" t="str">
        <f>"02/13/2022 18:41:36.417"</f>
        <v>02/13/2022 18:41:36.417</v>
      </c>
      <c r="C1095" t="str">
        <f t="shared" si="112"/>
        <v>FFDFD7C0</v>
      </c>
      <c r="D1095" t="s">
        <v>113</v>
      </c>
      <c r="E1095">
        <v>4</v>
      </c>
      <c r="F1095">
        <v>1004</v>
      </c>
      <c r="G1095" t="s">
        <v>120</v>
      </c>
      <c r="J1095" t="s">
        <v>115</v>
      </c>
      <c r="K1095">
        <v>0</v>
      </c>
      <c r="L1095">
        <v>3</v>
      </c>
      <c r="M1095">
        <v>0</v>
      </c>
      <c r="N1095">
        <v>2</v>
      </c>
      <c r="O1095">
        <v>1</v>
      </c>
      <c r="P1095">
        <v>0</v>
      </c>
      <c r="Q1095">
        <v>0</v>
      </c>
      <c r="S1095" t="str">
        <f>"18:41:36.180"</f>
        <v>18:41:36.180</v>
      </c>
      <c r="T1095" t="str">
        <f>"18:41:35.480"</f>
        <v>18:41:35.480</v>
      </c>
      <c r="U1095" t="str">
        <f t="shared" si="111"/>
        <v>AAB6EE</v>
      </c>
      <c r="V1095">
        <v>0</v>
      </c>
      <c r="W1095">
        <v>0</v>
      </c>
      <c r="X1095">
        <v>4</v>
      </c>
      <c r="Z1095">
        <v>0</v>
      </c>
      <c r="AA1095">
        <v>8</v>
      </c>
      <c r="AB1095">
        <v>3</v>
      </c>
      <c r="AC1095">
        <v>0</v>
      </c>
      <c r="AD1095">
        <v>10</v>
      </c>
      <c r="AE1095">
        <v>0</v>
      </c>
      <c r="AF1095">
        <v>0</v>
      </c>
      <c r="AG1095">
        <v>1</v>
      </c>
      <c r="AH1095">
        <v>1</v>
      </c>
      <c r="AI1095" t="s">
        <v>851</v>
      </c>
      <c r="AJ1095">
        <v>35.277979000000002</v>
      </c>
      <c r="AK1095" t="s">
        <v>852</v>
      </c>
      <c r="AL1095">
        <v>-76.212222999999994</v>
      </c>
      <c r="AM1095">
        <v>25</v>
      </c>
      <c r="AN1095">
        <v>3450</v>
      </c>
      <c r="AO1095" t="s">
        <v>118</v>
      </c>
      <c r="AP1095">
        <v>-202</v>
      </c>
      <c r="AQ1095">
        <v>-88</v>
      </c>
      <c r="AR1095">
        <v>-64</v>
      </c>
      <c r="AZ1095">
        <v>4516</v>
      </c>
      <c r="BA1095">
        <v>1</v>
      </c>
      <c r="BB1095" t="str">
        <f t="shared" si="113"/>
        <v xml:space="preserve">N79NX   </v>
      </c>
      <c r="BC1095">
        <v>1</v>
      </c>
      <c r="BE1095">
        <v>0</v>
      </c>
      <c r="BF1095">
        <v>0</v>
      </c>
      <c r="BG1095">
        <v>0</v>
      </c>
      <c r="BH1095">
        <v>3300</v>
      </c>
      <c r="BI1095">
        <v>0</v>
      </c>
      <c r="BJ1095">
        <v>0</v>
      </c>
      <c r="BK1095">
        <v>0</v>
      </c>
      <c r="BL1095">
        <v>0</v>
      </c>
      <c r="BO1095">
        <v>0</v>
      </c>
      <c r="BP1095">
        <v>0</v>
      </c>
      <c r="BW1095" t="str">
        <f>"18:41:36.181"</f>
        <v>18:41:36.181</v>
      </c>
      <c r="BZ1095">
        <v>0</v>
      </c>
      <c r="CA1095">
        <v>4096</v>
      </c>
      <c r="CB1095">
        <v>216</v>
      </c>
      <c r="CC1095">
        <v>630</v>
      </c>
      <c r="CD1095">
        <v>1</v>
      </c>
      <c r="CE1095">
        <v>1</v>
      </c>
      <c r="CF1095">
        <v>0</v>
      </c>
      <c r="CG1095">
        <v>1</v>
      </c>
      <c r="CH1095">
        <v>0</v>
      </c>
      <c r="CI1095">
        <v>1</v>
      </c>
      <c r="CJ1095">
        <v>0</v>
      </c>
      <c r="CK1095">
        <v>2</v>
      </c>
      <c r="CL1095">
        <v>0</v>
      </c>
      <c r="CM1095">
        <v>2</v>
      </c>
      <c r="CN1095">
        <v>0</v>
      </c>
      <c r="CO1095">
        <v>3</v>
      </c>
      <c r="CP1095" t="s">
        <v>119</v>
      </c>
      <c r="CQ1095">
        <v>145</v>
      </c>
      <c r="CR1095">
        <v>1</v>
      </c>
      <c r="CW1095">
        <v>9020747</v>
      </c>
      <c r="CY1095">
        <v>0</v>
      </c>
      <c r="CZ1095">
        <v>0</v>
      </c>
      <c r="DA1095">
        <v>1</v>
      </c>
      <c r="DB1095">
        <v>0</v>
      </c>
      <c r="DC1095">
        <v>0</v>
      </c>
      <c r="DD1095">
        <v>0</v>
      </c>
      <c r="DE1095">
        <v>0</v>
      </c>
      <c r="DF1095">
        <v>0</v>
      </c>
      <c r="DG1095">
        <v>0</v>
      </c>
      <c r="DH1095">
        <v>0</v>
      </c>
      <c r="DI1095">
        <v>0</v>
      </c>
    </row>
    <row r="1096" spans="1:113" x14ac:dyDescent="0.3">
      <c r="A1096" t="str">
        <f>"02/13/2022 18:41:36.417"</f>
        <v>02/13/2022 18:41:36.417</v>
      </c>
      <c r="C1096" t="str">
        <f t="shared" si="112"/>
        <v>FFDFD7C0</v>
      </c>
      <c r="D1096" t="s">
        <v>121</v>
      </c>
      <c r="E1096">
        <v>2</v>
      </c>
      <c r="H1096">
        <v>158</v>
      </c>
      <c r="I1096" t="s">
        <v>120</v>
      </c>
      <c r="J1096" t="s">
        <v>122</v>
      </c>
      <c r="K1096">
        <v>0</v>
      </c>
      <c r="L1096">
        <v>3</v>
      </c>
      <c r="M1096">
        <v>0</v>
      </c>
      <c r="N1096">
        <v>2</v>
      </c>
      <c r="O1096">
        <v>1</v>
      </c>
      <c r="P1096">
        <v>0</v>
      </c>
      <c r="Q1096">
        <v>0</v>
      </c>
      <c r="S1096" t="str">
        <f>"18:41:36.180"</f>
        <v>18:41:36.180</v>
      </c>
      <c r="T1096" t="str">
        <f>"18:41:35.480"</f>
        <v>18:41:35.480</v>
      </c>
      <c r="U1096" t="str">
        <f t="shared" si="111"/>
        <v>AAB6EE</v>
      </c>
      <c r="V1096">
        <v>0</v>
      </c>
      <c r="W1096">
        <v>0</v>
      </c>
      <c r="X1096">
        <v>4</v>
      </c>
      <c r="Z1096">
        <v>0</v>
      </c>
      <c r="AA1096">
        <v>8</v>
      </c>
      <c r="AB1096">
        <v>3</v>
      </c>
      <c r="AC1096">
        <v>0</v>
      </c>
      <c r="AD1096">
        <v>10</v>
      </c>
      <c r="AE1096">
        <v>0</v>
      </c>
      <c r="AF1096">
        <v>0</v>
      </c>
      <c r="AG1096">
        <v>1</v>
      </c>
      <c r="AH1096">
        <v>1</v>
      </c>
      <c r="AI1096" t="s">
        <v>851</v>
      </c>
      <c r="AJ1096">
        <v>35.277979000000002</v>
      </c>
      <c r="AK1096" t="s">
        <v>852</v>
      </c>
      <c r="AL1096">
        <v>-76.212222999999994</v>
      </c>
      <c r="AM1096">
        <v>25</v>
      </c>
      <c r="AN1096">
        <v>3450</v>
      </c>
      <c r="AO1096" t="s">
        <v>118</v>
      </c>
      <c r="AP1096">
        <v>-202</v>
      </c>
      <c r="AQ1096">
        <v>-88</v>
      </c>
      <c r="AR1096">
        <v>-64</v>
      </c>
      <c r="AZ1096">
        <v>4516</v>
      </c>
      <c r="BA1096">
        <v>1</v>
      </c>
      <c r="BB1096" t="str">
        <f t="shared" si="113"/>
        <v xml:space="preserve">N79NX   </v>
      </c>
      <c r="BC1096">
        <v>1</v>
      </c>
      <c r="BE1096">
        <v>0</v>
      </c>
      <c r="BF1096">
        <v>0</v>
      </c>
      <c r="BG1096">
        <v>0</v>
      </c>
      <c r="BH1096">
        <v>3300</v>
      </c>
      <c r="BI1096">
        <v>0</v>
      </c>
      <c r="BJ1096">
        <v>0</v>
      </c>
      <c r="BK1096">
        <v>0</v>
      </c>
      <c r="BL1096">
        <v>0</v>
      </c>
      <c r="BO1096">
        <v>0</v>
      </c>
      <c r="BP1096">
        <v>0</v>
      </c>
      <c r="BW1096" t="str">
        <f>"18:41:36.181"</f>
        <v>18:41:36.181</v>
      </c>
      <c r="BZ1096">
        <v>0</v>
      </c>
      <c r="CA1096">
        <v>4096</v>
      </c>
      <c r="CB1096">
        <v>216</v>
      </c>
      <c r="CC1096">
        <v>630</v>
      </c>
      <c r="CD1096">
        <v>1</v>
      </c>
      <c r="CE1096">
        <v>1</v>
      </c>
      <c r="CF1096">
        <v>0</v>
      </c>
      <c r="CG1096">
        <v>1</v>
      </c>
      <c r="CH1096">
        <v>0</v>
      </c>
      <c r="CI1096">
        <v>1</v>
      </c>
      <c r="CJ1096">
        <v>0</v>
      </c>
      <c r="CK1096">
        <v>2</v>
      </c>
      <c r="CL1096">
        <v>0</v>
      </c>
      <c r="CM1096">
        <v>2</v>
      </c>
      <c r="CN1096">
        <v>0</v>
      </c>
      <c r="CO1096">
        <v>3</v>
      </c>
      <c r="CP1096" t="s">
        <v>119</v>
      </c>
      <c r="CQ1096">
        <v>145</v>
      </c>
      <c r="CR1096">
        <v>1</v>
      </c>
      <c r="CW1096">
        <v>9020747</v>
      </c>
      <c r="CY1096">
        <v>0</v>
      </c>
      <c r="CZ1096">
        <v>0</v>
      </c>
      <c r="DA1096">
        <v>1</v>
      </c>
      <c r="DB1096">
        <v>0</v>
      </c>
      <c r="DC1096">
        <v>0</v>
      </c>
      <c r="DD1096">
        <v>0</v>
      </c>
      <c r="DE1096">
        <v>0</v>
      </c>
      <c r="DF1096">
        <v>0</v>
      </c>
      <c r="DG1096">
        <v>0</v>
      </c>
      <c r="DH1096">
        <v>0</v>
      </c>
      <c r="DI1096">
        <v>0</v>
      </c>
    </row>
    <row r="1097" spans="1:113" x14ac:dyDescent="0.3">
      <c r="A1097" t="str">
        <f>"02/13/2022 18:41:37.558"</f>
        <v>02/13/2022 18:41:37.558</v>
      </c>
      <c r="C1097" t="str">
        <f t="shared" si="112"/>
        <v>FFDFD7C0</v>
      </c>
      <c r="D1097" t="s">
        <v>113</v>
      </c>
      <c r="E1097">
        <v>3</v>
      </c>
      <c r="F1097">
        <v>1003</v>
      </c>
      <c r="G1097" t="s">
        <v>114</v>
      </c>
      <c r="J1097" t="s">
        <v>115</v>
      </c>
      <c r="K1097">
        <v>0</v>
      </c>
      <c r="L1097">
        <v>3</v>
      </c>
      <c r="M1097">
        <v>0</v>
      </c>
      <c r="N1097">
        <v>2</v>
      </c>
      <c r="O1097">
        <v>1</v>
      </c>
      <c r="P1097">
        <v>0</v>
      </c>
      <c r="Q1097">
        <v>0</v>
      </c>
      <c r="S1097" t="str">
        <f>"18:41:37.344"</f>
        <v>18:41:37.344</v>
      </c>
      <c r="T1097" t="str">
        <f>"18:41:37.044"</f>
        <v>18:41:37.044</v>
      </c>
      <c r="U1097" t="str">
        <f t="shared" si="111"/>
        <v>AAB6EE</v>
      </c>
      <c r="V1097">
        <v>0</v>
      </c>
      <c r="W1097">
        <v>0</v>
      </c>
      <c r="X1097">
        <v>4</v>
      </c>
      <c r="Z1097">
        <v>0</v>
      </c>
      <c r="AA1097">
        <v>8</v>
      </c>
      <c r="AB1097">
        <v>3</v>
      </c>
      <c r="AC1097">
        <v>0</v>
      </c>
      <c r="AD1097">
        <v>10</v>
      </c>
      <c r="AE1097">
        <v>0</v>
      </c>
      <c r="AF1097">
        <v>0</v>
      </c>
      <c r="AG1097">
        <v>1</v>
      </c>
      <c r="AH1097">
        <v>1</v>
      </c>
      <c r="AI1097" t="s">
        <v>853</v>
      </c>
      <c r="AJ1097">
        <v>35.277507</v>
      </c>
      <c r="AK1097" t="s">
        <v>854</v>
      </c>
      <c r="AL1097">
        <v>-76.213595999999995</v>
      </c>
      <c r="AM1097">
        <v>25</v>
      </c>
      <c r="AN1097">
        <v>3450</v>
      </c>
      <c r="AO1097" t="s">
        <v>118</v>
      </c>
      <c r="AP1097">
        <v>-206</v>
      </c>
      <c r="AQ1097">
        <v>-78</v>
      </c>
      <c r="AR1097">
        <v>192</v>
      </c>
      <c r="AZ1097">
        <v>4516</v>
      </c>
      <c r="BA1097">
        <v>1</v>
      </c>
      <c r="BB1097" t="str">
        <f t="shared" si="113"/>
        <v xml:space="preserve">N79NX   </v>
      </c>
      <c r="BC1097">
        <v>1</v>
      </c>
      <c r="BE1097">
        <v>0</v>
      </c>
      <c r="BF1097">
        <v>0</v>
      </c>
      <c r="BG1097">
        <v>0</v>
      </c>
      <c r="BH1097">
        <v>3300</v>
      </c>
      <c r="BI1097">
        <v>0</v>
      </c>
      <c r="BJ1097">
        <v>0</v>
      </c>
      <c r="BK1097">
        <v>0</v>
      </c>
      <c r="BL1097">
        <v>0</v>
      </c>
      <c r="BO1097">
        <v>0</v>
      </c>
      <c r="BP1097">
        <v>0</v>
      </c>
      <c r="BW1097" t="str">
        <f>"18:41:37.351"</f>
        <v>18:41:37.351</v>
      </c>
      <c r="BZ1097">
        <v>0</v>
      </c>
      <c r="CA1097">
        <v>4096</v>
      </c>
      <c r="CB1097">
        <v>216</v>
      </c>
      <c r="CC1097">
        <v>648.28129999999999</v>
      </c>
      <c r="CD1097">
        <v>1</v>
      </c>
      <c r="CE1097">
        <v>1</v>
      </c>
      <c r="CF1097">
        <v>0</v>
      </c>
      <c r="CG1097">
        <v>1</v>
      </c>
      <c r="CH1097">
        <v>0</v>
      </c>
      <c r="CI1097">
        <v>1</v>
      </c>
      <c r="CJ1097">
        <v>0</v>
      </c>
      <c r="CK1097">
        <v>2</v>
      </c>
      <c r="CL1097">
        <v>0</v>
      </c>
      <c r="CM1097">
        <v>2</v>
      </c>
      <c r="CN1097">
        <v>0</v>
      </c>
      <c r="CO1097">
        <v>3</v>
      </c>
      <c r="CP1097" t="s">
        <v>119</v>
      </c>
      <c r="CQ1097">
        <v>145</v>
      </c>
      <c r="CR1097">
        <v>1</v>
      </c>
      <c r="CW1097">
        <v>9021260</v>
      </c>
      <c r="CY1097">
        <v>0</v>
      </c>
      <c r="CZ1097">
        <v>0</v>
      </c>
      <c r="DA1097">
        <v>0</v>
      </c>
      <c r="DB1097">
        <v>0</v>
      </c>
      <c r="DC1097">
        <v>0</v>
      </c>
      <c r="DD1097">
        <v>0</v>
      </c>
      <c r="DE1097">
        <v>0</v>
      </c>
      <c r="DF1097">
        <v>0</v>
      </c>
      <c r="DG1097">
        <v>0</v>
      </c>
      <c r="DH1097">
        <v>0</v>
      </c>
      <c r="DI1097">
        <v>0</v>
      </c>
    </row>
    <row r="1098" spans="1:113" x14ac:dyDescent="0.3">
      <c r="A1098" t="str">
        <f>"02/13/2022 18:41:37.558"</f>
        <v>02/13/2022 18:41:37.558</v>
      </c>
      <c r="C1098" t="str">
        <f t="shared" si="112"/>
        <v>FFDFD7C0</v>
      </c>
      <c r="D1098" t="s">
        <v>113</v>
      </c>
      <c r="E1098">
        <v>4</v>
      </c>
      <c r="F1098">
        <v>1004</v>
      </c>
      <c r="G1098" t="s">
        <v>120</v>
      </c>
      <c r="J1098" t="s">
        <v>115</v>
      </c>
      <c r="K1098">
        <v>0</v>
      </c>
      <c r="L1098">
        <v>3</v>
      </c>
      <c r="M1098">
        <v>0</v>
      </c>
      <c r="N1098">
        <v>2</v>
      </c>
      <c r="O1098">
        <v>1</v>
      </c>
      <c r="P1098">
        <v>0</v>
      </c>
      <c r="Q1098">
        <v>0</v>
      </c>
      <c r="S1098" t="str">
        <f>"18:41:37.344"</f>
        <v>18:41:37.344</v>
      </c>
      <c r="T1098" t="str">
        <f>"18:41:37.044"</f>
        <v>18:41:37.044</v>
      </c>
      <c r="U1098" t="str">
        <f t="shared" si="111"/>
        <v>AAB6EE</v>
      </c>
      <c r="V1098">
        <v>0</v>
      </c>
      <c r="W1098">
        <v>0</v>
      </c>
      <c r="X1098">
        <v>4</v>
      </c>
      <c r="Z1098">
        <v>0</v>
      </c>
      <c r="AA1098">
        <v>8</v>
      </c>
      <c r="AB1098">
        <v>3</v>
      </c>
      <c r="AC1098">
        <v>0</v>
      </c>
      <c r="AD1098">
        <v>10</v>
      </c>
      <c r="AE1098">
        <v>0</v>
      </c>
      <c r="AF1098">
        <v>0</v>
      </c>
      <c r="AG1098">
        <v>1</v>
      </c>
      <c r="AH1098">
        <v>1</v>
      </c>
      <c r="AI1098" t="s">
        <v>853</v>
      </c>
      <c r="AJ1098">
        <v>35.277507</v>
      </c>
      <c r="AK1098" t="s">
        <v>854</v>
      </c>
      <c r="AL1098">
        <v>-76.213595999999995</v>
      </c>
      <c r="AM1098">
        <v>25</v>
      </c>
      <c r="AN1098">
        <v>3450</v>
      </c>
      <c r="AO1098" t="s">
        <v>118</v>
      </c>
      <c r="AP1098">
        <v>-206</v>
      </c>
      <c r="AQ1098">
        <v>-78</v>
      </c>
      <c r="AR1098">
        <v>192</v>
      </c>
      <c r="AZ1098">
        <v>4516</v>
      </c>
      <c r="BA1098">
        <v>1</v>
      </c>
      <c r="BB1098" t="str">
        <f t="shared" si="113"/>
        <v xml:space="preserve">N79NX   </v>
      </c>
      <c r="BC1098">
        <v>1</v>
      </c>
      <c r="BE1098">
        <v>0</v>
      </c>
      <c r="BF1098">
        <v>0</v>
      </c>
      <c r="BG1098">
        <v>0</v>
      </c>
      <c r="BH1098">
        <v>3300</v>
      </c>
      <c r="BI1098">
        <v>0</v>
      </c>
      <c r="BJ1098">
        <v>0</v>
      </c>
      <c r="BK1098">
        <v>0</v>
      </c>
      <c r="BL1098">
        <v>0</v>
      </c>
      <c r="BO1098">
        <v>0</v>
      </c>
      <c r="BP1098">
        <v>0</v>
      </c>
      <c r="BW1098" t="str">
        <f>"18:41:37.351"</f>
        <v>18:41:37.351</v>
      </c>
      <c r="BZ1098">
        <v>0</v>
      </c>
      <c r="CA1098">
        <v>4096</v>
      </c>
      <c r="CB1098">
        <v>216</v>
      </c>
      <c r="CC1098">
        <v>648.28129999999999</v>
      </c>
      <c r="CD1098">
        <v>1</v>
      </c>
      <c r="CE1098">
        <v>1</v>
      </c>
      <c r="CF1098">
        <v>0</v>
      </c>
      <c r="CG1098">
        <v>1</v>
      </c>
      <c r="CH1098">
        <v>0</v>
      </c>
      <c r="CI1098">
        <v>1</v>
      </c>
      <c r="CJ1098">
        <v>0</v>
      </c>
      <c r="CK1098">
        <v>2</v>
      </c>
      <c r="CL1098">
        <v>0</v>
      </c>
      <c r="CM1098">
        <v>2</v>
      </c>
      <c r="CN1098">
        <v>0</v>
      </c>
      <c r="CO1098">
        <v>3</v>
      </c>
      <c r="CP1098" t="s">
        <v>119</v>
      </c>
      <c r="CQ1098">
        <v>145</v>
      </c>
      <c r="CR1098">
        <v>1</v>
      </c>
      <c r="CW1098">
        <v>9021260</v>
      </c>
      <c r="CY1098">
        <v>0</v>
      </c>
      <c r="CZ1098">
        <v>0</v>
      </c>
      <c r="DA1098">
        <v>1</v>
      </c>
      <c r="DB1098">
        <v>0</v>
      </c>
      <c r="DC1098">
        <v>0</v>
      </c>
      <c r="DD1098">
        <v>0</v>
      </c>
      <c r="DE1098">
        <v>0</v>
      </c>
      <c r="DF1098">
        <v>0</v>
      </c>
      <c r="DG1098">
        <v>0</v>
      </c>
      <c r="DH1098">
        <v>0</v>
      </c>
      <c r="DI1098">
        <v>0</v>
      </c>
    </row>
    <row r="1099" spans="1:113" x14ac:dyDescent="0.3">
      <c r="A1099" t="str">
        <f>"02/13/2022 18:41:37.558"</f>
        <v>02/13/2022 18:41:37.558</v>
      </c>
      <c r="C1099" t="str">
        <f t="shared" si="112"/>
        <v>FFDFD7C0</v>
      </c>
      <c r="D1099" t="s">
        <v>121</v>
      </c>
      <c r="E1099">
        <v>2</v>
      </c>
      <c r="H1099">
        <v>158</v>
      </c>
      <c r="I1099" t="s">
        <v>120</v>
      </c>
      <c r="J1099" t="s">
        <v>122</v>
      </c>
      <c r="K1099">
        <v>0</v>
      </c>
      <c r="L1099">
        <v>3</v>
      </c>
      <c r="M1099">
        <v>0</v>
      </c>
      <c r="N1099">
        <v>2</v>
      </c>
      <c r="O1099">
        <v>1</v>
      </c>
      <c r="P1099">
        <v>0</v>
      </c>
      <c r="Q1099">
        <v>0</v>
      </c>
      <c r="S1099" t="str">
        <f>"18:41:37.344"</f>
        <v>18:41:37.344</v>
      </c>
      <c r="T1099" t="str">
        <f>"18:41:37.044"</f>
        <v>18:41:37.044</v>
      </c>
      <c r="U1099" t="str">
        <f t="shared" si="111"/>
        <v>AAB6EE</v>
      </c>
      <c r="V1099">
        <v>0</v>
      </c>
      <c r="W1099">
        <v>0</v>
      </c>
      <c r="X1099">
        <v>4</v>
      </c>
      <c r="Z1099">
        <v>0</v>
      </c>
      <c r="AA1099">
        <v>8</v>
      </c>
      <c r="AB1099">
        <v>3</v>
      </c>
      <c r="AC1099">
        <v>0</v>
      </c>
      <c r="AD1099">
        <v>10</v>
      </c>
      <c r="AE1099">
        <v>0</v>
      </c>
      <c r="AF1099">
        <v>0</v>
      </c>
      <c r="AG1099">
        <v>1</v>
      </c>
      <c r="AH1099">
        <v>1</v>
      </c>
      <c r="AI1099" t="s">
        <v>853</v>
      </c>
      <c r="AJ1099">
        <v>35.277507</v>
      </c>
      <c r="AK1099" t="s">
        <v>854</v>
      </c>
      <c r="AL1099">
        <v>-76.213595999999995</v>
      </c>
      <c r="AM1099">
        <v>25</v>
      </c>
      <c r="AN1099">
        <v>3450</v>
      </c>
      <c r="AO1099" t="s">
        <v>118</v>
      </c>
      <c r="AP1099">
        <v>-206</v>
      </c>
      <c r="AQ1099">
        <v>-78</v>
      </c>
      <c r="AR1099">
        <v>192</v>
      </c>
      <c r="AZ1099">
        <v>4516</v>
      </c>
      <c r="BA1099">
        <v>1</v>
      </c>
      <c r="BB1099" t="str">
        <f t="shared" si="113"/>
        <v xml:space="preserve">N79NX   </v>
      </c>
      <c r="BC1099">
        <v>1</v>
      </c>
      <c r="BE1099">
        <v>0</v>
      </c>
      <c r="BF1099">
        <v>0</v>
      </c>
      <c r="BG1099">
        <v>0</v>
      </c>
      <c r="BH1099">
        <v>3300</v>
      </c>
      <c r="BI1099">
        <v>0</v>
      </c>
      <c r="BJ1099">
        <v>0</v>
      </c>
      <c r="BK1099">
        <v>0</v>
      </c>
      <c r="BL1099">
        <v>0</v>
      </c>
      <c r="BO1099">
        <v>0</v>
      </c>
      <c r="BP1099">
        <v>0</v>
      </c>
      <c r="BW1099" t="str">
        <f>"18:41:37.351"</f>
        <v>18:41:37.351</v>
      </c>
      <c r="BZ1099">
        <v>0</v>
      </c>
      <c r="CA1099">
        <v>4096</v>
      </c>
      <c r="CB1099">
        <v>216</v>
      </c>
      <c r="CC1099">
        <v>648.28129999999999</v>
      </c>
      <c r="CD1099">
        <v>1</v>
      </c>
      <c r="CE1099">
        <v>1</v>
      </c>
      <c r="CF1099">
        <v>0</v>
      </c>
      <c r="CG1099">
        <v>1</v>
      </c>
      <c r="CH1099">
        <v>0</v>
      </c>
      <c r="CI1099">
        <v>1</v>
      </c>
      <c r="CJ1099">
        <v>0</v>
      </c>
      <c r="CK1099">
        <v>2</v>
      </c>
      <c r="CL1099">
        <v>0</v>
      </c>
      <c r="CM1099">
        <v>2</v>
      </c>
      <c r="CN1099">
        <v>0</v>
      </c>
      <c r="CO1099">
        <v>3</v>
      </c>
      <c r="CP1099" t="s">
        <v>119</v>
      </c>
      <c r="CQ1099">
        <v>145</v>
      </c>
      <c r="CR1099">
        <v>1</v>
      </c>
      <c r="CW1099">
        <v>9021260</v>
      </c>
      <c r="CY1099">
        <v>0</v>
      </c>
      <c r="CZ1099">
        <v>0</v>
      </c>
      <c r="DA1099">
        <v>1</v>
      </c>
      <c r="DB1099">
        <v>0</v>
      </c>
      <c r="DC1099">
        <v>0</v>
      </c>
      <c r="DD1099">
        <v>0</v>
      </c>
      <c r="DE1099">
        <v>0</v>
      </c>
      <c r="DF1099">
        <v>0</v>
      </c>
      <c r="DG1099">
        <v>0</v>
      </c>
      <c r="DH1099">
        <v>0</v>
      </c>
      <c r="DI1099">
        <v>0</v>
      </c>
    </row>
    <row r="1100" spans="1:113" x14ac:dyDescent="0.3">
      <c r="A1100" t="str">
        <f>"02/13/2022 18:41:38.730"</f>
        <v>02/13/2022 18:41:38.730</v>
      </c>
      <c r="C1100" t="str">
        <f t="shared" si="112"/>
        <v>FFDFD7C0</v>
      </c>
      <c r="D1100" t="s">
        <v>113</v>
      </c>
      <c r="E1100">
        <v>3</v>
      </c>
      <c r="F1100">
        <v>1003</v>
      </c>
      <c r="G1100" t="s">
        <v>114</v>
      </c>
      <c r="J1100" t="s">
        <v>115</v>
      </c>
      <c r="K1100">
        <v>0</v>
      </c>
      <c r="L1100">
        <v>3</v>
      </c>
      <c r="M1100">
        <v>0</v>
      </c>
      <c r="N1100">
        <v>2</v>
      </c>
      <c r="O1100">
        <v>1</v>
      </c>
      <c r="P1100">
        <v>0</v>
      </c>
      <c r="Q1100">
        <v>0</v>
      </c>
      <c r="S1100" t="str">
        <f>"18:41:38.477"</f>
        <v>18:41:38.477</v>
      </c>
      <c r="T1100" t="str">
        <f>"18:41:38.077"</f>
        <v>18:41:38.077</v>
      </c>
      <c r="U1100" t="str">
        <f t="shared" si="111"/>
        <v>AAB6EE</v>
      </c>
      <c r="V1100">
        <v>0</v>
      </c>
      <c r="W1100">
        <v>0</v>
      </c>
      <c r="X1100">
        <v>4</v>
      </c>
      <c r="Z1100">
        <v>0</v>
      </c>
      <c r="AA1100">
        <v>8</v>
      </c>
      <c r="AB1100">
        <v>3</v>
      </c>
      <c r="AC1100">
        <v>0</v>
      </c>
      <c r="AD1100">
        <v>10</v>
      </c>
      <c r="AE1100">
        <v>0</v>
      </c>
      <c r="AF1100">
        <v>0</v>
      </c>
      <c r="AG1100">
        <v>1</v>
      </c>
      <c r="AH1100">
        <v>1</v>
      </c>
      <c r="AI1100" t="s">
        <v>855</v>
      </c>
      <c r="AJ1100">
        <v>35.277143000000002</v>
      </c>
      <c r="AK1100" t="s">
        <v>856</v>
      </c>
      <c r="AL1100">
        <v>-76.214905000000002</v>
      </c>
      <c r="AM1100">
        <v>25</v>
      </c>
      <c r="AN1100">
        <v>3450</v>
      </c>
      <c r="AO1100" t="s">
        <v>118</v>
      </c>
      <c r="AP1100">
        <v>-208</v>
      </c>
      <c r="AQ1100">
        <v>-73</v>
      </c>
      <c r="AR1100">
        <v>128</v>
      </c>
      <c r="AZ1100">
        <v>4516</v>
      </c>
      <c r="BA1100">
        <v>1</v>
      </c>
      <c r="BB1100" t="str">
        <f t="shared" si="113"/>
        <v xml:space="preserve">N79NX   </v>
      </c>
      <c r="BC1100">
        <v>1</v>
      </c>
      <c r="BE1100">
        <v>0</v>
      </c>
      <c r="BF1100">
        <v>0</v>
      </c>
      <c r="BG1100">
        <v>0</v>
      </c>
      <c r="BH1100">
        <v>3300</v>
      </c>
      <c r="BI1100">
        <v>0</v>
      </c>
      <c r="BJ1100">
        <v>0</v>
      </c>
      <c r="BK1100">
        <v>0</v>
      </c>
      <c r="BL1100">
        <v>0</v>
      </c>
      <c r="BO1100">
        <v>0</v>
      </c>
      <c r="BP1100">
        <v>0</v>
      </c>
      <c r="BW1100" t="str">
        <f>"18:41:38.481"</f>
        <v>18:41:38.481</v>
      </c>
      <c r="BZ1100">
        <v>0</v>
      </c>
      <c r="CA1100">
        <v>4096</v>
      </c>
      <c r="CB1100">
        <v>216</v>
      </c>
      <c r="CC1100">
        <v>648.28129999999999</v>
      </c>
      <c r="CD1100">
        <v>1</v>
      </c>
      <c r="CE1100">
        <v>1</v>
      </c>
      <c r="CF1100">
        <v>0</v>
      </c>
      <c r="CG1100">
        <v>1</v>
      </c>
      <c r="CH1100">
        <v>0</v>
      </c>
      <c r="CI1100">
        <v>1</v>
      </c>
      <c r="CJ1100">
        <v>0</v>
      </c>
      <c r="CK1100">
        <v>2</v>
      </c>
      <c r="CL1100">
        <v>0</v>
      </c>
      <c r="CM1100">
        <v>2</v>
      </c>
      <c r="CN1100">
        <v>0</v>
      </c>
      <c r="CO1100">
        <v>3</v>
      </c>
      <c r="CP1100" t="s">
        <v>119</v>
      </c>
      <c r="CQ1100">
        <v>145</v>
      </c>
      <c r="CR1100">
        <v>1</v>
      </c>
      <c r="CW1100">
        <v>9021799</v>
      </c>
      <c r="CY1100">
        <v>0</v>
      </c>
      <c r="CZ1100">
        <v>0</v>
      </c>
      <c r="DA1100">
        <v>0</v>
      </c>
      <c r="DB1100">
        <v>0</v>
      </c>
      <c r="DC1100">
        <v>0</v>
      </c>
      <c r="DD1100">
        <v>0</v>
      </c>
      <c r="DE1100">
        <v>0</v>
      </c>
      <c r="DF1100">
        <v>0</v>
      </c>
      <c r="DG1100">
        <v>0</v>
      </c>
      <c r="DH1100">
        <v>0</v>
      </c>
      <c r="DI1100">
        <v>0</v>
      </c>
    </row>
    <row r="1101" spans="1:113" x14ac:dyDescent="0.3">
      <c r="A1101" t="str">
        <f>"02/13/2022 18:41:38.730"</f>
        <v>02/13/2022 18:41:38.730</v>
      </c>
      <c r="C1101" t="str">
        <f t="shared" si="112"/>
        <v>FFDFD7C0</v>
      </c>
      <c r="D1101" t="s">
        <v>113</v>
      </c>
      <c r="E1101">
        <v>4</v>
      </c>
      <c r="F1101">
        <v>1004</v>
      </c>
      <c r="G1101" t="s">
        <v>120</v>
      </c>
      <c r="J1101" t="s">
        <v>115</v>
      </c>
      <c r="K1101">
        <v>0</v>
      </c>
      <c r="L1101">
        <v>3</v>
      </c>
      <c r="M1101">
        <v>0</v>
      </c>
      <c r="N1101">
        <v>2</v>
      </c>
      <c r="O1101">
        <v>1</v>
      </c>
      <c r="P1101">
        <v>0</v>
      </c>
      <c r="Q1101">
        <v>0</v>
      </c>
      <c r="S1101" t="str">
        <f>"18:41:38.477"</f>
        <v>18:41:38.477</v>
      </c>
      <c r="T1101" t="str">
        <f>"18:41:38.077"</f>
        <v>18:41:38.077</v>
      </c>
      <c r="U1101" t="str">
        <f t="shared" si="111"/>
        <v>AAB6EE</v>
      </c>
      <c r="V1101">
        <v>0</v>
      </c>
      <c r="W1101">
        <v>0</v>
      </c>
      <c r="X1101">
        <v>4</v>
      </c>
      <c r="Z1101">
        <v>0</v>
      </c>
      <c r="AA1101">
        <v>8</v>
      </c>
      <c r="AB1101">
        <v>3</v>
      </c>
      <c r="AC1101">
        <v>0</v>
      </c>
      <c r="AD1101">
        <v>10</v>
      </c>
      <c r="AE1101">
        <v>0</v>
      </c>
      <c r="AF1101">
        <v>0</v>
      </c>
      <c r="AG1101">
        <v>1</v>
      </c>
      <c r="AH1101">
        <v>1</v>
      </c>
      <c r="AI1101" t="s">
        <v>855</v>
      </c>
      <c r="AJ1101">
        <v>35.277143000000002</v>
      </c>
      <c r="AK1101" t="s">
        <v>856</v>
      </c>
      <c r="AL1101">
        <v>-76.214905000000002</v>
      </c>
      <c r="AM1101">
        <v>25</v>
      </c>
      <c r="AN1101">
        <v>3450</v>
      </c>
      <c r="AO1101" t="s">
        <v>118</v>
      </c>
      <c r="AP1101">
        <v>-208</v>
      </c>
      <c r="AQ1101">
        <v>-73</v>
      </c>
      <c r="AR1101">
        <v>128</v>
      </c>
      <c r="AZ1101">
        <v>4516</v>
      </c>
      <c r="BA1101">
        <v>1</v>
      </c>
      <c r="BB1101" t="str">
        <f t="shared" si="113"/>
        <v xml:space="preserve">N79NX   </v>
      </c>
      <c r="BC1101">
        <v>1</v>
      </c>
      <c r="BE1101">
        <v>0</v>
      </c>
      <c r="BF1101">
        <v>0</v>
      </c>
      <c r="BG1101">
        <v>0</v>
      </c>
      <c r="BH1101">
        <v>3300</v>
      </c>
      <c r="BI1101">
        <v>0</v>
      </c>
      <c r="BJ1101">
        <v>0</v>
      </c>
      <c r="BK1101">
        <v>0</v>
      </c>
      <c r="BL1101">
        <v>0</v>
      </c>
      <c r="BO1101">
        <v>0</v>
      </c>
      <c r="BP1101">
        <v>0</v>
      </c>
      <c r="BW1101" t="str">
        <f>"18:41:38.481"</f>
        <v>18:41:38.481</v>
      </c>
      <c r="BZ1101">
        <v>0</v>
      </c>
      <c r="CA1101">
        <v>4096</v>
      </c>
      <c r="CB1101">
        <v>216</v>
      </c>
      <c r="CC1101">
        <v>648.28129999999999</v>
      </c>
      <c r="CD1101">
        <v>1</v>
      </c>
      <c r="CE1101">
        <v>1</v>
      </c>
      <c r="CF1101">
        <v>0</v>
      </c>
      <c r="CG1101">
        <v>1</v>
      </c>
      <c r="CH1101">
        <v>0</v>
      </c>
      <c r="CI1101">
        <v>1</v>
      </c>
      <c r="CJ1101">
        <v>0</v>
      </c>
      <c r="CK1101">
        <v>2</v>
      </c>
      <c r="CL1101">
        <v>0</v>
      </c>
      <c r="CM1101">
        <v>2</v>
      </c>
      <c r="CN1101">
        <v>0</v>
      </c>
      <c r="CO1101">
        <v>3</v>
      </c>
      <c r="CP1101" t="s">
        <v>119</v>
      </c>
      <c r="CQ1101">
        <v>145</v>
      </c>
      <c r="CR1101">
        <v>1</v>
      </c>
      <c r="CW1101">
        <v>9021799</v>
      </c>
      <c r="CY1101">
        <v>0</v>
      </c>
      <c r="CZ1101">
        <v>0</v>
      </c>
      <c r="DA1101">
        <v>1</v>
      </c>
      <c r="DB1101">
        <v>0</v>
      </c>
      <c r="DC1101">
        <v>0</v>
      </c>
      <c r="DD1101">
        <v>0</v>
      </c>
      <c r="DE1101">
        <v>0</v>
      </c>
      <c r="DF1101">
        <v>0</v>
      </c>
      <c r="DG1101">
        <v>0</v>
      </c>
      <c r="DH1101">
        <v>0</v>
      </c>
      <c r="DI1101">
        <v>0</v>
      </c>
    </row>
    <row r="1102" spans="1:113" x14ac:dyDescent="0.3">
      <c r="A1102" t="str">
        <f>"02/13/2022 18:41:38.730"</f>
        <v>02/13/2022 18:41:38.730</v>
      </c>
      <c r="C1102" t="str">
        <f t="shared" si="112"/>
        <v>FFDFD7C0</v>
      </c>
      <c r="D1102" t="s">
        <v>121</v>
      </c>
      <c r="E1102">
        <v>2</v>
      </c>
      <c r="H1102">
        <v>158</v>
      </c>
      <c r="I1102" t="s">
        <v>120</v>
      </c>
      <c r="J1102" t="s">
        <v>122</v>
      </c>
      <c r="K1102">
        <v>0</v>
      </c>
      <c r="L1102">
        <v>3</v>
      </c>
      <c r="M1102">
        <v>0</v>
      </c>
      <c r="N1102">
        <v>2</v>
      </c>
      <c r="O1102">
        <v>1</v>
      </c>
      <c r="P1102">
        <v>0</v>
      </c>
      <c r="Q1102">
        <v>0</v>
      </c>
      <c r="S1102" t="str">
        <f>"18:41:38.477"</f>
        <v>18:41:38.477</v>
      </c>
      <c r="T1102" t="str">
        <f>"18:41:38.077"</f>
        <v>18:41:38.077</v>
      </c>
      <c r="U1102" t="str">
        <f t="shared" si="111"/>
        <v>AAB6EE</v>
      </c>
      <c r="V1102">
        <v>0</v>
      </c>
      <c r="W1102">
        <v>0</v>
      </c>
      <c r="X1102">
        <v>4</v>
      </c>
      <c r="Z1102">
        <v>0</v>
      </c>
      <c r="AA1102">
        <v>8</v>
      </c>
      <c r="AB1102">
        <v>3</v>
      </c>
      <c r="AC1102">
        <v>0</v>
      </c>
      <c r="AD1102">
        <v>10</v>
      </c>
      <c r="AE1102">
        <v>0</v>
      </c>
      <c r="AF1102">
        <v>0</v>
      </c>
      <c r="AG1102">
        <v>1</v>
      </c>
      <c r="AH1102">
        <v>1</v>
      </c>
      <c r="AI1102" t="s">
        <v>855</v>
      </c>
      <c r="AJ1102">
        <v>35.277143000000002</v>
      </c>
      <c r="AK1102" t="s">
        <v>856</v>
      </c>
      <c r="AL1102">
        <v>-76.214905000000002</v>
      </c>
      <c r="AM1102">
        <v>25</v>
      </c>
      <c r="AN1102">
        <v>3450</v>
      </c>
      <c r="AO1102" t="s">
        <v>118</v>
      </c>
      <c r="AP1102">
        <v>-208</v>
      </c>
      <c r="AQ1102">
        <v>-73</v>
      </c>
      <c r="AR1102">
        <v>128</v>
      </c>
      <c r="AZ1102">
        <v>4516</v>
      </c>
      <c r="BA1102">
        <v>1</v>
      </c>
      <c r="BB1102" t="str">
        <f t="shared" si="113"/>
        <v xml:space="preserve">N79NX   </v>
      </c>
      <c r="BC1102">
        <v>1</v>
      </c>
      <c r="BE1102">
        <v>0</v>
      </c>
      <c r="BF1102">
        <v>0</v>
      </c>
      <c r="BG1102">
        <v>0</v>
      </c>
      <c r="BH1102">
        <v>3300</v>
      </c>
      <c r="BI1102">
        <v>0</v>
      </c>
      <c r="BJ1102">
        <v>0</v>
      </c>
      <c r="BK1102">
        <v>0</v>
      </c>
      <c r="BL1102">
        <v>0</v>
      </c>
      <c r="BO1102">
        <v>0</v>
      </c>
      <c r="BP1102">
        <v>0</v>
      </c>
      <c r="BW1102" t="str">
        <f>"18:41:38.481"</f>
        <v>18:41:38.481</v>
      </c>
      <c r="BZ1102">
        <v>0</v>
      </c>
      <c r="CA1102">
        <v>4096</v>
      </c>
      <c r="CB1102">
        <v>216</v>
      </c>
      <c r="CC1102">
        <v>648.28129999999999</v>
      </c>
      <c r="CD1102">
        <v>1</v>
      </c>
      <c r="CE1102">
        <v>1</v>
      </c>
      <c r="CF1102">
        <v>0</v>
      </c>
      <c r="CG1102">
        <v>1</v>
      </c>
      <c r="CH1102">
        <v>0</v>
      </c>
      <c r="CI1102">
        <v>1</v>
      </c>
      <c r="CJ1102">
        <v>0</v>
      </c>
      <c r="CK1102">
        <v>2</v>
      </c>
      <c r="CL1102">
        <v>0</v>
      </c>
      <c r="CM1102">
        <v>2</v>
      </c>
      <c r="CN1102">
        <v>0</v>
      </c>
      <c r="CO1102">
        <v>3</v>
      </c>
      <c r="CP1102" t="s">
        <v>119</v>
      </c>
      <c r="CQ1102">
        <v>145</v>
      </c>
      <c r="CR1102">
        <v>1</v>
      </c>
      <c r="CW1102">
        <v>9021799</v>
      </c>
      <c r="CY1102">
        <v>0</v>
      </c>
      <c r="CZ1102">
        <v>0</v>
      </c>
      <c r="DA1102">
        <v>1</v>
      </c>
      <c r="DB1102">
        <v>0</v>
      </c>
      <c r="DC1102">
        <v>0</v>
      </c>
      <c r="DD1102">
        <v>0</v>
      </c>
      <c r="DE1102">
        <v>0</v>
      </c>
      <c r="DF1102">
        <v>0</v>
      </c>
      <c r="DG1102">
        <v>0</v>
      </c>
      <c r="DH1102">
        <v>0</v>
      </c>
      <c r="DI1102">
        <v>0</v>
      </c>
    </row>
    <row r="1103" spans="1:113" x14ac:dyDescent="0.3">
      <c r="A1103" t="str">
        <f>"02/13/2022 18:41:39.592"</f>
        <v>02/13/2022 18:41:39.592</v>
      </c>
      <c r="C1103" t="str">
        <f t="shared" si="112"/>
        <v>FFDFD7C0</v>
      </c>
      <c r="D1103" t="s">
        <v>121</v>
      </c>
      <c r="E1103">
        <v>2</v>
      </c>
      <c r="H1103">
        <v>158</v>
      </c>
      <c r="I1103" t="s">
        <v>120</v>
      </c>
      <c r="J1103" t="s">
        <v>122</v>
      </c>
      <c r="K1103">
        <v>0</v>
      </c>
      <c r="L1103">
        <v>3</v>
      </c>
      <c r="M1103">
        <v>0</v>
      </c>
      <c r="N1103">
        <v>2</v>
      </c>
      <c r="O1103">
        <v>1</v>
      </c>
      <c r="P1103">
        <v>0</v>
      </c>
      <c r="Q1103">
        <v>0</v>
      </c>
      <c r="S1103" t="str">
        <f>"18:41:39.398"</f>
        <v>18:41:39.398</v>
      </c>
      <c r="T1103" t="str">
        <f>"18:41:39.198"</f>
        <v>18:41:39.198</v>
      </c>
      <c r="U1103" t="str">
        <f t="shared" si="111"/>
        <v>AAB6EE</v>
      </c>
      <c r="V1103">
        <v>0</v>
      </c>
      <c r="W1103">
        <v>0</v>
      </c>
      <c r="X1103">
        <v>4</v>
      </c>
      <c r="Z1103">
        <v>0</v>
      </c>
      <c r="AA1103">
        <v>8</v>
      </c>
      <c r="AB1103">
        <v>3</v>
      </c>
      <c r="AC1103">
        <v>0</v>
      </c>
      <c r="AD1103">
        <v>10</v>
      </c>
      <c r="AE1103">
        <v>0</v>
      </c>
      <c r="AF1103">
        <v>0</v>
      </c>
      <c r="AG1103">
        <v>1</v>
      </c>
      <c r="AH1103">
        <v>1</v>
      </c>
      <c r="AI1103" t="s">
        <v>857</v>
      </c>
      <c r="AJ1103">
        <v>35.276864000000003</v>
      </c>
      <c r="AK1103" t="s">
        <v>858</v>
      </c>
      <c r="AL1103">
        <v>-76.215935000000002</v>
      </c>
      <c r="AM1103">
        <v>25</v>
      </c>
      <c r="AN1103">
        <v>3450</v>
      </c>
      <c r="AO1103" t="s">
        <v>118</v>
      </c>
      <c r="AP1103">
        <v>-208</v>
      </c>
      <c r="AQ1103">
        <v>-71</v>
      </c>
      <c r="AR1103">
        <v>-64</v>
      </c>
      <c r="AZ1103">
        <v>4516</v>
      </c>
      <c r="BA1103">
        <v>1</v>
      </c>
      <c r="BB1103" t="str">
        <f t="shared" si="113"/>
        <v xml:space="preserve">N79NX   </v>
      </c>
      <c r="BC1103">
        <v>1</v>
      </c>
      <c r="BE1103">
        <v>0</v>
      </c>
      <c r="BF1103">
        <v>0</v>
      </c>
      <c r="BG1103">
        <v>0</v>
      </c>
      <c r="BH1103">
        <v>3300</v>
      </c>
      <c r="BI1103">
        <v>0</v>
      </c>
      <c r="BJ1103">
        <v>0</v>
      </c>
      <c r="BK1103">
        <v>0</v>
      </c>
      <c r="BL1103">
        <v>0</v>
      </c>
      <c r="BO1103">
        <v>0</v>
      </c>
      <c r="BP1103">
        <v>0</v>
      </c>
      <c r="BW1103" t="str">
        <f>"18:41:39.401"</f>
        <v>18:41:39.401</v>
      </c>
      <c r="BZ1103">
        <v>0</v>
      </c>
      <c r="CA1103">
        <v>4096</v>
      </c>
      <c r="CB1103">
        <v>216</v>
      </c>
      <c r="CC1103">
        <v>651.09379999999999</v>
      </c>
      <c r="CD1103">
        <v>1</v>
      </c>
      <c r="CE1103">
        <v>1</v>
      </c>
      <c r="CF1103">
        <v>0</v>
      </c>
      <c r="CG1103">
        <v>1</v>
      </c>
      <c r="CH1103">
        <v>0</v>
      </c>
      <c r="CI1103">
        <v>1</v>
      </c>
      <c r="CJ1103">
        <v>0</v>
      </c>
      <c r="CK1103">
        <v>2</v>
      </c>
      <c r="CL1103">
        <v>0</v>
      </c>
      <c r="CM1103">
        <v>2</v>
      </c>
      <c r="CN1103">
        <v>0</v>
      </c>
      <c r="CO1103">
        <v>2</v>
      </c>
      <c r="CP1103" t="s">
        <v>119</v>
      </c>
      <c r="CQ1103">
        <v>145</v>
      </c>
      <c r="CR1103">
        <v>1</v>
      </c>
      <c r="CW1103">
        <v>9022214</v>
      </c>
      <c r="CY1103">
        <v>0</v>
      </c>
      <c r="CZ1103">
        <v>0</v>
      </c>
      <c r="DA1103">
        <v>0</v>
      </c>
      <c r="DB1103">
        <v>0</v>
      </c>
      <c r="DC1103">
        <v>0</v>
      </c>
      <c r="DD1103">
        <v>0</v>
      </c>
      <c r="DE1103">
        <v>0</v>
      </c>
      <c r="DF1103">
        <v>0</v>
      </c>
      <c r="DG1103">
        <v>0</v>
      </c>
      <c r="DH1103">
        <v>0</v>
      </c>
      <c r="DI1103">
        <v>0</v>
      </c>
    </row>
    <row r="1104" spans="1:113" x14ac:dyDescent="0.3">
      <c r="A1104" t="str">
        <f>"02/13/2022 18:41:39.607"</f>
        <v>02/13/2022 18:41:39.607</v>
      </c>
      <c r="C1104" t="str">
        <f t="shared" si="112"/>
        <v>FFDFD7C0</v>
      </c>
      <c r="D1104" t="s">
        <v>113</v>
      </c>
      <c r="E1104">
        <v>3</v>
      </c>
      <c r="F1104">
        <v>1003</v>
      </c>
      <c r="G1104" t="s">
        <v>114</v>
      </c>
      <c r="J1104" t="s">
        <v>115</v>
      </c>
      <c r="K1104">
        <v>0</v>
      </c>
      <c r="L1104">
        <v>3</v>
      </c>
      <c r="M1104">
        <v>0</v>
      </c>
      <c r="N1104">
        <v>2</v>
      </c>
      <c r="O1104">
        <v>1</v>
      </c>
      <c r="P1104">
        <v>0</v>
      </c>
      <c r="Q1104">
        <v>0</v>
      </c>
      <c r="S1104" t="str">
        <f>"18:41:39.398"</f>
        <v>18:41:39.398</v>
      </c>
      <c r="T1104" t="str">
        <f>"18:41:39.198"</f>
        <v>18:41:39.198</v>
      </c>
      <c r="U1104" t="str">
        <f t="shared" si="111"/>
        <v>AAB6EE</v>
      </c>
      <c r="V1104">
        <v>0</v>
      </c>
      <c r="W1104">
        <v>0</v>
      </c>
      <c r="X1104">
        <v>4</v>
      </c>
      <c r="Z1104">
        <v>0</v>
      </c>
      <c r="AA1104">
        <v>8</v>
      </c>
      <c r="AB1104">
        <v>3</v>
      </c>
      <c r="AC1104">
        <v>0</v>
      </c>
      <c r="AD1104">
        <v>10</v>
      </c>
      <c r="AE1104">
        <v>0</v>
      </c>
      <c r="AF1104">
        <v>0</v>
      </c>
      <c r="AG1104">
        <v>1</v>
      </c>
      <c r="AH1104">
        <v>1</v>
      </c>
      <c r="AI1104" t="s">
        <v>857</v>
      </c>
      <c r="AJ1104">
        <v>35.276864000000003</v>
      </c>
      <c r="AK1104" t="s">
        <v>858</v>
      </c>
      <c r="AL1104">
        <v>-76.215935000000002</v>
      </c>
      <c r="AM1104">
        <v>25</v>
      </c>
      <c r="AN1104">
        <v>3450</v>
      </c>
      <c r="AO1104" t="s">
        <v>118</v>
      </c>
      <c r="AP1104">
        <v>-208</v>
      </c>
      <c r="AQ1104">
        <v>-71</v>
      </c>
      <c r="AR1104">
        <v>-64</v>
      </c>
      <c r="AZ1104">
        <v>4516</v>
      </c>
      <c r="BA1104">
        <v>1</v>
      </c>
      <c r="BB1104" t="str">
        <f t="shared" si="113"/>
        <v xml:space="preserve">N79NX   </v>
      </c>
      <c r="BC1104">
        <v>1</v>
      </c>
      <c r="BE1104">
        <v>0</v>
      </c>
      <c r="BF1104">
        <v>0</v>
      </c>
      <c r="BG1104">
        <v>0</v>
      </c>
      <c r="BH1104">
        <v>3300</v>
      </c>
      <c r="BI1104">
        <v>0</v>
      </c>
      <c r="BJ1104">
        <v>0</v>
      </c>
      <c r="BK1104">
        <v>0</v>
      </c>
      <c r="BL1104">
        <v>0</v>
      </c>
      <c r="BO1104">
        <v>0</v>
      </c>
      <c r="BP1104">
        <v>0</v>
      </c>
      <c r="BW1104" t="str">
        <f>"18:41:39.401"</f>
        <v>18:41:39.401</v>
      </c>
      <c r="BZ1104">
        <v>0</v>
      </c>
      <c r="CA1104">
        <v>4096</v>
      </c>
      <c r="CB1104">
        <v>216</v>
      </c>
      <c r="CC1104">
        <v>651.09379999999999</v>
      </c>
      <c r="CD1104">
        <v>1</v>
      </c>
      <c r="CE1104">
        <v>1</v>
      </c>
      <c r="CF1104">
        <v>0</v>
      </c>
      <c r="CG1104">
        <v>1</v>
      </c>
      <c r="CH1104">
        <v>0</v>
      </c>
      <c r="CI1104">
        <v>1</v>
      </c>
      <c r="CJ1104">
        <v>0</v>
      </c>
      <c r="CK1104">
        <v>2</v>
      </c>
      <c r="CL1104">
        <v>0</v>
      </c>
      <c r="CM1104">
        <v>2</v>
      </c>
      <c r="CN1104">
        <v>0</v>
      </c>
      <c r="CO1104">
        <v>2</v>
      </c>
      <c r="CP1104" t="s">
        <v>119</v>
      </c>
      <c r="CQ1104">
        <v>145</v>
      </c>
      <c r="CR1104">
        <v>1</v>
      </c>
      <c r="CW1104">
        <v>9022214</v>
      </c>
      <c r="CY1104">
        <v>0</v>
      </c>
      <c r="CZ1104">
        <v>0</v>
      </c>
      <c r="DA1104">
        <v>1</v>
      </c>
      <c r="DB1104">
        <v>0</v>
      </c>
      <c r="DC1104">
        <v>0</v>
      </c>
      <c r="DD1104">
        <v>0</v>
      </c>
      <c r="DE1104">
        <v>0</v>
      </c>
      <c r="DF1104">
        <v>0</v>
      </c>
      <c r="DG1104">
        <v>0</v>
      </c>
      <c r="DH1104">
        <v>0</v>
      </c>
      <c r="DI1104">
        <v>0</v>
      </c>
    </row>
    <row r="1105" spans="1:113" x14ac:dyDescent="0.3">
      <c r="A1105" t="str">
        <f>"02/13/2022 18:41:39.607"</f>
        <v>02/13/2022 18:41:39.607</v>
      </c>
      <c r="C1105" t="str">
        <f t="shared" si="112"/>
        <v>FFDFD7C0</v>
      </c>
      <c r="D1105" t="s">
        <v>113</v>
      </c>
      <c r="E1105">
        <v>4</v>
      </c>
      <c r="F1105">
        <v>1004</v>
      </c>
      <c r="G1105" t="s">
        <v>120</v>
      </c>
      <c r="J1105" t="s">
        <v>115</v>
      </c>
      <c r="K1105">
        <v>0</v>
      </c>
      <c r="L1105">
        <v>3</v>
      </c>
      <c r="M1105">
        <v>0</v>
      </c>
      <c r="N1105">
        <v>2</v>
      </c>
      <c r="O1105">
        <v>1</v>
      </c>
      <c r="P1105">
        <v>0</v>
      </c>
      <c r="Q1105">
        <v>0</v>
      </c>
      <c r="S1105" t="str">
        <f>"18:41:39.398"</f>
        <v>18:41:39.398</v>
      </c>
      <c r="T1105" t="str">
        <f>"18:41:39.198"</f>
        <v>18:41:39.198</v>
      </c>
      <c r="U1105" t="str">
        <f t="shared" si="111"/>
        <v>AAB6EE</v>
      </c>
      <c r="V1105">
        <v>0</v>
      </c>
      <c r="W1105">
        <v>0</v>
      </c>
      <c r="X1105">
        <v>4</v>
      </c>
      <c r="Z1105">
        <v>0</v>
      </c>
      <c r="AA1105">
        <v>8</v>
      </c>
      <c r="AB1105">
        <v>3</v>
      </c>
      <c r="AC1105">
        <v>0</v>
      </c>
      <c r="AD1105">
        <v>10</v>
      </c>
      <c r="AE1105">
        <v>0</v>
      </c>
      <c r="AF1105">
        <v>0</v>
      </c>
      <c r="AG1105">
        <v>1</v>
      </c>
      <c r="AH1105">
        <v>1</v>
      </c>
      <c r="AI1105" t="s">
        <v>857</v>
      </c>
      <c r="AJ1105">
        <v>35.276864000000003</v>
      </c>
      <c r="AK1105" t="s">
        <v>858</v>
      </c>
      <c r="AL1105">
        <v>-76.215935000000002</v>
      </c>
      <c r="AM1105">
        <v>25</v>
      </c>
      <c r="AN1105">
        <v>3450</v>
      </c>
      <c r="AO1105" t="s">
        <v>118</v>
      </c>
      <c r="AP1105">
        <v>-208</v>
      </c>
      <c r="AQ1105">
        <v>-71</v>
      </c>
      <c r="AR1105">
        <v>-64</v>
      </c>
      <c r="AZ1105">
        <v>4516</v>
      </c>
      <c r="BA1105">
        <v>1</v>
      </c>
      <c r="BB1105" t="str">
        <f t="shared" si="113"/>
        <v xml:space="preserve">N79NX   </v>
      </c>
      <c r="BC1105">
        <v>1</v>
      </c>
      <c r="BE1105">
        <v>0</v>
      </c>
      <c r="BF1105">
        <v>0</v>
      </c>
      <c r="BG1105">
        <v>0</v>
      </c>
      <c r="BH1105">
        <v>3300</v>
      </c>
      <c r="BI1105">
        <v>0</v>
      </c>
      <c r="BJ1105">
        <v>0</v>
      </c>
      <c r="BK1105">
        <v>0</v>
      </c>
      <c r="BL1105">
        <v>0</v>
      </c>
      <c r="BO1105">
        <v>0</v>
      </c>
      <c r="BP1105">
        <v>0</v>
      </c>
      <c r="BW1105" t="str">
        <f>"18:41:39.401"</f>
        <v>18:41:39.401</v>
      </c>
      <c r="BZ1105">
        <v>0</v>
      </c>
      <c r="CA1105">
        <v>4096</v>
      </c>
      <c r="CB1105">
        <v>216</v>
      </c>
      <c r="CC1105">
        <v>651.09379999999999</v>
      </c>
      <c r="CD1105">
        <v>1</v>
      </c>
      <c r="CE1105">
        <v>1</v>
      </c>
      <c r="CF1105">
        <v>0</v>
      </c>
      <c r="CG1105">
        <v>1</v>
      </c>
      <c r="CH1105">
        <v>0</v>
      </c>
      <c r="CI1105">
        <v>1</v>
      </c>
      <c r="CJ1105">
        <v>0</v>
      </c>
      <c r="CK1105">
        <v>2</v>
      </c>
      <c r="CL1105">
        <v>0</v>
      </c>
      <c r="CM1105">
        <v>2</v>
      </c>
      <c r="CN1105">
        <v>0</v>
      </c>
      <c r="CO1105">
        <v>2</v>
      </c>
      <c r="CP1105" t="s">
        <v>119</v>
      </c>
      <c r="CQ1105">
        <v>145</v>
      </c>
      <c r="CR1105">
        <v>1</v>
      </c>
      <c r="CW1105">
        <v>9022214</v>
      </c>
      <c r="CY1105">
        <v>0</v>
      </c>
      <c r="CZ1105">
        <v>0</v>
      </c>
      <c r="DA1105">
        <v>1</v>
      </c>
      <c r="DB1105">
        <v>0</v>
      </c>
      <c r="DC1105">
        <v>0</v>
      </c>
      <c r="DD1105">
        <v>0</v>
      </c>
      <c r="DE1105">
        <v>0</v>
      </c>
      <c r="DF1105">
        <v>0</v>
      </c>
      <c r="DG1105">
        <v>0</v>
      </c>
      <c r="DH1105">
        <v>0</v>
      </c>
      <c r="DI1105">
        <v>0</v>
      </c>
    </row>
    <row r="1106" spans="1:113" x14ac:dyDescent="0.3">
      <c r="A1106" t="str">
        <f>"02/13/2022 18:41:40.608"</f>
        <v>02/13/2022 18:41:40.608</v>
      </c>
      <c r="C1106" t="str">
        <f t="shared" si="112"/>
        <v>FFDFD7C0</v>
      </c>
      <c r="D1106" t="s">
        <v>113</v>
      </c>
      <c r="E1106">
        <v>3</v>
      </c>
      <c r="F1106">
        <v>1003</v>
      </c>
      <c r="G1106" t="s">
        <v>114</v>
      </c>
      <c r="J1106" t="s">
        <v>115</v>
      </c>
      <c r="K1106">
        <v>0</v>
      </c>
      <c r="L1106">
        <v>3</v>
      </c>
      <c r="M1106">
        <v>0</v>
      </c>
      <c r="N1106">
        <v>2</v>
      </c>
      <c r="O1106">
        <v>1</v>
      </c>
      <c r="P1106">
        <v>0</v>
      </c>
      <c r="Q1106">
        <v>0</v>
      </c>
      <c r="S1106" t="str">
        <f t="shared" ref="S1106:T1108" si="114">"18:41:40.391"</f>
        <v>18:41:40.391</v>
      </c>
      <c r="T1106" t="str">
        <f t="shared" si="114"/>
        <v>18:41:40.391</v>
      </c>
      <c r="U1106" t="str">
        <f t="shared" si="111"/>
        <v>AAB6EE</v>
      </c>
      <c r="V1106">
        <v>0</v>
      </c>
      <c r="W1106">
        <v>0</v>
      </c>
      <c r="X1106">
        <v>4</v>
      </c>
      <c r="Z1106">
        <v>0</v>
      </c>
      <c r="AA1106">
        <v>8</v>
      </c>
      <c r="AB1106">
        <v>3</v>
      </c>
      <c r="AC1106">
        <v>0</v>
      </c>
      <c r="AD1106">
        <v>10</v>
      </c>
      <c r="AE1106">
        <v>0</v>
      </c>
      <c r="AF1106">
        <v>0</v>
      </c>
      <c r="AG1106">
        <v>1</v>
      </c>
      <c r="AH1106">
        <v>1</v>
      </c>
      <c r="AI1106" t="s">
        <v>859</v>
      </c>
      <c r="AJ1106">
        <v>35.276499000000001</v>
      </c>
      <c r="AK1106" t="s">
        <v>860</v>
      </c>
      <c r="AL1106">
        <v>-76.217135999999996</v>
      </c>
      <c r="AM1106">
        <v>25</v>
      </c>
      <c r="AN1106">
        <v>3450</v>
      </c>
      <c r="AO1106" t="s">
        <v>118</v>
      </c>
      <c r="AP1106">
        <v>-209</v>
      </c>
      <c r="AQ1106">
        <v>-72</v>
      </c>
      <c r="AR1106">
        <v>-192</v>
      </c>
      <c r="AZ1106">
        <v>4516</v>
      </c>
      <c r="BA1106">
        <v>1</v>
      </c>
      <c r="BB1106" t="str">
        <f t="shared" si="113"/>
        <v xml:space="preserve">N79NX   </v>
      </c>
      <c r="BC1106">
        <v>1</v>
      </c>
      <c r="BE1106">
        <v>0</v>
      </c>
      <c r="BF1106">
        <v>0</v>
      </c>
      <c r="BG1106">
        <v>0</v>
      </c>
      <c r="BH1106">
        <v>3300</v>
      </c>
      <c r="BI1106">
        <v>0</v>
      </c>
      <c r="BJ1106">
        <v>0</v>
      </c>
      <c r="BK1106">
        <v>0</v>
      </c>
      <c r="BL1106">
        <v>0</v>
      </c>
      <c r="BO1106">
        <v>0</v>
      </c>
      <c r="BP1106">
        <v>0</v>
      </c>
      <c r="BW1106" t="str">
        <f>"18:41:40.391"</f>
        <v>18:41:40.391</v>
      </c>
      <c r="BZ1106">
        <v>0</v>
      </c>
      <c r="CA1106">
        <v>4096</v>
      </c>
      <c r="CB1106">
        <v>216</v>
      </c>
      <c r="CC1106">
        <v>659.53129999999999</v>
      </c>
      <c r="CD1106">
        <v>1</v>
      </c>
      <c r="CE1106">
        <v>1</v>
      </c>
      <c r="CF1106">
        <v>0</v>
      </c>
      <c r="CG1106">
        <v>1</v>
      </c>
      <c r="CH1106">
        <v>0</v>
      </c>
      <c r="CI1106">
        <v>1</v>
      </c>
      <c r="CJ1106">
        <v>0</v>
      </c>
      <c r="CK1106">
        <v>2</v>
      </c>
      <c r="CL1106">
        <v>0</v>
      </c>
      <c r="CM1106">
        <v>2</v>
      </c>
      <c r="CN1106">
        <v>0</v>
      </c>
      <c r="CO1106">
        <v>2</v>
      </c>
      <c r="CP1106" t="s">
        <v>119</v>
      </c>
      <c r="CQ1106">
        <v>145</v>
      </c>
      <c r="CR1106">
        <v>1</v>
      </c>
      <c r="CW1106">
        <v>9022654</v>
      </c>
      <c r="CY1106">
        <v>0</v>
      </c>
      <c r="CZ1106">
        <v>0</v>
      </c>
      <c r="DA1106">
        <v>0</v>
      </c>
      <c r="DB1106">
        <v>0</v>
      </c>
      <c r="DC1106">
        <v>0</v>
      </c>
      <c r="DD1106">
        <v>0</v>
      </c>
      <c r="DE1106">
        <v>0</v>
      </c>
      <c r="DF1106">
        <v>0</v>
      </c>
      <c r="DG1106">
        <v>0</v>
      </c>
      <c r="DH1106">
        <v>0</v>
      </c>
      <c r="DI1106">
        <v>0</v>
      </c>
    </row>
    <row r="1107" spans="1:113" x14ac:dyDescent="0.3">
      <c r="A1107" t="str">
        <f>"02/13/2022 18:41:40.608"</f>
        <v>02/13/2022 18:41:40.608</v>
      </c>
      <c r="C1107" t="str">
        <f t="shared" si="112"/>
        <v>FFDFD7C0</v>
      </c>
      <c r="D1107" t="s">
        <v>113</v>
      </c>
      <c r="E1107">
        <v>4</v>
      </c>
      <c r="F1107">
        <v>1004</v>
      </c>
      <c r="G1107" t="s">
        <v>120</v>
      </c>
      <c r="J1107" t="s">
        <v>115</v>
      </c>
      <c r="K1107">
        <v>0</v>
      </c>
      <c r="L1107">
        <v>3</v>
      </c>
      <c r="M1107">
        <v>0</v>
      </c>
      <c r="N1107">
        <v>2</v>
      </c>
      <c r="O1107">
        <v>1</v>
      </c>
      <c r="P1107">
        <v>0</v>
      </c>
      <c r="Q1107">
        <v>0</v>
      </c>
      <c r="S1107" t="str">
        <f t="shared" si="114"/>
        <v>18:41:40.391</v>
      </c>
      <c r="T1107" t="str">
        <f t="shared" si="114"/>
        <v>18:41:40.391</v>
      </c>
      <c r="U1107" t="str">
        <f t="shared" si="111"/>
        <v>AAB6EE</v>
      </c>
      <c r="V1107">
        <v>0</v>
      </c>
      <c r="W1107">
        <v>0</v>
      </c>
      <c r="X1107">
        <v>4</v>
      </c>
      <c r="Z1107">
        <v>0</v>
      </c>
      <c r="AA1107">
        <v>8</v>
      </c>
      <c r="AB1107">
        <v>3</v>
      </c>
      <c r="AC1107">
        <v>0</v>
      </c>
      <c r="AD1107">
        <v>10</v>
      </c>
      <c r="AE1107">
        <v>0</v>
      </c>
      <c r="AF1107">
        <v>0</v>
      </c>
      <c r="AG1107">
        <v>1</v>
      </c>
      <c r="AH1107">
        <v>1</v>
      </c>
      <c r="AI1107" t="s">
        <v>859</v>
      </c>
      <c r="AJ1107">
        <v>35.276499000000001</v>
      </c>
      <c r="AK1107" t="s">
        <v>860</v>
      </c>
      <c r="AL1107">
        <v>-76.217135999999996</v>
      </c>
      <c r="AM1107">
        <v>25</v>
      </c>
      <c r="AN1107">
        <v>3450</v>
      </c>
      <c r="AO1107" t="s">
        <v>118</v>
      </c>
      <c r="AP1107">
        <v>-209</v>
      </c>
      <c r="AQ1107">
        <v>-72</v>
      </c>
      <c r="AR1107">
        <v>-192</v>
      </c>
      <c r="AZ1107">
        <v>4516</v>
      </c>
      <c r="BA1107">
        <v>1</v>
      </c>
      <c r="BB1107" t="str">
        <f t="shared" si="113"/>
        <v xml:space="preserve">N79NX   </v>
      </c>
      <c r="BC1107">
        <v>1</v>
      </c>
      <c r="BE1107">
        <v>0</v>
      </c>
      <c r="BF1107">
        <v>0</v>
      </c>
      <c r="BG1107">
        <v>0</v>
      </c>
      <c r="BH1107">
        <v>3300</v>
      </c>
      <c r="BI1107">
        <v>0</v>
      </c>
      <c r="BJ1107">
        <v>0</v>
      </c>
      <c r="BK1107">
        <v>0</v>
      </c>
      <c r="BL1107">
        <v>0</v>
      </c>
      <c r="BO1107">
        <v>0</v>
      </c>
      <c r="BP1107">
        <v>0</v>
      </c>
      <c r="BW1107" t="str">
        <f>"18:41:40.391"</f>
        <v>18:41:40.391</v>
      </c>
      <c r="BZ1107">
        <v>0</v>
      </c>
      <c r="CA1107">
        <v>4096</v>
      </c>
      <c r="CB1107">
        <v>216</v>
      </c>
      <c r="CC1107">
        <v>659.53129999999999</v>
      </c>
      <c r="CD1107">
        <v>1</v>
      </c>
      <c r="CE1107">
        <v>1</v>
      </c>
      <c r="CF1107">
        <v>0</v>
      </c>
      <c r="CG1107">
        <v>1</v>
      </c>
      <c r="CH1107">
        <v>0</v>
      </c>
      <c r="CI1107">
        <v>1</v>
      </c>
      <c r="CJ1107">
        <v>0</v>
      </c>
      <c r="CK1107">
        <v>2</v>
      </c>
      <c r="CL1107">
        <v>0</v>
      </c>
      <c r="CM1107">
        <v>2</v>
      </c>
      <c r="CN1107">
        <v>0</v>
      </c>
      <c r="CO1107">
        <v>2</v>
      </c>
      <c r="CP1107" t="s">
        <v>119</v>
      </c>
      <c r="CQ1107">
        <v>145</v>
      </c>
      <c r="CR1107">
        <v>1</v>
      </c>
      <c r="CW1107">
        <v>9022654</v>
      </c>
      <c r="CY1107">
        <v>0</v>
      </c>
      <c r="CZ1107">
        <v>0</v>
      </c>
      <c r="DA1107">
        <v>1</v>
      </c>
      <c r="DB1107">
        <v>0</v>
      </c>
      <c r="DC1107">
        <v>0</v>
      </c>
      <c r="DD1107">
        <v>0</v>
      </c>
      <c r="DE1107">
        <v>0</v>
      </c>
      <c r="DF1107">
        <v>0</v>
      </c>
      <c r="DG1107">
        <v>0</v>
      </c>
      <c r="DH1107">
        <v>0</v>
      </c>
      <c r="DI1107">
        <v>0</v>
      </c>
    </row>
    <row r="1108" spans="1:113" x14ac:dyDescent="0.3">
      <c r="A1108" t="str">
        <f>"02/13/2022 18:41:40.640"</f>
        <v>02/13/2022 18:41:40.640</v>
      </c>
      <c r="C1108" t="str">
        <f t="shared" si="112"/>
        <v>FFDFD7C0</v>
      </c>
      <c r="D1108" t="s">
        <v>121</v>
      </c>
      <c r="E1108">
        <v>2</v>
      </c>
      <c r="H1108">
        <v>158</v>
      </c>
      <c r="I1108" t="s">
        <v>120</v>
      </c>
      <c r="J1108" t="s">
        <v>122</v>
      </c>
      <c r="K1108">
        <v>0</v>
      </c>
      <c r="L1108">
        <v>3</v>
      </c>
      <c r="M1108">
        <v>0</v>
      </c>
      <c r="N1108">
        <v>2</v>
      </c>
      <c r="O1108">
        <v>1</v>
      </c>
      <c r="P1108">
        <v>0</v>
      </c>
      <c r="Q1108">
        <v>0</v>
      </c>
      <c r="S1108" t="str">
        <f t="shared" si="114"/>
        <v>18:41:40.391</v>
      </c>
      <c r="T1108" t="str">
        <f t="shared" si="114"/>
        <v>18:41:40.391</v>
      </c>
      <c r="U1108" t="str">
        <f t="shared" si="111"/>
        <v>AAB6EE</v>
      </c>
      <c r="V1108">
        <v>0</v>
      </c>
      <c r="W1108">
        <v>0</v>
      </c>
      <c r="X1108">
        <v>4</v>
      </c>
      <c r="Z1108">
        <v>0</v>
      </c>
      <c r="AA1108">
        <v>8</v>
      </c>
      <c r="AB1108">
        <v>3</v>
      </c>
      <c r="AC1108">
        <v>0</v>
      </c>
      <c r="AD1108">
        <v>10</v>
      </c>
      <c r="AE1108">
        <v>0</v>
      </c>
      <c r="AF1108">
        <v>0</v>
      </c>
      <c r="AG1108">
        <v>1</v>
      </c>
      <c r="AH1108">
        <v>1</v>
      </c>
      <c r="AI1108" t="s">
        <v>859</v>
      </c>
      <c r="AJ1108">
        <v>35.276499000000001</v>
      </c>
      <c r="AK1108" t="s">
        <v>860</v>
      </c>
      <c r="AL1108">
        <v>-76.217135999999996</v>
      </c>
      <c r="AM1108">
        <v>25</v>
      </c>
      <c r="AN1108">
        <v>3450</v>
      </c>
      <c r="AO1108" t="s">
        <v>118</v>
      </c>
      <c r="AP1108">
        <v>-209</v>
      </c>
      <c r="AQ1108">
        <v>-72</v>
      </c>
      <c r="AR1108">
        <v>-192</v>
      </c>
      <c r="AZ1108">
        <v>4516</v>
      </c>
      <c r="BA1108">
        <v>1</v>
      </c>
      <c r="BB1108" t="str">
        <f t="shared" si="113"/>
        <v xml:space="preserve">N79NX   </v>
      </c>
      <c r="BC1108">
        <v>1</v>
      </c>
      <c r="BE1108">
        <v>0</v>
      </c>
      <c r="BF1108">
        <v>0</v>
      </c>
      <c r="BG1108">
        <v>0</v>
      </c>
      <c r="BH1108">
        <v>3300</v>
      </c>
      <c r="BI1108">
        <v>0</v>
      </c>
      <c r="BJ1108">
        <v>0</v>
      </c>
      <c r="BK1108">
        <v>0</v>
      </c>
      <c r="BL1108">
        <v>0</v>
      </c>
      <c r="BO1108">
        <v>0</v>
      </c>
      <c r="BP1108">
        <v>0</v>
      </c>
      <c r="BW1108" t="str">
        <f>"18:41:40.391"</f>
        <v>18:41:40.391</v>
      </c>
      <c r="BZ1108">
        <v>0</v>
      </c>
      <c r="CA1108">
        <v>4096</v>
      </c>
      <c r="CB1108">
        <v>216</v>
      </c>
      <c r="CC1108">
        <v>659.53129999999999</v>
      </c>
      <c r="CD1108">
        <v>1</v>
      </c>
      <c r="CE1108">
        <v>1</v>
      </c>
      <c r="CF1108">
        <v>0</v>
      </c>
      <c r="CG1108">
        <v>1</v>
      </c>
      <c r="CH1108">
        <v>0</v>
      </c>
      <c r="CI1108">
        <v>1</v>
      </c>
      <c r="CJ1108">
        <v>0</v>
      </c>
      <c r="CK1108">
        <v>2</v>
      </c>
      <c r="CL1108">
        <v>0</v>
      </c>
      <c r="CM1108">
        <v>2</v>
      </c>
      <c r="CN1108">
        <v>0</v>
      </c>
      <c r="CO1108">
        <v>2</v>
      </c>
      <c r="CP1108" t="s">
        <v>119</v>
      </c>
      <c r="CQ1108">
        <v>145</v>
      </c>
      <c r="CR1108">
        <v>1</v>
      </c>
      <c r="CW1108">
        <v>9022654</v>
      </c>
      <c r="CY1108">
        <v>0</v>
      </c>
      <c r="CZ1108">
        <v>0</v>
      </c>
      <c r="DA1108">
        <v>1</v>
      </c>
      <c r="DB1108">
        <v>0</v>
      </c>
      <c r="DC1108">
        <v>0</v>
      </c>
      <c r="DD1108">
        <v>0</v>
      </c>
      <c r="DE1108">
        <v>0</v>
      </c>
      <c r="DF1108">
        <v>0</v>
      </c>
      <c r="DG1108">
        <v>0</v>
      </c>
      <c r="DH1108">
        <v>0</v>
      </c>
      <c r="DI1108">
        <v>0</v>
      </c>
    </row>
    <row r="1109" spans="1:113" x14ac:dyDescent="0.3">
      <c r="A1109" t="str">
        <f>"02/13/2022 18:41:41.562"</f>
        <v>02/13/2022 18:41:41.562</v>
      </c>
      <c r="C1109" t="str">
        <f t="shared" si="112"/>
        <v>FFDFD7C0</v>
      </c>
      <c r="D1109" t="s">
        <v>121</v>
      </c>
      <c r="E1109">
        <v>2</v>
      </c>
      <c r="H1109">
        <v>158</v>
      </c>
      <c r="I1109" t="s">
        <v>120</v>
      </c>
      <c r="J1109" t="s">
        <v>122</v>
      </c>
      <c r="K1109">
        <v>0</v>
      </c>
      <c r="L1109">
        <v>3</v>
      </c>
      <c r="M1109">
        <v>0</v>
      </c>
      <c r="N1109">
        <v>2</v>
      </c>
      <c r="O1109">
        <v>1</v>
      </c>
      <c r="P1109">
        <v>0</v>
      </c>
      <c r="Q1109">
        <v>0</v>
      </c>
      <c r="S1109" t="str">
        <f>"18:41:41.320"</f>
        <v>18:41:41.320</v>
      </c>
      <c r="T1109" t="str">
        <f>"18:41:40.820"</f>
        <v>18:41:40.820</v>
      </c>
      <c r="U1109" t="str">
        <f t="shared" si="111"/>
        <v>AAB6EE</v>
      </c>
      <c r="V1109">
        <v>0</v>
      </c>
      <c r="W1109">
        <v>0</v>
      </c>
      <c r="X1109">
        <v>4</v>
      </c>
      <c r="Z1109">
        <v>0</v>
      </c>
      <c r="AA1109">
        <v>8</v>
      </c>
      <c r="AB1109">
        <v>3</v>
      </c>
      <c r="AC1109">
        <v>0</v>
      </c>
      <c r="AD1109">
        <v>10</v>
      </c>
      <c r="AE1109">
        <v>0</v>
      </c>
      <c r="AF1109">
        <v>0</v>
      </c>
      <c r="AG1109">
        <v>1</v>
      </c>
      <c r="AH1109">
        <v>1</v>
      </c>
      <c r="AI1109" t="s">
        <v>861</v>
      </c>
      <c r="AJ1109">
        <v>35.276176999999997</v>
      </c>
      <c r="AK1109" t="s">
        <v>862</v>
      </c>
      <c r="AL1109">
        <v>-76.218338000000003</v>
      </c>
      <c r="AM1109">
        <v>25</v>
      </c>
      <c r="AN1109">
        <v>3450</v>
      </c>
      <c r="AO1109" t="s">
        <v>118</v>
      </c>
      <c r="AP1109">
        <v>-208</v>
      </c>
      <c r="AQ1109">
        <v>-73</v>
      </c>
      <c r="AR1109">
        <v>-192</v>
      </c>
      <c r="AZ1109">
        <v>4516</v>
      </c>
      <c r="BA1109">
        <v>1</v>
      </c>
      <c r="BB1109" t="str">
        <f t="shared" si="113"/>
        <v xml:space="preserve">N79NX   </v>
      </c>
      <c r="BC1109">
        <v>1</v>
      </c>
      <c r="BE1109">
        <v>0</v>
      </c>
      <c r="BF1109">
        <v>0</v>
      </c>
      <c r="BG1109">
        <v>0</v>
      </c>
      <c r="BH1109">
        <v>3300</v>
      </c>
      <c r="BI1109">
        <v>0</v>
      </c>
      <c r="BJ1109">
        <v>0</v>
      </c>
      <c r="BK1109">
        <v>0</v>
      </c>
      <c r="BL1109">
        <v>0</v>
      </c>
      <c r="BO1109">
        <v>0</v>
      </c>
      <c r="BP1109">
        <v>0</v>
      </c>
      <c r="BW1109" t="str">
        <f>"18:41:41.321"</f>
        <v>18:41:41.321</v>
      </c>
      <c r="BZ1109">
        <v>0</v>
      </c>
      <c r="CA1109">
        <v>4096</v>
      </c>
      <c r="CB1109">
        <v>216</v>
      </c>
      <c r="CC1109">
        <v>670.78129999999999</v>
      </c>
      <c r="CD1109">
        <v>1</v>
      </c>
      <c r="CE1109">
        <v>1</v>
      </c>
      <c r="CF1109">
        <v>0</v>
      </c>
      <c r="CG1109">
        <v>1</v>
      </c>
      <c r="CH1109">
        <v>0</v>
      </c>
      <c r="CI1109">
        <v>1</v>
      </c>
      <c r="CJ1109">
        <v>0</v>
      </c>
      <c r="CK1109">
        <v>2</v>
      </c>
      <c r="CL1109">
        <v>0</v>
      </c>
      <c r="CM1109">
        <v>2</v>
      </c>
      <c r="CN1109">
        <v>0</v>
      </c>
      <c r="CO1109">
        <v>2</v>
      </c>
      <c r="CP1109" t="s">
        <v>119</v>
      </c>
      <c r="CQ1109">
        <v>145</v>
      </c>
      <c r="CR1109">
        <v>1</v>
      </c>
      <c r="CW1109">
        <v>9023013</v>
      </c>
      <c r="CY1109">
        <v>0</v>
      </c>
      <c r="CZ1109">
        <v>0</v>
      </c>
      <c r="DA1109">
        <v>0</v>
      </c>
      <c r="DB1109">
        <v>0</v>
      </c>
      <c r="DC1109">
        <v>0</v>
      </c>
      <c r="DD1109">
        <v>0</v>
      </c>
      <c r="DE1109">
        <v>0</v>
      </c>
      <c r="DF1109">
        <v>0</v>
      </c>
      <c r="DG1109">
        <v>0</v>
      </c>
      <c r="DH1109">
        <v>0</v>
      </c>
      <c r="DI1109">
        <v>0</v>
      </c>
    </row>
    <row r="1110" spans="1:113" x14ac:dyDescent="0.3">
      <c r="A1110" t="str">
        <f>"02/13/2022 18:41:41.562"</f>
        <v>02/13/2022 18:41:41.562</v>
      </c>
      <c r="C1110" t="str">
        <f t="shared" si="112"/>
        <v>FFDFD7C0</v>
      </c>
      <c r="D1110" t="s">
        <v>113</v>
      </c>
      <c r="E1110">
        <v>3</v>
      </c>
      <c r="F1110">
        <v>1003</v>
      </c>
      <c r="G1110" t="s">
        <v>114</v>
      </c>
      <c r="J1110" t="s">
        <v>115</v>
      </c>
      <c r="K1110">
        <v>0</v>
      </c>
      <c r="L1110">
        <v>3</v>
      </c>
      <c r="M1110">
        <v>0</v>
      </c>
      <c r="N1110">
        <v>2</v>
      </c>
      <c r="O1110">
        <v>1</v>
      </c>
      <c r="P1110">
        <v>0</v>
      </c>
      <c r="Q1110">
        <v>0</v>
      </c>
      <c r="S1110" t="str">
        <f>"18:41:41.320"</f>
        <v>18:41:41.320</v>
      </c>
      <c r="T1110" t="str">
        <f>"18:41:40.820"</f>
        <v>18:41:40.820</v>
      </c>
      <c r="U1110" t="str">
        <f t="shared" si="111"/>
        <v>AAB6EE</v>
      </c>
      <c r="V1110">
        <v>0</v>
      </c>
      <c r="W1110">
        <v>0</v>
      </c>
      <c r="X1110">
        <v>4</v>
      </c>
      <c r="Z1110">
        <v>0</v>
      </c>
      <c r="AA1110">
        <v>8</v>
      </c>
      <c r="AB1110">
        <v>3</v>
      </c>
      <c r="AC1110">
        <v>0</v>
      </c>
      <c r="AD1110">
        <v>10</v>
      </c>
      <c r="AE1110">
        <v>0</v>
      </c>
      <c r="AF1110">
        <v>0</v>
      </c>
      <c r="AG1110">
        <v>1</v>
      </c>
      <c r="AH1110">
        <v>1</v>
      </c>
      <c r="AI1110" t="s">
        <v>861</v>
      </c>
      <c r="AJ1110">
        <v>35.276176999999997</v>
      </c>
      <c r="AK1110" t="s">
        <v>862</v>
      </c>
      <c r="AL1110">
        <v>-76.218338000000003</v>
      </c>
      <c r="AM1110">
        <v>25</v>
      </c>
      <c r="AN1110">
        <v>3450</v>
      </c>
      <c r="AO1110" t="s">
        <v>118</v>
      </c>
      <c r="AP1110">
        <v>-208</v>
      </c>
      <c r="AQ1110">
        <v>-73</v>
      </c>
      <c r="AR1110">
        <v>-192</v>
      </c>
      <c r="AZ1110">
        <v>4516</v>
      </c>
      <c r="BA1110">
        <v>1</v>
      </c>
      <c r="BB1110" t="str">
        <f t="shared" si="113"/>
        <v xml:space="preserve">N79NX   </v>
      </c>
      <c r="BC1110">
        <v>1</v>
      </c>
      <c r="BE1110">
        <v>0</v>
      </c>
      <c r="BF1110">
        <v>0</v>
      </c>
      <c r="BG1110">
        <v>0</v>
      </c>
      <c r="BH1110">
        <v>3300</v>
      </c>
      <c r="BI1110">
        <v>0</v>
      </c>
      <c r="BJ1110">
        <v>0</v>
      </c>
      <c r="BK1110">
        <v>0</v>
      </c>
      <c r="BL1110">
        <v>0</v>
      </c>
      <c r="BO1110">
        <v>0</v>
      </c>
      <c r="BP1110">
        <v>0</v>
      </c>
      <c r="BW1110" t="str">
        <f>"18:41:41.321"</f>
        <v>18:41:41.321</v>
      </c>
      <c r="BZ1110">
        <v>0</v>
      </c>
      <c r="CA1110">
        <v>4096</v>
      </c>
      <c r="CB1110">
        <v>216</v>
      </c>
      <c r="CC1110">
        <v>670.78129999999999</v>
      </c>
      <c r="CD1110">
        <v>1</v>
      </c>
      <c r="CE1110">
        <v>1</v>
      </c>
      <c r="CF1110">
        <v>0</v>
      </c>
      <c r="CG1110">
        <v>1</v>
      </c>
      <c r="CH1110">
        <v>0</v>
      </c>
      <c r="CI1110">
        <v>1</v>
      </c>
      <c r="CJ1110">
        <v>0</v>
      </c>
      <c r="CK1110">
        <v>2</v>
      </c>
      <c r="CL1110">
        <v>0</v>
      </c>
      <c r="CM1110">
        <v>2</v>
      </c>
      <c r="CN1110">
        <v>0</v>
      </c>
      <c r="CO1110">
        <v>2</v>
      </c>
      <c r="CP1110" t="s">
        <v>119</v>
      </c>
      <c r="CQ1110">
        <v>145</v>
      </c>
      <c r="CR1110">
        <v>1</v>
      </c>
      <c r="CW1110">
        <v>9023013</v>
      </c>
      <c r="CY1110">
        <v>0</v>
      </c>
      <c r="CZ1110">
        <v>0</v>
      </c>
      <c r="DA1110">
        <v>1</v>
      </c>
      <c r="DB1110">
        <v>0</v>
      </c>
      <c r="DC1110">
        <v>0</v>
      </c>
      <c r="DD1110">
        <v>0</v>
      </c>
      <c r="DE1110">
        <v>0</v>
      </c>
      <c r="DF1110">
        <v>0</v>
      </c>
      <c r="DG1110">
        <v>0</v>
      </c>
      <c r="DH1110">
        <v>0</v>
      </c>
      <c r="DI1110">
        <v>0</v>
      </c>
    </row>
    <row r="1111" spans="1:113" x14ac:dyDescent="0.3">
      <c r="A1111" t="str">
        <f>"02/13/2022 18:41:41.577"</f>
        <v>02/13/2022 18:41:41.577</v>
      </c>
      <c r="C1111" t="str">
        <f t="shared" si="112"/>
        <v>FFDFD7C0</v>
      </c>
      <c r="D1111" t="s">
        <v>113</v>
      </c>
      <c r="E1111">
        <v>4</v>
      </c>
      <c r="F1111">
        <v>1004</v>
      </c>
      <c r="G1111" t="s">
        <v>120</v>
      </c>
      <c r="J1111" t="s">
        <v>115</v>
      </c>
      <c r="K1111">
        <v>0</v>
      </c>
      <c r="L1111">
        <v>3</v>
      </c>
      <c r="M1111">
        <v>0</v>
      </c>
      <c r="N1111">
        <v>2</v>
      </c>
      <c r="O1111">
        <v>1</v>
      </c>
      <c r="P1111">
        <v>0</v>
      </c>
      <c r="Q1111">
        <v>0</v>
      </c>
      <c r="S1111" t="str">
        <f>"18:41:41.320"</f>
        <v>18:41:41.320</v>
      </c>
      <c r="T1111" t="str">
        <f>"18:41:40.820"</f>
        <v>18:41:40.820</v>
      </c>
      <c r="U1111" t="str">
        <f t="shared" si="111"/>
        <v>AAB6EE</v>
      </c>
      <c r="V1111">
        <v>0</v>
      </c>
      <c r="W1111">
        <v>0</v>
      </c>
      <c r="X1111">
        <v>4</v>
      </c>
      <c r="Z1111">
        <v>0</v>
      </c>
      <c r="AA1111">
        <v>8</v>
      </c>
      <c r="AB1111">
        <v>3</v>
      </c>
      <c r="AC1111">
        <v>0</v>
      </c>
      <c r="AD1111">
        <v>10</v>
      </c>
      <c r="AE1111">
        <v>0</v>
      </c>
      <c r="AF1111">
        <v>0</v>
      </c>
      <c r="AG1111">
        <v>1</v>
      </c>
      <c r="AH1111">
        <v>1</v>
      </c>
      <c r="AI1111" t="s">
        <v>861</v>
      </c>
      <c r="AJ1111">
        <v>35.276176999999997</v>
      </c>
      <c r="AK1111" t="s">
        <v>862</v>
      </c>
      <c r="AL1111">
        <v>-76.218338000000003</v>
      </c>
      <c r="AM1111">
        <v>25</v>
      </c>
      <c r="AN1111">
        <v>3450</v>
      </c>
      <c r="AO1111" t="s">
        <v>118</v>
      </c>
      <c r="AP1111">
        <v>-208</v>
      </c>
      <c r="AQ1111">
        <v>-73</v>
      </c>
      <c r="AR1111">
        <v>-192</v>
      </c>
      <c r="AZ1111">
        <v>4516</v>
      </c>
      <c r="BA1111">
        <v>1</v>
      </c>
      <c r="BB1111" t="str">
        <f t="shared" si="113"/>
        <v xml:space="preserve">N79NX   </v>
      </c>
      <c r="BC1111">
        <v>1</v>
      </c>
      <c r="BE1111">
        <v>0</v>
      </c>
      <c r="BF1111">
        <v>0</v>
      </c>
      <c r="BG1111">
        <v>0</v>
      </c>
      <c r="BH1111">
        <v>3300</v>
      </c>
      <c r="BI1111">
        <v>0</v>
      </c>
      <c r="BJ1111">
        <v>0</v>
      </c>
      <c r="BK1111">
        <v>0</v>
      </c>
      <c r="BL1111">
        <v>0</v>
      </c>
      <c r="BO1111">
        <v>0</v>
      </c>
      <c r="BP1111">
        <v>0</v>
      </c>
      <c r="BW1111" t="str">
        <f>"18:41:41.321"</f>
        <v>18:41:41.321</v>
      </c>
      <c r="BZ1111">
        <v>0</v>
      </c>
      <c r="CA1111">
        <v>4096</v>
      </c>
      <c r="CB1111">
        <v>216</v>
      </c>
      <c r="CC1111">
        <v>670.78129999999999</v>
      </c>
      <c r="CD1111">
        <v>1</v>
      </c>
      <c r="CE1111">
        <v>1</v>
      </c>
      <c r="CF1111">
        <v>0</v>
      </c>
      <c r="CG1111">
        <v>1</v>
      </c>
      <c r="CH1111">
        <v>0</v>
      </c>
      <c r="CI1111">
        <v>1</v>
      </c>
      <c r="CJ1111">
        <v>0</v>
      </c>
      <c r="CK1111">
        <v>2</v>
      </c>
      <c r="CL1111">
        <v>0</v>
      </c>
      <c r="CM1111">
        <v>2</v>
      </c>
      <c r="CN1111">
        <v>0</v>
      </c>
      <c r="CO1111">
        <v>2</v>
      </c>
      <c r="CP1111" t="s">
        <v>119</v>
      </c>
      <c r="CQ1111">
        <v>145</v>
      </c>
      <c r="CR1111">
        <v>1</v>
      </c>
      <c r="CW1111">
        <v>9023013</v>
      </c>
      <c r="CY1111">
        <v>0</v>
      </c>
      <c r="CZ1111">
        <v>0</v>
      </c>
      <c r="DA1111">
        <v>1</v>
      </c>
      <c r="DB1111">
        <v>0</v>
      </c>
      <c r="DC1111">
        <v>0</v>
      </c>
      <c r="DD1111">
        <v>0</v>
      </c>
      <c r="DE1111">
        <v>0</v>
      </c>
      <c r="DF1111">
        <v>0</v>
      </c>
      <c r="DG1111">
        <v>0</v>
      </c>
      <c r="DH1111">
        <v>0</v>
      </c>
      <c r="DI1111">
        <v>0</v>
      </c>
    </row>
    <row r="1112" spans="1:113" x14ac:dyDescent="0.3">
      <c r="A1112" t="str">
        <f>"02/13/2022 18:41:43.030"</f>
        <v>02/13/2022 18:41:43.030</v>
      </c>
      <c r="C1112" t="str">
        <f t="shared" si="112"/>
        <v>FFDFD7C0</v>
      </c>
      <c r="D1112" t="s">
        <v>113</v>
      </c>
      <c r="E1112">
        <v>3</v>
      </c>
      <c r="F1112">
        <v>1003</v>
      </c>
      <c r="G1112" t="s">
        <v>114</v>
      </c>
      <c r="J1112" t="s">
        <v>115</v>
      </c>
      <c r="K1112">
        <v>0</v>
      </c>
      <c r="L1112">
        <v>3</v>
      </c>
      <c r="M1112">
        <v>0</v>
      </c>
      <c r="N1112">
        <v>2</v>
      </c>
      <c r="O1112">
        <v>1</v>
      </c>
      <c r="P1112">
        <v>0</v>
      </c>
      <c r="Q1112">
        <v>0</v>
      </c>
      <c r="S1112" t="str">
        <f>"18:41:42.828"</f>
        <v>18:41:42.828</v>
      </c>
      <c r="T1112" t="str">
        <f>"18:41:42.728"</f>
        <v>18:41:42.728</v>
      </c>
      <c r="U1112" t="str">
        <f t="shared" si="111"/>
        <v>AAB6EE</v>
      </c>
      <c r="V1112">
        <v>0</v>
      </c>
      <c r="W1112">
        <v>0</v>
      </c>
      <c r="X1112">
        <v>4</v>
      </c>
      <c r="Z1112">
        <v>0</v>
      </c>
      <c r="AA1112">
        <v>8</v>
      </c>
      <c r="AB1112">
        <v>3</v>
      </c>
      <c r="AC1112">
        <v>0</v>
      </c>
      <c r="AD1112">
        <v>10</v>
      </c>
      <c r="AE1112">
        <v>0</v>
      </c>
      <c r="AF1112">
        <v>0</v>
      </c>
      <c r="AG1112">
        <v>1</v>
      </c>
      <c r="AH1112">
        <v>1</v>
      </c>
      <c r="AI1112" t="s">
        <v>863</v>
      </c>
      <c r="AJ1112">
        <v>35.275661999999997</v>
      </c>
      <c r="AK1112" t="s">
        <v>864</v>
      </c>
      <c r="AL1112">
        <v>-76.220055000000002</v>
      </c>
      <c r="AM1112">
        <v>25</v>
      </c>
      <c r="AN1112">
        <v>3425</v>
      </c>
      <c r="AO1112" t="s">
        <v>118</v>
      </c>
      <c r="AP1112">
        <v>-206</v>
      </c>
      <c r="AQ1112">
        <v>-79</v>
      </c>
      <c r="AR1112">
        <v>-192</v>
      </c>
      <c r="AZ1112">
        <v>4516</v>
      </c>
      <c r="BA1112">
        <v>1</v>
      </c>
      <c r="BB1112" t="str">
        <f t="shared" si="113"/>
        <v xml:space="preserve">N79NX   </v>
      </c>
      <c r="BC1112">
        <v>1</v>
      </c>
      <c r="BE1112">
        <v>0</v>
      </c>
      <c r="BF1112">
        <v>0</v>
      </c>
      <c r="BG1112">
        <v>0</v>
      </c>
      <c r="BH1112">
        <v>3275</v>
      </c>
      <c r="BI1112">
        <v>0</v>
      </c>
      <c r="BJ1112">
        <v>0</v>
      </c>
      <c r="BK1112">
        <v>0</v>
      </c>
      <c r="BL1112">
        <v>0</v>
      </c>
      <c r="BO1112">
        <v>0</v>
      </c>
      <c r="BP1112">
        <v>0</v>
      </c>
      <c r="BW1112" t="str">
        <f>"18:41:42.831"</f>
        <v>18:41:42.831</v>
      </c>
      <c r="BZ1112">
        <v>0</v>
      </c>
      <c r="CA1112">
        <v>4096</v>
      </c>
      <c r="CB1112">
        <v>216</v>
      </c>
      <c r="CC1112">
        <v>621.5625</v>
      </c>
      <c r="CD1112">
        <v>1</v>
      </c>
      <c r="CE1112">
        <v>1</v>
      </c>
      <c r="CF1112">
        <v>0</v>
      </c>
      <c r="CG1112">
        <v>1</v>
      </c>
      <c r="CH1112">
        <v>0</v>
      </c>
      <c r="CI1112">
        <v>1</v>
      </c>
      <c r="CJ1112">
        <v>0</v>
      </c>
      <c r="CK1112">
        <v>2</v>
      </c>
      <c r="CL1112">
        <v>0</v>
      </c>
      <c r="CM1112">
        <v>2</v>
      </c>
      <c r="CN1112">
        <v>0</v>
      </c>
      <c r="CO1112">
        <v>3</v>
      </c>
      <c r="CP1112" t="s">
        <v>119</v>
      </c>
      <c r="CQ1112">
        <v>145</v>
      </c>
      <c r="CR1112">
        <v>1</v>
      </c>
      <c r="CW1112">
        <v>9023738</v>
      </c>
      <c r="CY1112">
        <v>0</v>
      </c>
      <c r="CZ1112">
        <v>0</v>
      </c>
      <c r="DA1112">
        <v>0</v>
      </c>
      <c r="DB1112">
        <v>0</v>
      </c>
      <c r="DC1112">
        <v>0</v>
      </c>
      <c r="DD1112">
        <v>0</v>
      </c>
      <c r="DE1112">
        <v>0</v>
      </c>
      <c r="DF1112">
        <v>0</v>
      </c>
      <c r="DG1112">
        <v>0</v>
      </c>
      <c r="DH1112">
        <v>0</v>
      </c>
      <c r="DI1112">
        <v>0</v>
      </c>
    </row>
    <row r="1113" spans="1:113" x14ac:dyDescent="0.3">
      <c r="A1113" t="str">
        <f>"02/13/2022 18:41:43.030"</f>
        <v>02/13/2022 18:41:43.030</v>
      </c>
      <c r="C1113" t="str">
        <f t="shared" si="112"/>
        <v>FFDFD7C0</v>
      </c>
      <c r="D1113" t="s">
        <v>113</v>
      </c>
      <c r="E1113">
        <v>4</v>
      </c>
      <c r="F1113">
        <v>1004</v>
      </c>
      <c r="G1113" t="s">
        <v>120</v>
      </c>
      <c r="J1113" t="s">
        <v>115</v>
      </c>
      <c r="K1113">
        <v>0</v>
      </c>
      <c r="L1113">
        <v>3</v>
      </c>
      <c r="M1113">
        <v>0</v>
      </c>
      <c r="N1113">
        <v>2</v>
      </c>
      <c r="O1113">
        <v>1</v>
      </c>
      <c r="P1113">
        <v>0</v>
      </c>
      <c r="Q1113">
        <v>0</v>
      </c>
      <c r="S1113" t="str">
        <f>"18:41:42.828"</f>
        <v>18:41:42.828</v>
      </c>
      <c r="T1113" t="str">
        <f>"18:41:42.728"</f>
        <v>18:41:42.728</v>
      </c>
      <c r="U1113" t="str">
        <f t="shared" si="111"/>
        <v>AAB6EE</v>
      </c>
      <c r="V1113">
        <v>0</v>
      </c>
      <c r="W1113">
        <v>0</v>
      </c>
      <c r="X1113">
        <v>4</v>
      </c>
      <c r="Z1113">
        <v>0</v>
      </c>
      <c r="AA1113">
        <v>8</v>
      </c>
      <c r="AB1113">
        <v>3</v>
      </c>
      <c r="AC1113">
        <v>0</v>
      </c>
      <c r="AD1113">
        <v>10</v>
      </c>
      <c r="AE1113">
        <v>0</v>
      </c>
      <c r="AF1113">
        <v>0</v>
      </c>
      <c r="AG1113">
        <v>1</v>
      </c>
      <c r="AH1113">
        <v>1</v>
      </c>
      <c r="AI1113" t="s">
        <v>863</v>
      </c>
      <c r="AJ1113">
        <v>35.275661999999997</v>
      </c>
      <c r="AK1113" t="s">
        <v>864</v>
      </c>
      <c r="AL1113">
        <v>-76.220055000000002</v>
      </c>
      <c r="AM1113">
        <v>25</v>
      </c>
      <c r="AN1113">
        <v>3425</v>
      </c>
      <c r="AO1113" t="s">
        <v>118</v>
      </c>
      <c r="AP1113">
        <v>-206</v>
      </c>
      <c r="AQ1113">
        <v>-79</v>
      </c>
      <c r="AR1113">
        <v>-192</v>
      </c>
      <c r="AZ1113">
        <v>4516</v>
      </c>
      <c r="BA1113">
        <v>1</v>
      </c>
      <c r="BB1113" t="str">
        <f t="shared" si="113"/>
        <v xml:space="preserve">N79NX   </v>
      </c>
      <c r="BC1113">
        <v>1</v>
      </c>
      <c r="BE1113">
        <v>0</v>
      </c>
      <c r="BF1113">
        <v>0</v>
      </c>
      <c r="BG1113">
        <v>0</v>
      </c>
      <c r="BH1113">
        <v>3275</v>
      </c>
      <c r="BI1113">
        <v>0</v>
      </c>
      <c r="BJ1113">
        <v>0</v>
      </c>
      <c r="BK1113">
        <v>0</v>
      </c>
      <c r="BL1113">
        <v>0</v>
      </c>
      <c r="BO1113">
        <v>0</v>
      </c>
      <c r="BP1113">
        <v>0</v>
      </c>
      <c r="BW1113" t="str">
        <f>"18:41:42.831"</f>
        <v>18:41:42.831</v>
      </c>
      <c r="BZ1113">
        <v>0</v>
      </c>
      <c r="CA1113">
        <v>4096</v>
      </c>
      <c r="CB1113">
        <v>216</v>
      </c>
      <c r="CC1113">
        <v>621.5625</v>
      </c>
      <c r="CD1113">
        <v>1</v>
      </c>
      <c r="CE1113">
        <v>1</v>
      </c>
      <c r="CF1113">
        <v>0</v>
      </c>
      <c r="CG1113">
        <v>1</v>
      </c>
      <c r="CH1113">
        <v>0</v>
      </c>
      <c r="CI1113">
        <v>1</v>
      </c>
      <c r="CJ1113">
        <v>0</v>
      </c>
      <c r="CK1113">
        <v>2</v>
      </c>
      <c r="CL1113">
        <v>0</v>
      </c>
      <c r="CM1113">
        <v>2</v>
      </c>
      <c r="CN1113">
        <v>0</v>
      </c>
      <c r="CO1113">
        <v>3</v>
      </c>
      <c r="CP1113" t="s">
        <v>119</v>
      </c>
      <c r="CQ1113">
        <v>145</v>
      </c>
      <c r="CR1113">
        <v>1</v>
      </c>
      <c r="CW1113">
        <v>9023738</v>
      </c>
      <c r="CY1113">
        <v>0</v>
      </c>
      <c r="CZ1113">
        <v>0</v>
      </c>
      <c r="DA1113">
        <v>1</v>
      </c>
      <c r="DB1113">
        <v>0</v>
      </c>
      <c r="DC1113">
        <v>0</v>
      </c>
      <c r="DD1113">
        <v>0</v>
      </c>
      <c r="DE1113">
        <v>0</v>
      </c>
      <c r="DF1113">
        <v>0</v>
      </c>
      <c r="DG1113">
        <v>0</v>
      </c>
      <c r="DH1113">
        <v>0</v>
      </c>
      <c r="DI1113">
        <v>0</v>
      </c>
    </row>
    <row r="1114" spans="1:113" x14ac:dyDescent="0.3">
      <c r="A1114" t="str">
        <f>"02/13/2022 18:41:43.093"</f>
        <v>02/13/2022 18:41:43.093</v>
      </c>
      <c r="C1114" t="str">
        <f t="shared" si="112"/>
        <v>FFDFD7C0</v>
      </c>
      <c r="D1114" t="s">
        <v>121</v>
      </c>
      <c r="E1114">
        <v>2</v>
      </c>
      <c r="H1114">
        <v>158</v>
      </c>
      <c r="I1114" t="s">
        <v>120</v>
      </c>
      <c r="J1114" t="s">
        <v>122</v>
      </c>
      <c r="K1114">
        <v>0</v>
      </c>
      <c r="L1114">
        <v>3</v>
      </c>
      <c r="M1114">
        <v>0</v>
      </c>
      <c r="N1114">
        <v>2</v>
      </c>
      <c r="O1114">
        <v>1</v>
      </c>
      <c r="P1114">
        <v>0</v>
      </c>
      <c r="Q1114">
        <v>0</v>
      </c>
      <c r="S1114" t="str">
        <f>"18:41:42.828"</f>
        <v>18:41:42.828</v>
      </c>
      <c r="T1114" t="str">
        <f>"18:41:42.728"</f>
        <v>18:41:42.728</v>
      </c>
      <c r="U1114" t="str">
        <f t="shared" si="111"/>
        <v>AAB6EE</v>
      </c>
      <c r="V1114">
        <v>0</v>
      </c>
      <c r="W1114">
        <v>0</v>
      </c>
      <c r="X1114">
        <v>4</v>
      </c>
      <c r="Z1114">
        <v>0</v>
      </c>
      <c r="AA1114">
        <v>8</v>
      </c>
      <c r="AB1114">
        <v>3</v>
      </c>
      <c r="AC1114">
        <v>0</v>
      </c>
      <c r="AD1114">
        <v>10</v>
      </c>
      <c r="AE1114">
        <v>0</v>
      </c>
      <c r="AF1114">
        <v>0</v>
      </c>
      <c r="AG1114">
        <v>1</v>
      </c>
      <c r="AH1114">
        <v>1</v>
      </c>
      <c r="AI1114" t="s">
        <v>863</v>
      </c>
      <c r="AJ1114">
        <v>35.275661999999997</v>
      </c>
      <c r="AK1114" t="s">
        <v>864</v>
      </c>
      <c r="AL1114">
        <v>-76.220055000000002</v>
      </c>
      <c r="AM1114">
        <v>25</v>
      </c>
      <c r="AN1114">
        <v>3425</v>
      </c>
      <c r="AO1114" t="s">
        <v>118</v>
      </c>
      <c r="AP1114">
        <v>-206</v>
      </c>
      <c r="AQ1114">
        <v>-79</v>
      </c>
      <c r="AR1114">
        <v>-192</v>
      </c>
      <c r="AZ1114">
        <v>4516</v>
      </c>
      <c r="BA1114">
        <v>1</v>
      </c>
      <c r="BB1114" t="str">
        <f t="shared" si="113"/>
        <v xml:space="preserve">N79NX   </v>
      </c>
      <c r="BC1114">
        <v>1</v>
      </c>
      <c r="BE1114">
        <v>0</v>
      </c>
      <c r="BF1114">
        <v>0</v>
      </c>
      <c r="BG1114">
        <v>0</v>
      </c>
      <c r="BH1114">
        <v>3275</v>
      </c>
      <c r="BI1114">
        <v>0</v>
      </c>
      <c r="BJ1114">
        <v>0</v>
      </c>
      <c r="BK1114">
        <v>0</v>
      </c>
      <c r="BL1114">
        <v>0</v>
      </c>
      <c r="BO1114">
        <v>0</v>
      </c>
      <c r="BP1114">
        <v>0</v>
      </c>
      <c r="BW1114" t="str">
        <f>"18:41:42.831"</f>
        <v>18:41:42.831</v>
      </c>
      <c r="BZ1114">
        <v>0</v>
      </c>
      <c r="CA1114">
        <v>4096</v>
      </c>
      <c r="CB1114">
        <v>216</v>
      </c>
      <c r="CC1114">
        <v>621.5625</v>
      </c>
      <c r="CD1114">
        <v>1</v>
      </c>
      <c r="CE1114">
        <v>1</v>
      </c>
      <c r="CF1114">
        <v>0</v>
      </c>
      <c r="CG1114">
        <v>1</v>
      </c>
      <c r="CH1114">
        <v>0</v>
      </c>
      <c r="CI1114">
        <v>1</v>
      </c>
      <c r="CJ1114">
        <v>0</v>
      </c>
      <c r="CK1114">
        <v>2</v>
      </c>
      <c r="CL1114">
        <v>0</v>
      </c>
      <c r="CM1114">
        <v>2</v>
      </c>
      <c r="CN1114">
        <v>0</v>
      </c>
      <c r="CO1114">
        <v>3</v>
      </c>
      <c r="CP1114" t="s">
        <v>119</v>
      </c>
      <c r="CQ1114">
        <v>145</v>
      </c>
      <c r="CR1114">
        <v>1</v>
      </c>
      <c r="CW1114">
        <v>9023738</v>
      </c>
      <c r="CY1114">
        <v>0</v>
      </c>
      <c r="CZ1114">
        <v>0</v>
      </c>
      <c r="DA1114">
        <v>1</v>
      </c>
      <c r="DB1114">
        <v>0</v>
      </c>
      <c r="DC1114">
        <v>0</v>
      </c>
      <c r="DD1114">
        <v>0</v>
      </c>
      <c r="DE1114">
        <v>0</v>
      </c>
      <c r="DF1114">
        <v>0</v>
      </c>
      <c r="DG1114">
        <v>0</v>
      </c>
      <c r="DH1114">
        <v>0</v>
      </c>
      <c r="DI1114">
        <v>0</v>
      </c>
    </row>
    <row r="1115" spans="1:113" x14ac:dyDescent="0.3">
      <c r="A1115" t="str">
        <f>"02/13/2022 18:41:44.030"</f>
        <v>02/13/2022 18:41:44.030</v>
      </c>
      <c r="C1115" t="str">
        <f t="shared" si="112"/>
        <v>FFDFD7C0</v>
      </c>
      <c r="D1115" t="s">
        <v>121</v>
      </c>
      <c r="E1115">
        <v>2</v>
      </c>
      <c r="H1115">
        <v>158</v>
      </c>
      <c r="I1115" t="s">
        <v>120</v>
      </c>
      <c r="J1115" t="s">
        <v>122</v>
      </c>
      <c r="K1115">
        <v>0</v>
      </c>
      <c r="L1115">
        <v>3</v>
      </c>
      <c r="M1115">
        <v>0</v>
      </c>
      <c r="N1115">
        <v>2</v>
      </c>
      <c r="O1115">
        <v>1</v>
      </c>
      <c r="P1115">
        <v>0</v>
      </c>
      <c r="Q1115">
        <v>0</v>
      </c>
      <c r="S1115" t="str">
        <f>"18:41:43.766"</f>
        <v>18:41:43.766</v>
      </c>
      <c r="T1115" t="str">
        <f>"18:41:43.166"</f>
        <v>18:41:43.166</v>
      </c>
      <c r="U1115" t="str">
        <f t="shared" si="111"/>
        <v>AAB6EE</v>
      </c>
      <c r="V1115">
        <v>0</v>
      </c>
      <c r="W1115">
        <v>0</v>
      </c>
      <c r="X1115">
        <v>4</v>
      </c>
      <c r="Z1115">
        <v>0</v>
      </c>
      <c r="AA1115">
        <v>8</v>
      </c>
      <c r="AB1115">
        <v>3</v>
      </c>
      <c r="AC1115">
        <v>0</v>
      </c>
      <c r="AD1115">
        <v>10</v>
      </c>
      <c r="AE1115">
        <v>0</v>
      </c>
      <c r="AF1115">
        <v>0</v>
      </c>
      <c r="AG1115">
        <v>1</v>
      </c>
      <c r="AH1115">
        <v>1</v>
      </c>
      <c r="AI1115" t="s">
        <v>865</v>
      </c>
      <c r="AJ1115">
        <v>35.275319000000003</v>
      </c>
      <c r="AK1115" t="s">
        <v>866</v>
      </c>
      <c r="AL1115">
        <v>-76.221085000000002</v>
      </c>
      <c r="AM1115">
        <v>25</v>
      </c>
      <c r="AN1115">
        <v>3425</v>
      </c>
      <c r="AO1115" t="s">
        <v>118</v>
      </c>
      <c r="AP1115">
        <v>-206</v>
      </c>
      <c r="AQ1115">
        <v>-81</v>
      </c>
      <c r="AR1115">
        <v>-128</v>
      </c>
      <c r="AZ1115">
        <v>4516</v>
      </c>
      <c r="BA1115">
        <v>1</v>
      </c>
      <c r="BB1115" t="str">
        <f t="shared" si="113"/>
        <v xml:space="preserve">N79NX   </v>
      </c>
      <c r="BC1115">
        <v>1</v>
      </c>
      <c r="BE1115">
        <v>0</v>
      </c>
      <c r="BF1115">
        <v>0</v>
      </c>
      <c r="BG1115">
        <v>0</v>
      </c>
      <c r="BH1115">
        <v>3275</v>
      </c>
      <c r="BI1115">
        <v>0</v>
      </c>
      <c r="BJ1115">
        <v>0</v>
      </c>
      <c r="BK1115">
        <v>0</v>
      </c>
      <c r="BL1115">
        <v>0</v>
      </c>
      <c r="BO1115">
        <v>0</v>
      </c>
      <c r="BP1115">
        <v>0</v>
      </c>
      <c r="BW1115" t="str">
        <f>"18:41:43.771"</f>
        <v>18:41:43.771</v>
      </c>
      <c r="BZ1115">
        <v>0</v>
      </c>
      <c r="CA1115">
        <v>4096</v>
      </c>
      <c r="CB1115">
        <v>216</v>
      </c>
      <c r="CC1115">
        <v>604.6875</v>
      </c>
      <c r="CD1115">
        <v>1</v>
      </c>
      <c r="CE1115">
        <v>1</v>
      </c>
      <c r="CF1115">
        <v>0</v>
      </c>
      <c r="CG1115">
        <v>1</v>
      </c>
      <c r="CH1115">
        <v>0</v>
      </c>
      <c r="CI1115">
        <v>1</v>
      </c>
      <c r="CJ1115">
        <v>0</v>
      </c>
      <c r="CK1115">
        <v>2</v>
      </c>
      <c r="CL1115">
        <v>0</v>
      </c>
      <c r="CM1115">
        <v>2</v>
      </c>
      <c r="CN1115">
        <v>0</v>
      </c>
      <c r="CO1115">
        <v>2</v>
      </c>
      <c r="CP1115" t="s">
        <v>119</v>
      </c>
      <c r="CQ1115">
        <v>145</v>
      </c>
      <c r="CR1115">
        <v>1</v>
      </c>
      <c r="CW1115">
        <v>9024245</v>
      </c>
      <c r="CY1115">
        <v>0</v>
      </c>
      <c r="CZ1115">
        <v>0</v>
      </c>
      <c r="DA1115">
        <v>0</v>
      </c>
      <c r="DB1115">
        <v>0</v>
      </c>
      <c r="DC1115">
        <v>0</v>
      </c>
      <c r="DD1115">
        <v>0</v>
      </c>
      <c r="DE1115">
        <v>0</v>
      </c>
      <c r="DF1115">
        <v>0</v>
      </c>
      <c r="DG1115">
        <v>0</v>
      </c>
      <c r="DH1115">
        <v>0</v>
      </c>
      <c r="DI1115">
        <v>0</v>
      </c>
    </row>
    <row r="1116" spans="1:113" x14ac:dyDescent="0.3">
      <c r="A1116" t="str">
        <f>"02/13/2022 18:41:44.030"</f>
        <v>02/13/2022 18:41:44.030</v>
      </c>
      <c r="C1116" t="str">
        <f t="shared" si="112"/>
        <v>FFDFD7C0</v>
      </c>
      <c r="D1116" t="s">
        <v>113</v>
      </c>
      <c r="E1116">
        <v>3</v>
      </c>
      <c r="F1116">
        <v>1003</v>
      </c>
      <c r="G1116" t="s">
        <v>114</v>
      </c>
      <c r="J1116" t="s">
        <v>115</v>
      </c>
      <c r="K1116">
        <v>0</v>
      </c>
      <c r="L1116">
        <v>3</v>
      </c>
      <c r="M1116">
        <v>0</v>
      </c>
      <c r="N1116">
        <v>2</v>
      </c>
      <c r="O1116">
        <v>1</v>
      </c>
      <c r="P1116">
        <v>0</v>
      </c>
      <c r="Q1116">
        <v>0</v>
      </c>
      <c r="S1116" t="str">
        <f>"18:41:43.766"</f>
        <v>18:41:43.766</v>
      </c>
      <c r="T1116" t="str">
        <f>"18:41:43.166"</f>
        <v>18:41:43.166</v>
      </c>
      <c r="U1116" t="str">
        <f t="shared" si="111"/>
        <v>AAB6EE</v>
      </c>
      <c r="V1116">
        <v>0</v>
      </c>
      <c r="W1116">
        <v>0</v>
      </c>
      <c r="X1116">
        <v>4</v>
      </c>
      <c r="Z1116">
        <v>0</v>
      </c>
      <c r="AA1116">
        <v>8</v>
      </c>
      <c r="AB1116">
        <v>3</v>
      </c>
      <c r="AC1116">
        <v>0</v>
      </c>
      <c r="AD1116">
        <v>10</v>
      </c>
      <c r="AE1116">
        <v>0</v>
      </c>
      <c r="AF1116">
        <v>0</v>
      </c>
      <c r="AG1116">
        <v>1</v>
      </c>
      <c r="AH1116">
        <v>1</v>
      </c>
      <c r="AI1116" t="s">
        <v>865</v>
      </c>
      <c r="AJ1116">
        <v>35.275319000000003</v>
      </c>
      <c r="AK1116" t="s">
        <v>866</v>
      </c>
      <c r="AL1116">
        <v>-76.221085000000002</v>
      </c>
      <c r="AM1116">
        <v>25</v>
      </c>
      <c r="AN1116">
        <v>3425</v>
      </c>
      <c r="AO1116" t="s">
        <v>118</v>
      </c>
      <c r="AP1116">
        <v>-206</v>
      </c>
      <c r="AQ1116">
        <v>-81</v>
      </c>
      <c r="AR1116">
        <v>-128</v>
      </c>
      <c r="AZ1116">
        <v>4516</v>
      </c>
      <c r="BA1116">
        <v>1</v>
      </c>
      <c r="BB1116" t="str">
        <f t="shared" si="113"/>
        <v xml:space="preserve">N79NX   </v>
      </c>
      <c r="BC1116">
        <v>1</v>
      </c>
      <c r="BE1116">
        <v>0</v>
      </c>
      <c r="BF1116">
        <v>0</v>
      </c>
      <c r="BG1116">
        <v>0</v>
      </c>
      <c r="BH1116">
        <v>3275</v>
      </c>
      <c r="BI1116">
        <v>0</v>
      </c>
      <c r="BJ1116">
        <v>0</v>
      </c>
      <c r="BK1116">
        <v>0</v>
      </c>
      <c r="BL1116">
        <v>0</v>
      </c>
      <c r="BO1116">
        <v>0</v>
      </c>
      <c r="BP1116">
        <v>0</v>
      </c>
      <c r="BW1116" t="str">
        <f>"18:41:43.771"</f>
        <v>18:41:43.771</v>
      </c>
      <c r="BZ1116">
        <v>0</v>
      </c>
      <c r="CA1116">
        <v>4096</v>
      </c>
      <c r="CB1116">
        <v>216</v>
      </c>
      <c r="CC1116">
        <v>604.6875</v>
      </c>
      <c r="CD1116">
        <v>1</v>
      </c>
      <c r="CE1116">
        <v>1</v>
      </c>
      <c r="CF1116">
        <v>0</v>
      </c>
      <c r="CG1116">
        <v>1</v>
      </c>
      <c r="CH1116">
        <v>0</v>
      </c>
      <c r="CI1116">
        <v>1</v>
      </c>
      <c r="CJ1116">
        <v>0</v>
      </c>
      <c r="CK1116">
        <v>2</v>
      </c>
      <c r="CL1116">
        <v>0</v>
      </c>
      <c r="CM1116">
        <v>2</v>
      </c>
      <c r="CN1116">
        <v>0</v>
      </c>
      <c r="CO1116">
        <v>2</v>
      </c>
      <c r="CP1116" t="s">
        <v>119</v>
      </c>
      <c r="CQ1116">
        <v>145</v>
      </c>
      <c r="CR1116">
        <v>1</v>
      </c>
      <c r="CW1116">
        <v>9024245</v>
      </c>
      <c r="CY1116">
        <v>0</v>
      </c>
      <c r="CZ1116">
        <v>0</v>
      </c>
      <c r="DA1116">
        <v>1</v>
      </c>
      <c r="DB1116">
        <v>0</v>
      </c>
      <c r="DC1116">
        <v>0</v>
      </c>
      <c r="DD1116">
        <v>0</v>
      </c>
      <c r="DE1116">
        <v>0</v>
      </c>
      <c r="DF1116">
        <v>0</v>
      </c>
      <c r="DG1116">
        <v>0</v>
      </c>
      <c r="DH1116">
        <v>0</v>
      </c>
      <c r="DI1116">
        <v>0</v>
      </c>
    </row>
    <row r="1117" spans="1:113" x14ac:dyDescent="0.3">
      <c r="A1117" t="str">
        <f>"02/13/2022 18:41:44.030"</f>
        <v>02/13/2022 18:41:44.030</v>
      </c>
      <c r="C1117" t="str">
        <f t="shared" si="112"/>
        <v>FFDFD7C0</v>
      </c>
      <c r="D1117" t="s">
        <v>113</v>
      </c>
      <c r="E1117">
        <v>4</v>
      </c>
      <c r="F1117">
        <v>1004</v>
      </c>
      <c r="G1117" t="s">
        <v>120</v>
      </c>
      <c r="J1117" t="s">
        <v>115</v>
      </c>
      <c r="K1117">
        <v>0</v>
      </c>
      <c r="L1117">
        <v>3</v>
      </c>
      <c r="M1117">
        <v>0</v>
      </c>
      <c r="N1117">
        <v>2</v>
      </c>
      <c r="O1117">
        <v>1</v>
      </c>
      <c r="P1117">
        <v>0</v>
      </c>
      <c r="Q1117">
        <v>0</v>
      </c>
      <c r="S1117" t="str">
        <f>"18:41:43.766"</f>
        <v>18:41:43.766</v>
      </c>
      <c r="T1117" t="str">
        <f>"18:41:43.166"</f>
        <v>18:41:43.166</v>
      </c>
      <c r="U1117" t="str">
        <f t="shared" si="111"/>
        <v>AAB6EE</v>
      </c>
      <c r="V1117">
        <v>0</v>
      </c>
      <c r="W1117">
        <v>0</v>
      </c>
      <c r="X1117">
        <v>4</v>
      </c>
      <c r="Z1117">
        <v>0</v>
      </c>
      <c r="AA1117">
        <v>8</v>
      </c>
      <c r="AB1117">
        <v>3</v>
      </c>
      <c r="AC1117">
        <v>0</v>
      </c>
      <c r="AD1117">
        <v>10</v>
      </c>
      <c r="AE1117">
        <v>0</v>
      </c>
      <c r="AF1117">
        <v>0</v>
      </c>
      <c r="AG1117">
        <v>1</v>
      </c>
      <c r="AH1117">
        <v>1</v>
      </c>
      <c r="AI1117" t="s">
        <v>865</v>
      </c>
      <c r="AJ1117">
        <v>35.275319000000003</v>
      </c>
      <c r="AK1117" t="s">
        <v>866</v>
      </c>
      <c r="AL1117">
        <v>-76.221085000000002</v>
      </c>
      <c r="AM1117">
        <v>25</v>
      </c>
      <c r="AN1117">
        <v>3425</v>
      </c>
      <c r="AO1117" t="s">
        <v>118</v>
      </c>
      <c r="AP1117">
        <v>-206</v>
      </c>
      <c r="AQ1117">
        <v>-81</v>
      </c>
      <c r="AR1117">
        <v>-128</v>
      </c>
      <c r="AZ1117">
        <v>4516</v>
      </c>
      <c r="BA1117">
        <v>1</v>
      </c>
      <c r="BB1117" t="str">
        <f t="shared" si="113"/>
        <v xml:space="preserve">N79NX   </v>
      </c>
      <c r="BC1117">
        <v>1</v>
      </c>
      <c r="BE1117">
        <v>0</v>
      </c>
      <c r="BF1117">
        <v>0</v>
      </c>
      <c r="BG1117">
        <v>0</v>
      </c>
      <c r="BH1117">
        <v>3275</v>
      </c>
      <c r="BI1117">
        <v>0</v>
      </c>
      <c r="BJ1117">
        <v>0</v>
      </c>
      <c r="BK1117">
        <v>0</v>
      </c>
      <c r="BL1117">
        <v>0</v>
      </c>
      <c r="BO1117">
        <v>0</v>
      </c>
      <c r="BP1117">
        <v>0</v>
      </c>
      <c r="BW1117" t="str">
        <f>"18:41:43.771"</f>
        <v>18:41:43.771</v>
      </c>
      <c r="BZ1117">
        <v>0</v>
      </c>
      <c r="CA1117">
        <v>4096</v>
      </c>
      <c r="CB1117">
        <v>216</v>
      </c>
      <c r="CC1117">
        <v>604.6875</v>
      </c>
      <c r="CD1117">
        <v>1</v>
      </c>
      <c r="CE1117">
        <v>1</v>
      </c>
      <c r="CF1117">
        <v>0</v>
      </c>
      <c r="CG1117">
        <v>1</v>
      </c>
      <c r="CH1117">
        <v>0</v>
      </c>
      <c r="CI1117">
        <v>1</v>
      </c>
      <c r="CJ1117">
        <v>0</v>
      </c>
      <c r="CK1117">
        <v>2</v>
      </c>
      <c r="CL1117">
        <v>0</v>
      </c>
      <c r="CM1117">
        <v>2</v>
      </c>
      <c r="CN1117">
        <v>0</v>
      </c>
      <c r="CO1117">
        <v>2</v>
      </c>
      <c r="CP1117" t="s">
        <v>119</v>
      </c>
      <c r="CQ1117">
        <v>145</v>
      </c>
      <c r="CR1117">
        <v>1</v>
      </c>
      <c r="CW1117">
        <v>9024245</v>
      </c>
      <c r="CY1117">
        <v>0</v>
      </c>
      <c r="CZ1117">
        <v>0</v>
      </c>
      <c r="DA1117">
        <v>1</v>
      </c>
      <c r="DB1117">
        <v>0</v>
      </c>
      <c r="DC1117">
        <v>0</v>
      </c>
      <c r="DD1117">
        <v>0</v>
      </c>
      <c r="DE1117">
        <v>0</v>
      </c>
      <c r="DF1117">
        <v>0</v>
      </c>
      <c r="DG1117">
        <v>0</v>
      </c>
      <c r="DH1117">
        <v>0</v>
      </c>
      <c r="DI1117">
        <v>0</v>
      </c>
    </row>
    <row r="1118" spans="1:113" x14ac:dyDescent="0.3">
      <c r="A1118" t="str">
        <f>"02/13/2022 18:41:44.861"</f>
        <v>02/13/2022 18:41:44.861</v>
      </c>
      <c r="C1118" t="str">
        <f t="shared" si="112"/>
        <v>FFDFD7C0</v>
      </c>
      <c r="D1118" t="s">
        <v>121</v>
      </c>
      <c r="E1118">
        <v>2</v>
      </c>
      <c r="H1118">
        <v>158</v>
      </c>
      <c r="I1118" t="s">
        <v>120</v>
      </c>
      <c r="J1118" t="s">
        <v>122</v>
      </c>
      <c r="K1118">
        <v>0</v>
      </c>
      <c r="L1118">
        <v>3</v>
      </c>
      <c r="M1118">
        <v>0</v>
      </c>
      <c r="N1118">
        <v>2</v>
      </c>
      <c r="O1118">
        <v>1</v>
      </c>
      <c r="P1118">
        <v>0</v>
      </c>
      <c r="Q1118">
        <v>0</v>
      </c>
      <c r="S1118" t="str">
        <f>"18:41:44.594"</f>
        <v>18:41:44.594</v>
      </c>
      <c r="T1118" t="str">
        <f>"18:41:44.294"</f>
        <v>18:41:44.294</v>
      </c>
      <c r="U1118" t="str">
        <f t="shared" si="111"/>
        <v>AAB6EE</v>
      </c>
      <c r="V1118">
        <v>0</v>
      </c>
      <c r="W1118">
        <v>0</v>
      </c>
      <c r="X1118">
        <v>4</v>
      </c>
      <c r="Z1118">
        <v>0</v>
      </c>
      <c r="AA1118">
        <v>8</v>
      </c>
      <c r="AB1118">
        <v>3</v>
      </c>
      <c r="AC1118">
        <v>0</v>
      </c>
      <c r="AD1118">
        <v>10</v>
      </c>
      <c r="AE1118">
        <v>0</v>
      </c>
      <c r="AF1118">
        <v>0</v>
      </c>
      <c r="AG1118">
        <v>1</v>
      </c>
      <c r="AH1118">
        <v>1</v>
      </c>
      <c r="AI1118" t="s">
        <v>867</v>
      </c>
      <c r="AJ1118">
        <v>35.274954000000001</v>
      </c>
      <c r="AK1118" t="s">
        <v>868</v>
      </c>
      <c r="AL1118">
        <v>-76.222007000000005</v>
      </c>
      <c r="AM1118">
        <v>25</v>
      </c>
      <c r="AN1118">
        <v>3425</v>
      </c>
      <c r="AO1118" t="s">
        <v>118</v>
      </c>
      <c r="AP1118">
        <v>-203</v>
      </c>
      <c r="AQ1118">
        <v>-88</v>
      </c>
      <c r="AR1118">
        <v>-64</v>
      </c>
      <c r="AZ1118">
        <v>4516</v>
      </c>
      <c r="BA1118">
        <v>1</v>
      </c>
      <c r="BB1118" t="str">
        <f t="shared" si="113"/>
        <v xml:space="preserve">N79NX   </v>
      </c>
      <c r="BC1118">
        <v>1</v>
      </c>
      <c r="BE1118">
        <v>0</v>
      </c>
      <c r="BF1118">
        <v>0</v>
      </c>
      <c r="BG1118">
        <v>0</v>
      </c>
      <c r="BH1118">
        <v>3275</v>
      </c>
      <c r="BI1118">
        <v>0</v>
      </c>
      <c r="BJ1118">
        <v>0</v>
      </c>
      <c r="BK1118">
        <v>0</v>
      </c>
      <c r="BL1118">
        <v>0</v>
      </c>
      <c r="BO1118">
        <v>0</v>
      </c>
      <c r="BP1118">
        <v>0</v>
      </c>
      <c r="BW1118" t="str">
        <f>"18:41:44.601"</f>
        <v>18:41:44.601</v>
      </c>
      <c r="BZ1118">
        <v>0</v>
      </c>
      <c r="CA1118">
        <v>4096</v>
      </c>
      <c r="CB1118">
        <v>216</v>
      </c>
      <c r="CC1118">
        <v>604.6875</v>
      </c>
      <c r="CD1118">
        <v>1</v>
      </c>
      <c r="CE1118">
        <v>1</v>
      </c>
      <c r="CF1118">
        <v>0</v>
      </c>
      <c r="CG1118">
        <v>1</v>
      </c>
      <c r="CH1118">
        <v>0</v>
      </c>
      <c r="CI1118">
        <v>1</v>
      </c>
      <c r="CJ1118">
        <v>0</v>
      </c>
      <c r="CK1118">
        <v>2</v>
      </c>
      <c r="CL1118">
        <v>0</v>
      </c>
      <c r="CM1118">
        <v>2</v>
      </c>
      <c r="CN1118">
        <v>0</v>
      </c>
      <c r="CO1118">
        <v>2</v>
      </c>
      <c r="CP1118" t="s">
        <v>119</v>
      </c>
      <c r="CQ1118">
        <v>145</v>
      </c>
      <c r="CR1118">
        <v>1</v>
      </c>
      <c r="CW1118">
        <v>9024638</v>
      </c>
      <c r="CY1118">
        <v>0</v>
      </c>
      <c r="CZ1118">
        <v>0</v>
      </c>
      <c r="DA1118">
        <v>0</v>
      </c>
      <c r="DB1118">
        <v>0</v>
      </c>
      <c r="DC1118">
        <v>0</v>
      </c>
      <c r="DD1118">
        <v>0</v>
      </c>
      <c r="DE1118">
        <v>0</v>
      </c>
      <c r="DF1118">
        <v>0</v>
      </c>
      <c r="DG1118">
        <v>0</v>
      </c>
      <c r="DH1118">
        <v>0</v>
      </c>
      <c r="DI1118">
        <v>0</v>
      </c>
    </row>
    <row r="1119" spans="1:113" x14ac:dyDescent="0.3">
      <c r="A1119" t="str">
        <f>"02/13/2022 18:41:44.861"</f>
        <v>02/13/2022 18:41:44.861</v>
      </c>
      <c r="C1119" t="str">
        <f t="shared" si="112"/>
        <v>FFDFD7C0</v>
      </c>
      <c r="D1119" t="s">
        <v>113</v>
      </c>
      <c r="E1119">
        <v>3</v>
      </c>
      <c r="F1119">
        <v>1003</v>
      </c>
      <c r="G1119" t="s">
        <v>114</v>
      </c>
      <c r="J1119" t="s">
        <v>115</v>
      </c>
      <c r="K1119">
        <v>0</v>
      </c>
      <c r="L1119">
        <v>3</v>
      </c>
      <c r="M1119">
        <v>0</v>
      </c>
      <c r="N1119">
        <v>2</v>
      </c>
      <c r="O1119">
        <v>1</v>
      </c>
      <c r="P1119">
        <v>0</v>
      </c>
      <c r="Q1119">
        <v>0</v>
      </c>
      <c r="S1119" t="str">
        <f>"18:41:44.594"</f>
        <v>18:41:44.594</v>
      </c>
      <c r="T1119" t="str">
        <f>"18:41:44.294"</f>
        <v>18:41:44.294</v>
      </c>
      <c r="U1119" t="str">
        <f t="shared" si="111"/>
        <v>AAB6EE</v>
      </c>
      <c r="V1119">
        <v>0</v>
      </c>
      <c r="W1119">
        <v>0</v>
      </c>
      <c r="X1119">
        <v>4</v>
      </c>
      <c r="Z1119">
        <v>0</v>
      </c>
      <c r="AA1119">
        <v>8</v>
      </c>
      <c r="AB1119">
        <v>3</v>
      </c>
      <c r="AC1119">
        <v>0</v>
      </c>
      <c r="AD1119">
        <v>10</v>
      </c>
      <c r="AE1119">
        <v>0</v>
      </c>
      <c r="AF1119">
        <v>0</v>
      </c>
      <c r="AG1119">
        <v>1</v>
      </c>
      <c r="AH1119">
        <v>1</v>
      </c>
      <c r="AI1119" t="s">
        <v>867</v>
      </c>
      <c r="AJ1119">
        <v>35.274954000000001</v>
      </c>
      <c r="AK1119" t="s">
        <v>868</v>
      </c>
      <c r="AL1119">
        <v>-76.222007000000005</v>
      </c>
      <c r="AM1119">
        <v>25</v>
      </c>
      <c r="AN1119">
        <v>3425</v>
      </c>
      <c r="AO1119" t="s">
        <v>118</v>
      </c>
      <c r="AP1119">
        <v>-203</v>
      </c>
      <c r="AQ1119">
        <v>-88</v>
      </c>
      <c r="AR1119">
        <v>-64</v>
      </c>
      <c r="AZ1119">
        <v>4516</v>
      </c>
      <c r="BA1119">
        <v>1</v>
      </c>
      <c r="BB1119" t="str">
        <f t="shared" si="113"/>
        <v xml:space="preserve">N79NX   </v>
      </c>
      <c r="BC1119">
        <v>1</v>
      </c>
      <c r="BE1119">
        <v>0</v>
      </c>
      <c r="BF1119">
        <v>0</v>
      </c>
      <c r="BG1119">
        <v>0</v>
      </c>
      <c r="BH1119">
        <v>3275</v>
      </c>
      <c r="BI1119">
        <v>0</v>
      </c>
      <c r="BJ1119">
        <v>0</v>
      </c>
      <c r="BK1119">
        <v>0</v>
      </c>
      <c r="BL1119">
        <v>0</v>
      </c>
      <c r="BO1119">
        <v>0</v>
      </c>
      <c r="BP1119">
        <v>0</v>
      </c>
      <c r="BW1119" t="str">
        <f>"18:41:44.601"</f>
        <v>18:41:44.601</v>
      </c>
      <c r="BZ1119">
        <v>0</v>
      </c>
      <c r="CA1119">
        <v>4096</v>
      </c>
      <c r="CB1119">
        <v>216</v>
      </c>
      <c r="CC1119">
        <v>604.6875</v>
      </c>
      <c r="CD1119">
        <v>1</v>
      </c>
      <c r="CE1119">
        <v>1</v>
      </c>
      <c r="CF1119">
        <v>0</v>
      </c>
      <c r="CG1119">
        <v>1</v>
      </c>
      <c r="CH1119">
        <v>0</v>
      </c>
      <c r="CI1119">
        <v>1</v>
      </c>
      <c r="CJ1119">
        <v>0</v>
      </c>
      <c r="CK1119">
        <v>2</v>
      </c>
      <c r="CL1119">
        <v>0</v>
      </c>
      <c r="CM1119">
        <v>2</v>
      </c>
      <c r="CN1119">
        <v>0</v>
      </c>
      <c r="CO1119">
        <v>2</v>
      </c>
      <c r="CP1119" t="s">
        <v>119</v>
      </c>
      <c r="CQ1119">
        <v>145</v>
      </c>
      <c r="CR1119">
        <v>1</v>
      </c>
      <c r="CW1119">
        <v>9024638</v>
      </c>
      <c r="CY1119">
        <v>0</v>
      </c>
      <c r="CZ1119">
        <v>0</v>
      </c>
      <c r="DA1119">
        <v>1</v>
      </c>
      <c r="DB1119">
        <v>0</v>
      </c>
      <c r="DC1119">
        <v>0</v>
      </c>
      <c r="DD1119">
        <v>0</v>
      </c>
      <c r="DE1119">
        <v>0</v>
      </c>
      <c r="DF1119">
        <v>0</v>
      </c>
      <c r="DG1119">
        <v>0</v>
      </c>
      <c r="DH1119">
        <v>0</v>
      </c>
      <c r="DI1119">
        <v>0</v>
      </c>
    </row>
    <row r="1120" spans="1:113" x14ac:dyDescent="0.3">
      <c r="A1120" t="str">
        <f>"02/13/2022 18:41:44.861"</f>
        <v>02/13/2022 18:41:44.861</v>
      </c>
      <c r="C1120" t="str">
        <f t="shared" si="112"/>
        <v>FFDFD7C0</v>
      </c>
      <c r="D1120" t="s">
        <v>113</v>
      </c>
      <c r="E1120">
        <v>4</v>
      </c>
      <c r="F1120">
        <v>1004</v>
      </c>
      <c r="G1120" t="s">
        <v>120</v>
      </c>
      <c r="J1120" t="s">
        <v>115</v>
      </c>
      <c r="K1120">
        <v>0</v>
      </c>
      <c r="L1120">
        <v>3</v>
      </c>
      <c r="M1120">
        <v>0</v>
      </c>
      <c r="N1120">
        <v>2</v>
      </c>
      <c r="O1120">
        <v>1</v>
      </c>
      <c r="P1120">
        <v>0</v>
      </c>
      <c r="Q1120">
        <v>0</v>
      </c>
      <c r="S1120" t="str">
        <f>"18:41:44.594"</f>
        <v>18:41:44.594</v>
      </c>
      <c r="T1120" t="str">
        <f>"18:41:44.294"</f>
        <v>18:41:44.294</v>
      </c>
      <c r="U1120" t="str">
        <f t="shared" si="111"/>
        <v>AAB6EE</v>
      </c>
      <c r="V1120">
        <v>0</v>
      </c>
      <c r="W1120">
        <v>0</v>
      </c>
      <c r="X1120">
        <v>4</v>
      </c>
      <c r="Z1120">
        <v>0</v>
      </c>
      <c r="AA1120">
        <v>8</v>
      </c>
      <c r="AB1120">
        <v>3</v>
      </c>
      <c r="AC1120">
        <v>0</v>
      </c>
      <c r="AD1120">
        <v>10</v>
      </c>
      <c r="AE1120">
        <v>0</v>
      </c>
      <c r="AF1120">
        <v>0</v>
      </c>
      <c r="AG1120">
        <v>1</v>
      </c>
      <c r="AH1120">
        <v>1</v>
      </c>
      <c r="AI1120" t="s">
        <v>867</v>
      </c>
      <c r="AJ1120">
        <v>35.274954000000001</v>
      </c>
      <c r="AK1120" t="s">
        <v>868</v>
      </c>
      <c r="AL1120">
        <v>-76.222007000000005</v>
      </c>
      <c r="AM1120">
        <v>25</v>
      </c>
      <c r="AN1120">
        <v>3425</v>
      </c>
      <c r="AO1120" t="s">
        <v>118</v>
      </c>
      <c r="AP1120">
        <v>-203</v>
      </c>
      <c r="AQ1120">
        <v>-88</v>
      </c>
      <c r="AR1120">
        <v>-64</v>
      </c>
      <c r="AZ1120">
        <v>4516</v>
      </c>
      <c r="BA1120">
        <v>1</v>
      </c>
      <c r="BB1120" t="str">
        <f t="shared" si="113"/>
        <v xml:space="preserve">N79NX   </v>
      </c>
      <c r="BC1120">
        <v>1</v>
      </c>
      <c r="BE1120">
        <v>0</v>
      </c>
      <c r="BF1120">
        <v>0</v>
      </c>
      <c r="BG1120">
        <v>0</v>
      </c>
      <c r="BH1120">
        <v>3275</v>
      </c>
      <c r="BI1120">
        <v>0</v>
      </c>
      <c r="BJ1120">
        <v>0</v>
      </c>
      <c r="BK1120">
        <v>0</v>
      </c>
      <c r="BL1120">
        <v>0</v>
      </c>
      <c r="BO1120">
        <v>0</v>
      </c>
      <c r="BP1120">
        <v>0</v>
      </c>
      <c r="BW1120" t="str">
        <f>"18:41:44.601"</f>
        <v>18:41:44.601</v>
      </c>
      <c r="BZ1120">
        <v>0</v>
      </c>
      <c r="CA1120">
        <v>4096</v>
      </c>
      <c r="CB1120">
        <v>216</v>
      </c>
      <c r="CC1120">
        <v>604.6875</v>
      </c>
      <c r="CD1120">
        <v>1</v>
      </c>
      <c r="CE1120">
        <v>1</v>
      </c>
      <c r="CF1120">
        <v>0</v>
      </c>
      <c r="CG1120">
        <v>1</v>
      </c>
      <c r="CH1120">
        <v>0</v>
      </c>
      <c r="CI1120">
        <v>1</v>
      </c>
      <c r="CJ1120">
        <v>0</v>
      </c>
      <c r="CK1120">
        <v>2</v>
      </c>
      <c r="CL1120">
        <v>0</v>
      </c>
      <c r="CM1120">
        <v>2</v>
      </c>
      <c r="CN1120">
        <v>0</v>
      </c>
      <c r="CO1120">
        <v>2</v>
      </c>
      <c r="CP1120" t="s">
        <v>119</v>
      </c>
      <c r="CQ1120">
        <v>145</v>
      </c>
      <c r="CR1120">
        <v>1</v>
      </c>
      <c r="CW1120">
        <v>9024638</v>
      </c>
      <c r="CY1120">
        <v>0</v>
      </c>
      <c r="CZ1120">
        <v>0</v>
      </c>
      <c r="DA1120">
        <v>1</v>
      </c>
      <c r="DB1120">
        <v>0</v>
      </c>
      <c r="DC1120">
        <v>0</v>
      </c>
      <c r="DD1120">
        <v>0</v>
      </c>
      <c r="DE1120">
        <v>0</v>
      </c>
      <c r="DF1120">
        <v>0</v>
      </c>
      <c r="DG1120">
        <v>0</v>
      </c>
      <c r="DH1120">
        <v>0</v>
      </c>
      <c r="DI1120">
        <v>0</v>
      </c>
    </row>
    <row r="1121" spans="1:113" x14ac:dyDescent="0.3">
      <c r="A1121" t="str">
        <f>"02/13/2022 18:41:45.878"</f>
        <v>02/13/2022 18:41:45.878</v>
      </c>
      <c r="C1121" t="str">
        <f t="shared" si="112"/>
        <v>FFDFD7C0</v>
      </c>
      <c r="D1121" t="s">
        <v>113</v>
      </c>
      <c r="E1121">
        <v>3</v>
      </c>
      <c r="F1121">
        <v>1003</v>
      </c>
      <c r="G1121" t="s">
        <v>114</v>
      </c>
      <c r="J1121" t="s">
        <v>115</v>
      </c>
      <c r="K1121">
        <v>0</v>
      </c>
      <c r="L1121">
        <v>3</v>
      </c>
      <c r="M1121">
        <v>0</v>
      </c>
      <c r="N1121">
        <v>2</v>
      </c>
      <c r="O1121">
        <v>1</v>
      </c>
      <c r="P1121">
        <v>0</v>
      </c>
      <c r="Q1121">
        <v>0</v>
      </c>
      <c r="S1121" t="str">
        <f t="shared" ref="S1121:T1123" si="115">"18:41:45.648"</f>
        <v>18:41:45.648</v>
      </c>
      <c r="T1121" t="str">
        <f t="shared" si="115"/>
        <v>18:41:45.648</v>
      </c>
      <c r="U1121" t="str">
        <f t="shared" si="111"/>
        <v>AAB6EE</v>
      </c>
      <c r="V1121">
        <v>0</v>
      </c>
      <c r="W1121">
        <v>0</v>
      </c>
      <c r="X1121">
        <v>4</v>
      </c>
      <c r="Z1121">
        <v>0</v>
      </c>
      <c r="AA1121">
        <v>8</v>
      </c>
      <c r="AB1121">
        <v>3</v>
      </c>
      <c r="AC1121">
        <v>0</v>
      </c>
      <c r="AD1121">
        <v>10</v>
      </c>
      <c r="AE1121">
        <v>0</v>
      </c>
      <c r="AF1121">
        <v>0</v>
      </c>
      <c r="AG1121">
        <v>1</v>
      </c>
      <c r="AH1121">
        <v>1</v>
      </c>
      <c r="AI1121" t="s">
        <v>869</v>
      </c>
      <c r="AJ1121">
        <v>35.274503000000003</v>
      </c>
      <c r="AK1121" t="s">
        <v>870</v>
      </c>
      <c r="AL1121">
        <v>-76.223252000000002</v>
      </c>
      <c r="AM1121">
        <v>25</v>
      </c>
      <c r="AN1121">
        <v>3425</v>
      </c>
      <c r="AO1121" t="s">
        <v>118</v>
      </c>
      <c r="AP1121">
        <v>-198</v>
      </c>
      <c r="AQ1121">
        <v>-98</v>
      </c>
      <c r="AR1121">
        <v>0</v>
      </c>
      <c r="AZ1121">
        <v>4516</v>
      </c>
      <c r="BA1121">
        <v>1</v>
      </c>
      <c r="BB1121" t="str">
        <f t="shared" si="113"/>
        <v xml:space="preserve">N79NX   </v>
      </c>
      <c r="BC1121">
        <v>1</v>
      </c>
      <c r="BE1121">
        <v>0</v>
      </c>
      <c r="BF1121">
        <v>0</v>
      </c>
      <c r="BG1121">
        <v>0</v>
      </c>
      <c r="BH1121">
        <v>3275</v>
      </c>
      <c r="BI1121">
        <v>0</v>
      </c>
      <c r="BJ1121">
        <v>0</v>
      </c>
      <c r="BK1121">
        <v>0</v>
      </c>
      <c r="BL1121">
        <v>0</v>
      </c>
      <c r="BO1121">
        <v>0</v>
      </c>
      <c r="BP1121">
        <v>0</v>
      </c>
      <c r="BW1121" t="str">
        <f>"18:41:45.651"</f>
        <v>18:41:45.651</v>
      </c>
      <c r="BZ1121">
        <v>0</v>
      </c>
      <c r="CA1121">
        <v>4096</v>
      </c>
      <c r="CB1121">
        <v>216</v>
      </c>
      <c r="CC1121">
        <v>577.96879999999999</v>
      </c>
      <c r="CD1121">
        <v>1</v>
      </c>
      <c r="CE1121">
        <v>1</v>
      </c>
      <c r="CF1121">
        <v>0</v>
      </c>
      <c r="CG1121">
        <v>1</v>
      </c>
      <c r="CH1121">
        <v>0</v>
      </c>
      <c r="CI1121">
        <v>1</v>
      </c>
      <c r="CJ1121">
        <v>0</v>
      </c>
      <c r="CK1121">
        <v>2</v>
      </c>
      <c r="CL1121">
        <v>0</v>
      </c>
      <c r="CM1121">
        <v>2</v>
      </c>
      <c r="CN1121">
        <v>0</v>
      </c>
      <c r="CO1121">
        <v>3</v>
      </c>
      <c r="CP1121" t="s">
        <v>119</v>
      </c>
      <c r="CQ1121">
        <v>145</v>
      </c>
      <c r="CR1121">
        <v>1</v>
      </c>
      <c r="CW1121">
        <v>9025057</v>
      </c>
      <c r="CY1121">
        <v>0</v>
      </c>
      <c r="CZ1121">
        <v>0</v>
      </c>
      <c r="DA1121">
        <v>0</v>
      </c>
      <c r="DB1121">
        <v>0</v>
      </c>
      <c r="DC1121">
        <v>0</v>
      </c>
      <c r="DD1121">
        <v>0</v>
      </c>
      <c r="DE1121">
        <v>0</v>
      </c>
      <c r="DF1121">
        <v>0</v>
      </c>
      <c r="DG1121">
        <v>0</v>
      </c>
      <c r="DH1121">
        <v>0</v>
      </c>
      <c r="DI1121">
        <v>0</v>
      </c>
    </row>
    <row r="1122" spans="1:113" x14ac:dyDescent="0.3">
      <c r="A1122" t="str">
        <f>"02/13/2022 18:41:45.878"</f>
        <v>02/13/2022 18:41:45.878</v>
      </c>
      <c r="C1122" t="str">
        <f t="shared" si="112"/>
        <v>FFDFD7C0</v>
      </c>
      <c r="D1122" t="s">
        <v>113</v>
      </c>
      <c r="E1122">
        <v>4</v>
      </c>
      <c r="F1122">
        <v>1004</v>
      </c>
      <c r="G1122" t="s">
        <v>120</v>
      </c>
      <c r="J1122" t="s">
        <v>115</v>
      </c>
      <c r="K1122">
        <v>0</v>
      </c>
      <c r="L1122">
        <v>3</v>
      </c>
      <c r="M1122">
        <v>0</v>
      </c>
      <c r="N1122">
        <v>2</v>
      </c>
      <c r="O1122">
        <v>1</v>
      </c>
      <c r="P1122">
        <v>0</v>
      </c>
      <c r="Q1122">
        <v>0</v>
      </c>
      <c r="S1122" t="str">
        <f t="shared" si="115"/>
        <v>18:41:45.648</v>
      </c>
      <c r="T1122" t="str">
        <f t="shared" si="115"/>
        <v>18:41:45.648</v>
      </c>
      <c r="U1122" t="str">
        <f t="shared" si="111"/>
        <v>AAB6EE</v>
      </c>
      <c r="V1122">
        <v>0</v>
      </c>
      <c r="W1122">
        <v>0</v>
      </c>
      <c r="X1122">
        <v>4</v>
      </c>
      <c r="Z1122">
        <v>0</v>
      </c>
      <c r="AA1122">
        <v>8</v>
      </c>
      <c r="AB1122">
        <v>3</v>
      </c>
      <c r="AC1122">
        <v>0</v>
      </c>
      <c r="AD1122">
        <v>10</v>
      </c>
      <c r="AE1122">
        <v>0</v>
      </c>
      <c r="AF1122">
        <v>0</v>
      </c>
      <c r="AG1122">
        <v>1</v>
      </c>
      <c r="AH1122">
        <v>1</v>
      </c>
      <c r="AI1122" t="s">
        <v>869</v>
      </c>
      <c r="AJ1122">
        <v>35.274503000000003</v>
      </c>
      <c r="AK1122" t="s">
        <v>870</v>
      </c>
      <c r="AL1122">
        <v>-76.223252000000002</v>
      </c>
      <c r="AM1122">
        <v>25</v>
      </c>
      <c r="AN1122">
        <v>3425</v>
      </c>
      <c r="AO1122" t="s">
        <v>118</v>
      </c>
      <c r="AP1122">
        <v>-198</v>
      </c>
      <c r="AQ1122">
        <v>-98</v>
      </c>
      <c r="AR1122">
        <v>0</v>
      </c>
      <c r="AZ1122">
        <v>4516</v>
      </c>
      <c r="BA1122">
        <v>1</v>
      </c>
      <c r="BB1122" t="str">
        <f t="shared" si="113"/>
        <v xml:space="preserve">N79NX   </v>
      </c>
      <c r="BC1122">
        <v>1</v>
      </c>
      <c r="BE1122">
        <v>0</v>
      </c>
      <c r="BF1122">
        <v>0</v>
      </c>
      <c r="BG1122">
        <v>0</v>
      </c>
      <c r="BH1122">
        <v>3275</v>
      </c>
      <c r="BI1122">
        <v>0</v>
      </c>
      <c r="BJ1122">
        <v>0</v>
      </c>
      <c r="BK1122">
        <v>0</v>
      </c>
      <c r="BL1122">
        <v>0</v>
      </c>
      <c r="BO1122">
        <v>0</v>
      </c>
      <c r="BP1122">
        <v>0</v>
      </c>
      <c r="BW1122" t="str">
        <f>"18:41:45.651"</f>
        <v>18:41:45.651</v>
      </c>
      <c r="BZ1122">
        <v>0</v>
      </c>
      <c r="CA1122">
        <v>4096</v>
      </c>
      <c r="CB1122">
        <v>216</v>
      </c>
      <c r="CC1122">
        <v>577.96879999999999</v>
      </c>
      <c r="CD1122">
        <v>1</v>
      </c>
      <c r="CE1122">
        <v>1</v>
      </c>
      <c r="CF1122">
        <v>0</v>
      </c>
      <c r="CG1122">
        <v>1</v>
      </c>
      <c r="CH1122">
        <v>0</v>
      </c>
      <c r="CI1122">
        <v>1</v>
      </c>
      <c r="CJ1122">
        <v>0</v>
      </c>
      <c r="CK1122">
        <v>2</v>
      </c>
      <c r="CL1122">
        <v>0</v>
      </c>
      <c r="CM1122">
        <v>2</v>
      </c>
      <c r="CN1122">
        <v>0</v>
      </c>
      <c r="CO1122">
        <v>3</v>
      </c>
      <c r="CP1122" t="s">
        <v>119</v>
      </c>
      <c r="CQ1122">
        <v>145</v>
      </c>
      <c r="CR1122">
        <v>1</v>
      </c>
      <c r="CW1122">
        <v>9025057</v>
      </c>
      <c r="CY1122">
        <v>0</v>
      </c>
      <c r="CZ1122">
        <v>0</v>
      </c>
      <c r="DA1122">
        <v>1</v>
      </c>
      <c r="DB1122">
        <v>0</v>
      </c>
      <c r="DC1122">
        <v>0</v>
      </c>
      <c r="DD1122">
        <v>0</v>
      </c>
      <c r="DE1122">
        <v>0</v>
      </c>
      <c r="DF1122">
        <v>0</v>
      </c>
      <c r="DG1122">
        <v>0</v>
      </c>
      <c r="DH1122">
        <v>0</v>
      </c>
      <c r="DI1122">
        <v>0</v>
      </c>
    </row>
    <row r="1123" spans="1:113" x14ac:dyDescent="0.3">
      <c r="A1123" t="str">
        <f>"02/13/2022 18:41:45.971"</f>
        <v>02/13/2022 18:41:45.971</v>
      </c>
      <c r="C1123" t="str">
        <f t="shared" si="112"/>
        <v>FFDFD7C0</v>
      </c>
      <c r="D1123" t="s">
        <v>121</v>
      </c>
      <c r="E1123">
        <v>2</v>
      </c>
      <c r="H1123">
        <v>158</v>
      </c>
      <c r="I1123" t="s">
        <v>120</v>
      </c>
      <c r="J1123" t="s">
        <v>122</v>
      </c>
      <c r="K1123">
        <v>0</v>
      </c>
      <c r="L1123">
        <v>3</v>
      </c>
      <c r="M1123">
        <v>0</v>
      </c>
      <c r="N1123">
        <v>2</v>
      </c>
      <c r="O1123">
        <v>1</v>
      </c>
      <c r="P1123">
        <v>0</v>
      </c>
      <c r="Q1123">
        <v>0</v>
      </c>
      <c r="S1123" t="str">
        <f t="shared" si="115"/>
        <v>18:41:45.648</v>
      </c>
      <c r="T1123" t="str">
        <f t="shared" si="115"/>
        <v>18:41:45.648</v>
      </c>
      <c r="U1123" t="str">
        <f t="shared" si="111"/>
        <v>AAB6EE</v>
      </c>
      <c r="V1123">
        <v>0</v>
      </c>
      <c r="W1123">
        <v>0</v>
      </c>
      <c r="X1123">
        <v>4</v>
      </c>
      <c r="Z1123">
        <v>0</v>
      </c>
      <c r="AA1123">
        <v>8</v>
      </c>
      <c r="AB1123">
        <v>3</v>
      </c>
      <c r="AC1123">
        <v>0</v>
      </c>
      <c r="AD1123">
        <v>10</v>
      </c>
      <c r="AE1123">
        <v>0</v>
      </c>
      <c r="AF1123">
        <v>0</v>
      </c>
      <c r="AG1123">
        <v>1</v>
      </c>
      <c r="AH1123">
        <v>1</v>
      </c>
      <c r="AI1123" t="s">
        <v>869</v>
      </c>
      <c r="AJ1123">
        <v>35.274503000000003</v>
      </c>
      <c r="AK1123" t="s">
        <v>870</v>
      </c>
      <c r="AL1123">
        <v>-76.223252000000002</v>
      </c>
      <c r="AM1123">
        <v>25</v>
      </c>
      <c r="AN1123">
        <v>3425</v>
      </c>
      <c r="AO1123" t="s">
        <v>118</v>
      </c>
      <c r="AP1123">
        <v>-198</v>
      </c>
      <c r="AQ1123">
        <v>-98</v>
      </c>
      <c r="AR1123">
        <v>0</v>
      </c>
      <c r="AZ1123">
        <v>4516</v>
      </c>
      <c r="BA1123">
        <v>1</v>
      </c>
      <c r="BB1123" t="str">
        <f t="shared" si="113"/>
        <v xml:space="preserve">N79NX   </v>
      </c>
      <c r="BC1123">
        <v>1</v>
      </c>
      <c r="BE1123">
        <v>0</v>
      </c>
      <c r="BF1123">
        <v>0</v>
      </c>
      <c r="BG1123">
        <v>0</v>
      </c>
      <c r="BH1123">
        <v>3275</v>
      </c>
      <c r="BI1123">
        <v>0</v>
      </c>
      <c r="BJ1123">
        <v>0</v>
      </c>
      <c r="BK1123">
        <v>0</v>
      </c>
      <c r="BL1123">
        <v>0</v>
      </c>
      <c r="BO1123">
        <v>0</v>
      </c>
      <c r="BP1123">
        <v>0</v>
      </c>
      <c r="BW1123" t="str">
        <f>"18:41:45.651"</f>
        <v>18:41:45.651</v>
      </c>
      <c r="BZ1123">
        <v>0</v>
      </c>
      <c r="CA1123">
        <v>4096</v>
      </c>
      <c r="CB1123">
        <v>216</v>
      </c>
      <c r="CC1123">
        <v>577.96879999999999</v>
      </c>
      <c r="CD1123">
        <v>1</v>
      </c>
      <c r="CE1123">
        <v>1</v>
      </c>
      <c r="CF1123">
        <v>0</v>
      </c>
      <c r="CG1123">
        <v>1</v>
      </c>
      <c r="CH1123">
        <v>0</v>
      </c>
      <c r="CI1123">
        <v>1</v>
      </c>
      <c r="CJ1123">
        <v>0</v>
      </c>
      <c r="CK1123">
        <v>2</v>
      </c>
      <c r="CL1123">
        <v>0</v>
      </c>
      <c r="CM1123">
        <v>2</v>
      </c>
      <c r="CN1123">
        <v>0</v>
      </c>
      <c r="CO1123">
        <v>3</v>
      </c>
      <c r="CP1123" t="s">
        <v>119</v>
      </c>
      <c r="CQ1123">
        <v>145</v>
      </c>
      <c r="CR1123">
        <v>1</v>
      </c>
      <c r="CW1123">
        <v>9025057</v>
      </c>
      <c r="CY1123">
        <v>0</v>
      </c>
      <c r="CZ1123">
        <v>0</v>
      </c>
      <c r="DA1123">
        <v>1</v>
      </c>
      <c r="DB1123">
        <v>0</v>
      </c>
      <c r="DC1123">
        <v>0</v>
      </c>
      <c r="DD1123">
        <v>0</v>
      </c>
      <c r="DE1123">
        <v>0</v>
      </c>
      <c r="DF1123">
        <v>0</v>
      </c>
      <c r="DG1123">
        <v>0</v>
      </c>
      <c r="DH1123">
        <v>0</v>
      </c>
      <c r="DI1123">
        <v>0</v>
      </c>
    </row>
    <row r="1124" spans="1:113" x14ac:dyDescent="0.3">
      <c r="A1124" t="str">
        <f>"02/13/2022 18:41:47.096"</f>
        <v>02/13/2022 18:41:47.096</v>
      </c>
      <c r="C1124" t="str">
        <f t="shared" si="112"/>
        <v>FFDFD7C0</v>
      </c>
      <c r="D1124" t="s">
        <v>113</v>
      </c>
      <c r="E1124">
        <v>3</v>
      </c>
      <c r="F1124">
        <v>1003</v>
      </c>
      <c r="G1124" t="s">
        <v>114</v>
      </c>
      <c r="J1124" t="s">
        <v>115</v>
      </c>
      <c r="K1124">
        <v>0</v>
      </c>
      <c r="L1124">
        <v>3</v>
      </c>
      <c r="M1124">
        <v>0</v>
      </c>
      <c r="N1124">
        <v>2</v>
      </c>
      <c r="O1124">
        <v>1</v>
      </c>
      <c r="P1124">
        <v>0</v>
      </c>
      <c r="Q1124">
        <v>0</v>
      </c>
      <c r="S1124" t="str">
        <f>"18:41:46.727"</f>
        <v>18:41:46.727</v>
      </c>
      <c r="T1124" t="str">
        <f>"18:41:46.427"</f>
        <v>18:41:46.427</v>
      </c>
      <c r="U1124" t="str">
        <f t="shared" si="111"/>
        <v>AAB6EE</v>
      </c>
      <c r="V1124">
        <v>0</v>
      </c>
      <c r="W1124">
        <v>0</v>
      </c>
      <c r="X1124">
        <v>4</v>
      </c>
      <c r="Z1124">
        <v>0</v>
      </c>
      <c r="AA1124">
        <v>8</v>
      </c>
      <c r="AB1124">
        <v>3</v>
      </c>
      <c r="AC1124">
        <v>0</v>
      </c>
      <c r="AD1124">
        <v>10</v>
      </c>
      <c r="AE1124">
        <v>0</v>
      </c>
      <c r="AF1124">
        <v>0</v>
      </c>
      <c r="AG1124">
        <v>1</v>
      </c>
      <c r="AH1124">
        <v>1</v>
      </c>
      <c r="AI1124" t="s">
        <v>871</v>
      </c>
      <c r="AJ1124">
        <v>35.273944999999998</v>
      </c>
      <c r="AK1124" t="s">
        <v>872</v>
      </c>
      <c r="AL1124">
        <v>-76.224452999999997</v>
      </c>
      <c r="AM1124">
        <v>25</v>
      </c>
      <c r="AN1124">
        <v>3425</v>
      </c>
      <c r="AO1124" t="s">
        <v>118</v>
      </c>
      <c r="AP1124">
        <v>-195</v>
      </c>
      <c r="AQ1124">
        <v>-105</v>
      </c>
      <c r="AR1124">
        <v>64</v>
      </c>
      <c r="AZ1124">
        <v>4516</v>
      </c>
      <c r="BA1124">
        <v>1</v>
      </c>
      <c r="BB1124" t="str">
        <f t="shared" si="113"/>
        <v xml:space="preserve">N79NX   </v>
      </c>
      <c r="BC1124">
        <v>1</v>
      </c>
      <c r="BE1124">
        <v>0</v>
      </c>
      <c r="BF1124">
        <v>0</v>
      </c>
      <c r="BG1124">
        <v>0</v>
      </c>
      <c r="BH1124">
        <v>3275</v>
      </c>
      <c r="BI1124">
        <v>0</v>
      </c>
      <c r="BJ1124">
        <v>0</v>
      </c>
      <c r="BK1124">
        <v>0</v>
      </c>
      <c r="BL1124">
        <v>0</v>
      </c>
      <c r="BO1124">
        <v>0</v>
      </c>
      <c r="BP1124">
        <v>0</v>
      </c>
      <c r="BW1124" t="str">
        <f>"18:41:46.731"</f>
        <v>18:41:46.731</v>
      </c>
      <c r="BZ1124">
        <v>0</v>
      </c>
      <c r="CA1124">
        <v>4096</v>
      </c>
      <c r="CB1124">
        <v>216</v>
      </c>
      <c r="CC1124">
        <v>525.9375</v>
      </c>
      <c r="CD1124">
        <v>1</v>
      </c>
      <c r="CE1124">
        <v>1</v>
      </c>
      <c r="CF1124">
        <v>0</v>
      </c>
      <c r="CG1124">
        <v>1</v>
      </c>
      <c r="CH1124">
        <v>0</v>
      </c>
      <c r="CI1124">
        <v>1</v>
      </c>
      <c r="CJ1124">
        <v>0</v>
      </c>
      <c r="CK1124">
        <v>2</v>
      </c>
      <c r="CL1124">
        <v>0</v>
      </c>
      <c r="CM1124">
        <v>2</v>
      </c>
      <c r="CN1124">
        <v>0</v>
      </c>
      <c r="CO1124">
        <v>2</v>
      </c>
      <c r="CP1124" t="s">
        <v>119</v>
      </c>
      <c r="CQ1124">
        <v>145</v>
      </c>
      <c r="CR1124">
        <v>1</v>
      </c>
      <c r="CW1124">
        <v>9025560</v>
      </c>
      <c r="CY1124">
        <v>0</v>
      </c>
      <c r="CZ1124">
        <v>0</v>
      </c>
      <c r="DA1124">
        <v>0</v>
      </c>
      <c r="DB1124">
        <v>0</v>
      </c>
      <c r="DC1124">
        <v>0</v>
      </c>
      <c r="DD1124">
        <v>0</v>
      </c>
      <c r="DE1124">
        <v>0</v>
      </c>
      <c r="DF1124">
        <v>0</v>
      </c>
      <c r="DG1124">
        <v>0</v>
      </c>
      <c r="DH1124">
        <v>0</v>
      </c>
      <c r="DI1124">
        <v>0</v>
      </c>
    </row>
    <row r="1125" spans="1:113" x14ac:dyDescent="0.3">
      <c r="A1125" t="str">
        <f>"02/13/2022 18:41:47.096"</f>
        <v>02/13/2022 18:41:47.096</v>
      </c>
      <c r="C1125" t="str">
        <f t="shared" si="112"/>
        <v>FFDFD7C0</v>
      </c>
      <c r="D1125" t="s">
        <v>113</v>
      </c>
      <c r="E1125">
        <v>4</v>
      </c>
      <c r="F1125">
        <v>1004</v>
      </c>
      <c r="G1125" t="s">
        <v>120</v>
      </c>
      <c r="J1125" t="s">
        <v>115</v>
      </c>
      <c r="K1125">
        <v>0</v>
      </c>
      <c r="L1125">
        <v>3</v>
      </c>
      <c r="M1125">
        <v>0</v>
      </c>
      <c r="N1125">
        <v>2</v>
      </c>
      <c r="O1125">
        <v>1</v>
      </c>
      <c r="P1125">
        <v>0</v>
      </c>
      <c r="Q1125">
        <v>0</v>
      </c>
      <c r="S1125" t="str">
        <f>"18:41:46.727"</f>
        <v>18:41:46.727</v>
      </c>
      <c r="T1125" t="str">
        <f>"18:41:46.427"</f>
        <v>18:41:46.427</v>
      </c>
      <c r="U1125" t="str">
        <f t="shared" si="111"/>
        <v>AAB6EE</v>
      </c>
      <c r="V1125">
        <v>0</v>
      </c>
      <c r="W1125">
        <v>0</v>
      </c>
      <c r="X1125">
        <v>4</v>
      </c>
      <c r="Z1125">
        <v>0</v>
      </c>
      <c r="AA1125">
        <v>8</v>
      </c>
      <c r="AB1125">
        <v>3</v>
      </c>
      <c r="AC1125">
        <v>0</v>
      </c>
      <c r="AD1125">
        <v>10</v>
      </c>
      <c r="AE1125">
        <v>0</v>
      </c>
      <c r="AF1125">
        <v>0</v>
      </c>
      <c r="AG1125">
        <v>1</v>
      </c>
      <c r="AH1125">
        <v>1</v>
      </c>
      <c r="AI1125" t="s">
        <v>871</v>
      </c>
      <c r="AJ1125">
        <v>35.273944999999998</v>
      </c>
      <c r="AK1125" t="s">
        <v>872</v>
      </c>
      <c r="AL1125">
        <v>-76.224452999999997</v>
      </c>
      <c r="AM1125">
        <v>25</v>
      </c>
      <c r="AN1125">
        <v>3425</v>
      </c>
      <c r="AO1125" t="s">
        <v>118</v>
      </c>
      <c r="AP1125">
        <v>-195</v>
      </c>
      <c r="AQ1125">
        <v>-105</v>
      </c>
      <c r="AR1125">
        <v>64</v>
      </c>
      <c r="AZ1125">
        <v>4516</v>
      </c>
      <c r="BA1125">
        <v>1</v>
      </c>
      <c r="BB1125" t="str">
        <f t="shared" si="113"/>
        <v xml:space="preserve">N79NX   </v>
      </c>
      <c r="BC1125">
        <v>1</v>
      </c>
      <c r="BE1125">
        <v>0</v>
      </c>
      <c r="BF1125">
        <v>0</v>
      </c>
      <c r="BG1125">
        <v>0</v>
      </c>
      <c r="BH1125">
        <v>3275</v>
      </c>
      <c r="BI1125">
        <v>0</v>
      </c>
      <c r="BJ1125">
        <v>0</v>
      </c>
      <c r="BK1125">
        <v>0</v>
      </c>
      <c r="BL1125">
        <v>0</v>
      </c>
      <c r="BO1125">
        <v>0</v>
      </c>
      <c r="BP1125">
        <v>0</v>
      </c>
      <c r="BW1125" t="str">
        <f>"18:41:46.731"</f>
        <v>18:41:46.731</v>
      </c>
      <c r="BZ1125">
        <v>0</v>
      </c>
      <c r="CA1125">
        <v>4096</v>
      </c>
      <c r="CB1125">
        <v>216</v>
      </c>
      <c r="CC1125">
        <v>525.9375</v>
      </c>
      <c r="CD1125">
        <v>1</v>
      </c>
      <c r="CE1125">
        <v>1</v>
      </c>
      <c r="CF1125">
        <v>0</v>
      </c>
      <c r="CG1125">
        <v>1</v>
      </c>
      <c r="CH1125">
        <v>0</v>
      </c>
      <c r="CI1125">
        <v>1</v>
      </c>
      <c r="CJ1125">
        <v>0</v>
      </c>
      <c r="CK1125">
        <v>2</v>
      </c>
      <c r="CL1125">
        <v>0</v>
      </c>
      <c r="CM1125">
        <v>2</v>
      </c>
      <c r="CN1125">
        <v>0</v>
      </c>
      <c r="CO1125">
        <v>2</v>
      </c>
      <c r="CP1125" t="s">
        <v>119</v>
      </c>
      <c r="CQ1125">
        <v>145</v>
      </c>
      <c r="CR1125">
        <v>1</v>
      </c>
      <c r="CW1125">
        <v>9025560</v>
      </c>
      <c r="CY1125">
        <v>0</v>
      </c>
      <c r="CZ1125">
        <v>0</v>
      </c>
      <c r="DA1125">
        <v>1</v>
      </c>
      <c r="DB1125">
        <v>0</v>
      </c>
      <c r="DC1125">
        <v>0</v>
      </c>
      <c r="DD1125">
        <v>0</v>
      </c>
      <c r="DE1125">
        <v>0</v>
      </c>
      <c r="DF1125">
        <v>0</v>
      </c>
      <c r="DG1125">
        <v>0</v>
      </c>
      <c r="DH1125">
        <v>0</v>
      </c>
      <c r="DI1125">
        <v>0</v>
      </c>
    </row>
    <row r="1126" spans="1:113" x14ac:dyDescent="0.3">
      <c r="A1126" t="str">
        <f>"02/13/2022 18:41:47.096"</f>
        <v>02/13/2022 18:41:47.096</v>
      </c>
      <c r="C1126" t="str">
        <f t="shared" si="112"/>
        <v>FFDFD7C0</v>
      </c>
      <c r="D1126" t="s">
        <v>121</v>
      </c>
      <c r="E1126">
        <v>2</v>
      </c>
      <c r="H1126">
        <v>158</v>
      </c>
      <c r="I1126" t="s">
        <v>120</v>
      </c>
      <c r="J1126" t="s">
        <v>122</v>
      </c>
      <c r="K1126">
        <v>0</v>
      </c>
      <c r="L1126">
        <v>3</v>
      </c>
      <c r="M1126">
        <v>0</v>
      </c>
      <c r="N1126">
        <v>2</v>
      </c>
      <c r="O1126">
        <v>1</v>
      </c>
      <c r="P1126">
        <v>0</v>
      </c>
      <c r="Q1126">
        <v>0</v>
      </c>
      <c r="S1126" t="str">
        <f>"18:41:46.727"</f>
        <v>18:41:46.727</v>
      </c>
      <c r="T1126" t="str">
        <f>"18:41:46.427"</f>
        <v>18:41:46.427</v>
      </c>
      <c r="U1126" t="str">
        <f t="shared" si="111"/>
        <v>AAB6EE</v>
      </c>
      <c r="V1126">
        <v>0</v>
      </c>
      <c r="W1126">
        <v>0</v>
      </c>
      <c r="X1126">
        <v>4</v>
      </c>
      <c r="Z1126">
        <v>0</v>
      </c>
      <c r="AA1126">
        <v>8</v>
      </c>
      <c r="AB1126">
        <v>3</v>
      </c>
      <c r="AC1126">
        <v>0</v>
      </c>
      <c r="AD1126">
        <v>10</v>
      </c>
      <c r="AE1126">
        <v>0</v>
      </c>
      <c r="AF1126">
        <v>0</v>
      </c>
      <c r="AG1126">
        <v>1</v>
      </c>
      <c r="AH1126">
        <v>1</v>
      </c>
      <c r="AI1126" t="s">
        <v>871</v>
      </c>
      <c r="AJ1126">
        <v>35.273944999999998</v>
      </c>
      <c r="AK1126" t="s">
        <v>872</v>
      </c>
      <c r="AL1126">
        <v>-76.224452999999997</v>
      </c>
      <c r="AM1126">
        <v>25</v>
      </c>
      <c r="AN1126">
        <v>3425</v>
      </c>
      <c r="AO1126" t="s">
        <v>118</v>
      </c>
      <c r="AP1126">
        <v>-195</v>
      </c>
      <c r="AQ1126">
        <v>-105</v>
      </c>
      <c r="AR1126">
        <v>64</v>
      </c>
      <c r="AZ1126">
        <v>4516</v>
      </c>
      <c r="BA1126">
        <v>1</v>
      </c>
      <c r="BB1126" t="str">
        <f t="shared" si="113"/>
        <v xml:space="preserve">N79NX   </v>
      </c>
      <c r="BC1126">
        <v>1</v>
      </c>
      <c r="BE1126">
        <v>0</v>
      </c>
      <c r="BF1126">
        <v>0</v>
      </c>
      <c r="BG1126">
        <v>0</v>
      </c>
      <c r="BH1126">
        <v>3275</v>
      </c>
      <c r="BI1126">
        <v>0</v>
      </c>
      <c r="BJ1126">
        <v>0</v>
      </c>
      <c r="BK1126">
        <v>0</v>
      </c>
      <c r="BL1126">
        <v>0</v>
      </c>
      <c r="BO1126">
        <v>0</v>
      </c>
      <c r="BP1126">
        <v>0</v>
      </c>
      <c r="BW1126" t="str">
        <f>"18:41:46.731"</f>
        <v>18:41:46.731</v>
      </c>
      <c r="BZ1126">
        <v>0</v>
      </c>
      <c r="CA1126">
        <v>4096</v>
      </c>
      <c r="CB1126">
        <v>216</v>
      </c>
      <c r="CC1126">
        <v>525.9375</v>
      </c>
      <c r="CD1126">
        <v>1</v>
      </c>
      <c r="CE1126">
        <v>1</v>
      </c>
      <c r="CF1126">
        <v>0</v>
      </c>
      <c r="CG1126">
        <v>1</v>
      </c>
      <c r="CH1126">
        <v>0</v>
      </c>
      <c r="CI1126">
        <v>1</v>
      </c>
      <c r="CJ1126">
        <v>0</v>
      </c>
      <c r="CK1126">
        <v>2</v>
      </c>
      <c r="CL1126">
        <v>0</v>
      </c>
      <c r="CM1126">
        <v>2</v>
      </c>
      <c r="CN1126">
        <v>0</v>
      </c>
      <c r="CO1126">
        <v>2</v>
      </c>
      <c r="CP1126" t="s">
        <v>119</v>
      </c>
      <c r="CQ1126">
        <v>145</v>
      </c>
      <c r="CR1126">
        <v>1</v>
      </c>
      <c r="CW1126">
        <v>9025560</v>
      </c>
      <c r="CY1126">
        <v>0</v>
      </c>
      <c r="CZ1126">
        <v>0</v>
      </c>
      <c r="DA1126">
        <v>1</v>
      </c>
      <c r="DB1126">
        <v>0</v>
      </c>
      <c r="DC1126">
        <v>0</v>
      </c>
      <c r="DD1126">
        <v>0</v>
      </c>
      <c r="DE1126">
        <v>0</v>
      </c>
      <c r="DF1126">
        <v>0</v>
      </c>
      <c r="DG1126">
        <v>0</v>
      </c>
      <c r="DH1126">
        <v>0</v>
      </c>
      <c r="DI1126">
        <v>0</v>
      </c>
    </row>
    <row r="1127" spans="1:113" x14ac:dyDescent="0.3">
      <c r="A1127" t="str">
        <f>"02/13/2022 18:41:47.972"</f>
        <v>02/13/2022 18:41:47.972</v>
      </c>
      <c r="C1127" t="str">
        <f t="shared" si="112"/>
        <v>FFDFD7C0</v>
      </c>
      <c r="D1127" t="s">
        <v>121</v>
      </c>
      <c r="E1127">
        <v>2</v>
      </c>
      <c r="H1127">
        <v>158</v>
      </c>
      <c r="I1127" t="s">
        <v>120</v>
      </c>
      <c r="J1127" t="s">
        <v>122</v>
      </c>
      <c r="K1127">
        <v>0</v>
      </c>
      <c r="L1127">
        <v>3</v>
      </c>
      <c r="M1127">
        <v>0</v>
      </c>
      <c r="N1127">
        <v>2</v>
      </c>
      <c r="O1127">
        <v>1</v>
      </c>
      <c r="P1127">
        <v>0</v>
      </c>
      <c r="Q1127">
        <v>0</v>
      </c>
      <c r="S1127" t="str">
        <f>"18:41:47.750"</f>
        <v>18:41:47.750</v>
      </c>
      <c r="T1127" t="str">
        <f>"18:41:47.550"</f>
        <v>18:41:47.550</v>
      </c>
      <c r="U1127" t="str">
        <f t="shared" si="111"/>
        <v>AAB6EE</v>
      </c>
      <c r="V1127">
        <v>0</v>
      </c>
      <c r="W1127">
        <v>0</v>
      </c>
      <c r="X1127">
        <v>4</v>
      </c>
      <c r="Z1127">
        <v>0</v>
      </c>
      <c r="AA1127">
        <v>8</v>
      </c>
      <c r="AB1127">
        <v>3</v>
      </c>
      <c r="AC1127">
        <v>0</v>
      </c>
      <c r="AD1127">
        <v>10</v>
      </c>
      <c r="AE1127">
        <v>0</v>
      </c>
      <c r="AF1127">
        <v>0</v>
      </c>
      <c r="AG1127">
        <v>1</v>
      </c>
      <c r="AH1127">
        <v>1</v>
      </c>
      <c r="AI1127" t="s">
        <v>873</v>
      </c>
      <c r="AJ1127">
        <v>35.273429999999998</v>
      </c>
      <c r="AK1127" t="s">
        <v>874</v>
      </c>
      <c r="AL1127">
        <v>-76.225548000000003</v>
      </c>
      <c r="AM1127">
        <v>25</v>
      </c>
      <c r="AN1127">
        <v>3425</v>
      </c>
      <c r="AO1127" t="s">
        <v>118</v>
      </c>
      <c r="AP1127">
        <v>-191</v>
      </c>
      <c r="AQ1127">
        <v>-111</v>
      </c>
      <c r="AR1127">
        <v>64</v>
      </c>
      <c r="AZ1127">
        <v>4516</v>
      </c>
      <c r="BA1127">
        <v>1</v>
      </c>
      <c r="BB1127" t="str">
        <f t="shared" si="113"/>
        <v xml:space="preserve">N79NX   </v>
      </c>
      <c r="BC1127">
        <v>1</v>
      </c>
      <c r="BE1127">
        <v>0</v>
      </c>
      <c r="BF1127">
        <v>0</v>
      </c>
      <c r="BG1127">
        <v>0</v>
      </c>
      <c r="BH1127">
        <v>3275</v>
      </c>
      <c r="BI1127">
        <v>0</v>
      </c>
      <c r="BJ1127">
        <v>0</v>
      </c>
      <c r="BK1127">
        <v>0</v>
      </c>
      <c r="BL1127">
        <v>0</v>
      </c>
      <c r="BO1127">
        <v>0</v>
      </c>
      <c r="BP1127">
        <v>0</v>
      </c>
      <c r="BW1127" t="str">
        <f>"18:41:47.751"</f>
        <v>18:41:47.751</v>
      </c>
      <c r="BZ1127">
        <v>0</v>
      </c>
      <c r="CA1127">
        <v>4096</v>
      </c>
      <c r="CB1127">
        <v>216</v>
      </c>
      <c r="CC1127">
        <v>525.9375</v>
      </c>
      <c r="CD1127">
        <v>1</v>
      </c>
      <c r="CE1127">
        <v>1</v>
      </c>
      <c r="CF1127">
        <v>0</v>
      </c>
      <c r="CG1127">
        <v>1</v>
      </c>
      <c r="CH1127">
        <v>0</v>
      </c>
      <c r="CI1127">
        <v>1</v>
      </c>
      <c r="CJ1127">
        <v>0</v>
      </c>
      <c r="CK1127">
        <v>2</v>
      </c>
      <c r="CL1127">
        <v>0</v>
      </c>
      <c r="CM1127">
        <v>2</v>
      </c>
      <c r="CN1127">
        <v>0</v>
      </c>
      <c r="CO1127">
        <v>3</v>
      </c>
      <c r="CP1127" t="s">
        <v>119</v>
      </c>
      <c r="CQ1127">
        <v>145</v>
      </c>
      <c r="CR1127">
        <v>1</v>
      </c>
      <c r="CW1127">
        <v>9026033</v>
      </c>
      <c r="CY1127">
        <v>0</v>
      </c>
      <c r="CZ1127">
        <v>0</v>
      </c>
      <c r="DA1127">
        <v>0</v>
      </c>
      <c r="DB1127">
        <v>0</v>
      </c>
      <c r="DC1127">
        <v>0</v>
      </c>
      <c r="DD1127">
        <v>0</v>
      </c>
      <c r="DE1127">
        <v>0</v>
      </c>
      <c r="DF1127">
        <v>0</v>
      </c>
      <c r="DG1127">
        <v>0</v>
      </c>
      <c r="DH1127">
        <v>0</v>
      </c>
      <c r="DI1127">
        <v>0</v>
      </c>
    </row>
    <row r="1128" spans="1:113" x14ac:dyDescent="0.3">
      <c r="A1128" t="str">
        <f>"02/13/2022 18:41:47.972"</f>
        <v>02/13/2022 18:41:47.972</v>
      </c>
      <c r="C1128" t="str">
        <f t="shared" si="112"/>
        <v>FFDFD7C0</v>
      </c>
      <c r="D1128" t="s">
        <v>113</v>
      </c>
      <c r="E1128">
        <v>3</v>
      </c>
      <c r="F1128">
        <v>1003</v>
      </c>
      <c r="G1128" t="s">
        <v>114</v>
      </c>
      <c r="J1128" t="s">
        <v>115</v>
      </c>
      <c r="K1128">
        <v>0</v>
      </c>
      <c r="L1128">
        <v>3</v>
      </c>
      <c r="M1128">
        <v>0</v>
      </c>
      <c r="N1128">
        <v>2</v>
      </c>
      <c r="O1128">
        <v>1</v>
      </c>
      <c r="P1128">
        <v>0</v>
      </c>
      <c r="Q1128">
        <v>0</v>
      </c>
      <c r="S1128" t="str">
        <f>"18:41:47.750"</f>
        <v>18:41:47.750</v>
      </c>
      <c r="T1128" t="str">
        <f>"18:41:47.550"</f>
        <v>18:41:47.550</v>
      </c>
      <c r="U1128" t="str">
        <f t="shared" si="111"/>
        <v>AAB6EE</v>
      </c>
      <c r="V1128">
        <v>0</v>
      </c>
      <c r="W1128">
        <v>0</v>
      </c>
      <c r="X1128">
        <v>4</v>
      </c>
      <c r="Z1128">
        <v>0</v>
      </c>
      <c r="AA1128">
        <v>8</v>
      </c>
      <c r="AB1128">
        <v>3</v>
      </c>
      <c r="AC1128">
        <v>0</v>
      </c>
      <c r="AD1128">
        <v>10</v>
      </c>
      <c r="AE1128">
        <v>0</v>
      </c>
      <c r="AF1128">
        <v>0</v>
      </c>
      <c r="AG1128">
        <v>1</v>
      </c>
      <c r="AH1128">
        <v>1</v>
      </c>
      <c r="AI1128" t="s">
        <v>873</v>
      </c>
      <c r="AJ1128">
        <v>35.273429999999998</v>
      </c>
      <c r="AK1128" t="s">
        <v>874</v>
      </c>
      <c r="AL1128">
        <v>-76.225548000000003</v>
      </c>
      <c r="AM1128">
        <v>25</v>
      </c>
      <c r="AN1128">
        <v>3425</v>
      </c>
      <c r="AO1128" t="s">
        <v>118</v>
      </c>
      <c r="AP1128">
        <v>-191</v>
      </c>
      <c r="AQ1128">
        <v>-111</v>
      </c>
      <c r="AR1128">
        <v>64</v>
      </c>
      <c r="AZ1128">
        <v>4516</v>
      </c>
      <c r="BA1128">
        <v>1</v>
      </c>
      <c r="BB1128" t="str">
        <f t="shared" si="113"/>
        <v xml:space="preserve">N79NX   </v>
      </c>
      <c r="BC1128">
        <v>1</v>
      </c>
      <c r="BE1128">
        <v>0</v>
      </c>
      <c r="BF1128">
        <v>0</v>
      </c>
      <c r="BG1128">
        <v>0</v>
      </c>
      <c r="BH1128">
        <v>3275</v>
      </c>
      <c r="BI1128">
        <v>0</v>
      </c>
      <c r="BJ1128">
        <v>0</v>
      </c>
      <c r="BK1128">
        <v>0</v>
      </c>
      <c r="BL1128">
        <v>0</v>
      </c>
      <c r="BO1128">
        <v>0</v>
      </c>
      <c r="BP1128">
        <v>0</v>
      </c>
      <c r="BW1128" t="str">
        <f>"18:41:47.751"</f>
        <v>18:41:47.751</v>
      </c>
      <c r="BZ1128">
        <v>0</v>
      </c>
      <c r="CA1128">
        <v>4096</v>
      </c>
      <c r="CB1128">
        <v>216</v>
      </c>
      <c r="CC1128">
        <v>525.9375</v>
      </c>
      <c r="CD1128">
        <v>1</v>
      </c>
      <c r="CE1128">
        <v>1</v>
      </c>
      <c r="CF1128">
        <v>0</v>
      </c>
      <c r="CG1128">
        <v>1</v>
      </c>
      <c r="CH1128">
        <v>0</v>
      </c>
      <c r="CI1128">
        <v>1</v>
      </c>
      <c r="CJ1128">
        <v>0</v>
      </c>
      <c r="CK1128">
        <v>2</v>
      </c>
      <c r="CL1128">
        <v>0</v>
      </c>
      <c r="CM1128">
        <v>2</v>
      </c>
      <c r="CN1128">
        <v>0</v>
      </c>
      <c r="CO1128">
        <v>3</v>
      </c>
      <c r="CP1128" t="s">
        <v>119</v>
      </c>
      <c r="CQ1128">
        <v>145</v>
      </c>
      <c r="CR1128">
        <v>1</v>
      </c>
      <c r="CW1128">
        <v>9026033</v>
      </c>
      <c r="CY1128">
        <v>0</v>
      </c>
      <c r="CZ1128">
        <v>0</v>
      </c>
      <c r="DA1128">
        <v>1</v>
      </c>
      <c r="DB1128">
        <v>0</v>
      </c>
      <c r="DC1128">
        <v>0</v>
      </c>
      <c r="DD1128">
        <v>0</v>
      </c>
      <c r="DE1128">
        <v>0</v>
      </c>
      <c r="DF1128">
        <v>0</v>
      </c>
      <c r="DG1128">
        <v>0</v>
      </c>
      <c r="DH1128">
        <v>0</v>
      </c>
      <c r="DI1128">
        <v>0</v>
      </c>
    </row>
    <row r="1129" spans="1:113" x14ac:dyDescent="0.3">
      <c r="A1129" t="str">
        <f>"02/13/2022 18:41:47.972"</f>
        <v>02/13/2022 18:41:47.972</v>
      </c>
      <c r="C1129" t="str">
        <f t="shared" si="112"/>
        <v>FFDFD7C0</v>
      </c>
      <c r="D1129" t="s">
        <v>113</v>
      </c>
      <c r="E1129">
        <v>4</v>
      </c>
      <c r="F1129">
        <v>1004</v>
      </c>
      <c r="G1129" t="s">
        <v>120</v>
      </c>
      <c r="J1129" t="s">
        <v>115</v>
      </c>
      <c r="K1129">
        <v>0</v>
      </c>
      <c r="L1129">
        <v>3</v>
      </c>
      <c r="M1129">
        <v>0</v>
      </c>
      <c r="N1129">
        <v>2</v>
      </c>
      <c r="O1129">
        <v>1</v>
      </c>
      <c r="P1129">
        <v>0</v>
      </c>
      <c r="Q1129">
        <v>0</v>
      </c>
      <c r="S1129" t="str">
        <f>"18:41:47.750"</f>
        <v>18:41:47.750</v>
      </c>
      <c r="T1129" t="str">
        <f>"18:41:47.550"</f>
        <v>18:41:47.550</v>
      </c>
      <c r="U1129" t="str">
        <f t="shared" si="111"/>
        <v>AAB6EE</v>
      </c>
      <c r="V1129">
        <v>0</v>
      </c>
      <c r="W1129">
        <v>0</v>
      </c>
      <c r="X1129">
        <v>4</v>
      </c>
      <c r="Z1129">
        <v>0</v>
      </c>
      <c r="AA1129">
        <v>8</v>
      </c>
      <c r="AB1129">
        <v>3</v>
      </c>
      <c r="AC1129">
        <v>0</v>
      </c>
      <c r="AD1129">
        <v>10</v>
      </c>
      <c r="AE1129">
        <v>0</v>
      </c>
      <c r="AF1129">
        <v>0</v>
      </c>
      <c r="AG1129">
        <v>1</v>
      </c>
      <c r="AH1129">
        <v>1</v>
      </c>
      <c r="AI1129" t="s">
        <v>873</v>
      </c>
      <c r="AJ1129">
        <v>35.273429999999998</v>
      </c>
      <c r="AK1129" t="s">
        <v>874</v>
      </c>
      <c r="AL1129">
        <v>-76.225548000000003</v>
      </c>
      <c r="AM1129">
        <v>25</v>
      </c>
      <c r="AN1129">
        <v>3425</v>
      </c>
      <c r="AO1129" t="s">
        <v>118</v>
      </c>
      <c r="AP1129">
        <v>-191</v>
      </c>
      <c r="AQ1129">
        <v>-111</v>
      </c>
      <c r="AR1129">
        <v>64</v>
      </c>
      <c r="AZ1129">
        <v>4516</v>
      </c>
      <c r="BA1129">
        <v>1</v>
      </c>
      <c r="BB1129" t="str">
        <f t="shared" si="113"/>
        <v xml:space="preserve">N79NX   </v>
      </c>
      <c r="BC1129">
        <v>1</v>
      </c>
      <c r="BE1129">
        <v>0</v>
      </c>
      <c r="BF1129">
        <v>0</v>
      </c>
      <c r="BG1129">
        <v>0</v>
      </c>
      <c r="BH1129">
        <v>3275</v>
      </c>
      <c r="BI1129">
        <v>0</v>
      </c>
      <c r="BJ1129">
        <v>0</v>
      </c>
      <c r="BK1129">
        <v>0</v>
      </c>
      <c r="BL1129">
        <v>0</v>
      </c>
      <c r="BO1129">
        <v>0</v>
      </c>
      <c r="BP1129">
        <v>0</v>
      </c>
      <c r="BW1129" t="str">
        <f>"18:41:47.751"</f>
        <v>18:41:47.751</v>
      </c>
      <c r="BZ1129">
        <v>0</v>
      </c>
      <c r="CA1129">
        <v>4096</v>
      </c>
      <c r="CB1129">
        <v>216</v>
      </c>
      <c r="CC1129">
        <v>525.9375</v>
      </c>
      <c r="CD1129">
        <v>1</v>
      </c>
      <c r="CE1129">
        <v>1</v>
      </c>
      <c r="CF1129">
        <v>0</v>
      </c>
      <c r="CG1129">
        <v>1</v>
      </c>
      <c r="CH1129">
        <v>0</v>
      </c>
      <c r="CI1129">
        <v>1</v>
      </c>
      <c r="CJ1129">
        <v>0</v>
      </c>
      <c r="CK1129">
        <v>2</v>
      </c>
      <c r="CL1129">
        <v>0</v>
      </c>
      <c r="CM1129">
        <v>2</v>
      </c>
      <c r="CN1129">
        <v>0</v>
      </c>
      <c r="CO1129">
        <v>3</v>
      </c>
      <c r="CP1129" t="s">
        <v>119</v>
      </c>
      <c r="CQ1129">
        <v>145</v>
      </c>
      <c r="CR1129">
        <v>1</v>
      </c>
      <c r="CW1129">
        <v>9026033</v>
      </c>
      <c r="CY1129">
        <v>0</v>
      </c>
      <c r="CZ1129">
        <v>0</v>
      </c>
      <c r="DA1129">
        <v>1</v>
      </c>
      <c r="DB1129">
        <v>0</v>
      </c>
      <c r="DC1129">
        <v>0</v>
      </c>
      <c r="DD1129">
        <v>0</v>
      </c>
      <c r="DE1129">
        <v>0</v>
      </c>
      <c r="DF1129">
        <v>0</v>
      </c>
      <c r="DG1129">
        <v>0</v>
      </c>
      <c r="DH1129">
        <v>0</v>
      </c>
      <c r="DI1129">
        <v>0</v>
      </c>
    </row>
    <row r="1130" spans="1:113" x14ac:dyDescent="0.3">
      <c r="A1130" t="str">
        <f>"02/13/2022 18:41:48.847"</f>
        <v>02/13/2022 18:41:48.847</v>
      </c>
      <c r="C1130" t="str">
        <f t="shared" si="112"/>
        <v>FFDFD7C0</v>
      </c>
      <c r="D1130" t="s">
        <v>113</v>
      </c>
      <c r="E1130">
        <v>3</v>
      </c>
      <c r="F1130">
        <v>1003</v>
      </c>
      <c r="G1130" t="s">
        <v>114</v>
      </c>
      <c r="J1130" t="s">
        <v>115</v>
      </c>
      <c r="K1130">
        <v>0</v>
      </c>
      <c r="L1130">
        <v>3</v>
      </c>
      <c r="M1130">
        <v>0</v>
      </c>
      <c r="N1130">
        <v>2</v>
      </c>
      <c r="O1130">
        <v>1</v>
      </c>
      <c r="P1130">
        <v>0</v>
      </c>
      <c r="Q1130">
        <v>0</v>
      </c>
      <c r="S1130" t="str">
        <f>"18:41:48.617"</f>
        <v>18:41:48.617</v>
      </c>
      <c r="T1130" t="str">
        <f>"18:41:48.117"</f>
        <v>18:41:48.117</v>
      </c>
      <c r="U1130" t="str">
        <f t="shared" si="111"/>
        <v>AAB6EE</v>
      </c>
      <c r="V1130">
        <v>0</v>
      </c>
      <c r="W1130">
        <v>0</v>
      </c>
      <c r="X1130">
        <v>4</v>
      </c>
      <c r="Z1130">
        <v>0</v>
      </c>
      <c r="AA1130">
        <v>8</v>
      </c>
      <c r="AB1130">
        <v>3</v>
      </c>
      <c r="AC1130">
        <v>0</v>
      </c>
      <c r="AD1130">
        <v>10</v>
      </c>
      <c r="AE1130">
        <v>0</v>
      </c>
      <c r="AF1130">
        <v>0</v>
      </c>
      <c r="AG1130">
        <v>1</v>
      </c>
      <c r="AH1130">
        <v>1</v>
      </c>
      <c r="AI1130" t="s">
        <v>875</v>
      </c>
      <c r="AJ1130">
        <v>35.272958000000003</v>
      </c>
      <c r="AK1130" t="s">
        <v>876</v>
      </c>
      <c r="AL1130">
        <v>-76.226534999999998</v>
      </c>
      <c r="AM1130">
        <v>25</v>
      </c>
      <c r="AN1130">
        <v>3425</v>
      </c>
      <c r="AO1130" t="s">
        <v>118</v>
      </c>
      <c r="AP1130">
        <v>-189</v>
      </c>
      <c r="AQ1130">
        <v>-115</v>
      </c>
      <c r="AR1130">
        <v>64</v>
      </c>
      <c r="AZ1130">
        <v>4516</v>
      </c>
      <c r="BA1130">
        <v>1</v>
      </c>
      <c r="BB1130" t="str">
        <f t="shared" si="113"/>
        <v xml:space="preserve">N79NX   </v>
      </c>
      <c r="BC1130">
        <v>1</v>
      </c>
      <c r="BE1130">
        <v>0</v>
      </c>
      <c r="BF1130">
        <v>0</v>
      </c>
      <c r="BG1130">
        <v>0</v>
      </c>
      <c r="BH1130">
        <v>3275</v>
      </c>
      <c r="BI1130">
        <v>0</v>
      </c>
      <c r="BJ1130">
        <v>0</v>
      </c>
      <c r="BK1130">
        <v>0</v>
      </c>
      <c r="BL1130">
        <v>0</v>
      </c>
      <c r="BO1130">
        <v>0</v>
      </c>
      <c r="BP1130">
        <v>0</v>
      </c>
      <c r="BW1130" t="str">
        <f>"18:41:48.621"</f>
        <v>18:41:48.621</v>
      </c>
      <c r="BZ1130">
        <v>0</v>
      </c>
      <c r="CA1130">
        <v>4096</v>
      </c>
      <c r="CB1130">
        <v>216</v>
      </c>
      <c r="CC1130">
        <v>576.5625</v>
      </c>
      <c r="CD1130">
        <v>1</v>
      </c>
      <c r="CE1130">
        <v>1</v>
      </c>
      <c r="CF1130">
        <v>0</v>
      </c>
      <c r="CG1130">
        <v>1</v>
      </c>
      <c r="CH1130">
        <v>0</v>
      </c>
      <c r="CI1130">
        <v>1</v>
      </c>
      <c r="CJ1130">
        <v>0</v>
      </c>
      <c r="CK1130">
        <v>2</v>
      </c>
      <c r="CL1130">
        <v>0</v>
      </c>
      <c r="CM1130">
        <v>2</v>
      </c>
      <c r="CN1130">
        <v>0</v>
      </c>
      <c r="CO1130">
        <v>4</v>
      </c>
      <c r="CP1130" t="s">
        <v>119</v>
      </c>
      <c r="CQ1130">
        <v>145</v>
      </c>
      <c r="CR1130">
        <v>1</v>
      </c>
      <c r="CW1130">
        <v>9026445</v>
      </c>
      <c r="CY1130">
        <v>0</v>
      </c>
      <c r="CZ1130">
        <v>0</v>
      </c>
      <c r="DA1130">
        <v>0</v>
      </c>
      <c r="DB1130">
        <v>0</v>
      </c>
      <c r="DC1130">
        <v>0</v>
      </c>
      <c r="DD1130">
        <v>0</v>
      </c>
      <c r="DE1130">
        <v>0</v>
      </c>
      <c r="DF1130">
        <v>0</v>
      </c>
      <c r="DG1130">
        <v>0</v>
      </c>
      <c r="DH1130">
        <v>0</v>
      </c>
      <c r="DI1130">
        <v>0</v>
      </c>
    </row>
    <row r="1131" spans="1:113" x14ac:dyDescent="0.3">
      <c r="A1131" t="str">
        <f>"02/13/2022 18:41:48.847"</f>
        <v>02/13/2022 18:41:48.847</v>
      </c>
      <c r="C1131" t="str">
        <f t="shared" si="112"/>
        <v>FFDFD7C0</v>
      </c>
      <c r="D1131" t="s">
        <v>113</v>
      </c>
      <c r="E1131">
        <v>4</v>
      </c>
      <c r="F1131">
        <v>1004</v>
      </c>
      <c r="G1131" t="s">
        <v>120</v>
      </c>
      <c r="J1131" t="s">
        <v>115</v>
      </c>
      <c r="K1131">
        <v>0</v>
      </c>
      <c r="L1131">
        <v>3</v>
      </c>
      <c r="M1131">
        <v>0</v>
      </c>
      <c r="N1131">
        <v>2</v>
      </c>
      <c r="O1131">
        <v>1</v>
      </c>
      <c r="P1131">
        <v>0</v>
      </c>
      <c r="Q1131">
        <v>0</v>
      </c>
      <c r="S1131" t="str">
        <f>"18:41:48.617"</f>
        <v>18:41:48.617</v>
      </c>
      <c r="T1131" t="str">
        <f>"18:41:48.117"</f>
        <v>18:41:48.117</v>
      </c>
      <c r="U1131" t="str">
        <f t="shared" si="111"/>
        <v>AAB6EE</v>
      </c>
      <c r="V1131">
        <v>0</v>
      </c>
      <c r="W1131">
        <v>0</v>
      </c>
      <c r="X1131">
        <v>4</v>
      </c>
      <c r="Z1131">
        <v>0</v>
      </c>
      <c r="AA1131">
        <v>8</v>
      </c>
      <c r="AB1131">
        <v>3</v>
      </c>
      <c r="AC1131">
        <v>0</v>
      </c>
      <c r="AD1131">
        <v>10</v>
      </c>
      <c r="AE1131">
        <v>0</v>
      </c>
      <c r="AF1131">
        <v>0</v>
      </c>
      <c r="AG1131">
        <v>1</v>
      </c>
      <c r="AH1131">
        <v>1</v>
      </c>
      <c r="AI1131" t="s">
        <v>875</v>
      </c>
      <c r="AJ1131">
        <v>35.272958000000003</v>
      </c>
      <c r="AK1131" t="s">
        <v>876</v>
      </c>
      <c r="AL1131">
        <v>-76.226534999999998</v>
      </c>
      <c r="AM1131">
        <v>25</v>
      </c>
      <c r="AN1131">
        <v>3425</v>
      </c>
      <c r="AO1131" t="s">
        <v>118</v>
      </c>
      <c r="AP1131">
        <v>-189</v>
      </c>
      <c r="AQ1131">
        <v>-115</v>
      </c>
      <c r="AR1131">
        <v>64</v>
      </c>
      <c r="AZ1131">
        <v>4516</v>
      </c>
      <c r="BA1131">
        <v>1</v>
      </c>
      <c r="BB1131" t="str">
        <f t="shared" si="113"/>
        <v xml:space="preserve">N79NX   </v>
      </c>
      <c r="BC1131">
        <v>1</v>
      </c>
      <c r="BE1131">
        <v>0</v>
      </c>
      <c r="BF1131">
        <v>0</v>
      </c>
      <c r="BG1131">
        <v>0</v>
      </c>
      <c r="BH1131">
        <v>3275</v>
      </c>
      <c r="BI1131">
        <v>0</v>
      </c>
      <c r="BJ1131">
        <v>0</v>
      </c>
      <c r="BK1131">
        <v>0</v>
      </c>
      <c r="BL1131">
        <v>0</v>
      </c>
      <c r="BO1131">
        <v>0</v>
      </c>
      <c r="BP1131">
        <v>0</v>
      </c>
      <c r="BW1131" t="str">
        <f>"18:41:48.621"</f>
        <v>18:41:48.621</v>
      </c>
      <c r="BZ1131">
        <v>0</v>
      </c>
      <c r="CA1131">
        <v>4096</v>
      </c>
      <c r="CB1131">
        <v>216</v>
      </c>
      <c r="CC1131">
        <v>576.5625</v>
      </c>
      <c r="CD1131">
        <v>1</v>
      </c>
      <c r="CE1131">
        <v>1</v>
      </c>
      <c r="CF1131">
        <v>0</v>
      </c>
      <c r="CG1131">
        <v>1</v>
      </c>
      <c r="CH1131">
        <v>0</v>
      </c>
      <c r="CI1131">
        <v>1</v>
      </c>
      <c r="CJ1131">
        <v>0</v>
      </c>
      <c r="CK1131">
        <v>2</v>
      </c>
      <c r="CL1131">
        <v>0</v>
      </c>
      <c r="CM1131">
        <v>2</v>
      </c>
      <c r="CN1131">
        <v>0</v>
      </c>
      <c r="CO1131">
        <v>4</v>
      </c>
      <c r="CP1131" t="s">
        <v>119</v>
      </c>
      <c r="CQ1131">
        <v>145</v>
      </c>
      <c r="CR1131">
        <v>1</v>
      </c>
      <c r="CW1131">
        <v>9026445</v>
      </c>
      <c r="CY1131">
        <v>0</v>
      </c>
      <c r="CZ1131">
        <v>0</v>
      </c>
      <c r="DA1131">
        <v>1</v>
      </c>
      <c r="DB1131">
        <v>0</v>
      </c>
      <c r="DC1131">
        <v>0</v>
      </c>
      <c r="DD1131">
        <v>0</v>
      </c>
      <c r="DE1131">
        <v>0</v>
      </c>
      <c r="DF1131">
        <v>0</v>
      </c>
      <c r="DG1131">
        <v>0</v>
      </c>
      <c r="DH1131">
        <v>0</v>
      </c>
      <c r="DI1131">
        <v>0</v>
      </c>
    </row>
    <row r="1132" spans="1:113" x14ac:dyDescent="0.3">
      <c r="A1132" t="str">
        <f>"02/13/2022 18:41:48.847"</f>
        <v>02/13/2022 18:41:48.847</v>
      </c>
      <c r="C1132" t="str">
        <f t="shared" si="112"/>
        <v>FFDFD7C0</v>
      </c>
      <c r="D1132" t="s">
        <v>121</v>
      </c>
      <c r="E1132">
        <v>2</v>
      </c>
      <c r="H1132">
        <v>158</v>
      </c>
      <c r="I1132" t="s">
        <v>120</v>
      </c>
      <c r="J1132" t="s">
        <v>122</v>
      </c>
      <c r="K1132">
        <v>0</v>
      </c>
      <c r="L1132">
        <v>3</v>
      </c>
      <c r="M1132">
        <v>0</v>
      </c>
      <c r="N1132">
        <v>2</v>
      </c>
      <c r="O1132">
        <v>1</v>
      </c>
      <c r="P1132">
        <v>0</v>
      </c>
      <c r="Q1132">
        <v>0</v>
      </c>
      <c r="S1132" t="str">
        <f>"18:41:48.617"</f>
        <v>18:41:48.617</v>
      </c>
      <c r="T1132" t="str">
        <f>"18:41:48.117"</f>
        <v>18:41:48.117</v>
      </c>
      <c r="U1132" t="str">
        <f t="shared" si="111"/>
        <v>AAB6EE</v>
      </c>
      <c r="V1132">
        <v>0</v>
      </c>
      <c r="W1132">
        <v>0</v>
      </c>
      <c r="X1132">
        <v>4</v>
      </c>
      <c r="Z1132">
        <v>0</v>
      </c>
      <c r="AA1132">
        <v>8</v>
      </c>
      <c r="AB1132">
        <v>3</v>
      </c>
      <c r="AC1132">
        <v>0</v>
      </c>
      <c r="AD1132">
        <v>10</v>
      </c>
      <c r="AE1132">
        <v>0</v>
      </c>
      <c r="AF1132">
        <v>0</v>
      </c>
      <c r="AG1132">
        <v>1</v>
      </c>
      <c r="AH1132">
        <v>1</v>
      </c>
      <c r="AI1132" t="s">
        <v>875</v>
      </c>
      <c r="AJ1132">
        <v>35.272958000000003</v>
      </c>
      <c r="AK1132" t="s">
        <v>876</v>
      </c>
      <c r="AL1132">
        <v>-76.226534999999998</v>
      </c>
      <c r="AM1132">
        <v>25</v>
      </c>
      <c r="AN1132">
        <v>3425</v>
      </c>
      <c r="AO1132" t="s">
        <v>118</v>
      </c>
      <c r="AP1132">
        <v>-189</v>
      </c>
      <c r="AQ1132">
        <v>-115</v>
      </c>
      <c r="AR1132">
        <v>64</v>
      </c>
      <c r="AZ1132">
        <v>4516</v>
      </c>
      <c r="BA1132">
        <v>1</v>
      </c>
      <c r="BB1132" t="str">
        <f t="shared" si="113"/>
        <v xml:space="preserve">N79NX   </v>
      </c>
      <c r="BC1132">
        <v>1</v>
      </c>
      <c r="BE1132">
        <v>0</v>
      </c>
      <c r="BF1132">
        <v>0</v>
      </c>
      <c r="BG1132">
        <v>0</v>
      </c>
      <c r="BH1132">
        <v>3275</v>
      </c>
      <c r="BI1132">
        <v>0</v>
      </c>
      <c r="BJ1132">
        <v>0</v>
      </c>
      <c r="BK1132">
        <v>0</v>
      </c>
      <c r="BL1132">
        <v>0</v>
      </c>
      <c r="BO1132">
        <v>0</v>
      </c>
      <c r="BP1132">
        <v>0</v>
      </c>
      <c r="BW1132" t="str">
        <f>"18:41:48.621"</f>
        <v>18:41:48.621</v>
      </c>
      <c r="BZ1132">
        <v>0</v>
      </c>
      <c r="CA1132">
        <v>4096</v>
      </c>
      <c r="CB1132">
        <v>216</v>
      </c>
      <c r="CC1132">
        <v>576.5625</v>
      </c>
      <c r="CD1132">
        <v>1</v>
      </c>
      <c r="CE1132">
        <v>1</v>
      </c>
      <c r="CF1132">
        <v>0</v>
      </c>
      <c r="CG1132">
        <v>1</v>
      </c>
      <c r="CH1132">
        <v>0</v>
      </c>
      <c r="CI1132">
        <v>1</v>
      </c>
      <c r="CJ1132">
        <v>0</v>
      </c>
      <c r="CK1132">
        <v>2</v>
      </c>
      <c r="CL1132">
        <v>0</v>
      </c>
      <c r="CM1132">
        <v>2</v>
      </c>
      <c r="CN1132">
        <v>0</v>
      </c>
      <c r="CO1132">
        <v>4</v>
      </c>
      <c r="CP1132" t="s">
        <v>119</v>
      </c>
      <c r="CQ1132">
        <v>145</v>
      </c>
      <c r="CR1132">
        <v>1</v>
      </c>
      <c r="CW1132">
        <v>9026445</v>
      </c>
      <c r="CY1132">
        <v>0</v>
      </c>
      <c r="CZ1132">
        <v>0</v>
      </c>
      <c r="DA1132">
        <v>1</v>
      </c>
      <c r="DB1132">
        <v>0</v>
      </c>
      <c r="DC1132">
        <v>0</v>
      </c>
      <c r="DD1132">
        <v>0</v>
      </c>
      <c r="DE1132">
        <v>0</v>
      </c>
      <c r="DF1132">
        <v>0</v>
      </c>
      <c r="DG1132">
        <v>0</v>
      </c>
      <c r="DH1132">
        <v>0</v>
      </c>
      <c r="DI1132">
        <v>0</v>
      </c>
    </row>
    <row r="1133" spans="1:113" x14ac:dyDescent="0.3">
      <c r="A1133" t="str">
        <f>"02/13/2022 18:41:49.786"</f>
        <v>02/13/2022 18:41:49.786</v>
      </c>
      <c r="C1133" t="str">
        <f t="shared" si="112"/>
        <v>FFDFD7C0</v>
      </c>
      <c r="D1133" t="s">
        <v>113</v>
      </c>
      <c r="E1133">
        <v>3</v>
      </c>
      <c r="F1133">
        <v>1003</v>
      </c>
      <c r="G1133" t="s">
        <v>114</v>
      </c>
      <c r="J1133" t="s">
        <v>115</v>
      </c>
      <c r="K1133">
        <v>0</v>
      </c>
      <c r="L1133">
        <v>3</v>
      </c>
      <c r="M1133">
        <v>0</v>
      </c>
      <c r="N1133">
        <v>2</v>
      </c>
      <c r="O1133">
        <v>1</v>
      </c>
      <c r="P1133">
        <v>0</v>
      </c>
      <c r="Q1133">
        <v>0</v>
      </c>
      <c r="S1133" t="str">
        <f>"18:41:49.547"</f>
        <v>18:41:49.547</v>
      </c>
      <c r="T1133" t="str">
        <f>"18:41:49.247"</f>
        <v>18:41:49.247</v>
      </c>
      <c r="U1133" t="str">
        <f t="shared" si="111"/>
        <v>AAB6EE</v>
      </c>
      <c r="V1133">
        <v>0</v>
      </c>
      <c r="W1133">
        <v>0</v>
      </c>
      <c r="X1133">
        <v>4</v>
      </c>
      <c r="Z1133">
        <v>0</v>
      </c>
      <c r="AA1133">
        <v>8</v>
      </c>
      <c r="AB1133">
        <v>3</v>
      </c>
      <c r="AC1133">
        <v>0</v>
      </c>
      <c r="AD1133">
        <v>10</v>
      </c>
      <c r="AE1133">
        <v>0</v>
      </c>
      <c r="AF1133">
        <v>0</v>
      </c>
      <c r="AG1133">
        <v>1</v>
      </c>
      <c r="AH1133">
        <v>1</v>
      </c>
      <c r="AI1133" t="s">
        <v>877</v>
      </c>
      <c r="AJ1133">
        <v>35.272421999999999</v>
      </c>
      <c r="AK1133" t="s">
        <v>878</v>
      </c>
      <c r="AL1133">
        <v>-76.227435999999997</v>
      </c>
      <c r="AM1133">
        <v>25</v>
      </c>
      <c r="AN1133">
        <v>3425</v>
      </c>
      <c r="AO1133" t="s">
        <v>118</v>
      </c>
      <c r="AP1133">
        <v>-185</v>
      </c>
      <c r="AQ1133">
        <v>-120</v>
      </c>
      <c r="AR1133">
        <v>64</v>
      </c>
      <c r="AZ1133">
        <v>4516</v>
      </c>
      <c r="BA1133">
        <v>1</v>
      </c>
      <c r="BB1133" t="str">
        <f t="shared" si="113"/>
        <v xml:space="preserve">N79NX   </v>
      </c>
      <c r="BC1133">
        <v>1</v>
      </c>
      <c r="BE1133">
        <v>0</v>
      </c>
      <c r="BF1133">
        <v>0</v>
      </c>
      <c r="BG1133">
        <v>0</v>
      </c>
      <c r="BH1133">
        <v>3275</v>
      </c>
      <c r="BI1133">
        <v>0</v>
      </c>
      <c r="BJ1133">
        <v>0</v>
      </c>
      <c r="BK1133">
        <v>0</v>
      </c>
      <c r="BL1133">
        <v>0</v>
      </c>
      <c r="BO1133">
        <v>0</v>
      </c>
      <c r="BP1133">
        <v>0</v>
      </c>
      <c r="BW1133" t="str">
        <f>"18:41:49.551"</f>
        <v>18:41:49.551</v>
      </c>
      <c r="BZ1133">
        <v>0</v>
      </c>
      <c r="CA1133">
        <v>4096</v>
      </c>
      <c r="CB1133">
        <v>216</v>
      </c>
      <c r="CC1133">
        <v>576.5625</v>
      </c>
      <c r="CD1133">
        <v>1</v>
      </c>
      <c r="CE1133">
        <v>1</v>
      </c>
      <c r="CF1133">
        <v>0</v>
      </c>
      <c r="CG1133">
        <v>1</v>
      </c>
      <c r="CH1133">
        <v>0</v>
      </c>
      <c r="CI1133">
        <v>1</v>
      </c>
      <c r="CJ1133">
        <v>0</v>
      </c>
      <c r="CK1133">
        <v>2</v>
      </c>
      <c r="CL1133">
        <v>0</v>
      </c>
      <c r="CM1133">
        <v>2</v>
      </c>
      <c r="CN1133">
        <v>0</v>
      </c>
      <c r="CO1133">
        <v>3</v>
      </c>
      <c r="CP1133" t="s">
        <v>119</v>
      </c>
      <c r="CQ1133">
        <v>145</v>
      </c>
      <c r="CR1133">
        <v>1</v>
      </c>
      <c r="CW1133">
        <v>9026850</v>
      </c>
      <c r="CY1133">
        <v>0</v>
      </c>
      <c r="CZ1133">
        <v>0</v>
      </c>
      <c r="DA1133">
        <v>0</v>
      </c>
      <c r="DB1133">
        <v>0</v>
      </c>
      <c r="DC1133">
        <v>0</v>
      </c>
      <c r="DD1133">
        <v>0</v>
      </c>
      <c r="DE1133">
        <v>0</v>
      </c>
      <c r="DF1133">
        <v>0</v>
      </c>
      <c r="DG1133">
        <v>0</v>
      </c>
      <c r="DH1133">
        <v>0</v>
      </c>
      <c r="DI1133">
        <v>0</v>
      </c>
    </row>
    <row r="1134" spans="1:113" x14ac:dyDescent="0.3">
      <c r="A1134" t="str">
        <f>"02/13/2022 18:41:49.786"</f>
        <v>02/13/2022 18:41:49.786</v>
      </c>
      <c r="C1134" t="str">
        <f t="shared" si="112"/>
        <v>FFDFD7C0</v>
      </c>
      <c r="D1134" t="s">
        <v>113</v>
      </c>
      <c r="E1134">
        <v>4</v>
      </c>
      <c r="F1134">
        <v>1004</v>
      </c>
      <c r="G1134" t="s">
        <v>120</v>
      </c>
      <c r="J1134" t="s">
        <v>115</v>
      </c>
      <c r="K1134">
        <v>0</v>
      </c>
      <c r="L1134">
        <v>3</v>
      </c>
      <c r="M1134">
        <v>0</v>
      </c>
      <c r="N1134">
        <v>2</v>
      </c>
      <c r="O1134">
        <v>1</v>
      </c>
      <c r="P1134">
        <v>0</v>
      </c>
      <c r="Q1134">
        <v>0</v>
      </c>
      <c r="S1134" t="str">
        <f>"18:41:49.547"</f>
        <v>18:41:49.547</v>
      </c>
      <c r="T1134" t="str">
        <f>"18:41:49.247"</f>
        <v>18:41:49.247</v>
      </c>
      <c r="U1134" t="str">
        <f t="shared" si="111"/>
        <v>AAB6EE</v>
      </c>
      <c r="V1134">
        <v>0</v>
      </c>
      <c r="W1134">
        <v>0</v>
      </c>
      <c r="X1134">
        <v>4</v>
      </c>
      <c r="Z1134">
        <v>0</v>
      </c>
      <c r="AA1134">
        <v>8</v>
      </c>
      <c r="AB1134">
        <v>3</v>
      </c>
      <c r="AC1134">
        <v>0</v>
      </c>
      <c r="AD1134">
        <v>10</v>
      </c>
      <c r="AE1134">
        <v>0</v>
      </c>
      <c r="AF1134">
        <v>0</v>
      </c>
      <c r="AG1134">
        <v>1</v>
      </c>
      <c r="AH1134">
        <v>1</v>
      </c>
      <c r="AI1134" t="s">
        <v>877</v>
      </c>
      <c r="AJ1134">
        <v>35.272421999999999</v>
      </c>
      <c r="AK1134" t="s">
        <v>878</v>
      </c>
      <c r="AL1134">
        <v>-76.227435999999997</v>
      </c>
      <c r="AM1134">
        <v>25</v>
      </c>
      <c r="AN1134">
        <v>3425</v>
      </c>
      <c r="AO1134" t="s">
        <v>118</v>
      </c>
      <c r="AP1134">
        <v>-185</v>
      </c>
      <c r="AQ1134">
        <v>-120</v>
      </c>
      <c r="AR1134">
        <v>64</v>
      </c>
      <c r="AZ1134">
        <v>4516</v>
      </c>
      <c r="BA1134">
        <v>1</v>
      </c>
      <c r="BB1134" t="str">
        <f t="shared" si="113"/>
        <v xml:space="preserve">N79NX   </v>
      </c>
      <c r="BC1134">
        <v>1</v>
      </c>
      <c r="BE1134">
        <v>0</v>
      </c>
      <c r="BF1134">
        <v>0</v>
      </c>
      <c r="BG1134">
        <v>0</v>
      </c>
      <c r="BH1134">
        <v>3275</v>
      </c>
      <c r="BI1134">
        <v>0</v>
      </c>
      <c r="BJ1134">
        <v>0</v>
      </c>
      <c r="BK1134">
        <v>0</v>
      </c>
      <c r="BL1134">
        <v>0</v>
      </c>
      <c r="BO1134">
        <v>0</v>
      </c>
      <c r="BP1134">
        <v>0</v>
      </c>
      <c r="BW1134" t="str">
        <f>"18:41:49.551"</f>
        <v>18:41:49.551</v>
      </c>
      <c r="BZ1134">
        <v>0</v>
      </c>
      <c r="CA1134">
        <v>4096</v>
      </c>
      <c r="CB1134">
        <v>216</v>
      </c>
      <c r="CC1134">
        <v>576.5625</v>
      </c>
      <c r="CD1134">
        <v>1</v>
      </c>
      <c r="CE1134">
        <v>1</v>
      </c>
      <c r="CF1134">
        <v>0</v>
      </c>
      <c r="CG1134">
        <v>1</v>
      </c>
      <c r="CH1134">
        <v>0</v>
      </c>
      <c r="CI1134">
        <v>1</v>
      </c>
      <c r="CJ1134">
        <v>0</v>
      </c>
      <c r="CK1134">
        <v>2</v>
      </c>
      <c r="CL1134">
        <v>0</v>
      </c>
      <c r="CM1134">
        <v>2</v>
      </c>
      <c r="CN1134">
        <v>0</v>
      </c>
      <c r="CO1134">
        <v>3</v>
      </c>
      <c r="CP1134" t="s">
        <v>119</v>
      </c>
      <c r="CQ1134">
        <v>145</v>
      </c>
      <c r="CR1134">
        <v>1</v>
      </c>
      <c r="CW1134">
        <v>9026850</v>
      </c>
      <c r="CY1134">
        <v>0</v>
      </c>
      <c r="CZ1134">
        <v>0</v>
      </c>
      <c r="DA1134">
        <v>1</v>
      </c>
      <c r="DB1134">
        <v>0</v>
      </c>
      <c r="DC1134">
        <v>0</v>
      </c>
      <c r="DD1134">
        <v>0</v>
      </c>
      <c r="DE1134">
        <v>0</v>
      </c>
      <c r="DF1134">
        <v>0</v>
      </c>
      <c r="DG1134">
        <v>0</v>
      </c>
      <c r="DH1134">
        <v>0</v>
      </c>
      <c r="DI1134">
        <v>0</v>
      </c>
    </row>
    <row r="1135" spans="1:113" x14ac:dyDescent="0.3">
      <c r="A1135" t="str">
        <f>"02/13/2022 18:41:49.802"</f>
        <v>02/13/2022 18:41:49.802</v>
      </c>
      <c r="C1135" t="str">
        <f t="shared" si="112"/>
        <v>FFDFD7C0</v>
      </c>
      <c r="D1135" t="s">
        <v>121</v>
      </c>
      <c r="E1135">
        <v>2</v>
      </c>
      <c r="H1135">
        <v>158</v>
      </c>
      <c r="I1135" t="s">
        <v>120</v>
      </c>
      <c r="J1135" t="s">
        <v>122</v>
      </c>
      <c r="K1135">
        <v>0</v>
      </c>
      <c r="L1135">
        <v>3</v>
      </c>
      <c r="M1135">
        <v>0</v>
      </c>
      <c r="N1135">
        <v>2</v>
      </c>
      <c r="O1135">
        <v>1</v>
      </c>
      <c r="P1135">
        <v>0</v>
      </c>
      <c r="Q1135">
        <v>0</v>
      </c>
      <c r="S1135" t="str">
        <f>"18:41:49.547"</f>
        <v>18:41:49.547</v>
      </c>
      <c r="T1135" t="str">
        <f>"18:41:49.247"</f>
        <v>18:41:49.247</v>
      </c>
      <c r="U1135" t="str">
        <f t="shared" si="111"/>
        <v>AAB6EE</v>
      </c>
      <c r="V1135">
        <v>0</v>
      </c>
      <c r="W1135">
        <v>0</v>
      </c>
      <c r="X1135">
        <v>4</v>
      </c>
      <c r="Z1135">
        <v>0</v>
      </c>
      <c r="AA1135">
        <v>8</v>
      </c>
      <c r="AB1135">
        <v>3</v>
      </c>
      <c r="AC1135">
        <v>0</v>
      </c>
      <c r="AD1135">
        <v>10</v>
      </c>
      <c r="AE1135">
        <v>0</v>
      </c>
      <c r="AF1135">
        <v>0</v>
      </c>
      <c r="AG1135">
        <v>1</v>
      </c>
      <c r="AH1135">
        <v>1</v>
      </c>
      <c r="AI1135" t="s">
        <v>877</v>
      </c>
      <c r="AJ1135">
        <v>35.272421999999999</v>
      </c>
      <c r="AK1135" t="s">
        <v>878</v>
      </c>
      <c r="AL1135">
        <v>-76.227435999999997</v>
      </c>
      <c r="AM1135">
        <v>25</v>
      </c>
      <c r="AN1135">
        <v>3425</v>
      </c>
      <c r="AO1135" t="s">
        <v>118</v>
      </c>
      <c r="AP1135">
        <v>-185</v>
      </c>
      <c r="AQ1135">
        <v>-120</v>
      </c>
      <c r="AR1135">
        <v>64</v>
      </c>
      <c r="AZ1135">
        <v>4516</v>
      </c>
      <c r="BA1135">
        <v>1</v>
      </c>
      <c r="BB1135" t="str">
        <f t="shared" si="113"/>
        <v xml:space="preserve">N79NX   </v>
      </c>
      <c r="BC1135">
        <v>1</v>
      </c>
      <c r="BE1135">
        <v>0</v>
      </c>
      <c r="BF1135">
        <v>0</v>
      </c>
      <c r="BG1135">
        <v>0</v>
      </c>
      <c r="BH1135">
        <v>3275</v>
      </c>
      <c r="BI1135">
        <v>0</v>
      </c>
      <c r="BJ1135">
        <v>0</v>
      </c>
      <c r="BK1135">
        <v>0</v>
      </c>
      <c r="BL1135">
        <v>0</v>
      </c>
      <c r="BO1135">
        <v>0</v>
      </c>
      <c r="BP1135">
        <v>0</v>
      </c>
      <c r="BW1135" t="str">
        <f>"18:41:49.551"</f>
        <v>18:41:49.551</v>
      </c>
      <c r="BZ1135">
        <v>0</v>
      </c>
      <c r="CA1135">
        <v>4096</v>
      </c>
      <c r="CB1135">
        <v>216</v>
      </c>
      <c r="CC1135">
        <v>576.5625</v>
      </c>
      <c r="CD1135">
        <v>1</v>
      </c>
      <c r="CE1135">
        <v>1</v>
      </c>
      <c r="CF1135">
        <v>0</v>
      </c>
      <c r="CG1135">
        <v>1</v>
      </c>
      <c r="CH1135">
        <v>0</v>
      </c>
      <c r="CI1135">
        <v>1</v>
      </c>
      <c r="CJ1135">
        <v>0</v>
      </c>
      <c r="CK1135">
        <v>2</v>
      </c>
      <c r="CL1135">
        <v>0</v>
      </c>
      <c r="CM1135">
        <v>2</v>
      </c>
      <c r="CN1135">
        <v>0</v>
      </c>
      <c r="CO1135">
        <v>3</v>
      </c>
      <c r="CP1135" t="s">
        <v>119</v>
      </c>
      <c r="CQ1135">
        <v>145</v>
      </c>
      <c r="CR1135">
        <v>1</v>
      </c>
      <c r="CW1135">
        <v>9026850</v>
      </c>
      <c r="CY1135">
        <v>0</v>
      </c>
      <c r="CZ1135">
        <v>0</v>
      </c>
      <c r="DA1135">
        <v>1</v>
      </c>
      <c r="DB1135">
        <v>0</v>
      </c>
      <c r="DC1135">
        <v>0</v>
      </c>
      <c r="DD1135">
        <v>0</v>
      </c>
      <c r="DE1135">
        <v>0</v>
      </c>
      <c r="DF1135">
        <v>0</v>
      </c>
      <c r="DG1135">
        <v>0</v>
      </c>
      <c r="DH1135">
        <v>0</v>
      </c>
      <c r="DI1135">
        <v>0</v>
      </c>
    </row>
    <row r="1136" spans="1:113" x14ac:dyDescent="0.3">
      <c r="A1136" t="str">
        <f>"02/13/2022 18:41:50.725"</f>
        <v>02/13/2022 18:41:50.725</v>
      </c>
      <c r="C1136" t="str">
        <f t="shared" si="112"/>
        <v>FFDFD7C0</v>
      </c>
      <c r="D1136" t="s">
        <v>113</v>
      </c>
      <c r="E1136">
        <v>3</v>
      </c>
      <c r="F1136">
        <v>1003</v>
      </c>
      <c r="G1136" t="s">
        <v>114</v>
      </c>
      <c r="J1136" t="s">
        <v>115</v>
      </c>
      <c r="K1136">
        <v>0</v>
      </c>
      <c r="L1136">
        <v>3</v>
      </c>
      <c r="M1136">
        <v>0</v>
      </c>
      <c r="N1136">
        <v>2</v>
      </c>
      <c r="O1136">
        <v>1</v>
      </c>
      <c r="P1136">
        <v>0</v>
      </c>
      <c r="Q1136">
        <v>0</v>
      </c>
      <c r="S1136" t="str">
        <f>"18:41:50.461"</f>
        <v>18:41:50.461</v>
      </c>
      <c r="T1136" t="str">
        <f>"18:41:50.161"</f>
        <v>18:41:50.161</v>
      </c>
      <c r="U1136" t="str">
        <f t="shared" si="111"/>
        <v>AAB6EE</v>
      </c>
      <c r="V1136">
        <v>0</v>
      </c>
      <c r="W1136">
        <v>0</v>
      </c>
      <c r="X1136">
        <v>4</v>
      </c>
      <c r="Z1136">
        <v>0</v>
      </c>
      <c r="AA1136">
        <v>8</v>
      </c>
      <c r="AB1136">
        <v>3</v>
      </c>
      <c r="AC1136">
        <v>0</v>
      </c>
      <c r="AD1136">
        <v>10</v>
      </c>
      <c r="AE1136">
        <v>0</v>
      </c>
      <c r="AF1136">
        <v>0</v>
      </c>
      <c r="AG1136">
        <v>1</v>
      </c>
      <c r="AH1136">
        <v>1</v>
      </c>
      <c r="AI1136" t="s">
        <v>879</v>
      </c>
      <c r="AJ1136">
        <v>35.271884999999997</v>
      </c>
      <c r="AK1136" t="s">
        <v>880</v>
      </c>
      <c r="AL1136">
        <v>-76.228402000000003</v>
      </c>
      <c r="AM1136">
        <v>25</v>
      </c>
      <c r="AN1136">
        <v>3425</v>
      </c>
      <c r="AO1136" t="s">
        <v>118</v>
      </c>
      <c r="AP1136">
        <v>-182</v>
      </c>
      <c r="AQ1136">
        <v>-125</v>
      </c>
      <c r="AR1136">
        <v>0</v>
      </c>
      <c r="AZ1136">
        <v>4516</v>
      </c>
      <c r="BA1136">
        <v>1</v>
      </c>
      <c r="BB1136" t="str">
        <f t="shared" si="113"/>
        <v xml:space="preserve">N79NX   </v>
      </c>
      <c r="BC1136">
        <v>1</v>
      </c>
      <c r="BE1136">
        <v>0</v>
      </c>
      <c r="BF1136">
        <v>0</v>
      </c>
      <c r="BG1136">
        <v>0</v>
      </c>
      <c r="BH1136">
        <v>3275</v>
      </c>
      <c r="BI1136">
        <v>0</v>
      </c>
      <c r="BJ1136">
        <v>0</v>
      </c>
      <c r="BK1136">
        <v>0</v>
      </c>
      <c r="BL1136">
        <v>0</v>
      </c>
      <c r="BO1136">
        <v>0</v>
      </c>
      <c r="BP1136">
        <v>0</v>
      </c>
      <c r="BW1136" t="str">
        <f>"18:41:50.461"</f>
        <v>18:41:50.461</v>
      </c>
      <c r="BZ1136">
        <v>0</v>
      </c>
      <c r="CA1136">
        <v>4096</v>
      </c>
      <c r="CB1136">
        <v>216</v>
      </c>
      <c r="CC1136">
        <v>549.84379999999999</v>
      </c>
      <c r="CD1136">
        <v>1</v>
      </c>
      <c r="CE1136">
        <v>1</v>
      </c>
      <c r="CF1136">
        <v>0</v>
      </c>
      <c r="CG1136">
        <v>1</v>
      </c>
      <c r="CH1136">
        <v>0</v>
      </c>
      <c r="CI1136">
        <v>1</v>
      </c>
      <c r="CJ1136">
        <v>0</v>
      </c>
      <c r="CK1136">
        <v>2</v>
      </c>
      <c r="CL1136">
        <v>0</v>
      </c>
      <c r="CM1136">
        <v>2</v>
      </c>
      <c r="CN1136">
        <v>0</v>
      </c>
      <c r="CO1136">
        <v>2</v>
      </c>
      <c r="CP1136" t="s">
        <v>119</v>
      </c>
      <c r="CQ1136">
        <v>145</v>
      </c>
      <c r="CR1136">
        <v>1</v>
      </c>
      <c r="CW1136">
        <v>9027253</v>
      </c>
      <c r="CY1136">
        <v>0</v>
      </c>
      <c r="CZ1136">
        <v>0</v>
      </c>
      <c r="DA1136">
        <v>0</v>
      </c>
      <c r="DB1136">
        <v>0</v>
      </c>
      <c r="DC1136">
        <v>0</v>
      </c>
      <c r="DD1136">
        <v>0</v>
      </c>
      <c r="DE1136">
        <v>0</v>
      </c>
      <c r="DF1136">
        <v>0</v>
      </c>
      <c r="DG1136">
        <v>0</v>
      </c>
      <c r="DH1136">
        <v>0</v>
      </c>
      <c r="DI1136">
        <v>0</v>
      </c>
    </row>
    <row r="1137" spans="1:113" x14ac:dyDescent="0.3">
      <c r="A1137" t="str">
        <f>"02/13/2022 18:41:50.725"</f>
        <v>02/13/2022 18:41:50.725</v>
      </c>
      <c r="C1137" t="str">
        <f t="shared" si="112"/>
        <v>FFDFD7C0</v>
      </c>
      <c r="D1137" t="s">
        <v>113</v>
      </c>
      <c r="E1137">
        <v>4</v>
      </c>
      <c r="F1137">
        <v>1004</v>
      </c>
      <c r="G1137" t="s">
        <v>120</v>
      </c>
      <c r="J1137" t="s">
        <v>115</v>
      </c>
      <c r="K1137">
        <v>0</v>
      </c>
      <c r="L1137">
        <v>3</v>
      </c>
      <c r="M1137">
        <v>0</v>
      </c>
      <c r="N1137">
        <v>2</v>
      </c>
      <c r="O1137">
        <v>1</v>
      </c>
      <c r="P1137">
        <v>0</v>
      </c>
      <c r="Q1137">
        <v>0</v>
      </c>
      <c r="S1137" t="str">
        <f>"18:41:50.461"</f>
        <v>18:41:50.461</v>
      </c>
      <c r="T1137" t="str">
        <f>"18:41:50.161"</f>
        <v>18:41:50.161</v>
      </c>
      <c r="U1137" t="str">
        <f t="shared" si="111"/>
        <v>AAB6EE</v>
      </c>
      <c r="V1137">
        <v>0</v>
      </c>
      <c r="W1137">
        <v>0</v>
      </c>
      <c r="X1137">
        <v>4</v>
      </c>
      <c r="Z1137">
        <v>0</v>
      </c>
      <c r="AA1137">
        <v>8</v>
      </c>
      <c r="AB1137">
        <v>3</v>
      </c>
      <c r="AC1137">
        <v>0</v>
      </c>
      <c r="AD1137">
        <v>10</v>
      </c>
      <c r="AE1137">
        <v>0</v>
      </c>
      <c r="AF1137">
        <v>0</v>
      </c>
      <c r="AG1137">
        <v>1</v>
      </c>
      <c r="AH1137">
        <v>1</v>
      </c>
      <c r="AI1137" t="s">
        <v>879</v>
      </c>
      <c r="AJ1137">
        <v>35.271884999999997</v>
      </c>
      <c r="AK1137" t="s">
        <v>880</v>
      </c>
      <c r="AL1137">
        <v>-76.228402000000003</v>
      </c>
      <c r="AM1137">
        <v>25</v>
      </c>
      <c r="AN1137">
        <v>3425</v>
      </c>
      <c r="AO1137" t="s">
        <v>118</v>
      </c>
      <c r="AP1137">
        <v>-182</v>
      </c>
      <c r="AQ1137">
        <v>-125</v>
      </c>
      <c r="AR1137">
        <v>0</v>
      </c>
      <c r="AZ1137">
        <v>4516</v>
      </c>
      <c r="BA1137">
        <v>1</v>
      </c>
      <c r="BB1137" t="str">
        <f t="shared" si="113"/>
        <v xml:space="preserve">N79NX   </v>
      </c>
      <c r="BC1137">
        <v>1</v>
      </c>
      <c r="BE1137">
        <v>0</v>
      </c>
      <c r="BF1137">
        <v>0</v>
      </c>
      <c r="BG1137">
        <v>0</v>
      </c>
      <c r="BH1137">
        <v>3275</v>
      </c>
      <c r="BI1137">
        <v>0</v>
      </c>
      <c r="BJ1137">
        <v>0</v>
      </c>
      <c r="BK1137">
        <v>0</v>
      </c>
      <c r="BL1137">
        <v>0</v>
      </c>
      <c r="BO1137">
        <v>0</v>
      </c>
      <c r="BP1137">
        <v>0</v>
      </c>
      <c r="BW1137" t="str">
        <f>"18:41:50.461"</f>
        <v>18:41:50.461</v>
      </c>
      <c r="BZ1137">
        <v>0</v>
      </c>
      <c r="CA1137">
        <v>4096</v>
      </c>
      <c r="CB1137">
        <v>216</v>
      </c>
      <c r="CC1137">
        <v>549.84379999999999</v>
      </c>
      <c r="CD1137">
        <v>1</v>
      </c>
      <c r="CE1137">
        <v>1</v>
      </c>
      <c r="CF1137">
        <v>0</v>
      </c>
      <c r="CG1137">
        <v>1</v>
      </c>
      <c r="CH1137">
        <v>0</v>
      </c>
      <c r="CI1137">
        <v>1</v>
      </c>
      <c r="CJ1137">
        <v>0</v>
      </c>
      <c r="CK1137">
        <v>2</v>
      </c>
      <c r="CL1137">
        <v>0</v>
      </c>
      <c r="CM1137">
        <v>2</v>
      </c>
      <c r="CN1137">
        <v>0</v>
      </c>
      <c r="CO1137">
        <v>2</v>
      </c>
      <c r="CP1137" t="s">
        <v>119</v>
      </c>
      <c r="CQ1137">
        <v>145</v>
      </c>
      <c r="CR1137">
        <v>1</v>
      </c>
      <c r="CW1137">
        <v>9027253</v>
      </c>
      <c r="CY1137">
        <v>0</v>
      </c>
      <c r="CZ1137">
        <v>0</v>
      </c>
      <c r="DA1137">
        <v>1</v>
      </c>
      <c r="DB1137">
        <v>0</v>
      </c>
      <c r="DC1137">
        <v>0</v>
      </c>
      <c r="DD1137">
        <v>0</v>
      </c>
      <c r="DE1137">
        <v>0</v>
      </c>
      <c r="DF1137">
        <v>0</v>
      </c>
      <c r="DG1137">
        <v>0</v>
      </c>
      <c r="DH1137">
        <v>0</v>
      </c>
      <c r="DI1137">
        <v>0</v>
      </c>
    </row>
    <row r="1138" spans="1:113" x14ac:dyDescent="0.3">
      <c r="A1138" t="str">
        <f>"02/13/2022 18:41:50.725"</f>
        <v>02/13/2022 18:41:50.725</v>
      </c>
      <c r="C1138" t="str">
        <f t="shared" si="112"/>
        <v>FFDFD7C0</v>
      </c>
      <c r="D1138" t="s">
        <v>121</v>
      </c>
      <c r="E1138">
        <v>2</v>
      </c>
      <c r="H1138">
        <v>158</v>
      </c>
      <c r="I1138" t="s">
        <v>120</v>
      </c>
      <c r="J1138" t="s">
        <v>122</v>
      </c>
      <c r="K1138">
        <v>0</v>
      </c>
      <c r="L1138">
        <v>3</v>
      </c>
      <c r="M1138">
        <v>0</v>
      </c>
      <c r="N1138">
        <v>2</v>
      </c>
      <c r="O1138">
        <v>1</v>
      </c>
      <c r="P1138">
        <v>0</v>
      </c>
      <c r="Q1138">
        <v>0</v>
      </c>
      <c r="S1138" t="str">
        <f>"18:41:50.461"</f>
        <v>18:41:50.461</v>
      </c>
      <c r="T1138" t="str">
        <f>"18:41:50.161"</f>
        <v>18:41:50.161</v>
      </c>
      <c r="U1138" t="str">
        <f t="shared" si="111"/>
        <v>AAB6EE</v>
      </c>
      <c r="V1138">
        <v>0</v>
      </c>
      <c r="W1138">
        <v>0</v>
      </c>
      <c r="X1138">
        <v>4</v>
      </c>
      <c r="Z1138">
        <v>0</v>
      </c>
      <c r="AA1138">
        <v>8</v>
      </c>
      <c r="AB1138">
        <v>3</v>
      </c>
      <c r="AC1138">
        <v>0</v>
      </c>
      <c r="AD1138">
        <v>10</v>
      </c>
      <c r="AE1138">
        <v>0</v>
      </c>
      <c r="AF1138">
        <v>0</v>
      </c>
      <c r="AG1138">
        <v>1</v>
      </c>
      <c r="AH1138">
        <v>1</v>
      </c>
      <c r="AI1138" t="s">
        <v>879</v>
      </c>
      <c r="AJ1138">
        <v>35.271884999999997</v>
      </c>
      <c r="AK1138" t="s">
        <v>880</v>
      </c>
      <c r="AL1138">
        <v>-76.228402000000003</v>
      </c>
      <c r="AM1138">
        <v>25</v>
      </c>
      <c r="AN1138">
        <v>3425</v>
      </c>
      <c r="AO1138" t="s">
        <v>118</v>
      </c>
      <c r="AP1138">
        <v>-182</v>
      </c>
      <c r="AQ1138">
        <v>-125</v>
      </c>
      <c r="AR1138">
        <v>0</v>
      </c>
      <c r="AZ1138">
        <v>4516</v>
      </c>
      <c r="BA1138">
        <v>1</v>
      </c>
      <c r="BB1138" t="str">
        <f t="shared" si="113"/>
        <v xml:space="preserve">N79NX   </v>
      </c>
      <c r="BC1138">
        <v>1</v>
      </c>
      <c r="BE1138">
        <v>0</v>
      </c>
      <c r="BF1138">
        <v>0</v>
      </c>
      <c r="BG1138">
        <v>0</v>
      </c>
      <c r="BH1138">
        <v>3275</v>
      </c>
      <c r="BI1138">
        <v>0</v>
      </c>
      <c r="BJ1138">
        <v>0</v>
      </c>
      <c r="BK1138">
        <v>0</v>
      </c>
      <c r="BL1138">
        <v>0</v>
      </c>
      <c r="BO1138">
        <v>0</v>
      </c>
      <c r="BP1138">
        <v>0</v>
      </c>
      <c r="BW1138" t="str">
        <f>"18:41:50.461"</f>
        <v>18:41:50.461</v>
      </c>
      <c r="BZ1138">
        <v>0</v>
      </c>
      <c r="CA1138">
        <v>4096</v>
      </c>
      <c r="CB1138">
        <v>216</v>
      </c>
      <c r="CC1138">
        <v>549.84379999999999</v>
      </c>
      <c r="CD1138">
        <v>1</v>
      </c>
      <c r="CE1138">
        <v>1</v>
      </c>
      <c r="CF1138">
        <v>0</v>
      </c>
      <c r="CG1138">
        <v>1</v>
      </c>
      <c r="CH1138">
        <v>0</v>
      </c>
      <c r="CI1138">
        <v>1</v>
      </c>
      <c r="CJ1138">
        <v>0</v>
      </c>
      <c r="CK1138">
        <v>2</v>
      </c>
      <c r="CL1138">
        <v>0</v>
      </c>
      <c r="CM1138">
        <v>2</v>
      </c>
      <c r="CN1138">
        <v>0</v>
      </c>
      <c r="CO1138">
        <v>2</v>
      </c>
      <c r="CP1138" t="s">
        <v>119</v>
      </c>
      <c r="CQ1138">
        <v>145</v>
      </c>
      <c r="CR1138">
        <v>1</v>
      </c>
      <c r="CW1138">
        <v>9027253</v>
      </c>
      <c r="CY1138">
        <v>0</v>
      </c>
      <c r="CZ1138">
        <v>0</v>
      </c>
      <c r="DA1138">
        <v>1</v>
      </c>
      <c r="DB1138">
        <v>0</v>
      </c>
      <c r="DC1138">
        <v>0</v>
      </c>
      <c r="DD1138">
        <v>0</v>
      </c>
      <c r="DE1138">
        <v>0</v>
      </c>
      <c r="DF1138">
        <v>0</v>
      </c>
      <c r="DG1138">
        <v>0</v>
      </c>
      <c r="DH1138">
        <v>0</v>
      </c>
      <c r="DI1138">
        <v>0</v>
      </c>
    </row>
    <row r="1139" spans="1:113" x14ac:dyDescent="0.3">
      <c r="A1139" t="str">
        <f>"02/13/2022 18:41:51.866"</f>
        <v>02/13/2022 18:41:51.866</v>
      </c>
      <c r="C1139" t="str">
        <f t="shared" si="112"/>
        <v>FFDFD7C0</v>
      </c>
      <c r="D1139" t="s">
        <v>113</v>
      </c>
      <c r="E1139">
        <v>4</v>
      </c>
      <c r="F1139">
        <v>1004</v>
      </c>
      <c r="G1139" t="s">
        <v>120</v>
      </c>
      <c r="J1139" t="s">
        <v>115</v>
      </c>
      <c r="K1139">
        <v>0</v>
      </c>
      <c r="L1139">
        <v>3</v>
      </c>
      <c r="M1139">
        <v>0</v>
      </c>
      <c r="N1139">
        <v>2</v>
      </c>
      <c r="O1139">
        <v>1</v>
      </c>
      <c r="P1139">
        <v>0</v>
      </c>
      <c r="Q1139">
        <v>0</v>
      </c>
      <c r="S1139" t="str">
        <f>"18:41:51.609"</f>
        <v>18:41:51.609</v>
      </c>
      <c r="T1139" t="str">
        <f>"18:41:51.509"</f>
        <v>18:41:51.509</v>
      </c>
      <c r="U1139" t="str">
        <f t="shared" si="111"/>
        <v>AAB6EE</v>
      </c>
      <c r="V1139">
        <v>0</v>
      </c>
      <c r="W1139">
        <v>0</v>
      </c>
      <c r="X1139">
        <v>4</v>
      </c>
      <c r="Z1139">
        <v>0</v>
      </c>
      <c r="AA1139">
        <v>8</v>
      </c>
      <c r="AB1139">
        <v>3</v>
      </c>
      <c r="AC1139">
        <v>0</v>
      </c>
      <c r="AD1139">
        <v>10</v>
      </c>
      <c r="AE1139">
        <v>0</v>
      </c>
      <c r="AF1139">
        <v>0</v>
      </c>
      <c r="AG1139">
        <v>1</v>
      </c>
      <c r="AH1139">
        <v>1</v>
      </c>
      <c r="AI1139" t="s">
        <v>881</v>
      </c>
      <c r="AJ1139">
        <v>35.271177000000002</v>
      </c>
      <c r="AK1139" t="s">
        <v>882</v>
      </c>
      <c r="AL1139">
        <v>-76.229581999999994</v>
      </c>
      <c r="AM1139">
        <v>25</v>
      </c>
      <c r="AN1139">
        <v>3425</v>
      </c>
      <c r="AO1139" t="s">
        <v>118</v>
      </c>
      <c r="AP1139">
        <v>-178</v>
      </c>
      <c r="AQ1139">
        <v>-131</v>
      </c>
      <c r="AR1139">
        <v>0</v>
      </c>
      <c r="AZ1139">
        <v>4516</v>
      </c>
      <c r="BA1139">
        <v>1</v>
      </c>
      <c r="BB1139" t="str">
        <f t="shared" si="113"/>
        <v xml:space="preserve">N79NX   </v>
      </c>
      <c r="BC1139">
        <v>1</v>
      </c>
      <c r="BE1139">
        <v>0</v>
      </c>
      <c r="BF1139">
        <v>0</v>
      </c>
      <c r="BG1139">
        <v>0</v>
      </c>
      <c r="BH1139">
        <v>3275</v>
      </c>
      <c r="BI1139">
        <v>0</v>
      </c>
      <c r="BJ1139">
        <v>0</v>
      </c>
      <c r="BK1139">
        <v>0</v>
      </c>
      <c r="BL1139">
        <v>0</v>
      </c>
      <c r="BO1139">
        <v>0</v>
      </c>
      <c r="BP1139">
        <v>0</v>
      </c>
      <c r="BW1139" t="str">
        <f>"18:41:51.611"</f>
        <v>18:41:51.611</v>
      </c>
      <c r="BZ1139">
        <v>0</v>
      </c>
      <c r="CA1139">
        <v>4096</v>
      </c>
      <c r="CB1139">
        <v>216</v>
      </c>
      <c r="CC1139">
        <v>480.9375</v>
      </c>
      <c r="CD1139">
        <v>1</v>
      </c>
      <c r="CE1139">
        <v>1</v>
      </c>
      <c r="CF1139">
        <v>0</v>
      </c>
      <c r="CG1139">
        <v>1</v>
      </c>
      <c r="CH1139">
        <v>0</v>
      </c>
      <c r="CI1139">
        <v>1</v>
      </c>
      <c r="CJ1139">
        <v>0</v>
      </c>
      <c r="CK1139">
        <v>2</v>
      </c>
      <c r="CL1139">
        <v>0</v>
      </c>
      <c r="CM1139">
        <v>2</v>
      </c>
      <c r="CN1139">
        <v>0</v>
      </c>
      <c r="CO1139">
        <v>3</v>
      </c>
      <c r="CP1139" t="s">
        <v>119</v>
      </c>
      <c r="CQ1139">
        <v>145</v>
      </c>
      <c r="CR1139">
        <v>1</v>
      </c>
      <c r="CW1139">
        <v>9027812</v>
      </c>
      <c r="CY1139">
        <v>0</v>
      </c>
      <c r="CZ1139">
        <v>0</v>
      </c>
      <c r="DA1139">
        <v>0</v>
      </c>
      <c r="DB1139">
        <v>0</v>
      </c>
      <c r="DC1139">
        <v>0</v>
      </c>
      <c r="DD1139">
        <v>0</v>
      </c>
      <c r="DE1139">
        <v>0</v>
      </c>
      <c r="DF1139">
        <v>0</v>
      </c>
      <c r="DG1139">
        <v>0</v>
      </c>
      <c r="DH1139">
        <v>0</v>
      </c>
      <c r="DI1139">
        <v>0</v>
      </c>
    </row>
    <row r="1140" spans="1:113" x14ac:dyDescent="0.3">
      <c r="A1140" t="str">
        <f>"02/13/2022 18:41:51.866"</f>
        <v>02/13/2022 18:41:51.866</v>
      </c>
      <c r="C1140" t="str">
        <f t="shared" si="112"/>
        <v>FFDFD7C0</v>
      </c>
      <c r="D1140" t="s">
        <v>121</v>
      </c>
      <c r="E1140">
        <v>2</v>
      </c>
      <c r="H1140">
        <v>158</v>
      </c>
      <c r="I1140" t="s">
        <v>120</v>
      </c>
      <c r="J1140" t="s">
        <v>122</v>
      </c>
      <c r="K1140">
        <v>0</v>
      </c>
      <c r="L1140">
        <v>3</v>
      </c>
      <c r="M1140">
        <v>0</v>
      </c>
      <c r="N1140">
        <v>2</v>
      </c>
      <c r="O1140">
        <v>1</v>
      </c>
      <c r="P1140">
        <v>0</v>
      </c>
      <c r="Q1140">
        <v>0</v>
      </c>
      <c r="S1140" t="str">
        <f>"18:41:51.609"</f>
        <v>18:41:51.609</v>
      </c>
      <c r="T1140" t="str">
        <f>"18:41:51.509"</f>
        <v>18:41:51.509</v>
      </c>
      <c r="U1140" t="str">
        <f t="shared" si="111"/>
        <v>AAB6EE</v>
      </c>
      <c r="V1140">
        <v>0</v>
      </c>
      <c r="W1140">
        <v>0</v>
      </c>
      <c r="X1140">
        <v>4</v>
      </c>
      <c r="Z1140">
        <v>0</v>
      </c>
      <c r="AA1140">
        <v>8</v>
      </c>
      <c r="AB1140">
        <v>3</v>
      </c>
      <c r="AC1140">
        <v>0</v>
      </c>
      <c r="AD1140">
        <v>10</v>
      </c>
      <c r="AE1140">
        <v>0</v>
      </c>
      <c r="AF1140">
        <v>0</v>
      </c>
      <c r="AG1140">
        <v>1</v>
      </c>
      <c r="AH1140">
        <v>1</v>
      </c>
      <c r="AI1140" t="s">
        <v>881</v>
      </c>
      <c r="AJ1140">
        <v>35.271177000000002</v>
      </c>
      <c r="AK1140" t="s">
        <v>882</v>
      </c>
      <c r="AL1140">
        <v>-76.229581999999994</v>
      </c>
      <c r="AM1140">
        <v>25</v>
      </c>
      <c r="AN1140">
        <v>3425</v>
      </c>
      <c r="AO1140" t="s">
        <v>118</v>
      </c>
      <c r="AP1140">
        <v>-178</v>
      </c>
      <c r="AQ1140">
        <v>-131</v>
      </c>
      <c r="AR1140">
        <v>0</v>
      </c>
      <c r="AZ1140">
        <v>4516</v>
      </c>
      <c r="BA1140">
        <v>1</v>
      </c>
      <c r="BB1140" t="str">
        <f t="shared" si="113"/>
        <v xml:space="preserve">N79NX   </v>
      </c>
      <c r="BC1140">
        <v>1</v>
      </c>
      <c r="BE1140">
        <v>0</v>
      </c>
      <c r="BF1140">
        <v>0</v>
      </c>
      <c r="BG1140">
        <v>0</v>
      </c>
      <c r="BH1140">
        <v>3275</v>
      </c>
      <c r="BI1140">
        <v>0</v>
      </c>
      <c r="BJ1140">
        <v>0</v>
      </c>
      <c r="BK1140">
        <v>0</v>
      </c>
      <c r="BL1140">
        <v>0</v>
      </c>
      <c r="BO1140">
        <v>0</v>
      </c>
      <c r="BP1140">
        <v>0</v>
      </c>
      <c r="BW1140" t="str">
        <f>"18:41:51.611"</f>
        <v>18:41:51.611</v>
      </c>
      <c r="BZ1140">
        <v>0</v>
      </c>
      <c r="CA1140">
        <v>4096</v>
      </c>
      <c r="CB1140">
        <v>216</v>
      </c>
      <c r="CC1140">
        <v>480.9375</v>
      </c>
      <c r="CD1140">
        <v>1</v>
      </c>
      <c r="CE1140">
        <v>1</v>
      </c>
      <c r="CF1140">
        <v>0</v>
      </c>
      <c r="CG1140">
        <v>1</v>
      </c>
      <c r="CH1140">
        <v>0</v>
      </c>
      <c r="CI1140">
        <v>1</v>
      </c>
      <c r="CJ1140">
        <v>0</v>
      </c>
      <c r="CK1140">
        <v>2</v>
      </c>
      <c r="CL1140">
        <v>0</v>
      </c>
      <c r="CM1140">
        <v>2</v>
      </c>
      <c r="CN1140">
        <v>0</v>
      </c>
      <c r="CO1140">
        <v>3</v>
      </c>
      <c r="CP1140" t="s">
        <v>119</v>
      </c>
      <c r="CQ1140">
        <v>145</v>
      </c>
      <c r="CR1140">
        <v>1</v>
      </c>
      <c r="CW1140">
        <v>9027812</v>
      </c>
      <c r="CY1140">
        <v>0</v>
      </c>
      <c r="CZ1140">
        <v>0</v>
      </c>
      <c r="DA1140">
        <v>1</v>
      </c>
      <c r="DB1140">
        <v>0</v>
      </c>
      <c r="DC1140">
        <v>0</v>
      </c>
      <c r="DD1140">
        <v>0</v>
      </c>
      <c r="DE1140">
        <v>0</v>
      </c>
      <c r="DF1140">
        <v>0</v>
      </c>
      <c r="DG1140">
        <v>0</v>
      </c>
      <c r="DH1140">
        <v>0</v>
      </c>
      <c r="DI1140">
        <v>0</v>
      </c>
    </row>
    <row r="1141" spans="1:113" x14ac:dyDescent="0.3">
      <c r="A1141" t="str">
        <f>"02/13/2022 18:41:51.866"</f>
        <v>02/13/2022 18:41:51.866</v>
      </c>
      <c r="C1141" t="str">
        <f t="shared" si="112"/>
        <v>FFDFD7C0</v>
      </c>
      <c r="D1141" t="s">
        <v>113</v>
      </c>
      <c r="E1141">
        <v>3</v>
      </c>
      <c r="F1141">
        <v>1003</v>
      </c>
      <c r="G1141" t="s">
        <v>114</v>
      </c>
      <c r="J1141" t="s">
        <v>115</v>
      </c>
      <c r="K1141">
        <v>0</v>
      </c>
      <c r="L1141">
        <v>3</v>
      </c>
      <c r="M1141">
        <v>0</v>
      </c>
      <c r="N1141">
        <v>2</v>
      </c>
      <c r="O1141">
        <v>1</v>
      </c>
      <c r="P1141">
        <v>0</v>
      </c>
      <c r="Q1141">
        <v>0</v>
      </c>
      <c r="S1141" t="str">
        <f>"18:41:51.609"</f>
        <v>18:41:51.609</v>
      </c>
      <c r="T1141" t="str">
        <f>"18:41:51.509"</f>
        <v>18:41:51.509</v>
      </c>
      <c r="U1141" t="str">
        <f t="shared" si="111"/>
        <v>AAB6EE</v>
      </c>
      <c r="V1141">
        <v>0</v>
      </c>
      <c r="W1141">
        <v>0</v>
      </c>
      <c r="X1141">
        <v>4</v>
      </c>
      <c r="Z1141">
        <v>0</v>
      </c>
      <c r="AA1141">
        <v>8</v>
      </c>
      <c r="AB1141">
        <v>3</v>
      </c>
      <c r="AC1141">
        <v>0</v>
      </c>
      <c r="AD1141">
        <v>10</v>
      </c>
      <c r="AE1141">
        <v>0</v>
      </c>
      <c r="AF1141">
        <v>0</v>
      </c>
      <c r="AG1141">
        <v>1</v>
      </c>
      <c r="AH1141">
        <v>1</v>
      </c>
      <c r="AI1141" t="s">
        <v>881</v>
      </c>
      <c r="AJ1141">
        <v>35.271177000000002</v>
      </c>
      <c r="AK1141" t="s">
        <v>882</v>
      </c>
      <c r="AL1141">
        <v>-76.229581999999994</v>
      </c>
      <c r="AM1141">
        <v>25</v>
      </c>
      <c r="AN1141">
        <v>3425</v>
      </c>
      <c r="AO1141" t="s">
        <v>118</v>
      </c>
      <c r="AP1141">
        <v>-178</v>
      </c>
      <c r="AQ1141">
        <v>-131</v>
      </c>
      <c r="AR1141">
        <v>0</v>
      </c>
      <c r="AZ1141">
        <v>4516</v>
      </c>
      <c r="BA1141">
        <v>1</v>
      </c>
      <c r="BB1141" t="str">
        <f t="shared" si="113"/>
        <v xml:space="preserve">N79NX   </v>
      </c>
      <c r="BC1141">
        <v>1</v>
      </c>
      <c r="BE1141">
        <v>0</v>
      </c>
      <c r="BF1141">
        <v>0</v>
      </c>
      <c r="BG1141">
        <v>0</v>
      </c>
      <c r="BH1141">
        <v>3275</v>
      </c>
      <c r="BI1141">
        <v>0</v>
      </c>
      <c r="BJ1141">
        <v>0</v>
      </c>
      <c r="BK1141">
        <v>0</v>
      </c>
      <c r="BL1141">
        <v>0</v>
      </c>
      <c r="BO1141">
        <v>0</v>
      </c>
      <c r="BP1141">
        <v>0</v>
      </c>
      <c r="BW1141" t="str">
        <f>"18:41:51.611"</f>
        <v>18:41:51.611</v>
      </c>
      <c r="BZ1141">
        <v>0</v>
      </c>
      <c r="CA1141">
        <v>4096</v>
      </c>
      <c r="CB1141">
        <v>216</v>
      </c>
      <c r="CC1141">
        <v>480.9375</v>
      </c>
      <c r="CD1141">
        <v>1</v>
      </c>
      <c r="CE1141">
        <v>1</v>
      </c>
      <c r="CF1141">
        <v>0</v>
      </c>
      <c r="CG1141">
        <v>1</v>
      </c>
      <c r="CH1141">
        <v>0</v>
      </c>
      <c r="CI1141">
        <v>1</v>
      </c>
      <c r="CJ1141">
        <v>0</v>
      </c>
      <c r="CK1141">
        <v>2</v>
      </c>
      <c r="CL1141">
        <v>0</v>
      </c>
      <c r="CM1141">
        <v>2</v>
      </c>
      <c r="CN1141">
        <v>0</v>
      </c>
      <c r="CO1141">
        <v>3</v>
      </c>
      <c r="CP1141" t="s">
        <v>119</v>
      </c>
      <c r="CQ1141">
        <v>145</v>
      </c>
      <c r="CR1141">
        <v>1</v>
      </c>
      <c r="CW1141">
        <v>9027812</v>
      </c>
      <c r="CY1141">
        <v>0</v>
      </c>
      <c r="CZ1141">
        <v>0</v>
      </c>
      <c r="DA1141">
        <v>1</v>
      </c>
      <c r="DB1141">
        <v>0</v>
      </c>
      <c r="DC1141">
        <v>0</v>
      </c>
      <c r="DD1141">
        <v>0</v>
      </c>
      <c r="DE1141">
        <v>0</v>
      </c>
      <c r="DF1141">
        <v>0</v>
      </c>
      <c r="DG1141">
        <v>0</v>
      </c>
      <c r="DH1141">
        <v>0</v>
      </c>
      <c r="DI1141">
        <v>0</v>
      </c>
    </row>
    <row r="1142" spans="1:113" x14ac:dyDescent="0.3">
      <c r="A1142" t="str">
        <f>"02/13/2022 18:41:53.006"</f>
        <v>02/13/2022 18:41:53.006</v>
      </c>
      <c r="C1142" t="str">
        <f t="shared" si="112"/>
        <v>FFDFD7C0</v>
      </c>
      <c r="D1142" t="s">
        <v>121</v>
      </c>
      <c r="E1142">
        <v>2</v>
      </c>
      <c r="H1142">
        <v>158</v>
      </c>
      <c r="I1142" t="s">
        <v>120</v>
      </c>
      <c r="J1142" t="s">
        <v>122</v>
      </c>
      <c r="K1142">
        <v>0</v>
      </c>
      <c r="L1142">
        <v>3</v>
      </c>
      <c r="M1142">
        <v>0</v>
      </c>
      <c r="N1142">
        <v>2</v>
      </c>
      <c r="O1142">
        <v>1</v>
      </c>
      <c r="P1142">
        <v>0</v>
      </c>
      <c r="Q1142">
        <v>0</v>
      </c>
      <c r="S1142" t="str">
        <f t="shared" ref="S1142:T1144" si="116">"18:41:52.617"</f>
        <v>18:41:52.617</v>
      </c>
      <c r="T1142" t="str">
        <f t="shared" si="116"/>
        <v>18:41:52.617</v>
      </c>
      <c r="U1142" t="str">
        <f t="shared" si="111"/>
        <v>AAB6EE</v>
      </c>
      <c r="V1142">
        <v>0</v>
      </c>
      <c r="W1142">
        <v>0</v>
      </c>
      <c r="X1142">
        <v>4</v>
      </c>
      <c r="Z1142">
        <v>0</v>
      </c>
      <c r="AA1142">
        <v>8</v>
      </c>
      <c r="AB1142">
        <v>3</v>
      </c>
      <c r="AC1142">
        <v>0</v>
      </c>
      <c r="AD1142">
        <v>10</v>
      </c>
      <c r="AE1142">
        <v>0</v>
      </c>
      <c r="AF1142">
        <v>0</v>
      </c>
      <c r="AG1142">
        <v>1</v>
      </c>
      <c r="AH1142">
        <v>1</v>
      </c>
      <c r="AI1142" t="s">
        <v>883</v>
      </c>
      <c r="AJ1142">
        <v>35.270575999999998</v>
      </c>
      <c r="AK1142" t="s">
        <v>884</v>
      </c>
      <c r="AL1142">
        <v>-76.230569000000003</v>
      </c>
      <c r="AM1142">
        <v>25</v>
      </c>
      <c r="AN1142">
        <v>3425</v>
      </c>
      <c r="AO1142" t="s">
        <v>118</v>
      </c>
      <c r="AP1142">
        <v>-175</v>
      </c>
      <c r="AQ1142">
        <v>-135</v>
      </c>
      <c r="AR1142">
        <v>0</v>
      </c>
      <c r="AZ1142">
        <v>4516</v>
      </c>
      <c r="BA1142">
        <v>1</v>
      </c>
      <c r="BB1142" t="str">
        <f t="shared" si="113"/>
        <v xml:space="preserve">N79NX   </v>
      </c>
      <c r="BC1142">
        <v>1</v>
      </c>
      <c r="BE1142">
        <v>0</v>
      </c>
      <c r="BF1142">
        <v>0</v>
      </c>
      <c r="BG1142">
        <v>0</v>
      </c>
      <c r="BH1142">
        <v>3275</v>
      </c>
      <c r="BI1142">
        <v>0</v>
      </c>
      <c r="BJ1142">
        <v>0</v>
      </c>
      <c r="BK1142">
        <v>0</v>
      </c>
      <c r="BL1142">
        <v>0</v>
      </c>
      <c r="BO1142">
        <v>0</v>
      </c>
      <c r="BP1142">
        <v>0</v>
      </c>
      <c r="BW1142" t="str">
        <f>"18:41:52.621"</f>
        <v>18:41:52.621</v>
      </c>
      <c r="BZ1142">
        <v>0</v>
      </c>
      <c r="CA1142">
        <v>4096</v>
      </c>
      <c r="CB1142">
        <v>216</v>
      </c>
      <c r="CC1142">
        <v>594.84379999999999</v>
      </c>
      <c r="CD1142">
        <v>1</v>
      </c>
      <c r="CE1142">
        <v>1</v>
      </c>
      <c r="CF1142">
        <v>0</v>
      </c>
      <c r="CG1142">
        <v>1</v>
      </c>
      <c r="CH1142">
        <v>0</v>
      </c>
      <c r="CI1142">
        <v>1</v>
      </c>
      <c r="CJ1142">
        <v>0</v>
      </c>
      <c r="CK1142">
        <v>2</v>
      </c>
      <c r="CL1142">
        <v>0</v>
      </c>
      <c r="CM1142">
        <v>2</v>
      </c>
      <c r="CN1142">
        <v>0</v>
      </c>
      <c r="CO1142">
        <v>3</v>
      </c>
      <c r="CP1142" t="s">
        <v>119</v>
      </c>
      <c r="CQ1142">
        <v>145</v>
      </c>
      <c r="CR1142">
        <v>1</v>
      </c>
      <c r="CW1142">
        <v>9028328</v>
      </c>
      <c r="CY1142">
        <v>0</v>
      </c>
      <c r="CZ1142">
        <v>0</v>
      </c>
      <c r="DA1142">
        <v>0</v>
      </c>
      <c r="DB1142">
        <v>0</v>
      </c>
      <c r="DC1142">
        <v>0</v>
      </c>
      <c r="DD1142">
        <v>0</v>
      </c>
      <c r="DE1142">
        <v>0</v>
      </c>
      <c r="DF1142">
        <v>0</v>
      </c>
      <c r="DG1142">
        <v>0</v>
      </c>
      <c r="DH1142">
        <v>0</v>
      </c>
      <c r="DI1142">
        <v>0</v>
      </c>
    </row>
    <row r="1143" spans="1:113" x14ac:dyDescent="0.3">
      <c r="A1143" t="str">
        <f>"02/13/2022 18:41:53.085"</f>
        <v>02/13/2022 18:41:53.085</v>
      </c>
      <c r="C1143" t="str">
        <f t="shared" si="112"/>
        <v>FFDFD7C0</v>
      </c>
      <c r="D1143" t="s">
        <v>113</v>
      </c>
      <c r="E1143">
        <v>4</v>
      </c>
      <c r="F1143">
        <v>1004</v>
      </c>
      <c r="G1143" t="s">
        <v>120</v>
      </c>
      <c r="J1143" t="s">
        <v>115</v>
      </c>
      <c r="K1143">
        <v>0</v>
      </c>
      <c r="L1143">
        <v>3</v>
      </c>
      <c r="M1143">
        <v>0</v>
      </c>
      <c r="N1143">
        <v>2</v>
      </c>
      <c r="O1143">
        <v>1</v>
      </c>
      <c r="P1143">
        <v>0</v>
      </c>
      <c r="Q1143">
        <v>0</v>
      </c>
      <c r="S1143" t="str">
        <f t="shared" si="116"/>
        <v>18:41:52.617</v>
      </c>
      <c r="T1143" t="str">
        <f t="shared" si="116"/>
        <v>18:41:52.617</v>
      </c>
      <c r="U1143" t="str">
        <f t="shared" si="111"/>
        <v>AAB6EE</v>
      </c>
      <c r="V1143">
        <v>0</v>
      </c>
      <c r="W1143">
        <v>0</v>
      </c>
      <c r="X1143">
        <v>4</v>
      </c>
      <c r="Z1143">
        <v>0</v>
      </c>
      <c r="AA1143">
        <v>8</v>
      </c>
      <c r="AB1143">
        <v>3</v>
      </c>
      <c r="AC1143">
        <v>0</v>
      </c>
      <c r="AD1143">
        <v>10</v>
      </c>
      <c r="AE1143">
        <v>0</v>
      </c>
      <c r="AF1143">
        <v>0</v>
      </c>
      <c r="AG1143">
        <v>1</v>
      </c>
      <c r="AH1143">
        <v>1</v>
      </c>
      <c r="AI1143" t="s">
        <v>883</v>
      </c>
      <c r="AJ1143">
        <v>35.270575999999998</v>
      </c>
      <c r="AK1143" t="s">
        <v>884</v>
      </c>
      <c r="AL1143">
        <v>-76.230569000000003</v>
      </c>
      <c r="AM1143">
        <v>25</v>
      </c>
      <c r="AN1143">
        <v>3425</v>
      </c>
      <c r="AO1143" t="s">
        <v>118</v>
      </c>
      <c r="AP1143">
        <v>-175</v>
      </c>
      <c r="AQ1143">
        <v>-135</v>
      </c>
      <c r="AR1143">
        <v>0</v>
      </c>
      <c r="AZ1143">
        <v>4516</v>
      </c>
      <c r="BA1143">
        <v>1</v>
      </c>
      <c r="BB1143" t="str">
        <f t="shared" si="113"/>
        <v xml:space="preserve">N79NX   </v>
      </c>
      <c r="BC1143">
        <v>1</v>
      </c>
      <c r="BE1143">
        <v>0</v>
      </c>
      <c r="BF1143">
        <v>0</v>
      </c>
      <c r="BG1143">
        <v>0</v>
      </c>
      <c r="BH1143">
        <v>3275</v>
      </c>
      <c r="BI1143">
        <v>0</v>
      </c>
      <c r="BJ1143">
        <v>0</v>
      </c>
      <c r="BK1143">
        <v>0</v>
      </c>
      <c r="BL1143">
        <v>0</v>
      </c>
      <c r="BO1143">
        <v>0</v>
      </c>
      <c r="BP1143">
        <v>0</v>
      </c>
      <c r="BW1143" t="str">
        <f>"18:41:52.621"</f>
        <v>18:41:52.621</v>
      </c>
      <c r="BZ1143">
        <v>0</v>
      </c>
      <c r="CA1143">
        <v>4096</v>
      </c>
      <c r="CB1143">
        <v>216</v>
      </c>
      <c r="CC1143">
        <v>594.84379999999999</v>
      </c>
      <c r="CD1143">
        <v>1</v>
      </c>
      <c r="CE1143">
        <v>1</v>
      </c>
      <c r="CF1143">
        <v>0</v>
      </c>
      <c r="CG1143">
        <v>1</v>
      </c>
      <c r="CH1143">
        <v>0</v>
      </c>
      <c r="CI1143">
        <v>1</v>
      </c>
      <c r="CJ1143">
        <v>0</v>
      </c>
      <c r="CK1143">
        <v>2</v>
      </c>
      <c r="CL1143">
        <v>0</v>
      </c>
      <c r="CM1143">
        <v>2</v>
      </c>
      <c r="CN1143">
        <v>0</v>
      </c>
      <c r="CO1143">
        <v>3</v>
      </c>
      <c r="CP1143" t="s">
        <v>119</v>
      </c>
      <c r="CQ1143">
        <v>145</v>
      </c>
      <c r="CR1143">
        <v>1</v>
      </c>
      <c r="CW1143">
        <v>9028328</v>
      </c>
      <c r="CY1143">
        <v>0</v>
      </c>
      <c r="CZ1143">
        <v>0</v>
      </c>
      <c r="DA1143">
        <v>1</v>
      </c>
      <c r="DB1143">
        <v>0</v>
      </c>
      <c r="DC1143">
        <v>0</v>
      </c>
      <c r="DD1143">
        <v>0</v>
      </c>
      <c r="DE1143">
        <v>0</v>
      </c>
      <c r="DF1143">
        <v>0</v>
      </c>
      <c r="DG1143">
        <v>0</v>
      </c>
      <c r="DH1143">
        <v>0</v>
      </c>
      <c r="DI1143">
        <v>0</v>
      </c>
    </row>
    <row r="1144" spans="1:113" x14ac:dyDescent="0.3">
      <c r="A1144" t="str">
        <f>"02/13/2022 18:41:53.085"</f>
        <v>02/13/2022 18:41:53.085</v>
      </c>
      <c r="C1144" t="str">
        <f t="shared" si="112"/>
        <v>FFDFD7C0</v>
      </c>
      <c r="D1144" t="s">
        <v>113</v>
      </c>
      <c r="E1144">
        <v>3</v>
      </c>
      <c r="F1144">
        <v>1003</v>
      </c>
      <c r="G1144" t="s">
        <v>114</v>
      </c>
      <c r="J1144" t="s">
        <v>115</v>
      </c>
      <c r="K1144">
        <v>0</v>
      </c>
      <c r="L1144">
        <v>3</v>
      </c>
      <c r="M1144">
        <v>0</v>
      </c>
      <c r="N1144">
        <v>2</v>
      </c>
      <c r="O1144">
        <v>1</v>
      </c>
      <c r="P1144">
        <v>0</v>
      </c>
      <c r="Q1144">
        <v>0</v>
      </c>
      <c r="S1144" t="str">
        <f t="shared" si="116"/>
        <v>18:41:52.617</v>
      </c>
      <c r="T1144" t="str">
        <f t="shared" si="116"/>
        <v>18:41:52.617</v>
      </c>
      <c r="U1144" t="str">
        <f t="shared" si="111"/>
        <v>AAB6EE</v>
      </c>
      <c r="V1144">
        <v>0</v>
      </c>
      <c r="W1144">
        <v>0</v>
      </c>
      <c r="X1144">
        <v>4</v>
      </c>
      <c r="Z1144">
        <v>0</v>
      </c>
      <c r="AA1144">
        <v>8</v>
      </c>
      <c r="AB1144">
        <v>3</v>
      </c>
      <c r="AC1144">
        <v>0</v>
      </c>
      <c r="AD1144">
        <v>10</v>
      </c>
      <c r="AE1144">
        <v>0</v>
      </c>
      <c r="AF1144">
        <v>0</v>
      </c>
      <c r="AG1144">
        <v>1</v>
      </c>
      <c r="AH1144">
        <v>1</v>
      </c>
      <c r="AI1144" t="s">
        <v>883</v>
      </c>
      <c r="AJ1144">
        <v>35.270575999999998</v>
      </c>
      <c r="AK1144" t="s">
        <v>884</v>
      </c>
      <c r="AL1144">
        <v>-76.230569000000003</v>
      </c>
      <c r="AM1144">
        <v>25</v>
      </c>
      <c r="AN1144">
        <v>3425</v>
      </c>
      <c r="AO1144" t="s">
        <v>118</v>
      </c>
      <c r="AP1144">
        <v>-175</v>
      </c>
      <c r="AQ1144">
        <v>-135</v>
      </c>
      <c r="AR1144">
        <v>0</v>
      </c>
      <c r="AZ1144">
        <v>4516</v>
      </c>
      <c r="BA1144">
        <v>1</v>
      </c>
      <c r="BB1144" t="str">
        <f t="shared" si="113"/>
        <v xml:space="preserve">N79NX   </v>
      </c>
      <c r="BC1144">
        <v>1</v>
      </c>
      <c r="BE1144">
        <v>0</v>
      </c>
      <c r="BF1144">
        <v>0</v>
      </c>
      <c r="BG1144">
        <v>0</v>
      </c>
      <c r="BH1144">
        <v>3275</v>
      </c>
      <c r="BI1144">
        <v>0</v>
      </c>
      <c r="BJ1144">
        <v>0</v>
      </c>
      <c r="BK1144">
        <v>0</v>
      </c>
      <c r="BL1144">
        <v>0</v>
      </c>
      <c r="BO1144">
        <v>0</v>
      </c>
      <c r="BP1144">
        <v>0</v>
      </c>
      <c r="BW1144" t="str">
        <f>"18:41:52.621"</f>
        <v>18:41:52.621</v>
      </c>
      <c r="BZ1144">
        <v>0</v>
      </c>
      <c r="CA1144">
        <v>4096</v>
      </c>
      <c r="CB1144">
        <v>216</v>
      </c>
      <c r="CC1144">
        <v>594.84379999999999</v>
      </c>
      <c r="CD1144">
        <v>1</v>
      </c>
      <c r="CE1144">
        <v>1</v>
      </c>
      <c r="CF1144">
        <v>0</v>
      </c>
      <c r="CG1144">
        <v>1</v>
      </c>
      <c r="CH1144">
        <v>0</v>
      </c>
      <c r="CI1144">
        <v>1</v>
      </c>
      <c r="CJ1144">
        <v>0</v>
      </c>
      <c r="CK1144">
        <v>2</v>
      </c>
      <c r="CL1144">
        <v>0</v>
      </c>
      <c r="CM1144">
        <v>2</v>
      </c>
      <c r="CN1144">
        <v>0</v>
      </c>
      <c r="CO1144">
        <v>3</v>
      </c>
      <c r="CP1144" t="s">
        <v>119</v>
      </c>
      <c r="CQ1144">
        <v>145</v>
      </c>
      <c r="CR1144">
        <v>1</v>
      </c>
      <c r="CW1144">
        <v>9028328</v>
      </c>
      <c r="CY1144">
        <v>0</v>
      </c>
      <c r="CZ1144">
        <v>0</v>
      </c>
      <c r="DA1144">
        <v>1</v>
      </c>
      <c r="DB1144">
        <v>0</v>
      </c>
      <c r="DC1144">
        <v>0</v>
      </c>
      <c r="DD1144">
        <v>0</v>
      </c>
      <c r="DE1144">
        <v>0</v>
      </c>
      <c r="DF1144">
        <v>0</v>
      </c>
      <c r="DG1144">
        <v>0</v>
      </c>
      <c r="DH1144">
        <v>0</v>
      </c>
      <c r="DI1144">
        <v>0</v>
      </c>
    </row>
    <row r="1145" spans="1:113" x14ac:dyDescent="0.3">
      <c r="A1145" t="str">
        <f>"02/13/2022 18:41:54.367"</f>
        <v>02/13/2022 18:41:54.367</v>
      </c>
      <c r="C1145" t="str">
        <f t="shared" si="112"/>
        <v>FFDFD7C0</v>
      </c>
      <c r="D1145" t="s">
        <v>121</v>
      </c>
      <c r="E1145">
        <v>2</v>
      </c>
      <c r="H1145">
        <v>158</v>
      </c>
      <c r="I1145" t="s">
        <v>120</v>
      </c>
      <c r="J1145" t="s">
        <v>122</v>
      </c>
      <c r="K1145">
        <v>0</v>
      </c>
      <c r="L1145">
        <v>3</v>
      </c>
      <c r="M1145">
        <v>0</v>
      </c>
      <c r="N1145">
        <v>2</v>
      </c>
      <c r="O1145">
        <v>1</v>
      </c>
      <c r="P1145">
        <v>0</v>
      </c>
      <c r="Q1145">
        <v>0</v>
      </c>
      <c r="S1145" t="str">
        <f>"18:41:53.781"</f>
        <v>18:41:53.781</v>
      </c>
      <c r="T1145" t="str">
        <f>"18:41:53.481"</f>
        <v>18:41:53.481</v>
      </c>
      <c r="U1145" t="str">
        <f t="shared" si="111"/>
        <v>AAB6EE</v>
      </c>
      <c r="V1145">
        <v>0</v>
      </c>
      <c r="W1145">
        <v>0</v>
      </c>
      <c r="X1145">
        <v>4</v>
      </c>
      <c r="Z1145">
        <v>0</v>
      </c>
      <c r="AA1145">
        <v>8</v>
      </c>
      <c r="AB1145">
        <v>3</v>
      </c>
      <c r="AC1145">
        <v>0</v>
      </c>
      <c r="AD1145">
        <v>10</v>
      </c>
      <c r="AE1145">
        <v>0</v>
      </c>
      <c r="AF1145">
        <v>0</v>
      </c>
      <c r="AG1145">
        <v>1</v>
      </c>
      <c r="AH1145">
        <v>1</v>
      </c>
      <c r="AI1145" t="s">
        <v>885</v>
      </c>
      <c r="AJ1145">
        <v>35.269868000000002</v>
      </c>
      <c r="AK1145" t="s">
        <v>886</v>
      </c>
      <c r="AL1145">
        <v>-76.231662999999998</v>
      </c>
      <c r="AM1145">
        <v>25</v>
      </c>
      <c r="AN1145">
        <v>3425</v>
      </c>
      <c r="AO1145" t="s">
        <v>118</v>
      </c>
      <c r="AP1145">
        <v>-172</v>
      </c>
      <c r="AQ1145">
        <v>-139</v>
      </c>
      <c r="AR1145">
        <v>0</v>
      </c>
      <c r="AZ1145">
        <v>4516</v>
      </c>
      <c r="BA1145">
        <v>1</v>
      </c>
      <c r="BB1145" t="str">
        <f t="shared" si="113"/>
        <v xml:space="preserve">N79NX   </v>
      </c>
      <c r="BC1145">
        <v>1</v>
      </c>
      <c r="BE1145">
        <v>0</v>
      </c>
      <c r="BF1145">
        <v>0</v>
      </c>
      <c r="BG1145">
        <v>0</v>
      </c>
      <c r="BH1145">
        <v>3275</v>
      </c>
      <c r="BI1145">
        <v>0</v>
      </c>
      <c r="BJ1145">
        <v>0</v>
      </c>
      <c r="BK1145">
        <v>0</v>
      </c>
      <c r="BL1145">
        <v>0</v>
      </c>
      <c r="BO1145">
        <v>0</v>
      </c>
      <c r="BP1145">
        <v>0</v>
      </c>
      <c r="BW1145" t="str">
        <f>"18:41:53.781"</f>
        <v>18:41:53.781</v>
      </c>
      <c r="BZ1145">
        <v>0</v>
      </c>
      <c r="CA1145">
        <v>4096</v>
      </c>
      <c r="CB1145">
        <v>216</v>
      </c>
      <c r="CC1145">
        <v>572.34379999999999</v>
      </c>
      <c r="CD1145">
        <v>1</v>
      </c>
      <c r="CE1145">
        <v>1</v>
      </c>
      <c r="CF1145">
        <v>0</v>
      </c>
      <c r="CG1145">
        <v>1</v>
      </c>
      <c r="CH1145">
        <v>0</v>
      </c>
      <c r="CI1145">
        <v>1</v>
      </c>
      <c r="CJ1145">
        <v>0</v>
      </c>
      <c r="CK1145">
        <v>2</v>
      </c>
      <c r="CL1145">
        <v>0</v>
      </c>
      <c r="CM1145">
        <v>2</v>
      </c>
      <c r="CN1145">
        <v>0</v>
      </c>
      <c r="CO1145">
        <v>3</v>
      </c>
      <c r="CP1145" t="s">
        <v>119</v>
      </c>
      <c r="CQ1145">
        <v>145</v>
      </c>
      <c r="CR1145">
        <v>1</v>
      </c>
      <c r="CW1145">
        <v>9028857</v>
      </c>
      <c r="CY1145">
        <v>0</v>
      </c>
      <c r="CZ1145">
        <v>0</v>
      </c>
      <c r="DA1145">
        <v>0</v>
      </c>
      <c r="DB1145">
        <v>0</v>
      </c>
      <c r="DC1145">
        <v>0</v>
      </c>
      <c r="DD1145">
        <v>0</v>
      </c>
      <c r="DE1145">
        <v>0</v>
      </c>
      <c r="DF1145">
        <v>0</v>
      </c>
      <c r="DG1145">
        <v>0</v>
      </c>
      <c r="DH1145">
        <v>0</v>
      </c>
      <c r="DI1145">
        <v>0</v>
      </c>
    </row>
    <row r="1146" spans="1:113" x14ac:dyDescent="0.3">
      <c r="A1146" t="str">
        <f>"02/13/2022 18:41:54.367"</f>
        <v>02/13/2022 18:41:54.367</v>
      </c>
      <c r="C1146" t="str">
        <f t="shared" si="112"/>
        <v>FFDFD7C0</v>
      </c>
      <c r="D1146" t="s">
        <v>113</v>
      </c>
      <c r="E1146">
        <v>3</v>
      </c>
      <c r="F1146">
        <v>1003</v>
      </c>
      <c r="G1146" t="s">
        <v>114</v>
      </c>
      <c r="J1146" t="s">
        <v>115</v>
      </c>
      <c r="K1146">
        <v>0</v>
      </c>
      <c r="L1146">
        <v>3</v>
      </c>
      <c r="M1146">
        <v>0</v>
      </c>
      <c r="N1146">
        <v>2</v>
      </c>
      <c r="O1146">
        <v>1</v>
      </c>
      <c r="P1146">
        <v>0</v>
      </c>
      <c r="Q1146">
        <v>0</v>
      </c>
      <c r="S1146" t="str">
        <f>"18:41:53.781"</f>
        <v>18:41:53.781</v>
      </c>
      <c r="T1146" t="str">
        <f>"18:41:53.481"</f>
        <v>18:41:53.481</v>
      </c>
      <c r="U1146" t="str">
        <f t="shared" si="111"/>
        <v>AAB6EE</v>
      </c>
      <c r="V1146">
        <v>0</v>
      </c>
      <c r="W1146">
        <v>0</v>
      </c>
      <c r="X1146">
        <v>4</v>
      </c>
      <c r="Z1146">
        <v>0</v>
      </c>
      <c r="AA1146">
        <v>8</v>
      </c>
      <c r="AB1146">
        <v>3</v>
      </c>
      <c r="AC1146">
        <v>0</v>
      </c>
      <c r="AD1146">
        <v>10</v>
      </c>
      <c r="AE1146">
        <v>0</v>
      </c>
      <c r="AF1146">
        <v>0</v>
      </c>
      <c r="AG1146">
        <v>1</v>
      </c>
      <c r="AH1146">
        <v>1</v>
      </c>
      <c r="AI1146" t="s">
        <v>885</v>
      </c>
      <c r="AJ1146">
        <v>35.269868000000002</v>
      </c>
      <c r="AK1146" t="s">
        <v>886</v>
      </c>
      <c r="AL1146">
        <v>-76.231662999999998</v>
      </c>
      <c r="AM1146">
        <v>25</v>
      </c>
      <c r="AN1146">
        <v>3425</v>
      </c>
      <c r="AO1146" t="s">
        <v>118</v>
      </c>
      <c r="AP1146">
        <v>-172</v>
      </c>
      <c r="AQ1146">
        <v>-139</v>
      </c>
      <c r="AR1146">
        <v>0</v>
      </c>
      <c r="AZ1146">
        <v>4516</v>
      </c>
      <c r="BA1146">
        <v>1</v>
      </c>
      <c r="BB1146" t="str">
        <f t="shared" si="113"/>
        <v xml:space="preserve">N79NX   </v>
      </c>
      <c r="BC1146">
        <v>1</v>
      </c>
      <c r="BE1146">
        <v>0</v>
      </c>
      <c r="BF1146">
        <v>0</v>
      </c>
      <c r="BG1146">
        <v>0</v>
      </c>
      <c r="BH1146">
        <v>3275</v>
      </c>
      <c r="BI1146">
        <v>0</v>
      </c>
      <c r="BJ1146">
        <v>0</v>
      </c>
      <c r="BK1146">
        <v>0</v>
      </c>
      <c r="BL1146">
        <v>0</v>
      </c>
      <c r="BO1146">
        <v>0</v>
      </c>
      <c r="BP1146">
        <v>0</v>
      </c>
      <c r="BW1146" t="str">
        <f>"18:41:53.781"</f>
        <v>18:41:53.781</v>
      </c>
      <c r="BZ1146">
        <v>0</v>
      </c>
      <c r="CA1146">
        <v>4096</v>
      </c>
      <c r="CB1146">
        <v>216</v>
      </c>
      <c r="CC1146">
        <v>572.34379999999999</v>
      </c>
      <c r="CD1146">
        <v>1</v>
      </c>
      <c r="CE1146">
        <v>1</v>
      </c>
      <c r="CF1146">
        <v>0</v>
      </c>
      <c r="CG1146">
        <v>1</v>
      </c>
      <c r="CH1146">
        <v>0</v>
      </c>
      <c r="CI1146">
        <v>1</v>
      </c>
      <c r="CJ1146">
        <v>0</v>
      </c>
      <c r="CK1146">
        <v>2</v>
      </c>
      <c r="CL1146">
        <v>0</v>
      </c>
      <c r="CM1146">
        <v>2</v>
      </c>
      <c r="CN1146">
        <v>0</v>
      </c>
      <c r="CO1146">
        <v>3</v>
      </c>
      <c r="CP1146" t="s">
        <v>119</v>
      </c>
      <c r="CQ1146">
        <v>145</v>
      </c>
      <c r="CR1146">
        <v>1</v>
      </c>
      <c r="CW1146">
        <v>9028857</v>
      </c>
      <c r="CY1146">
        <v>0</v>
      </c>
      <c r="CZ1146">
        <v>0</v>
      </c>
      <c r="DA1146">
        <v>1</v>
      </c>
      <c r="DB1146">
        <v>0</v>
      </c>
      <c r="DC1146">
        <v>0</v>
      </c>
      <c r="DD1146">
        <v>0</v>
      </c>
      <c r="DE1146">
        <v>0</v>
      </c>
      <c r="DF1146">
        <v>0</v>
      </c>
      <c r="DG1146">
        <v>0</v>
      </c>
      <c r="DH1146">
        <v>0</v>
      </c>
      <c r="DI1146">
        <v>0</v>
      </c>
    </row>
    <row r="1147" spans="1:113" x14ac:dyDescent="0.3">
      <c r="A1147" t="str">
        <f>"02/13/2022 18:41:55.103"</f>
        <v>02/13/2022 18:41:55.103</v>
      </c>
      <c r="C1147" t="str">
        <f t="shared" si="112"/>
        <v>FFDFD7C0</v>
      </c>
      <c r="D1147" t="s">
        <v>121</v>
      </c>
      <c r="E1147">
        <v>2</v>
      </c>
      <c r="H1147">
        <v>158</v>
      </c>
      <c r="I1147" t="s">
        <v>120</v>
      </c>
      <c r="J1147" t="s">
        <v>122</v>
      </c>
      <c r="K1147">
        <v>0</v>
      </c>
      <c r="L1147">
        <v>3</v>
      </c>
      <c r="M1147">
        <v>0</v>
      </c>
      <c r="N1147">
        <v>2</v>
      </c>
      <c r="O1147">
        <v>1</v>
      </c>
      <c r="P1147">
        <v>0</v>
      </c>
      <c r="Q1147">
        <v>0</v>
      </c>
      <c r="S1147" t="str">
        <f t="shared" ref="S1147:T1149" si="117">"18:41:54.859"</f>
        <v>18:41:54.859</v>
      </c>
      <c r="T1147" t="str">
        <f t="shared" si="117"/>
        <v>18:41:54.859</v>
      </c>
      <c r="U1147" t="str">
        <f t="shared" si="111"/>
        <v>AAB6EE</v>
      </c>
      <c r="V1147">
        <v>0</v>
      </c>
      <c r="W1147">
        <v>0</v>
      </c>
      <c r="X1147">
        <v>4</v>
      </c>
      <c r="Z1147">
        <v>0</v>
      </c>
      <c r="AA1147">
        <v>8</v>
      </c>
      <c r="AB1147">
        <v>3</v>
      </c>
      <c r="AC1147">
        <v>0</v>
      </c>
      <c r="AD1147">
        <v>10</v>
      </c>
      <c r="AE1147">
        <v>0</v>
      </c>
      <c r="AF1147">
        <v>0</v>
      </c>
      <c r="AG1147">
        <v>1</v>
      </c>
      <c r="AH1147">
        <v>1</v>
      </c>
      <c r="AI1147" t="s">
        <v>887</v>
      </c>
      <c r="AJ1147">
        <v>35.269139000000003</v>
      </c>
      <c r="AK1147" t="s">
        <v>888</v>
      </c>
      <c r="AL1147">
        <v>-76.232736000000003</v>
      </c>
      <c r="AM1147">
        <v>25</v>
      </c>
      <c r="AN1147">
        <v>3425</v>
      </c>
      <c r="AO1147" t="s">
        <v>118</v>
      </c>
      <c r="AP1147">
        <v>-169</v>
      </c>
      <c r="AQ1147">
        <v>-143</v>
      </c>
      <c r="AR1147">
        <v>0</v>
      </c>
      <c r="AZ1147">
        <v>4516</v>
      </c>
      <c r="BA1147">
        <v>1</v>
      </c>
      <c r="BB1147" t="str">
        <f t="shared" si="113"/>
        <v xml:space="preserve">N79NX   </v>
      </c>
      <c r="BC1147">
        <v>1</v>
      </c>
      <c r="BE1147">
        <v>0</v>
      </c>
      <c r="BF1147">
        <v>0</v>
      </c>
      <c r="BG1147">
        <v>0</v>
      </c>
      <c r="BH1147">
        <v>3275</v>
      </c>
      <c r="BI1147">
        <v>0</v>
      </c>
      <c r="BJ1147">
        <v>0</v>
      </c>
      <c r="BK1147">
        <v>0</v>
      </c>
      <c r="BL1147">
        <v>0</v>
      </c>
      <c r="BO1147">
        <v>0</v>
      </c>
      <c r="BP1147">
        <v>0</v>
      </c>
      <c r="BW1147" t="str">
        <f>"18:41:54.861"</f>
        <v>18:41:54.861</v>
      </c>
      <c r="BZ1147">
        <v>0</v>
      </c>
      <c r="CA1147">
        <v>4096</v>
      </c>
      <c r="CB1147">
        <v>216</v>
      </c>
      <c r="CC1147">
        <v>572.34379999999999</v>
      </c>
      <c r="CD1147">
        <v>1</v>
      </c>
      <c r="CE1147">
        <v>1</v>
      </c>
      <c r="CF1147">
        <v>0</v>
      </c>
      <c r="CG1147">
        <v>1</v>
      </c>
      <c r="CH1147">
        <v>0</v>
      </c>
      <c r="CI1147">
        <v>1</v>
      </c>
      <c r="CJ1147">
        <v>0</v>
      </c>
      <c r="CK1147">
        <v>2</v>
      </c>
      <c r="CL1147">
        <v>0</v>
      </c>
      <c r="CM1147">
        <v>2</v>
      </c>
      <c r="CN1147">
        <v>0</v>
      </c>
      <c r="CO1147">
        <v>3</v>
      </c>
      <c r="CP1147" t="s">
        <v>119</v>
      </c>
      <c r="CQ1147">
        <v>145</v>
      </c>
      <c r="CR1147">
        <v>1</v>
      </c>
      <c r="CW1147">
        <v>9029265</v>
      </c>
      <c r="CY1147">
        <v>0</v>
      </c>
      <c r="CZ1147">
        <v>0</v>
      </c>
      <c r="DA1147">
        <v>0</v>
      </c>
      <c r="DB1147">
        <v>0</v>
      </c>
      <c r="DC1147">
        <v>0</v>
      </c>
      <c r="DD1147">
        <v>0</v>
      </c>
      <c r="DE1147">
        <v>0</v>
      </c>
      <c r="DF1147">
        <v>0</v>
      </c>
      <c r="DG1147">
        <v>0</v>
      </c>
      <c r="DH1147">
        <v>0</v>
      </c>
      <c r="DI1147">
        <v>0</v>
      </c>
    </row>
    <row r="1148" spans="1:113" x14ac:dyDescent="0.3">
      <c r="A1148" t="str">
        <f>"02/13/2022 18:41:55.103"</f>
        <v>02/13/2022 18:41:55.103</v>
      </c>
      <c r="C1148" t="str">
        <f t="shared" si="112"/>
        <v>FFDFD7C0</v>
      </c>
      <c r="D1148" t="s">
        <v>113</v>
      </c>
      <c r="E1148">
        <v>4</v>
      </c>
      <c r="F1148">
        <v>1004</v>
      </c>
      <c r="G1148" t="s">
        <v>120</v>
      </c>
      <c r="J1148" t="s">
        <v>115</v>
      </c>
      <c r="K1148">
        <v>0</v>
      </c>
      <c r="L1148">
        <v>3</v>
      </c>
      <c r="M1148">
        <v>0</v>
      </c>
      <c r="N1148">
        <v>2</v>
      </c>
      <c r="O1148">
        <v>1</v>
      </c>
      <c r="P1148">
        <v>0</v>
      </c>
      <c r="Q1148">
        <v>0</v>
      </c>
      <c r="S1148" t="str">
        <f t="shared" si="117"/>
        <v>18:41:54.859</v>
      </c>
      <c r="T1148" t="str">
        <f t="shared" si="117"/>
        <v>18:41:54.859</v>
      </c>
      <c r="U1148" t="str">
        <f t="shared" si="111"/>
        <v>AAB6EE</v>
      </c>
      <c r="V1148">
        <v>0</v>
      </c>
      <c r="W1148">
        <v>0</v>
      </c>
      <c r="X1148">
        <v>4</v>
      </c>
      <c r="Z1148">
        <v>0</v>
      </c>
      <c r="AA1148">
        <v>8</v>
      </c>
      <c r="AB1148">
        <v>3</v>
      </c>
      <c r="AC1148">
        <v>0</v>
      </c>
      <c r="AD1148">
        <v>10</v>
      </c>
      <c r="AE1148">
        <v>0</v>
      </c>
      <c r="AF1148">
        <v>0</v>
      </c>
      <c r="AG1148">
        <v>1</v>
      </c>
      <c r="AH1148">
        <v>1</v>
      </c>
      <c r="AI1148" t="s">
        <v>887</v>
      </c>
      <c r="AJ1148">
        <v>35.269139000000003</v>
      </c>
      <c r="AK1148" t="s">
        <v>888</v>
      </c>
      <c r="AL1148">
        <v>-76.232736000000003</v>
      </c>
      <c r="AM1148">
        <v>25</v>
      </c>
      <c r="AN1148">
        <v>3425</v>
      </c>
      <c r="AO1148" t="s">
        <v>118</v>
      </c>
      <c r="AP1148">
        <v>-169</v>
      </c>
      <c r="AQ1148">
        <v>-143</v>
      </c>
      <c r="AR1148">
        <v>0</v>
      </c>
      <c r="AZ1148">
        <v>4516</v>
      </c>
      <c r="BA1148">
        <v>1</v>
      </c>
      <c r="BB1148" t="str">
        <f t="shared" si="113"/>
        <v xml:space="preserve">N79NX   </v>
      </c>
      <c r="BC1148">
        <v>1</v>
      </c>
      <c r="BE1148">
        <v>0</v>
      </c>
      <c r="BF1148">
        <v>0</v>
      </c>
      <c r="BG1148">
        <v>0</v>
      </c>
      <c r="BH1148">
        <v>3275</v>
      </c>
      <c r="BI1148">
        <v>0</v>
      </c>
      <c r="BJ1148">
        <v>0</v>
      </c>
      <c r="BK1148">
        <v>0</v>
      </c>
      <c r="BL1148">
        <v>0</v>
      </c>
      <c r="BO1148">
        <v>0</v>
      </c>
      <c r="BP1148">
        <v>0</v>
      </c>
      <c r="BW1148" t="str">
        <f>"18:41:54.861"</f>
        <v>18:41:54.861</v>
      </c>
      <c r="BZ1148">
        <v>0</v>
      </c>
      <c r="CA1148">
        <v>4096</v>
      </c>
      <c r="CB1148">
        <v>216</v>
      </c>
      <c r="CC1148">
        <v>572.34379999999999</v>
      </c>
      <c r="CD1148">
        <v>1</v>
      </c>
      <c r="CE1148">
        <v>1</v>
      </c>
      <c r="CF1148">
        <v>0</v>
      </c>
      <c r="CG1148">
        <v>1</v>
      </c>
      <c r="CH1148">
        <v>0</v>
      </c>
      <c r="CI1148">
        <v>1</v>
      </c>
      <c r="CJ1148">
        <v>0</v>
      </c>
      <c r="CK1148">
        <v>2</v>
      </c>
      <c r="CL1148">
        <v>0</v>
      </c>
      <c r="CM1148">
        <v>2</v>
      </c>
      <c r="CN1148">
        <v>0</v>
      </c>
      <c r="CO1148">
        <v>3</v>
      </c>
      <c r="CP1148" t="s">
        <v>119</v>
      </c>
      <c r="CQ1148">
        <v>145</v>
      </c>
      <c r="CR1148">
        <v>1</v>
      </c>
      <c r="CW1148">
        <v>9029265</v>
      </c>
      <c r="CY1148">
        <v>0</v>
      </c>
      <c r="CZ1148">
        <v>0</v>
      </c>
      <c r="DA1148">
        <v>1</v>
      </c>
      <c r="DB1148">
        <v>0</v>
      </c>
      <c r="DC1148">
        <v>0</v>
      </c>
      <c r="DD1148">
        <v>0</v>
      </c>
      <c r="DE1148">
        <v>0</v>
      </c>
      <c r="DF1148">
        <v>0</v>
      </c>
      <c r="DG1148">
        <v>0</v>
      </c>
      <c r="DH1148">
        <v>0</v>
      </c>
      <c r="DI1148">
        <v>0</v>
      </c>
    </row>
    <row r="1149" spans="1:113" x14ac:dyDescent="0.3">
      <c r="A1149" t="str">
        <f>"02/13/2022 18:41:55.103"</f>
        <v>02/13/2022 18:41:55.103</v>
      </c>
      <c r="C1149" t="str">
        <f t="shared" si="112"/>
        <v>FFDFD7C0</v>
      </c>
      <c r="D1149" t="s">
        <v>113</v>
      </c>
      <c r="E1149">
        <v>3</v>
      </c>
      <c r="F1149">
        <v>1003</v>
      </c>
      <c r="G1149" t="s">
        <v>114</v>
      </c>
      <c r="J1149" t="s">
        <v>115</v>
      </c>
      <c r="K1149">
        <v>0</v>
      </c>
      <c r="L1149">
        <v>3</v>
      </c>
      <c r="M1149">
        <v>0</v>
      </c>
      <c r="N1149">
        <v>2</v>
      </c>
      <c r="O1149">
        <v>1</v>
      </c>
      <c r="P1149">
        <v>0</v>
      </c>
      <c r="Q1149">
        <v>0</v>
      </c>
      <c r="S1149" t="str">
        <f t="shared" si="117"/>
        <v>18:41:54.859</v>
      </c>
      <c r="T1149" t="str">
        <f t="shared" si="117"/>
        <v>18:41:54.859</v>
      </c>
      <c r="U1149" t="str">
        <f t="shared" si="111"/>
        <v>AAB6EE</v>
      </c>
      <c r="V1149">
        <v>0</v>
      </c>
      <c r="W1149">
        <v>0</v>
      </c>
      <c r="X1149">
        <v>4</v>
      </c>
      <c r="Z1149">
        <v>0</v>
      </c>
      <c r="AA1149">
        <v>8</v>
      </c>
      <c r="AB1149">
        <v>3</v>
      </c>
      <c r="AC1149">
        <v>0</v>
      </c>
      <c r="AD1149">
        <v>10</v>
      </c>
      <c r="AE1149">
        <v>0</v>
      </c>
      <c r="AF1149">
        <v>0</v>
      </c>
      <c r="AG1149">
        <v>1</v>
      </c>
      <c r="AH1149">
        <v>1</v>
      </c>
      <c r="AI1149" t="s">
        <v>887</v>
      </c>
      <c r="AJ1149">
        <v>35.269139000000003</v>
      </c>
      <c r="AK1149" t="s">
        <v>888</v>
      </c>
      <c r="AL1149">
        <v>-76.232736000000003</v>
      </c>
      <c r="AM1149">
        <v>25</v>
      </c>
      <c r="AN1149">
        <v>3425</v>
      </c>
      <c r="AO1149" t="s">
        <v>118</v>
      </c>
      <c r="AP1149">
        <v>-169</v>
      </c>
      <c r="AQ1149">
        <v>-143</v>
      </c>
      <c r="AR1149">
        <v>0</v>
      </c>
      <c r="AZ1149">
        <v>4516</v>
      </c>
      <c r="BA1149">
        <v>1</v>
      </c>
      <c r="BB1149" t="str">
        <f t="shared" si="113"/>
        <v xml:space="preserve">N79NX   </v>
      </c>
      <c r="BC1149">
        <v>1</v>
      </c>
      <c r="BE1149">
        <v>0</v>
      </c>
      <c r="BF1149">
        <v>0</v>
      </c>
      <c r="BG1149">
        <v>0</v>
      </c>
      <c r="BH1149">
        <v>3275</v>
      </c>
      <c r="BI1149">
        <v>0</v>
      </c>
      <c r="BJ1149">
        <v>0</v>
      </c>
      <c r="BK1149">
        <v>0</v>
      </c>
      <c r="BL1149">
        <v>0</v>
      </c>
      <c r="BO1149">
        <v>0</v>
      </c>
      <c r="BP1149">
        <v>0</v>
      </c>
      <c r="BW1149" t="str">
        <f>"18:41:54.861"</f>
        <v>18:41:54.861</v>
      </c>
      <c r="BZ1149">
        <v>0</v>
      </c>
      <c r="CA1149">
        <v>4096</v>
      </c>
      <c r="CB1149">
        <v>216</v>
      </c>
      <c r="CC1149">
        <v>572.34379999999999</v>
      </c>
      <c r="CD1149">
        <v>1</v>
      </c>
      <c r="CE1149">
        <v>1</v>
      </c>
      <c r="CF1149">
        <v>0</v>
      </c>
      <c r="CG1149">
        <v>1</v>
      </c>
      <c r="CH1149">
        <v>0</v>
      </c>
      <c r="CI1149">
        <v>1</v>
      </c>
      <c r="CJ1149">
        <v>0</v>
      </c>
      <c r="CK1149">
        <v>2</v>
      </c>
      <c r="CL1149">
        <v>0</v>
      </c>
      <c r="CM1149">
        <v>2</v>
      </c>
      <c r="CN1149">
        <v>0</v>
      </c>
      <c r="CO1149">
        <v>3</v>
      </c>
      <c r="CP1149" t="s">
        <v>119</v>
      </c>
      <c r="CQ1149">
        <v>145</v>
      </c>
      <c r="CR1149">
        <v>1</v>
      </c>
      <c r="CW1149">
        <v>9029265</v>
      </c>
      <c r="CY1149">
        <v>0</v>
      </c>
      <c r="CZ1149">
        <v>0</v>
      </c>
      <c r="DA1149">
        <v>1</v>
      </c>
      <c r="DB1149">
        <v>0</v>
      </c>
      <c r="DC1149">
        <v>0</v>
      </c>
      <c r="DD1149">
        <v>0</v>
      </c>
      <c r="DE1149">
        <v>0</v>
      </c>
      <c r="DF1149">
        <v>0</v>
      </c>
      <c r="DG1149">
        <v>0</v>
      </c>
      <c r="DH1149">
        <v>0</v>
      </c>
      <c r="DI1149">
        <v>0</v>
      </c>
    </row>
    <row r="1150" spans="1:113" x14ac:dyDescent="0.3">
      <c r="A1150" t="str">
        <f>"02/13/2022 18:41:56.463"</f>
        <v>02/13/2022 18:41:56.463</v>
      </c>
      <c r="C1150" t="str">
        <f t="shared" si="112"/>
        <v>FFDFD7C0</v>
      </c>
      <c r="D1150" t="s">
        <v>121</v>
      </c>
      <c r="E1150">
        <v>2</v>
      </c>
      <c r="H1150">
        <v>158</v>
      </c>
      <c r="I1150" t="s">
        <v>120</v>
      </c>
      <c r="J1150" t="s">
        <v>122</v>
      </c>
      <c r="K1150">
        <v>0</v>
      </c>
      <c r="L1150">
        <v>3</v>
      </c>
      <c r="M1150">
        <v>0</v>
      </c>
      <c r="N1150">
        <v>2</v>
      </c>
      <c r="O1150">
        <v>1</v>
      </c>
      <c r="P1150">
        <v>0</v>
      </c>
      <c r="Q1150">
        <v>0</v>
      </c>
      <c r="S1150" t="str">
        <f>"18:41:56.258"</f>
        <v>18:41:56.258</v>
      </c>
      <c r="T1150" t="str">
        <f>"18:41:55.858"</f>
        <v>18:41:55.858</v>
      </c>
      <c r="U1150" t="str">
        <f t="shared" si="111"/>
        <v>AAB6EE</v>
      </c>
      <c r="V1150">
        <v>0</v>
      </c>
      <c r="W1150">
        <v>0</v>
      </c>
      <c r="X1150">
        <v>4</v>
      </c>
      <c r="Z1150">
        <v>0</v>
      </c>
      <c r="AA1150">
        <v>8</v>
      </c>
      <c r="AB1150">
        <v>3</v>
      </c>
      <c r="AC1150">
        <v>0</v>
      </c>
      <c r="AD1150">
        <v>10</v>
      </c>
      <c r="AE1150">
        <v>0</v>
      </c>
      <c r="AF1150">
        <v>0</v>
      </c>
      <c r="AG1150">
        <v>1</v>
      </c>
      <c r="AH1150">
        <v>1</v>
      </c>
      <c r="AI1150" t="s">
        <v>889</v>
      </c>
      <c r="AJ1150">
        <v>35.268152000000001</v>
      </c>
      <c r="AK1150" t="s">
        <v>890</v>
      </c>
      <c r="AL1150">
        <v>-76.234024000000005</v>
      </c>
      <c r="AM1150">
        <v>25</v>
      </c>
      <c r="AN1150">
        <v>3425</v>
      </c>
      <c r="AO1150" t="s">
        <v>118</v>
      </c>
      <c r="AP1150">
        <v>-165</v>
      </c>
      <c r="AQ1150">
        <v>-147</v>
      </c>
      <c r="AR1150">
        <v>64</v>
      </c>
      <c r="AZ1150">
        <v>4516</v>
      </c>
      <c r="BA1150">
        <v>1</v>
      </c>
      <c r="BB1150" t="str">
        <f t="shared" si="113"/>
        <v xml:space="preserve">N79NX   </v>
      </c>
      <c r="BC1150">
        <v>1</v>
      </c>
      <c r="BE1150">
        <v>0</v>
      </c>
      <c r="BF1150">
        <v>0</v>
      </c>
      <c r="BG1150">
        <v>0</v>
      </c>
      <c r="BH1150">
        <v>3275</v>
      </c>
      <c r="BI1150">
        <v>0</v>
      </c>
      <c r="BJ1150">
        <v>0</v>
      </c>
      <c r="BK1150">
        <v>0</v>
      </c>
      <c r="BL1150">
        <v>0</v>
      </c>
      <c r="BO1150">
        <v>0</v>
      </c>
      <c r="BP1150">
        <v>0</v>
      </c>
      <c r="BW1150" t="str">
        <f>"18:41:56.261"</f>
        <v>18:41:56.261</v>
      </c>
      <c r="BZ1150">
        <v>0</v>
      </c>
      <c r="CA1150">
        <v>4096</v>
      </c>
      <c r="CB1150">
        <v>216</v>
      </c>
      <c r="CC1150">
        <v>507.65629999999999</v>
      </c>
      <c r="CD1150">
        <v>1</v>
      </c>
      <c r="CE1150">
        <v>1</v>
      </c>
      <c r="CF1150">
        <v>0</v>
      </c>
      <c r="CG1150">
        <v>1</v>
      </c>
      <c r="CH1150">
        <v>0</v>
      </c>
      <c r="CI1150">
        <v>1</v>
      </c>
      <c r="CJ1150">
        <v>0</v>
      </c>
      <c r="CK1150">
        <v>2</v>
      </c>
      <c r="CL1150">
        <v>0</v>
      </c>
      <c r="CM1150">
        <v>2</v>
      </c>
      <c r="CN1150">
        <v>0</v>
      </c>
      <c r="CO1150">
        <v>2</v>
      </c>
      <c r="CP1150" t="s">
        <v>119</v>
      </c>
      <c r="CQ1150">
        <v>145</v>
      </c>
      <c r="CR1150">
        <v>1</v>
      </c>
      <c r="CW1150">
        <v>9029911</v>
      </c>
      <c r="CY1150">
        <v>0</v>
      </c>
      <c r="CZ1150">
        <v>0</v>
      </c>
      <c r="DA1150">
        <v>0</v>
      </c>
      <c r="DB1150">
        <v>0</v>
      </c>
      <c r="DC1150">
        <v>0</v>
      </c>
      <c r="DD1150">
        <v>0</v>
      </c>
      <c r="DE1150">
        <v>0</v>
      </c>
      <c r="DF1150">
        <v>0</v>
      </c>
      <c r="DG1150">
        <v>0</v>
      </c>
      <c r="DH1150">
        <v>0</v>
      </c>
      <c r="DI1150">
        <v>0</v>
      </c>
    </row>
    <row r="1151" spans="1:113" x14ac:dyDescent="0.3">
      <c r="A1151" t="str">
        <f>"02/13/2022 18:41:56.495"</f>
        <v>02/13/2022 18:41:56.495</v>
      </c>
      <c r="C1151" t="str">
        <f t="shared" si="112"/>
        <v>FFDFD7C0</v>
      </c>
      <c r="D1151" t="s">
        <v>113</v>
      </c>
      <c r="E1151">
        <v>3</v>
      </c>
      <c r="F1151">
        <v>1003</v>
      </c>
      <c r="G1151" t="s">
        <v>114</v>
      </c>
      <c r="J1151" t="s">
        <v>115</v>
      </c>
      <c r="K1151">
        <v>0</v>
      </c>
      <c r="L1151">
        <v>3</v>
      </c>
      <c r="M1151">
        <v>0</v>
      </c>
      <c r="N1151">
        <v>2</v>
      </c>
      <c r="O1151">
        <v>1</v>
      </c>
      <c r="P1151">
        <v>0</v>
      </c>
      <c r="Q1151">
        <v>0</v>
      </c>
      <c r="S1151" t="str">
        <f>"18:41:56.258"</f>
        <v>18:41:56.258</v>
      </c>
      <c r="T1151" t="str">
        <f>"18:41:55.858"</f>
        <v>18:41:55.858</v>
      </c>
      <c r="U1151" t="str">
        <f t="shared" si="111"/>
        <v>AAB6EE</v>
      </c>
      <c r="V1151">
        <v>0</v>
      </c>
      <c r="W1151">
        <v>0</v>
      </c>
      <c r="X1151">
        <v>4</v>
      </c>
      <c r="Z1151">
        <v>0</v>
      </c>
      <c r="AA1151">
        <v>8</v>
      </c>
      <c r="AB1151">
        <v>3</v>
      </c>
      <c r="AC1151">
        <v>0</v>
      </c>
      <c r="AD1151">
        <v>10</v>
      </c>
      <c r="AE1151">
        <v>0</v>
      </c>
      <c r="AF1151">
        <v>0</v>
      </c>
      <c r="AG1151">
        <v>1</v>
      </c>
      <c r="AH1151">
        <v>1</v>
      </c>
      <c r="AI1151" t="s">
        <v>889</v>
      </c>
      <c r="AJ1151">
        <v>35.268152000000001</v>
      </c>
      <c r="AK1151" t="s">
        <v>890</v>
      </c>
      <c r="AL1151">
        <v>-76.234024000000005</v>
      </c>
      <c r="AM1151">
        <v>25</v>
      </c>
      <c r="AN1151">
        <v>3425</v>
      </c>
      <c r="AO1151" t="s">
        <v>118</v>
      </c>
      <c r="AP1151">
        <v>-165</v>
      </c>
      <c r="AQ1151">
        <v>-147</v>
      </c>
      <c r="AR1151">
        <v>64</v>
      </c>
      <c r="AZ1151">
        <v>4516</v>
      </c>
      <c r="BA1151">
        <v>1</v>
      </c>
      <c r="BB1151" t="str">
        <f t="shared" si="113"/>
        <v xml:space="preserve">N79NX   </v>
      </c>
      <c r="BC1151">
        <v>1</v>
      </c>
      <c r="BE1151">
        <v>0</v>
      </c>
      <c r="BF1151">
        <v>0</v>
      </c>
      <c r="BG1151">
        <v>0</v>
      </c>
      <c r="BH1151">
        <v>3275</v>
      </c>
      <c r="BI1151">
        <v>0</v>
      </c>
      <c r="BJ1151">
        <v>0</v>
      </c>
      <c r="BK1151">
        <v>0</v>
      </c>
      <c r="BL1151">
        <v>0</v>
      </c>
      <c r="BO1151">
        <v>0</v>
      </c>
      <c r="BP1151">
        <v>0</v>
      </c>
      <c r="BW1151" t="str">
        <f>"18:41:56.261"</f>
        <v>18:41:56.261</v>
      </c>
      <c r="BZ1151">
        <v>0</v>
      </c>
      <c r="CA1151">
        <v>4096</v>
      </c>
      <c r="CB1151">
        <v>216</v>
      </c>
      <c r="CC1151">
        <v>507.65629999999999</v>
      </c>
      <c r="CD1151">
        <v>1</v>
      </c>
      <c r="CE1151">
        <v>1</v>
      </c>
      <c r="CF1151">
        <v>0</v>
      </c>
      <c r="CG1151">
        <v>1</v>
      </c>
      <c r="CH1151">
        <v>0</v>
      </c>
      <c r="CI1151">
        <v>1</v>
      </c>
      <c r="CJ1151">
        <v>0</v>
      </c>
      <c r="CK1151">
        <v>2</v>
      </c>
      <c r="CL1151">
        <v>0</v>
      </c>
      <c r="CM1151">
        <v>2</v>
      </c>
      <c r="CN1151">
        <v>0</v>
      </c>
      <c r="CO1151">
        <v>2</v>
      </c>
      <c r="CP1151" t="s">
        <v>119</v>
      </c>
      <c r="CQ1151">
        <v>145</v>
      </c>
      <c r="CR1151">
        <v>1</v>
      </c>
      <c r="CW1151">
        <v>9029911</v>
      </c>
      <c r="CY1151">
        <v>0</v>
      </c>
      <c r="CZ1151">
        <v>0</v>
      </c>
      <c r="DA1151">
        <v>1</v>
      </c>
      <c r="DB1151">
        <v>0</v>
      </c>
      <c r="DC1151">
        <v>0</v>
      </c>
      <c r="DD1151">
        <v>0</v>
      </c>
      <c r="DE1151">
        <v>0</v>
      </c>
      <c r="DF1151">
        <v>0</v>
      </c>
      <c r="DG1151">
        <v>0</v>
      </c>
      <c r="DH1151">
        <v>0</v>
      </c>
      <c r="DI1151">
        <v>0</v>
      </c>
    </row>
    <row r="1152" spans="1:113" x14ac:dyDescent="0.3">
      <c r="A1152" t="str">
        <f>"02/13/2022 18:41:56.495"</f>
        <v>02/13/2022 18:41:56.495</v>
      </c>
      <c r="C1152" t="str">
        <f t="shared" si="112"/>
        <v>FFDFD7C0</v>
      </c>
      <c r="D1152" t="s">
        <v>113</v>
      </c>
      <c r="E1152">
        <v>4</v>
      </c>
      <c r="F1152">
        <v>1004</v>
      </c>
      <c r="G1152" t="s">
        <v>120</v>
      </c>
      <c r="J1152" t="s">
        <v>115</v>
      </c>
      <c r="K1152">
        <v>0</v>
      </c>
      <c r="L1152">
        <v>3</v>
      </c>
      <c r="M1152">
        <v>0</v>
      </c>
      <c r="N1152">
        <v>2</v>
      </c>
      <c r="O1152">
        <v>1</v>
      </c>
      <c r="P1152">
        <v>0</v>
      </c>
      <c r="Q1152">
        <v>0</v>
      </c>
      <c r="S1152" t="str">
        <f>"18:41:56.258"</f>
        <v>18:41:56.258</v>
      </c>
      <c r="T1152" t="str">
        <f>"18:41:55.858"</f>
        <v>18:41:55.858</v>
      </c>
      <c r="U1152" t="str">
        <f t="shared" si="111"/>
        <v>AAB6EE</v>
      </c>
      <c r="V1152">
        <v>0</v>
      </c>
      <c r="W1152">
        <v>0</v>
      </c>
      <c r="X1152">
        <v>4</v>
      </c>
      <c r="Z1152">
        <v>0</v>
      </c>
      <c r="AA1152">
        <v>8</v>
      </c>
      <c r="AB1152">
        <v>3</v>
      </c>
      <c r="AC1152">
        <v>0</v>
      </c>
      <c r="AD1152">
        <v>10</v>
      </c>
      <c r="AE1152">
        <v>0</v>
      </c>
      <c r="AF1152">
        <v>0</v>
      </c>
      <c r="AG1152">
        <v>1</v>
      </c>
      <c r="AH1152">
        <v>1</v>
      </c>
      <c r="AI1152" t="s">
        <v>889</v>
      </c>
      <c r="AJ1152">
        <v>35.268152000000001</v>
      </c>
      <c r="AK1152" t="s">
        <v>890</v>
      </c>
      <c r="AL1152">
        <v>-76.234024000000005</v>
      </c>
      <c r="AM1152">
        <v>25</v>
      </c>
      <c r="AN1152">
        <v>3425</v>
      </c>
      <c r="AO1152" t="s">
        <v>118</v>
      </c>
      <c r="AP1152">
        <v>-165</v>
      </c>
      <c r="AQ1152">
        <v>-147</v>
      </c>
      <c r="AR1152">
        <v>64</v>
      </c>
      <c r="AZ1152">
        <v>4516</v>
      </c>
      <c r="BA1152">
        <v>1</v>
      </c>
      <c r="BB1152" t="str">
        <f t="shared" si="113"/>
        <v xml:space="preserve">N79NX   </v>
      </c>
      <c r="BC1152">
        <v>1</v>
      </c>
      <c r="BE1152">
        <v>0</v>
      </c>
      <c r="BF1152">
        <v>0</v>
      </c>
      <c r="BG1152">
        <v>0</v>
      </c>
      <c r="BH1152">
        <v>3275</v>
      </c>
      <c r="BI1152">
        <v>0</v>
      </c>
      <c r="BJ1152">
        <v>0</v>
      </c>
      <c r="BK1152">
        <v>0</v>
      </c>
      <c r="BL1152">
        <v>0</v>
      </c>
      <c r="BO1152">
        <v>0</v>
      </c>
      <c r="BP1152">
        <v>0</v>
      </c>
      <c r="BW1152" t="str">
        <f>"18:41:56.261"</f>
        <v>18:41:56.261</v>
      </c>
      <c r="BZ1152">
        <v>0</v>
      </c>
      <c r="CA1152">
        <v>4096</v>
      </c>
      <c r="CB1152">
        <v>216</v>
      </c>
      <c r="CC1152">
        <v>507.65629999999999</v>
      </c>
      <c r="CD1152">
        <v>1</v>
      </c>
      <c r="CE1152">
        <v>1</v>
      </c>
      <c r="CF1152">
        <v>0</v>
      </c>
      <c r="CG1152">
        <v>1</v>
      </c>
      <c r="CH1152">
        <v>0</v>
      </c>
      <c r="CI1152">
        <v>1</v>
      </c>
      <c r="CJ1152">
        <v>0</v>
      </c>
      <c r="CK1152">
        <v>2</v>
      </c>
      <c r="CL1152">
        <v>0</v>
      </c>
      <c r="CM1152">
        <v>2</v>
      </c>
      <c r="CN1152">
        <v>0</v>
      </c>
      <c r="CO1152">
        <v>2</v>
      </c>
      <c r="CP1152" t="s">
        <v>119</v>
      </c>
      <c r="CQ1152">
        <v>145</v>
      </c>
      <c r="CR1152">
        <v>1</v>
      </c>
      <c r="CW1152">
        <v>9029911</v>
      </c>
      <c r="CY1152">
        <v>0</v>
      </c>
      <c r="CZ1152">
        <v>0</v>
      </c>
      <c r="DA1152">
        <v>1</v>
      </c>
      <c r="DB1152">
        <v>0</v>
      </c>
      <c r="DC1152">
        <v>0</v>
      </c>
      <c r="DD1152">
        <v>0</v>
      </c>
      <c r="DE1152">
        <v>0</v>
      </c>
      <c r="DF1152">
        <v>0</v>
      </c>
      <c r="DG1152">
        <v>0</v>
      </c>
      <c r="DH1152">
        <v>0</v>
      </c>
      <c r="DI1152">
        <v>0</v>
      </c>
    </row>
    <row r="1153" spans="1:113" x14ac:dyDescent="0.3">
      <c r="A1153" t="str">
        <f>"02/13/2022 18:41:57.604"</f>
        <v>02/13/2022 18:41:57.604</v>
      </c>
      <c r="C1153" t="str">
        <f t="shared" si="112"/>
        <v>FFDFD7C0</v>
      </c>
      <c r="D1153" t="s">
        <v>121</v>
      </c>
      <c r="E1153">
        <v>2</v>
      </c>
      <c r="H1153">
        <v>158</v>
      </c>
      <c r="I1153" t="s">
        <v>120</v>
      </c>
      <c r="J1153" t="s">
        <v>122</v>
      </c>
      <c r="K1153">
        <v>0</v>
      </c>
      <c r="L1153">
        <v>3</v>
      </c>
      <c r="M1153">
        <v>0</v>
      </c>
      <c r="N1153">
        <v>2</v>
      </c>
      <c r="O1153">
        <v>1</v>
      </c>
      <c r="P1153">
        <v>0</v>
      </c>
      <c r="Q1153">
        <v>0</v>
      </c>
      <c r="S1153" t="str">
        <f>"18:41:57.305"</f>
        <v>18:41:57.305</v>
      </c>
      <c r="T1153" t="str">
        <f>"18:41:57.005"</f>
        <v>18:41:57.005</v>
      </c>
      <c r="U1153" t="str">
        <f t="shared" si="111"/>
        <v>AAB6EE</v>
      </c>
      <c r="V1153">
        <v>0</v>
      </c>
      <c r="W1153">
        <v>0</v>
      </c>
      <c r="X1153">
        <v>4</v>
      </c>
      <c r="Z1153">
        <v>0</v>
      </c>
      <c r="AA1153">
        <v>8</v>
      </c>
      <c r="AB1153">
        <v>3</v>
      </c>
      <c r="AC1153">
        <v>0</v>
      </c>
      <c r="AD1153">
        <v>10</v>
      </c>
      <c r="AE1153">
        <v>0</v>
      </c>
      <c r="AF1153">
        <v>0</v>
      </c>
      <c r="AG1153">
        <v>1</v>
      </c>
      <c r="AH1153">
        <v>1</v>
      </c>
      <c r="AI1153" t="s">
        <v>891</v>
      </c>
      <c r="AJ1153">
        <v>35.267443999999998</v>
      </c>
      <c r="AK1153" t="s">
        <v>892</v>
      </c>
      <c r="AL1153">
        <v>-76.234988999999999</v>
      </c>
      <c r="AM1153">
        <v>25</v>
      </c>
      <c r="AN1153">
        <v>3425</v>
      </c>
      <c r="AO1153" t="s">
        <v>118</v>
      </c>
      <c r="AP1153">
        <v>-162</v>
      </c>
      <c r="AQ1153">
        <v>-150</v>
      </c>
      <c r="AR1153">
        <v>0</v>
      </c>
      <c r="AZ1153">
        <v>4516</v>
      </c>
      <c r="BA1153">
        <v>1</v>
      </c>
      <c r="BB1153" t="str">
        <f t="shared" si="113"/>
        <v xml:space="preserve">N79NX   </v>
      </c>
      <c r="BC1153">
        <v>1</v>
      </c>
      <c r="BE1153">
        <v>0</v>
      </c>
      <c r="BF1153">
        <v>0</v>
      </c>
      <c r="BG1153">
        <v>0</v>
      </c>
      <c r="BH1153">
        <v>3275</v>
      </c>
      <c r="BI1153">
        <v>0</v>
      </c>
      <c r="BJ1153">
        <v>0</v>
      </c>
      <c r="BK1153">
        <v>0</v>
      </c>
      <c r="BL1153">
        <v>0</v>
      </c>
      <c r="BO1153">
        <v>0</v>
      </c>
      <c r="BP1153">
        <v>0</v>
      </c>
      <c r="BW1153" t="str">
        <f>"18:41:57.311"</f>
        <v>18:41:57.311</v>
      </c>
      <c r="BZ1153">
        <v>0</v>
      </c>
      <c r="CA1153">
        <v>4096</v>
      </c>
      <c r="CB1153">
        <v>216</v>
      </c>
      <c r="CC1153">
        <v>507.65629999999999</v>
      </c>
      <c r="CD1153">
        <v>1</v>
      </c>
      <c r="CE1153">
        <v>1</v>
      </c>
      <c r="CF1153">
        <v>0</v>
      </c>
      <c r="CG1153">
        <v>1</v>
      </c>
      <c r="CH1153">
        <v>0</v>
      </c>
      <c r="CI1153">
        <v>1</v>
      </c>
      <c r="CJ1153">
        <v>0</v>
      </c>
      <c r="CK1153">
        <v>2</v>
      </c>
      <c r="CL1153">
        <v>0</v>
      </c>
      <c r="CM1153">
        <v>2</v>
      </c>
      <c r="CN1153">
        <v>0</v>
      </c>
      <c r="CO1153">
        <v>1</v>
      </c>
      <c r="CP1153" t="s">
        <v>119</v>
      </c>
      <c r="CQ1153">
        <v>145</v>
      </c>
      <c r="CR1153">
        <v>1</v>
      </c>
      <c r="CW1153">
        <v>9030462</v>
      </c>
      <c r="CY1153">
        <v>0</v>
      </c>
      <c r="CZ1153">
        <v>0</v>
      </c>
      <c r="DA1153">
        <v>0</v>
      </c>
      <c r="DB1153">
        <v>0</v>
      </c>
      <c r="DC1153">
        <v>0</v>
      </c>
      <c r="DD1153">
        <v>0</v>
      </c>
      <c r="DE1153">
        <v>0</v>
      </c>
      <c r="DF1153">
        <v>0</v>
      </c>
      <c r="DG1153">
        <v>0</v>
      </c>
      <c r="DH1153">
        <v>0</v>
      </c>
      <c r="DI1153">
        <v>0</v>
      </c>
    </row>
    <row r="1154" spans="1:113" x14ac:dyDescent="0.3">
      <c r="A1154" t="str">
        <f>"02/13/2022 18:41:57.604"</f>
        <v>02/13/2022 18:41:57.604</v>
      </c>
      <c r="C1154" t="str">
        <f t="shared" si="112"/>
        <v>FFDFD7C0</v>
      </c>
      <c r="D1154" t="s">
        <v>113</v>
      </c>
      <c r="E1154">
        <v>3</v>
      </c>
      <c r="F1154">
        <v>1003</v>
      </c>
      <c r="G1154" t="s">
        <v>114</v>
      </c>
      <c r="J1154" t="s">
        <v>115</v>
      </c>
      <c r="K1154">
        <v>0</v>
      </c>
      <c r="L1154">
        <v>3</v>
      </c>
      <c r="M1154">
        <v>0</v>
      </c>
      <c r="N1154">
        <v>2</v>
      </c>
      <c r="O1154">
        <v>1</v>
      </c>
      <c r="P1154">
        <v>0</v>
      </c>
      <c r="Q1154">
        <v>0</v>
      </c>
      <c r="S1154" t="str">
        <f>"18:41:57.305"</f>
        <v>18:41:57.305</v>
      </c>
      <c r="T1154" t="str">
        <f>"18:41:57.005"</f>
        <v>18:41:57.005</v>
      </c>
      <c r="U1154" t="str">
        <f t="shared" ref="U1154:U1217" si="118">"AAB6EE"</f>
        <v>AAB6EE</v>
      </c>
      <c r="V1154">
        <v>0</v>
      </c>
      <c r="W1154">
        <v>0</v>
      </c>
      <c r="X1154">
        <v>4</v>
      </c>
      <c r="Z1154">
        <v>0</v>
      </c>
      <c r="AA1154">
        <v>8</v>
      </c>
      <c r="AB1154">
        <v>3</v>
      </c>
      <c r="AC1154">
        <v>0</v>
      </c>
      <c r="AD1154">
        <v>10</v>
      </c>
      <c r="AE1154">
        <v>0</v>
      </c>
      <c r="AF1154">
        <v>0</v>
      </c>
      <c r="AG1154">
        <v>1</v>
      </c>
      <c r="AH1154">
        <v>1</v>
      </c>
      <c r="AI1154" t="s">
        <v>891</v>
      </c>
      <c r="AJ1154">
        <v>35.267443999999998</v>
      </c>
      <c r="AK1154" t="s">
        <v>892</v>
      </c>
      <c r="AL1154">
        <v>-76.234988999999999</v>
      </c>
      <c r="AM1154">
        <v>25</v>
      </c>
      <c r="AN1154">
        <v>3425</v>
      </c>
      <c r="AO1154" t="s">
        <v>118</v>
      </c>
      <c r="AP1154">
        <v>-162</v>
      </c>
      <c r="AQ1154">
        <v>-150</v>
      </c>
      <c r="AR1154">
        <v>0</v>
      </c>
      <c r="AZ1154">
        <v>4516</v>
      </c>
      <c r="BA1154">
        <v>1</v>
      </c>
      <c r="BB1154" t="str">
        <f t="shared" si="113"/>
        <v xml:space="preserve">N79NX   </v>
      </c>
      <c r="BC1154">
        <v>1</v>
      </c>
      <c r="BE1154">
        <v>0</v>
      </c>
      <c r="BF1154">
        <v>0</v>
      </c>
      <c r="BG1154">
        <v>0</v>
      </c>
      <c r="BH1154">
        <v>3275</v>
      </c>
      <c r="BI1154">
        <v>0</v>
      </c>
      <c r="BJ1154">
        <v>0</v>
      </c>
      <c r="BK1154">
        <v>0</v>
      </c>
      <c r="BL1154">
        <v>0</v>
      </c>
      <c r="BO1154">
        <v>0</v>
      </c>
      <c r="BP1154">
        <v>0</v>
      </c>
      <c r="BW1154" t="str">
        <f>"18:41:57.311"</f>
        <v>18:41:57.311</v>
      </c>
      <c r="BZ1154">
        <v>0</v>
      </c>
      <c r="CA1154">
        <v>4096</v>
      </c>
      <c r="CB1154">
        <v>216</v>
      </c>
      <c r="CC1154">
        <v>507.65629999999999</v>
      </c>
      <c r="CD1154">
        <v>1</v>
      </c>
      <c r="CE1154">
        <v>1</v>
      </c>
      <c r="CF1154">
        <v>0</v>
      </c>
      <c r="CG1154">
        <v>1</v>
      </c>
      <c r="CH1154">
        <v>0</v>
      </c>
      <c r="CI1154">
        <v>1</v>
      </c>
      <c r="CJ1154">
        <v>0</v>
      </c>
      <c r="CK1154">
        <v>2</v>
      </c>
      <c r="CL1154">
        <v>0</v>
      </c>
      <c r="CM1154">
        <v>2</v>
      </c>
      <c r="CN1154">
        <v>0</v>
      </c>
      <c r="CO1154">
        <v>1</v>
      </c>
      <c r="CP1154" t="s">
        <v>119</v>
      </c>
      <c r="CQ1154">
        <v>145</v>
      </c>
      <c r="CR1154">
        <v>1</v>
      </c>
      <c r="CW1154">
        <v>9030462</v>
      </c>
      <c r="CY1154">
        <v>0</v>
      </c>
      <c r="CZ1154">
        <v>0</v>
      </c>
      <c r="DA1154">
        <v>1</v>
      </c>
      <c r="DB1154">
        <v>0</v>
      </c>
      <c r="DC1154">
        <v>0</v>
      </c>
      <c r="DD1154">
        <v>0</v>
      </c>
      <c r="DE1154">
        <v>0</v>
      </c>
      <c r="DF1154">
        <v>0</v>
      </c>
      <c r="DG1154">
        <v>0</v>
      </c>
      <c r="DH1154">
        <v>0</v>
      </c>
      <c r="DI1154">
        <v>0</v>
      </c>
    </row>
    <row r="1155" spans="1:113" x14ac:dyDescent="0.3">
      <c r="A1155" t="str">
        <f>"02/13/2022 18:41:57.604"</f>
        <v>02/13/2022 18:41:57.604</v>
      </c>
      <c r="C1155" t="str">
        <f t="shared" si="112"/>
        <v>FFDFD7C0</v>
      </c>
      <c r="D1155" t="s">
        <v>113</v>
      </c>
      <c r="E1155">
        <v>4</v>
      </c>
      <c r="F1155">
        <v>1004</v>
      </c>
      <c r="G1155" t="s">
        <v>120</v>
      </c>
      <c r="J1155" t="s">
        <v>115</v>
      </c>
      <c r="K1155">
        <v>0</v>
      </c>
      <c r="L1155">
        <v>3</v>
      </c>
      <c r="M1155">
        <v>0</v>
      </c>
      <c r="N1155">
        <v>2</v>
      </c>
      <c r="O1155">
        <v>1</v>
      </c>
      <c r="P1155">
        <v>0</v>
      </c>
      <c r="Q1155">
        <v>0</v>
      </c>
      <c r="S1155" t="str">
        <f>"18:41:57.305"</f>
        <v>18:41:57.305</v>
      </c>
      <c r="T1155" t="str">
        <f>"18:41:57.005"</f>
        <v>18:41:57.005</v>
      </c>
      <c r="U1155" t="str">
        <f t="shared" si="118"/>
        <v>AAB6EE</v>
      </c>
      <c r="V1155">
        <v>0</v>
      </c>
      <c r="W1155">
        <v>0</v>
      </c>
      <c r="X1155">
        <v>4</v>
      </c>
      <c r="Z1155">
        <v>0</v>
      </c>
      <c r="AA1155">
        <v>8</v>
      </c>
      <c r="AB1155">
        <v>3</v>
      </c>
      <c r="AC1155">
        <v>0</v>
      </c>
      <c r="AD1155">
        <v>10</v>
      </c>
      <c r="AE1155">
        <v>0</v>
      </c>
      <c r="AF1155">
        <v>0</v>
      </c>
      <c r="AG1155">
        <v>1</v>
      </c>
      <c r="AH1155">
        <v>1</v>
      </c>
      <c r="AI1155" t="s">
        <v>891</v>
      </c>
      <c r="AJ1155">
        <v>35.267443999999998</v>
      </c>
      <c r="AK1155" t="s">
        <v>892</v>
      </c>
      <c r="AL1155">
        <v>-76.234988999999999</v>
      </c>
      <c r="AM1155">
        <v>25</v>
      </c>
      <c r="AN1155">
        <v>3425</v>
      </c>
      <c r="AO1155" t="s">
        <v>118</v>
      </c>
      <c r="AP1155">
        <v>-162</v>
      </c>
      <c r="AQ1155">
        <v>-150</v>
      </c>
      <c r="AR1155">
        <v>0</v>
      </c>
      <c r="AZ1155">
        <v>4516</v>
      </c>
      <c r="BA1155">
        <v>1</v>
      </c>
      <c r="BB1155" t="str">
        <f t="shared" si="113"/>
        <v xml:space="preserve">N79NX   </v>
      </c>
      <c r="BC1155">
        <v>1</v>
      </c>
      <c r="BE1155">
        <v>0</v>
      </c>
      <c r="BF1155">
        <v>0</v>
      </c>
      <c r="BG1155">
        <v>0</v>
      </c>
      <c r="BH1155">
        <v>3275</v>
      </c>
      <c r="BI1155">
        <v>0</v>
      </c>
      <c r="BJ1155">
        <v>0</v>
      </c>
      <c r="BK1155">
        <v>0</v>
      </c>
      <c r="BL1155">
        <v>0</v>
      </c>
      <c r="BO1155">
        <v>0</v>
      </c>
      <c r="BP1155">
        <v>0</v>
      </c>
      <c r="BW1155" t="str">
        <f>"18:41:57.311"</f>
        <v>18:41:57.311</v>
      </c>
      <c r="BZ1155">
        <v>0</v>
      </c>
      <c r="CA1155">
        <v>4096</v>
      </c>
      <c r="CB1155">
        <v>216</v>
      </c>
      <c r="CC1155">
        <v>507.65629999999999</v>
      </c>
      <c r="CD1155">
        <v>1</v>
      </c>
      <c r="CE1155">
        <v>1</v>
      </c>
      <c r="CF1155">
        <v>0</v>
      </c>
      <c r="CG1155">
        <v>1</v>
      </c>
      <c r="CH1155">
        <v>0</v>
      </c>
      <c r="CI1155">
        <v>1</v>
      </c>
      <c r="CJ1155">
        <v>0</v>
      </c>
      <c r="CK1155">
        <v>2</v>
      </c>
      <c r="CL1155">
        <v>0</v>
      </c>
      <c r="CM1155">
        <v>2</v>
      </c>
      <c r="CN1155">
        <v>0</v>
      </c>
      <c r="CO1155">
        <v>1</v>
      </c>
      <c r="CP1155" t="s">
        <v>119</v>
      </c>
      <c r="CQ1155">
        <v>145</v>
      </c>
      <c r="CR1155">
        <v>1</v>
      </c>
      <c r="CW1155">
        <v>9030462</v>
      </c>
      <c r="CY1155">
        <v>0</v>
      </c>
      <c r="CZ1155">
        <v>0</v>
      </c>
      <c r="DA1155">
        <v>1</v>
      </c>
      <c r="DB1155">
        <v>0</v>
      </c>
      <c r="DC1155">
        <v>0</v>
      </c>
      <c r="DD1155">
        <v>0</v>
      </c>
      <c r="DE1155">
        <v>0</v>
      </c>
      <c r="DF1155">
        <v>0</v>
      </c>
      <c r="DG1155">
        <v>0</v>
      </c>
      <c r="DH1155">
        <v>0</v>
      </c>
      <c r="DI1155">
        <v>0</v>
      </c>
    </row>
    <row r="1156" spans="1:113" x14ac:dyDescent="0.3">
      <c r="A1156" t="str">
        <f>"02/13/2022 18:41:58.417"</f>
        <v>02/13/2022 18:41:58.417</v>
      </c>
      <c r="C1156" t="str">
        <f t="shared" si="112"/>
        <v>FFDFD7C0</v>
      </c>
      <c r="D1156" t="s">
        <v>113</v>
      </c>
      <c r="E1156">
        <v>3</v>
      </c>
      <c r="F1156">
        <v>1003</v>
      </c>
      <c r="G1156" t="s">
        <v>114</v>
      </c>
      <c r="J1156" t="s">
        <v>115</v>
      </c>
      <c r="K1156">
        <v>0</v>
      </c>
      <c r="L1156">
        <v>3</v>
      </c>
      <c r="M1156">
        <v>0</v>
      </c>
      <c r="N1156">
        <v>2</v>
      </c>
      <c r="O1156">
        <v>1</v>
      </c>
      <c r="P1156">
        <v>0</v>
      </c>
      <c r="Q1156">
        <v>0</v>
      </c>
      <c r="S1156" t="str">
        <f>"18:41:58.219"</f>
        <v>18:41:58.219</v>
      </c>
      <c r="T1156" t="str">
        <f>"18:41:58.019"</f>
        <v>18:41:58.019</v>
      </c>
      <c r="U1156" t="str">
        <f t="shared" si="118"/>
        <v>AAB6EE</v>
      </c>
      <c r="V1156">
        <v>0</v>
      </c>
      <c r="W1156">
        <v>0</v>
      </c>
      <c r="X1156">
        <v>4</v>
      </c>
      <c r="Z1156">
        <v>0</v>
      </c>
      <c r="AA1156">
        <v>8</v>
      </c>
      <c r="AB1156">
        <v>3</v>
      </c>
      <c r="AC1156">
        <v>0</v>
      </c>
      <c r="AD1156">
        <v>10</v>
      </c>
      <c r="AE1156">
        <v>0</v>
      </c>
      <c r="AF1156">
        <v>0</v>
      </c>
      <c r="AG1156">
        <v>1</v>
      </c>
      <c r="AH1156">
        <v>1</v>
      </c>
      <c r="AI1156" t="s">
        <v>893</v>
      </c>
      <c r="AJ1156">
        <v>35.266756999999998</v>
      </c>
      <c r="AK1156" t="s">
        <v>894</v>
      </c>
      <c r="AL1156">
        <v>-76.235826000000003</v>
      </c>
      <c r="AM1156">
        <v>25</v>
      </c>
      <c r="AN1156">
        <v>3425</v>
      </c>
      <c r="AO1156" t="s">
        <v>118</v>
      </c>
      <c r="AP1156">
        <v>-159</v>
      </c>
      <c r="AQ1156">
        <v>-153</v>
      </c>
      <c r="AR1156">
        <v>0</v>
      </c>
      <c r="AZ1156">
        <v>4516</v>
      </c>
      <c r="BA1156">
        <v>1</v>
      </c>
      <c r="BB1156" t="str">
        <f t="shared" si="113"/>
        <v xml:space="preserve">N79NX   </v>
      </c>
      <c r="BC1156">
        <v>1</v>
      </c>
      <c r="BE1156">
        <v>0</v>
      </c>
      <c r="BF1156">
        <v>0</v>
      </c>
      <c r="BG1156">
        <v>0</v>
      </c>
      <c r="BH1156">
        <v>3275</v>
      </c>
      <c r="BI1156">
        <v>0</v>
      </c>
      <c r="BJ1156">
        <v>0</v>
      </c>
      <c r="BK1156">
        <v>0</v>
      </c>
      <c r="BL1156">
        <v>0</v>
      </c>
      <c r="BO1156">
        <v>0</v>
      </c>
      <c r="BP1156">
        <v>0</v>
      </c>
      <c r="BW1156" t="str">
        <f>"18:41:58.221"</f>
        <v>18:41:58.221</v>
      </c>
      <c r="BZ1156">
        <v>0</v>
      </c>
      <c r="CA1156">
        <v>4096</v>
      </c>
      <c r="CB1156">
        <v>216</v>
      </c>
      <c r="CC1156">
        <v>507.65629999999999</v>
      </c>
      <c r="CD1156">
        <v>1</v>
      </c>
      <c r="CE1156">
        <v>1</v>
      </c>
      <c r="CF1156">
        <v>0</v>
      </c>
      <c r="CG1156">
        <v>1</v>
      </c>
      <c r="CH1156">
        <v>0</v>
      </c>
      <c r="CI1156">
        <v>1</v>
      </c>
      <c r="CJ1156">
        <v>0</v>
      </c>
      <c r="CK1156">
        <v>2</v>
      </c>
      <c r="CL1156">
        <v>0</v>
      </c>
      <c r="CM1156">
        <v>2</v>
      </c>
      <c r="CN1156">
        <v>0</v>
      </c>
      <c r="CO1156">
        <v>1</v>
      </c>
      <c r="CP1156" t="s">
        <v>119</v>
      </c>
      <c r="CQ1156">
        <v>145</v>
      </c>
      <c r="CR1156">
        <v>1</v>
      </c>
      <c r="CW1156">
        <v>9030897</v>
      </c>
      <c r="CY1156">
        <v>0</v>
      </c>
      <c r="CZ1156">
        <v>0</v>
      </c>
      <c r="DA1156">
        <v>0</v>
      </c>
      <c r="DB1156">
        <v>0</v>
      </c>
      <c r="DC1156">
        <v>0</v>
      </c>
      <c r="DD1156">
        <v>0</v>
      </c>
      <c r="DE1156">
        <v>0</v>
      </c>
      <c r="DF1156">
        <v>0</v>
      </c>
      <c r="DG1156">
        <v>0</v>
      </c>
      <c r="DH1156">
        <v>0</v>
      </c>
      <c r="DI1156">
        <v>0</v>
      </c>
    </row>
    <row r="1157" spans="1:113" x14ac:dyDescent="0.3">
      <c r="A1157" t="str">
        <f>"02/13/2022 18:41:58.417"</f>
        <v>02/13/2022 18:41:58.417</v>
      </c>
      <c r="C1157" t="str">
        <f t="shared" ref="C1157:C1220" si="119">"FFDFD7C0"</f>
        <v>FFDFD7C0</v>
      </c>
      <c r="D1157" t="s">
        <v>113</v>
      </c>
      <c r="E1157">
        <v>4</v>
      </c>
      <c r="F1157">
        <v>1004</v>
      </c>
      <c r="G1157" t="s">
        <v>120</v>
      </c>
      <c r="J1157" t="s">
        <v>115</v>
      </c>
      <c r="K1157">
        <v>0</v>
      </c>
      <c r="L1157">
        <v>3</v>
      </c>
      <c r="M1157">
        <v>0</v>
      </c>
      <c r="N1157">
        <v>2</v>
      </c>
      <c r="O1157">
        <v>1</v>
      </c>
      <c r="P1157">
        <v>0</v>
      </c>
      <c r="Q1157">
        <v>0</v>
      </c>
      <c r="S1157" t="str">
        <f>"18:41:58.219"</f>
        <v>18:41:58.219</v>
      </c>
      <c r="T1157" t="str">
        <f>"18:41:58.019"</f>
        <v>18:41:58.019</v>
      </c>
      <c r="U1157" t="str">
        <f t="shared" si="118"/>
        <v>AAB6EE</v>
      </c>
      <c r="V1157">
        <v>0</v>
      </c>
      <c r="W1157">
        <v>0</v>
      </c>
      <c r="X1157">
        <v>4</v>
      </c>
      <c r="Z1157">
        <v>0</v>
      </c>
      <c r="AA1157">
        <v>8</v>
      </c>
      <c r="AB1157">
        <v>3</v>
      </c>
      <c r="AC1157">
        <v>0</v>
      </c>
      <c r="AD1157">
        <v>10</v>
      </c>
      <c r="AE1157">
        <v>0</v>
      </c>
      <c r="AF1157">
        <v>0</v>
      </c>
      <c r="AG1157">
        <v>1</v>
      </c>
      <c r="AH1157">
        <v>1</v>
      </c>
      <c r="AI1157" t="s">
        <v>893</v>
      </c>
      <c r="AJ1157">
        <v>35.266756999999998</v>
      </c>
      <c r="AK1157" t="s">
        <v>894</v>
      </c>
      <c r="AL1157">
        <v>-76.235826000000003</v>
      </c>
      <c r="AM1157">
        <v>25</v>
      </c>
      <c r="AN1157">
        <v>3425</v>
      </c>
      <c r="AO1157" t="s">
        <v>118</v>
      </c>
      <c r="AP1157">
        <v>-159</v>
      </c>
      <c r="AQ1157">
        <v>-153</v>
      </c>
      <c r="AR1157">
        <v>0</v>
      </c>
      <c r="AZ1157">
        <v>4516</v>
      </c>
      <c r="BA1157">
        <v>1</v>
      </c>
      <c r="BB1157" t="str">
        <f t="shared" ref="BB1157:BB1220" si="120">"N79NX   "</f>
        <v xml:space="preserve">N79NX   </v>
      </c>
      <c r="BC1157">
        <v>1</v>
      </c>
      <c r="BE1157">
        <v>0</v>
      </c>
      <c r="BF1157">
        <v>0</v>
      </c>
      <c r="BG1157">
        <v>0</v>
      </c>
      <c r="BH1157">
        <v>3275</v>
      </c>
      <c r="BI1157">
        <v>0</v>
      </c>
      <c r="BJ1157">
        <v>0</v>
      </c>
      <c r="BK1157">
        <v>0</v>
      </c>
      <c r="BL1157">
        <v>0</v>
      </c>
      <c r="BO1157">
        <v>0</v>
      </c>
      <c r="BP1157">
        <v>0</v>
      </c>
      <c r="BW1157" t="str">
        <f>"18:41:58.221"</f>
        <v>18:41:58.221</v>
      </c>
      <c r="BZ1157">
        <v>0</v>
      </c>
      <c r="CA1157">
        <v>4096</v>
      </c>
      <c r="CB1157">
        <v>216</v>
      </c>
      <c r="CC1157">
        <v>507.65629999999999</v>
      </c>
      <c r="CD1157">
        <v>1</v>
      </c>
      <c r="CE1157">
        <v>1</v>
      </c>
      <c r="CF1157">
        <v>0</v>
      </c>
      <c r="CG1157">
        <v>1</v>
      </c>
      <c r="CH1157">
        <v>0</v>
      </c>
      <c r="CI1157">
        <v>1</v>
      </c>
      <c r="CJ1157">
        <v>0</v>
      </c>
      <c r="CK1157">
        <v>2</v>
      </c>
      <c r="CL1157">
        <v>0</v>
      </c>
      <c r="CM1157">
        <v>2</v>
      </c>
      <c r="CN1157">
        <v>0</v>
      </c>
      <c r="CO1157">
        <v>1</v>
      </c>
      <c r="CP1157" t="s">
        <v>119</v>
      </c>
      <c r="CQ1157">
        <v>145</v>
      </c>
      <c r="CR1157">
        <v>1</v>
      </c>
      <c r="CW1157">
        <v>9030897</v>
      </c>
      <c r="CY1157">
        <v>0</v>
      </c>
      <c r="CZ1157">
        <v>0</v>
      </c>
      <c r="DA1157">
        <v>1</v>
      </c>
      <c r="DB1157">
        <v>0</v>
      </c>
      <c r="DC1157">
        <v>0</v>
      </c>
      <c r="DD1157">
        <v>0</v>
      </c>
      <c r="DE1157">
        <v>0</v>
      </c>
      <c r="DF1157">
        <v>0</v>
      </c>
      <c r="DG1157">
        <v>0</v>
      </c>
      <c r="DH1157">
        <v>0</v>
      </c>
      <c r="DI1157">
        <v>0</v>
      </c>
    </row>
    <row r="1158" spans="1:113" x14ac:dyDescent="0.3">
      <c r="A1158" t="str">
        <f>"02/13/2022 18:41:58.479"</f>
        <v>02/13/2022 18:41:58.479</v>
      </c>
      <c r="C1158" t="str">
        <f t="shared" si="119"/>
        <v>FFDFD7C0</v>
      </c>
      <c r="D1158" t="s">
        <v>121</v>
      </c>
      <c r="E1158">
        <v>2</v>
      </c>
      <c r="H1158">
        <v>158</v>
      </c>
      <c r="I1158" t="s">
        <v>120</v>
      </c>
      <c r="J1158" t="s">
        <v>122</v>
      </c>
      <c r="K1158">
        <v>0</v>
      </c>
      <c r="L1158">
        <v>3</v>
      </c>
      <c r="M1158">
        <v>0</v>
      </c>
      <c r="N1158">
        <v>2</v>
      </c>
      <c r="O1158">
        <v>1</v>
      </c>
      <c r="P1158">
        <v>0</v>
      </c>
      <c r="Q1158">
        <v>0</v>
      </c>
      <c r="S1158" t="str">
        <f>"18:41:58.219"</f>
        <v>18:41:58.219</v>
      </c>
      <c r="T1158" t="str">
        <f>"18:41:58.019"</f>
        <v>18:41:58.019</v>
      </c>
      <c r="U1158" t="str">
        <f t="shared" si="118"/>
        <v>AAB6EE</v>
      </c>
      <c r="V1158">
        <v>0</v>
      </c>
      <c r="W1158">
        <v>0</v>
      </c>
      <c r="X1158">
        <v>4</v>
      </c>
      <c r="Z1158">
        <v>0</v>
      </c>
      <c r="AA1158">
        <v>8</v>
      </c>
      <c r="AB1158">
        <v>3</v>
      </c>
      <c r="AC1158">
        <v>0</v>
      </c>
      <c r="AD1158">
        <v>10</v>
      </c>
      <c r="AE1158">
        <v>0</v>
      </c>
      <c r="AF1158">
        <v>0</v>
      </c>
      <c r="AG1158">
        <v>1</v>
      </c>
      <c r="AH1158">
        <v>1</v>
      </c>
      <c r="AI1158" t="s">
        <v>893</v>
      </c>
      <c r="AJ1158">
        <v>35.266756999999998</v>
      </c>
      <c r="AK1158" t="s">
        <v>894</v>
      </c>
      <c r="AL1158">
        <v>-76.235826000000003</v>
      </c>
      <c r="AM1158">
        <v>25</v>
      </c>
      <c r="AN1158">
        <v>3425</v>
      </c>
      <c r="AO1158" t="s">
        <v>118</v>
      </c>
      <c r="AP1158">
        <v>-159</v>
      </c>
      <c r="AQ1158">
        <v>-153</v>
      </c>
      <c r="AR1158">
        <v>0</v>
      </c>
      <c r="AZ1158">
        <v>4516</v>
      </c>
      <c r="BA1158">
        <v>1</v>
      </c>
      <c r="BB1158" t="str">
        <f t="shared" si="120"/>
        <v xml:space="preserve">N79NX   </v>
      </c>
      <c r="BC1158">
        <v>1</v>
      </c>
      <c r="BE1158">
        <v>0</v>
      </c>
      <c r="BF1158">
        <v>0</v>
      </c>
      <c r="BG1158">
        <v>0</v>
      </c>
      <c r="BH1158">
        <v>3275</v>
      </c>
      <c r="BI1158">
        <v>0</v>
      </c>
      <c r="BJ1158">
        <v>0</v>
      </c>
      <c r="BK1158">
        <v>0</v>
      </c>
      <c r="BL1158">
        <v>0</v>
      </c>
      <c r="BO1158">
        <v>0</v>
      </c>
      <c r="BP1158">
        <v>0</v>
      </c>
      <c r="BW1158" t="str">
        <f>"18:41:58.221"</f>
        <v>18:41:58.221</v>
      </c>
      <c r="BZ1158">
        <v>0</v>
      </c>
      <c r="CA1158">
        <v>4096</v>
      </c>
      <c r="CB1158">
        <v>216</v>
      </c>
      <c r="CC1158">
        <v>507.65629999999999</v>
      </c>
      <c r="CD1158">
        <v>1</v>
      </c>
      <c r="CE1158">
        <v>1</v>
      </c>
      <c r="CF1158">
        <v>0</v>
      </c>
      <c r="CG1158">
        <v>1</v>
      </c>
      <c r="CH1158">
        <v>0</v>
      </c>
      <c r="CI1158">
        <v>1</v>
      </c>
      <c r="CJ1158">
        <v>0</v>
      </c>
      <c r="CK1158">
        <v>2</v>
      </c>
      <c r="CL1158">
        <v>0</v>
      </c>
      <c r="CM1158">
        <v>2</v>
      </c>
      <c r="CN1158">
        <v>0</v>
      </c>
      <c r="CO1158">
        <v>1</v>
      </c>
      <c r="CP1158" t="s">
        <v>119</v>
      </c>
      <c r="CQ1158">
        <v>145</v>
      </c>
      <c r="CR1158">
        <v>1</v>
      </c>
      <c r="CW1158">
        <v>9030897</v>
      </c>
      <c r="CY1158">
        <v>0</v>
      </c>
      <c r="CZ1158">
        <v>0</v>
      </c>
      <c r="DA1158">
        <v>1</v>
      </c>
      <c r="DB1158">
        <v>0</v>
      </c>
      <c r="DC1158">
        <v>0</v>
      </c>
      <c r="DD1158">
        <v>0</v>
      </c>
      <c r="DE1158">
        <v>0</v>
      </c>
      <c r="DF1158">
        <v>0</v>
      </c>
      <c r="DG1158">
        <v>0</v>
      </c>
      <c r="DH1158">
        <v>0</v>
      </c>
      <c r="DI1158">
        <v>0</v>
      </c>
    </row>
    <row r="1159" spans="1:113" x14ac:dyDescent="0.3">
      <c r="A1159" t="str">
        <f>"02/13/2022 18:41:59.480"</f>
        <v>02/13/2022 18:41:59.480</v>
      </c>
      <c r="C1159" t="str">
        <f t="shared" si="119"/>
        <v>FFDFD7C0</v>
      </c>
      <c r="D1159" t="s">
        <v>113</v>
      </c>
      <c r="E1159">
        <v>4</v>
      </c>
      <c r="F1159">
        <v>1004</v>
      </c>
      <c r="G1159" t="s">
        <v>120</v>
      </c>
      <c r="J1159" t="s">
        <v>115</v>
      </c>
      <c r="K1159">
        <v>0</v>
      </c>
      <c r="L1159">
        <v>3</v>
      </c>
      <c r="M1159">
        <v>0</v>
      </c>
      <c r="N1159">
        <v>2</v>
      </c>
      <c r="O1159">
        <v>1</v>
      </c>
      <c r="P1159">
        <v>0</v>
      </c>
      <c r="Q1159">
        <v>0</v>
      </c>
      <c r="S1159" t="str">
        <f>"18:41:59.266"</f>
        <v>18:41:59.266</v>
      </c>
      <c r="T1159" t="str">
        <f>"18:41:59.066"</f>
        <v>18:41:59.066</v>
      </c>
      <c r="U1159" t="str">
        <f t="shared" si="118"/>
        <v>AAB6EE</v>
      </c>
      <c r="V1159">
        <v>0</v>
      </c>
      <c r="W1159">
        <v>0</v>
      </c>
      <c r="X1159">
        <v>4</v>
      </c>
      <c r="Z1159">
        <v>0</v>
      </c>
      <c r="AA1159">
        <v>8</v>
      </c>
      <c r="AB1159">
        <v>3</v>
      </c>
      <c r="AC1159">
        <v>0</v>
      </c>
      <c r="AD1159">
        <v>10</v>
      </c>
      <c r="AE1159">
        <v>0</v>
      </c>
      <c r="AF1159">
        <v>0</v>
      </c>
      <c r="AG1159">
        <v>1</v>
      </c>
      <c r="AH1159">
        <v>1</v>
      </c>
      <c r="AI1159" t="s">
        <v>895</v>
      </c>
      <c r="AJ1159">
        <v>35.266069999999999</v>
      </c>
      <c r="AK1159" t="s">
        <v>896</v>
      </c>
      <c r="AL1159">
        <v>-76.236705999999998</v>
      </c>
      <c r="AM1159">
        <v>25</v>
      </c>
      <c r="AN1159">
        <v>3425</v>
      </c>
      <c r="AO1159" t="s">
        <v>118</v>
      </c>
      <c r="AP1159">
        <v>-156</v>
      </c>
      <c r="AQ1159">
        <v>-157</v>
      </c>
      <c r="AR1159">
        <v>0</v>
      </c>
      <c r="AZ1159">
        <v>4516</v>
      </c>
      <c r="BA1159">
        <v>1</v>
      </c>
      <c r="BB1159" t="str">
        <f t="shared" si="120"/>
        <v xml:space="preserve">N79NX   </v>
      </c>
      <c r="BC1159">
        <v>1</v>
      </c>
      <c r="BE1159">
        <v>0</v>
      </c>
      <c r="BF1159">
        <v>0</v>
      </c>
      <c r="BG1159">
        <v>0</v>
      </c>
      <c r="BH1159">
        <v>3300</v>
      </c>
      <c r="BI1159">
        <v>0</v>
      </c>
      <c r="BJ1159">
        <v>0</v>
      </c>
      <c r="BK1159">
        <v>0</v>
      </c>
      <c r="BL1159">
        <v>0</v>
      </c>
      <c r="BO1159">
        <v>0</v>
      </c>
      <c r="BP1159">
        <v>0</v>
      </c>
      <c r="BW1159" t="str">
        <f>"18:41:59.271"</f>
        <v>18:41:59.271</v>
      </c>
      <c r="BZ1159">
        <v>0</v>
      </c>
      <c r="CA1159">
        <v>4096</v>
      </c>
      <c r="CB1159">
        <v>216</v>
      </c>
      <c r="CC1159">
        <v>582.1875</v>
      </c>
      <c r="CD1159">
        <v>1</v>
      </c>
      <c r="CE1159">
        <v>1</v>
      </c>
      <c r="CF1159">
        <v>0</v>
      </c>
      <c r="CG1159">
        <v>1</v>
      </c>
      <c r="CH1159">
        <v>0</v>
      </c>
      <c r="CI1159">
        <v>1</v>
      </c>
      <c r="CJ1159">
        <v>0</v>
      </c>
      <c r="CK1159">
        <v>2</v>
      </c>
      <c r="CL1159">
        <v>0</v>
      </c>
      <c r="CM1159">
        <v>2</v>
      </c>
      <c r="CN1159">
        <v>0</v>
      </c>
      <c r="CO1159">
        <v>1</v>
      </c>
      <c r="CP1159" t="s">
        <v>119</v>
      </c>
      <c r="CQ1159">
        <v>145</v>
      </c>
      <c r="CR1159">
        <v>1</v>
      </c>
      <c r="CW1159">
        <v>9031268</v>
      </c>
      <c r="CY1159">
        <v>0</v>
      </c>
      <c r="CZ1159">
        <v>0</v>
      </c>
      <c r="DA1159">
        <v>0</v>
      </c>
      <c r="DB1159">
        <v>0</v>
      </c>
      <c r="DC1159">
        <v>0</v>
      </c>
      <c r="DD1159">
        <v>0</v>
      </c>
      <c r="DE1159">
        <v>0</v>
      </c>
      <c r="DF1159">
        <v>0</v>
      </c>
      <c r="DG1159">
        <v>0</v>
      </c>
      <c r="DH1159">
        <v>0</v>
      </c>
      <c r="DI1159">
        <v>0</v>
      </c>
    </row>
    <row r="1160" spans="1:113" x14ac:dyDescent="0.3">
      <c r="A1160" t="str">
        <f>"02/13/2022 18:41:59.480"</f>
        <v>02/13/2022 18:41:59.480</v>
      </c>
      <c r="C1160" t="str">
        <f t="shared" si="119"/>
        <v>FFDFD7C0</v>
      </c>
      <c r="D1160" t="s">
        <v>113</v>
      </c>
      <c r="E1160">
        <v>3</v>
      </c>
      <c r="F1160">
        <v>1003</v>
      </c>
      <c r="G1160" t="s">
        <v>114</v>
      </c>
      <c r="J1160" t="s">
        <v>115</v>
      </c>
      <c r="K1160">
        <v>0</v>
      </c>
      <c r="L1160">
        <v>3</v>
      </c>
      <c r="M1160">
        <v>0</v>
      </c>
      <c r="N1160">
        <v>2</v>
      </c>
      <c r="O1160">
        <v>1</v>
      </c>
      <c r="P1160">
        <v>0</v>
      </c>
      <c r="Q1160">
        <v>0</v>
      </c>
      <c r="S1160" t="str">
        <f>"18:41:59.266"</f>
        <v>18:41:59.266</v>
      </c>
      <c r="T1160" t="str">
        <f>"18:41:59.066"</f>
        <v>18:41:59.066</v>
      </c>
      <c r="U1160" t="str">
        <f t="shared" si="118"/>
        <v>AAB6EE</v>
      </c>
      <c r="V1160">
        <v>0</v>
      </c>
      <c r="W1160">
        <v>0</v>
      </c>
      <c r="X1160">
        <v>4</v>
      </c>
      <c r="Z1160">
        <v>0</v>
      </c>
      <c r="AA1160">
        <v>8</v>
      </c>
      <c r="AB1160">
        <v>3</v>
      </c>
      <c r="AC1160">
        <v>0</v>
      </c>
      <c r="AD1160">
        <v>10</v>
      </c>
      <c r="AE1160">
        <v>0</v>
      </c>
      <c r="AF1160">
        <v>0</v>
      </c>
      <c r="AG1160">
        <v>1</v>
      </c>
      <c r="AH1160">
        <v>1</v>
      </c>
      <c r="AI1160" t="s">
        <v>895</v>
      </c>
      <c r="AJ1160">
        <v>35.266069999999999</v>
      </c>
      <c r="AK1160" t="s">
        <v>896</v>
      </c>
      <c r="AL1160">
        <v>-76.236705999999998</v>
      </c>
      <c r="AM1160">
        <v>25</v>
      </c>
      <c r="AN1160">
        <v>3425</v>
      </c>
      <c r="AO1160" t="s">
        <v>118</v>
      </c>
      <c r="AP1160">
        <v>-156</v>
      </c>
      <c r="AQ1160">
        <v>-157</v>
      </c>
      <c r="AR1160">
        <v>0</v>
      </c>
      <c r="AZ1160">
        <v>4516</v>
      </c>
      <c r="BA1160">
        <v>1</v>
      </c>
      <c r="BB1160" t="str">
        <f t="shared" si="120"/>
        <v xml:space="preserve">N79NX   </v>
      </c>
      <c r="BC1160">
        <v>1</v>
      </c>
      <c r="BE1160">
        <v>0</v>
      </c>
      <c r="BF1160">
        <v>0</v>
      </c>
      <c r="BG1160">
        <v>0</v>
      </c>
      <c r="BH1160">
        <v>3300</v>
      </c>
      <c r="BI1160">
        <v>0</v>
      </c>
      <c r="BJ1160">
        <v>0</v>
      </c>
      <c r="BK1160">
        <v>0</v>
      </c>
      <c r="BL1160">
        <v>0</v>
      </c>
      <c r="BO1160">
        <v>0</v>
      </c>
      <c r="BP1160">
        <v>0</v>
      </c>
      <c r="BW1160" t="str">
        <f>"18:41:59.271"</f>
        <v>18:41:59.271</v>
      </c>
      <c r="BZ1160">
        <v>0</v>
      </c>
      <c r="CA1160">
        <v>4096</v>
      </c>
      <c r="CB1160">
        <v>216</v>
      </c>
      <c r="CC1160">
        <v>582.1875</v>
      </c>
      <c r="CD1160">
        <v>1</v>
      </c>
      <c r="CE1160">
        <v>1</v>
      </c>
      <c r="CF1160">
        <v>0</v>
      </c>
      <c r="CG1160">
        <v>1</v>
      </c>
      <c r="CH1160">
        <v>0</v>
      </c>
      <c r="CI1160">
        <v>1</v>
      </c>
      <c r="CJ1160">
        <v>0</v>
      </c>
      <c r="CK1160">
        <v>2</v>
      </c>
      <c r="CL1160">
        <v>0</v>
      </c>
      <c r="CM1160">
        <v>2</v>
      </c>
      <c r="CN1160">
        <v>0</v>
      </c>
      <c r="CO1160">
        <v>1</v>
      </c>
      <c r="CP1160" t="s">
        <v>119</v>
      </c>
      <c r="CQ1160">
        <v>145</v>
      </c>
      <c r="CR1160">
        <v>1</v>
      </c>
      <c r="CW1160">
        <v>9031268</v>
      </c>
      <c r="CY1160">
        <v>0</v>
      </c>
      <c r="CZ1160">
        <v>0</v>
      </c>
      <c r="DA1160">
        <v>1</v>
      </c>
      <c r="DB1160">
        <v>0</v>
      </c>
      <c r="DC1160">
        <v>0</v>
      </c>
      <c r="DD1160">
        <v>0</v>
      </c>
      <c r="DE1160">
        <v>0</v>
      </c>
      <c r="DF1160">
        <v>0</v>
      </c>
      <c r="DG1160">
        <v>0</v>
      </c>
      <c r="DH1160">
        <v>0</v>
      </c>
      <c r="DI1160">
        <v>0</v>
      </c>
    </row>
    <row r="1161" spans="1:113" x14ac:dyDescent="0.3">
      <c r="A1161" t="str">
        <f>"02/13/2022 18:41:59.528"</f>
        <v>02/13/2022 18:41:59.528</v>
      </c>
      <c r="C1161" t="str">
        <f t="shared" si="119"/>
        <v>FFDFD7C0</v>
      </c>
      <c r="D1161" t="s">
        <v>121</v>
      </c>
      <c r="E1161">
        <v>2</v>
      </c>
      <c r="H1161">
        <v>158</v>
      </c>
      <c r="I1161" t="s">
        <v>120</v>
      </c>
      <c r="J1161" t="s">
        <v>122</v>
      </c>
      <c r="K1161">
        <v>0</v>
      </c>
      <c r="L1161">
        <v>3</v>
      </c>
      <c r="M1161">
        <v>0</v>
      </c>
      <c r="N1161">
        <v>2</v>
      </c>
      <c r="O1161">
        <v>1</v>
      </c>
      <c r="P1161">
        <v>0</v>
      </c>
      <c r="Q1161">
        <v>0</v>
      </c>
      <c r="S1161" t="str">
        <f>"18:41:59.266"</f>
        <v>18:41:59.266</v>
      </c>
      <c r="T1161" t="str">
        <f>"18:41:59.066"</f>
        <v>18:41:59.066</v>
      </c>
      <c r="U1161" t="str">
        <f t="shared" si="118"/>
        <v>AAB6EE</v>
      </c>
      <c r="V1161">
        <v>0</v>
      </c>
      <c r="W1161">
        <v>0</v>
      </c>
      <c r="X1161">
        <v>4</v>
      </c>
      <c r="Z1161">
        <v>0</v>
      </c>
      <c r="AA1161">
        <v>8</v>
      </c>
      <c r="AB1161">
        <v>3</v>
      </c>
      <c r="AC1161">
        <v>0</v>
      </c>
      <c r="AD1161">
        <v>10</v>
      </c>
      <c r="AE1161">
        <v>0</v>
      </c>
      <c r="AF1161">
        <v>0</v>
      </c>
      <c r="AG1161">
        <v>1</v>
      </c>
      <c r="AH1161">
        <v>1</v>
      </c>
      <c r="AI1161" t="s">
        <v>895</v>
      </c>
      <c r="AJ1161">
        <v>35.266069999999999</v>
      </c>
      <c r="AK1161" t="s">
        <v>896</v>
      </c>
      <c r="AL1161">
        <v>-76.236705999999998</v>
      </c>
      <c r="AM1161">
        <v>25</v>
      </c>
      <c r="AN1161">
        <v>3425</v>
      </c>
      <c r="AO1161" t="s">
        <v>118</v>
      </c>
      <c r="AP1161">
        <v>-156</v>
      </c>
      <c r="AQ1161">
        <v>-157</v>
      </c>
      <c r="AR1161">
        <v>0</v>
      </c>
      <c r="AZ1161">
        <v>4516</v>
      </c>
      <c r="BA1161">
        <v>1</v>
      </c>
      <c r="BB1161" t="str">
        <f t="shared" si="120"/>
        <v xml:space="preserve">N79NX   </v>
      </c>
      <c r="BC1161">
        <v>1</v>
      </c>
      <c r="BE1161">
        <v>0</v>
      </c>
      <c r="BF1161">
        <v>0</v>
      </c>
      <c r="BG1161">
        <v>0</v>
      </c>
      <c r="BH1161">
        <v>3300</v>
      </c>
      <c r="BI1161">
        <v>0</v>
      </c>
      <c r="BJ1161">
        <v>0</v>
      </c>
      <c r="BK1161">
        <v>0</v>
      </c>
      <c r="BL1161">
        <v>0</v>
      </c>
      <c r="BO1161">
        <v>0</v>
      </c>
      <c r="BP1161">
        <v>0</v>
      </c>
      <c r="BW1161" t="str">
        <f>"18:41:59.271"</f>
        <v>18:41:59.271</v>
      </c>
      <c r="BZ1161">
        <v>0</v>
      </c>
      <c r="CA1161">
        <v>4096</v>
      </c>
      <c r="CB1161">
        <v>216</v>
      </c>
      <c r="CC1161">
        <v>582.1875</v>
      </c>
      <c r="CD1161">
        <v>1</v>
      </c>
      <c r="CE1161">
        <v>1</v>
      </c>
      <c r="CF1161">
        <v>0</v>
      </c>
      <c r="CG1161">
        <v>1</v>
      </c>
      <c r="CH1161">
        <v>0</v>
      </c>
      <c r="CI1161">
        <v>1</v>
      </c>
      <c r="CJ1161">
        <v>0</v>
      </c>
      <c r="CK1161">
        <v>2</v>
      </c>
      <c r="CL1161">
        <v>0</v>
      </c>
      <c r="CM1161">
        <v>2</v>
      </c>
      <c r="CN1161">
        <v>0</v>
      </c>
      <c r="CO1161">
        <v>1</v>
      </c>
      <c r="CP1161" t="s">
        <v>119</v>
      </c>
      <c r="CQ1161">
        <v>145</v>
      </c>
      <c r="CR1161">
        <v>1</v>
      </c>
      <c r="CW1161">
        <v>9031268</v>
      </c>
      <c r="CY1161">
        <v>0</v>
      </c>
      <c r="CZ1161">
        <v>0</v>
      </c>
      <c r="DA1161">
        <v>1</v>
      </c>
      <c r="DB1161">
        <v>0</v>
      </c>
      <c r="DC1161">
        <v>0</v>
      </c>
      <c r="DD1161">
        <v>0</v>
      </c>
      <c r="DE1161">
        <v>0</v>
      </c>
      <c r="DF1161">
        <v>0</v>
      </c>
      <c r="DG1161">
        <v>0</v>
      </c>
      <c r="DH1161">
        <v>0</v>
      </c>
      <c r="DI1161">
        <v>0</v>
      </c>
    </row>
    <row r="1162" spans="1:113" x14ac:dyDescent="0.3">
      <c r="A1162" t="str">
        <f>"02/13/2022 18:42:00.419"</f>
        <v>02/13/2022 18:42:00.419</v>
      </c>
      <c r="C1162" t="str">
        <f t="shared" si="119"/>
        <v>FFDFD7C0</v>
      </c>
      <c r="D1162" t="s">
        <v>121</v>
      </c>
      <c r="E1162">
        <v>2</v>
      </c>
      <c r="H1162">
        <v>158</v>
      </c>
      <c r="I1162" t="s">
        <v>120</v>
      </c>
      <c r="J1162" t="s">
        <v>122</v>
      </c>
      <c r="K1162">
        <v>0</v>
      </c>
      <c r="L1162">
        <v>3</v>
      </c>
      <c r="M1162">
        <v>0</v>
      </c>
      <c r="N1162">
        <v>2</v>
      </c>
      <c r="O1162">
        <v>1</v>
      </c>
      <c r="P1162">
        <v>0</v>
      </c>
      <c r="Q1162">
        <v>0</v>
      </c>
      <c r="S1162" t="str">
        <f t="shared" ref="S1162:T1164" si="121">"18:42:00.195"</f>
        <v>18:42:00.195</v>
      </c>
      <c r="T1162" t="str">
        <f t="shared" si="121"/>
        <v>18:42:00.195</v>
      </c>
      <c r="U1162" t="str">
        <f t="shared" si="118"/>
        <v>AAB6EE</v>
      </c>
      <c r="V1162">
        <v>0</v>
      </c>
      <c r="W1162">
        <v>0</v>
      </c>
      <c r="X1162">
        <v>4</v>
      </c>
      <c r="Z1162">
        <v>0</v>
      </c>
      <c r="AA1162">
        <v>8</v>
      </c>
      <c r="AB1162">
        <v>3</v>
      </c>
      <c r="AC1162">
        <v>0</v>
      </c>
      <c r="AD1162">
        <v>10</v>
      </c>
      <c r="AE1162">
        <v>0</v>
      </c>
      <c r="AF1162">
        <v>0</v>
      </c>
      <c r="AG1162">
        <v>1</v>
      </c>
      <c r="AH1162">
        <v>1</v>
      </c>
      <c r="AI1162" t="s">
        <v>897</v>
      </c>
      <c r="AJ1162">
        <v>35.265383999999997</v>
      </c>
      <c r="AK1162" t="s">
        <v>898</v>
      </c>
      <c r="AL1162">
        <v>-76.237499999999997</v>
      </c>
      <c r="AM1162">
        <v>25</v>
      </c>
      <c r="AN1162">
        <v>3425</v>
      </c>
      <c r="AO1162" t="s">
        <v>118</v>
      </c>
      <c r="AP1162">
        <v>-153</v>
      </c>
      <c r="AQ1162">
        <v>-160</v>
      </c>
      <c r="AR1162">
        <v>64</v>
      </c>
      <c r="AZ1162">
        <v>4516</v>
      </c>
      <c r="BA1162">
        <v>1</v>
      </c>
      <c r="BB1162" t="str">
        <f t="shared" si="120"/>
        <v xml:space="preserve">N79NX   </v>
      </c>
      <c r="BC1162">
        <v>1</v>
      </c>
      <c r="BE1162">
        <v>0</v>
      </c>
      <c r="BF1162">
        <v>0</v>
      </c>
      <c r="BG1162">
        <v>0</v>
      </c>
      <c r="BH1162">
        <v>3275</v>
      </c>
      <c r="BI1162">
        <v>0</v>
      </c>
      <c r="BJ1162">
        <v>0</v>
      </c>
      <c r="BK1162">
        <v>0</v>
      </c>
      <c r="BL1162">
        <v>0</v>
      </c>
      <c r="BO1162">
        <v>0</v>
      </c>
      <c r="BP1162">
        <v>0</v>
      </c>
      <c r="BW1162" t="str">
        <f>"18:42:00.201"</f>
        <v>18:42:00.201</v>
      </c>
      <c r="BZ1162">
        <v>0</v>
      </c>
      <c r="CA1162">
        <v>4096</v>
      </c>
      <c r="CB1162">
        <v>216</v>
      </c>
      <c r="CC1162">
        <v>583.59379999999999</v>
      </c>
      <c r="CD1162">
        <v>1</v>
      </c>
      <c r="CE1162">
        <v>1</v>
      </c>
      <c r="CF1162">
        <v>0</v>
      </c>
      <c r="CG1162">
        <v>1</v>
      </c>
      <c r="CH1162">
        <v>0</v>
      </c>
      <c r="CI1162">
        <v>1</v>
      </c>
      <c r="CJ1162">
        <v>0</v>
      </c>
      <c r="CK1162">
        <v>2</v>
      </c>
      <c r="CL1162">
        <v>0</v>
      </c>
      <c r="CM1162">
        <v>2</v>
      </c>
      <c r="CN1162">
        <v>0</v>
      </c>
      <c r="CO1162">
        <v>1</v>
      </c>
      <c r="CP1162" t="s">
        <v>119</v>
      </c>
      <c r="CQ1162">
        <v>145</v>
      </c>
      <c r="CR1162">
        <v>1</v>
      </c>
      <c r="CW1162">
        <v>9031686</v>
      </c>
      <c r="CY1162">
        <v>0</v>
      </c>
      <c r="CZ1162">
        <v>0</v>
      </c>
      <c r="DA1162">
        <v>0</v>
      </c>
      <c r="DB1162">
        <v>0</v>
      </c>
      <c r="DC1162">
        <v>0</v>
      </c>
      <c r="DD1162">
        <v>0</v>
      </c>
      <c r="DE1162">
        <v>0</v>
      </c>
      <c r="DF1162">
        <v>0</v>
      </c>
      <c r="DG1162">
        <v>0</v>
      </c>
      <c r="DH1162">
        <v>0</v>
      </c>
      <c r="DI1162">
        <v>0</v>
      </c>
    </row>
    <row r="1163" spans="1:113" x14ac:dyDescent="0.3">
      <c r="A1163" t="str">
        <f>"02/13/2022 18:42:00.450"</f>
        <v>02/13/2022 18:42:00.450</v>
      </c>
      <c r="C1163" t="str">
        <f t="shared" si="119"/>
        <v>FFDFD7C0</v>
      </c>
      <c r="D1163" t="s">
        <v>113</v>
      </c>
      <c r="E1163">
        <v>4</v>
      </c>
      <c r="F1163">
        <v>1004</v>
      </c>
      <c r="G1163" t="s">
        <v>120</v>
      </c>
      <c r="J1163" t="s">
        <v>115</v>
      </c>
      <c r="K1163">
        <v>0</v>
      </c>
      <c r="L1163">
        <v>3</v>
      </c>
      <c r="M1163">
        <v>0</v>
      </c>
      <c r="N1163">
        <v>2</v>
      </c>
      <c r="O1163">
        <v>1</v>
      </c>
      <c r="P1163">
        <v>0</v>
      </c>
      <c r="Q1163">
        <v>0</v>
      </c>
      <c r="S1163" t="str">
        <f t="shared" si="121"/>
        <v>18:42:00.195</v>
      </c>
      <c r="T1163" t="str">
        <f t="shared" si="121"/>
        <v>18:42:00.195</v>
      </c>
      <c r="U1163" t="str">
        <f t="shared" si="118"/>
        <v>AAB6EE</v>
      </c>
      <c r="V1163">
        <v>0</v>
      </c>
      <c r="W1163">
        <v>0</v>
      </c>
      <c r="X1163">
        <v>4</v>
      </c>
      <c r="Z1163">
        <v>0</v>
      </c>
      <c r="AA1163">
        <v>8</v>
      </c>
      <c r="AB1163">
        <v>3</v>
      </c>
      <c r="AC1163">
        <v>0</v>
      </c>
      <c r="AD1163">
        <v>10</v>
      </c>
      <c r="AE1163">
        <v>0</v>
      </c>
      <c r="AF1163">
        <v>0</v>
      </c>
      <c r="AG1163">
        <v>1</v>
      </c>
      <c r="AH1163">
        <v>1</v>
      </c>
      <c r="AI1163" t="s">
        <v>897</v>
      </c>
      <c r="AJ1163">
        <v>35.265383999999997</v>
      </c>
      <c r="AK1163" t="s">
        <v>898</v>
      </c>
      <c r="AL1163">
        <v>-76.237499999999997</v>
      </c>
      <c r="AM1163">
        <v>25</v>
      </c>
      <c r="AN1163">
        <v>3425</v>
      </c>
      <c r="AO1163" t="s">
        <v>118</v>
      </c>
      <c r="AP1163">
        <v>-153</v>
      </c>
      <c r="AQ1163">
        <v>-160</v>
      </c>
      <c r="AR1163">
        <v>64</v>
      </c>
      <c r="AZ1163">
        <v>4516</v>
      </c>
      <c r="BA1163">
        <v>1</v>
      </c>
      <c r="BB1163" t="str">
        <f t="shared" si="120"/>
        <v xml:space="preserve">N79NX   </v>
      </c>
      <c r="BC1163">
        <v>1</v>
      </c>
      <c r="BE1163">
        <v>0</v>
      </c>
      <c r="BF1163">
        <v>0</v>
      </c>
      <c r="BG1163">
        <v>0</v>
      </c>
      <c r="BH1163">
        <v>3275</v>
      </c>
      <c r="BI1163">
        <v>0</v>
      </c>
      <c r="BJ1163">
        <v>0</v>
      </c>
      <c r="BK1163">
        <v>0</v>
      </c>
      <c r="BL1163">
        <v>0</v>
      </c>
      <c r="BO1163">
        <v>0</v>
      </c>
      <c r="BP1163">
        <v>0</v>
      </c>
      <c r="BW1163" t="str">
        <f>"18:42:00.201"</f>
        <v>18:42:00.201</v>
      </c>
      <c r="BZ1163">
        <v>0</v>
      </c>
      <c r="CA1163">
        <v>4096</v>
      </c>
      <c r="CB1163">
        <v>216</v>
      </c>
      <c r="CC1163">
        <v>583.59379999999999</v>
      </c>
      <c r="CD1163">
        <v>1</v>
      </c>
      <c r="CE1163">
        <v>1</v>
      </c>
      <c r="CF1163">
        <v>0</v>
      </c>
      <c r="CG1163">
        <v>1</v>
      </c>
      <c r="CH1163">
        <v>0</v>
      </c>
      <c r="CI1163">
        <v>1</v>
      </c>
      <c r="CJ1163">
        <v>0</v>
      </c>
      <c r="CK1163">
        <v>2</v>
      </c>
      <c r="CL1163">
        <v>0</v>
      </c>
      <c r="CM1163">
        <v>2</v>
      </c>
      <c r="CN1163">
        <v>0</v>
      </c>
      <c r="CO1163">
        <v>1</v>
      </c>
      <c r="CP1163" t="s">
        <v>119</v>
      </c>
      <c r="CQ1163">
        <v>145</v>
      </c>
      <c r="CR1163">
        <v>1</v>
      </c>
      <c r="CW1163">
        <v>9031686</v>
      </c>
      <c r="CY1163">
        <v>0</v>
      </c>
      <c r="CZ1163">
        <v>0</v>
      </c>
      <c r="DA1163">
        <v>1</v>
      </c>
      <c r="DB1163">
        <v>0</v>
      </c>
      <c r="DC1163">
        <v>0</v>
      </c>
      <c r="DD1163">
        <v>0</v>
      </c>
      <c r="DE1163">
        <v>0</v>
      </c>
      <c r="DF1163">
        <v>0</v>
      </c>
      <c r="DG1163">
        <v>0</v>
      </c>
      <c r="DH1163">
        <v>0</v>
      </c>
      <c r="DI1163">
        <v>0</v>
      </c>
    </row>
    <row r="1164" spans="1:113" x14ac:dyDescent="0.3">
      <c r="A1164" t="str">
        <f>"02/13/2022 18:42:00.450"</f>
        <v>02/13/2022 18:42:00.450</v>
      </c>
      <c r="C1164" t="str">
        <f t="shared" si="119"/>
        <v>FFDFD7C0</v>
      </c>
      <c r="D1164" t="s">
        <v>113</v>
      </c>
      <c r="E1164">
        <v>3</v>
      </c>
      <c r="F1164">
        <v>1003</v>
      </c>
      <c r="G1164" t="s">
        <v>114</v>
      </c>
      <c r="J1164" t="s">
        <v>115</v>
      </c>
      <c r="K1164">
        <v>0</v>
      </c>
      <c r="L1164">
        <v>3</v>
      </c>
      <c r="M1164">
        <v>0</v>
      </c>
      <c r="N1164">
        <v>2</v>
      </c>
      <c r="O1164">
        <v>1</v>
      </c>
      <c r="P1164">
        <v>0</v>
      </c>
      <c r="Q1164">
        <v>0</v>
      </c>
      <c r="S1164" t="str">
        <f t="shared" si="121"/>
        <v>18:42:00.195</v>
      </c>
      <c r="T1164" t="str">
        <f t="shared" si="121"/>
        <v>18:42:00.195</v>
      </c>
      <c r="U1164" t="str">
        <f t="shared" si="118"/>
        <v>AAB6EE</v>
      </c>
      <c r="V1164">
        <v>0</v>
      </c>
      <c r="W1164">
        <v>0</v>
      </c>
      <c r="X1164">
        <v>4</v>
      </c>
      <c r="Z1164">
        <v>0</v>
      </c>
      <c r="AA1164">
        <v>8</v>
      </c>
      <c r="AB1164">
        <v>3</v>
      </c>
      <c r="AC1164">
        <v>0</v>
      </c>
      <c r="AD1164">
        <v>10</v>
      </c>
      <c r="AE1164">
        <v>0</v>
      </c>
      <c r="AF1164">
        <v>0</v>
      </c>
      <c r="AG1164">
        <v>1</v>
      </c>
      <c r="AH1164">
        <v>1</v>
      </c>
      <c r="AI1164" t="s">
        <v>897</v>
      </c>
      <c r="AJ1164">
        <v>35.265383999999997</v>
      </c>
      <c r="AK1164" t="s">
        <v>898</v>
      </c>
      <c r="AL1164">
        <v>-76.237499999999997</v>
      </c>
      <c r="AM1164">
        <v>25</v>
      </c>
      <c r="AN1164">
        <v>3425</v>
      </c>
      <c r="AO1164" t="s">
        <v>118</v>
      </c>
      <c r="AP1164">
        <v>-153</v>
      </c>
      <c r="AQ1164">
        <v>-160</v>
      </c>
      <c r="AR1164">
        <v>64</v>
      </c>
      <c r="AZ1164">
        <v>4516</v>
      </c>
      <c r="BA1164">
        <v>1</v>
      </c>
      <c r="BB1164" t="str">
        <f t="shared" si="120"/>
        <v xml:space="preserve">N79NX   </v>
      </c>
      <c r="BC1164">
        <v>1</v>
      </c>
      <c r="BE1164">
        <v>0</v>
      </c>
      <c r="BF1164">
        <v>0</v>
      </c>
      <c r="BG1164">
        <v>0</v>
      </c>
      <c r="BH1164">
        <v>3275</v>
      </c>
      <c r="BI1164">
        <v>0</v>
      </c>
      <c r="BJ1164">
        <v>0</v>
      </c>
      <c r="BK1164">
        <v>0</v>
      </c>
      <c r="BL1164">
        <v>0</v>
      </c>
      <c r="BO1164">
        <v>0</v>
      </c>
      <c r="BP1164">
        <v>0</v>
      </c>
      <c r="BW1164" t="str">
        <f>"18:42:00.201"</f>
        <v>18:42:00.201</v>
      </c>
      <c r="BZ1164">
        <v>0</v>
      </c>
      <c r="CA1164">
        <v>4096</v>
      </c>
      <c r="CB1164">
        <v>216</v>
      </c>
      <c r="CC1164">
        <v>583.59379999999999</v>
      </c>
      <c r="CD1164">
        <v>1</v>
      </c>
      <c r="CE1164">
        <v>1</v>
      </c>
      <c r="CF1164">
        <v>0</v>
      </c>
      <c r="CG1164">
        <v>1</v>
      </c>
      <c r="CH1164">
        <v>0</v>
      </c>
      <c r="CI1164">
        <v>1</v>
      </c>
      <c r="CJ1164">
        <v>0</v>
      </c>
      <c r="CK1164">
        <v>2</v>
      </c>
      <c r="CL1164">
        <v>0</v>
      </c>
      <c r="CM1164">
        <v>2</v>
      </c>
      <c r="CN1164">
        <v>0</v>
      </c>
      <c r="CO1164">
        <v>1</v>
      </c>
      <c r="CP1164" t="s">
        <v>119</v>
      </c>
      <c r="CQ1164">
        <v>145</v>
      </c>
      <c r="CR1164">
        <v>1</v>
      </c>
      <c r="CW1164">
        <v>9031686</v>
      </c>
      <c r="CY1164">
        <v>0</v>
      </c>
      <c r="CZ1164">
        <v>0</v>
      </c>
      <c r="DA1164">
        <v>1</v>
      </c>
      <c r="DB1164">
        <v>0</v>
      </c>
      <c r="DC1164">
        <v>0</v>
      </c>
      <c r="DD1164">
        <v>0</v>
      </c>
      <c r="DE1164">
        <v>0</v>
      </c>
      <c r="DF1164">
        <v>0</v>
      </c>
      <c r="DG1164">
        <v>0</v>
      </c>
      <c r="DH1164">
        <v>0</v>
      </c>
      <c r="DI1164">
        <v>0</v>
      </c>
    </row>
    <row r="1165" spans="1:113" x14ac:dyDescent="0.3">
      <c r="A1165" t="str">
        <f>"02/13/2022 18:42:01.817"</f>
        <v>02/13/2022 18:42:01.817</v>
      </c>
      <c r="C1165" t="str">
        <f t="shared" si="119"/>
        <v>FFDFD7C0</v>
      </c>
      <c r="D1165" t="s">
        <v>121</v>
      </c>
      <c r="E1165">
        <v>2</v>
      </c>
      <c r="H1165">
        <v>158</v>
      </c>
      <c r="I1165" t="s">
        <v>120</v>
      </c>
      <c r="J1165" t="s">
        <v>122</v>
      </c>
      <c r="K1165">
        <v>0</v>
      </c>
      <c r="L1165">
        <v>3</v>
      </c>
      <c r="M1165">
        <v>0</v>
      </c>
      <c r="N1165">
        <v>2</v>
      </c>
      <c r="O1165">
        <v>1</v>
      </c>
      <c r="P1165">
        <v>0</v>
      </c>
      <c r="Q1165">
        <v>0</v>
      </c>
      <c r="S1165" t="str">
        <f>"18:42:01.570"</f>
        <v>18:42:01.570</v>
      </c>
      <c r="T1165" t="str">
        <f>"18:42:01.370"</f>
        <v>18:42:01.370</v>
      </c>
      <c r="U1165" t="str">
        <f t="shared" si="118"/>
        <v>AAB6EE</v>
      </c>
      <c r="V1165">
        <v>0</v>
      </c>
      <c r="W1165">
        <v>0</v>
      </c>
      <c r="X1165">
        <v>4</v>
      </c>
      <c r="Z1165">
        <v>0</v>
      </c>
      <c r="AA1165">
        <v>8</v>
      </c>
      <c r="AB1165">
        <v>3</v>
      </c>
      <c r="AC1165">
        <v>0</v>
      </c>
      <c r="AD1165">
        <v>10</v>
      </c>
      <c r="AE1165">
        <v>0</v>
      </c>
      <c r="AF1165">
        <v>0</v>
      </c>
      <c r="AG1165">
        <v>1</v>
      </c>
      <c r="AH1165">
        <v>1</v>
      </c>
      <c r="AI1165" t="s">
        <v>899</v>
      </c>
      <c r="AJ1165">
        <v>35.264332000000003</v>
      </c>
      <c r="AK1165" t="s">
        <v>900</v>
      </c>
      <c r="AL1165">
        <v>-76.238658000000001</v>
      </c>
      <c r="AM1165">
        <v>25</v>
      </c>
      <c r="AN1165">
        <v>3425</v>
      </c>
      <c r="AO1165" t="s">
        <v>118</v>
      </c>
      <c r="AP1165">
        <v>-150</v>
      </c>
      <c r="AQ1165">
        <v>-163</v>
      </c>
      <c r="AR1165">
        <v>64</v>
      </c>
      <c r="AZ1165">
        <v>4516</v>
      </c>
      <c r="BA1165">
        <v>1</v>
      </c>
      <c r="BB1165" t="str">
        <f t="shared" si="120"/>
        <v xml:space="preserve">N79NX   </v>
      </c>
      <c r="BC1165">
        <v>1</v>
      </c>
      <c r="BE1165">
        <v>0</v>
      </c>
      <c r="BF1165">
        <v>0</v>
      </c>
      <c r="BG1165">
        <v>0</v>
      </c>
      <c r="BH1165">
        <v>3275</v>
      </c>
      <c r="BI1165">
        <v>0</v>
      </c>
      <c r="BJ1165">
        <v>0</v>
      </c>
      <c r="BK1165">
        <v>0</v>
      </c>
      <c r="BL1165">
        <v>0</v>
      </c>
      <c r="BO1165">
        <v>0</v>
      </c>
      <c r="BP1165">
        <v>0</v>
      </c>
      <c r="BW1165" t="str">
        <f>"18:42:01.571"</f>
        <v>18:42:01.571</v>
      </c>
      <c r="BZ1165">
        <v>0</v>
      </c>
      <c r="CA1165">
        <v>4096</v>
      </c>
      <c r="CB1165">
        <v>216</v>
      </c>
      <c r="CC1165">
        <v>583.59379999999999</v>
      </c>
      <c r="CD1165">
        <v>1</v>
      </c>
      <c r="CE1165">
        <v>1</v>
      </c>
      <c r="CF1165">
        <v>0</v>
      </c>
      <c r="CG1165">
        <v>1</v>
      </c>
      <c r="CH1165">
        <v>0</v>
      </c>
      <c r="CI1165">
        <v>1</v>
      </c>
      <c r="CJ1165">
        <v>0</v>
      </c>
      <c r="CK1165">
        <v>2</v>
      </c>
      <c r="CL1165">
        <v>0</v>
      </c>
      <c r="CM1165">
        <v>2</v>
      </c>
      <c r="CN1165">
        <v>0</v>
      </c>
      <c r="CO1165">
        <v>2</v>
      </c>
      <c r="CP1165" t="s">
        <v>119</v>
      </c>
      <c r="CQ1165">
        <v>145</v>
      </c>
      <c r="CR1165">
        <v>1</v>
      </c>
      <c r="CW1165">
        <v>9032374</v>
      </c>
      <c r="CY1165">
        <v>0</v>
      </c>
      <c r="CZ1165">
        <v>0</v>
      </c>
      <c r="DA1165">
        <v>0</v>
      </c>
      <c r="DB1165">
        <v>0</v>
      </c>
      <c r="DC1165">
        <v>0</v>
      </c>
      <c r="DD1165">
        <v>0</v>
      </c>
      <c r="DE1165">
        <v>0</v>
      </c>
      <c r="DF1165">
        <v>0</v>
      </c>
      <c r="DG1165">
        <v>0</v>
      </c>
      <c r="DH1165">
        <v>0</v>
      </c>
      <c r="DI1165">
        <v>0</v>
      </c>
    </row>
    <row r="1166" spans="1:113" x14ac:dyDescent="0.3">
      <c r="A1166" t="str">
        <f>"02/13/2022 18:42:01.817"</f>
        <v>02/13/2022 18:42:01.817</v>
      </c>
      <c r="C1166" t="str">
        <f t="shared" si="119"/>
        <v>FFDFD7C0</v>
      </c>
      <c r="D1166" t="s">
        <v>113</v>
      </c>
      <c r="E1166">
        <v>3</v>
      </c>
      <c r="F1166">
        <v>1003</v>
      </c>
      <c r="G1166" t="s">
        <v>114</v>
      </c>
      <c r="J1166" t="s">
        <v>115</v>
      </c>
      <c r="K1166">
        <v>0</v>
      </c>
      <c r="L1166">
        <v>3</v>
      </c>
      <c r="M1166">
        <v>0</v>
      </c>
      <c r="N1166">
        <v>2</v>
      </c>
      <c r="O1166">
        <v>1</v>
      </c>
      <c r="P1166">
        <v>0</v>
      </c>
      <c r="Q1166">
        <v>0</v>
      </c>
      <c r="S1166" t="str">
        <f>"18:42:01.570"</f>
        <v>18:42:01.570</v>
      </c>
      <c r="T1166" t="str">
        <f>"18:42:01.370"</f>
        <v>18:42:01.370</v>
      </c>
      <c r="U1166" t="str">
        <f t="shared" si="118"/>
        <v>AAB6EE</v>
      </c>
      <c r="V1166">
        <v>0</v>
      </c>
      <c r="W1166">
        <v>0</v>
      </c>
      <c r="X1166">
        <v>4</v>
      </c>
      <c r="Z1166">
        <v>0</v>
      </c>
      <c r="AA1166">
        <v>8</v>
      </c>
      <c r="AB1166">
        <v>3</v>
      </c>
      <c r="AC1166">
        <v>0</v>
      </c>
      <c r="AD1166">
        <v>10</v>
      </c>
      <c r="AE1166">
        <v>0</v>
      </c>
      <c r="AF1166">
        <v>0</v>
      </c>
      <c r="AG1166">
        <v>1</v>
      </c>
      <c r="AH1166">
        <v>1</v>
      </c>
      <c r="AI1166" t="s">
        <v>899</v>
      </c>
      <c r="AJ1166">
        <v>35.264332000000003</v>
      </c>
      <c r="AK1166" t="s">
        <v>900</v>
      </c>
      <c r="AL1166">
        <v>-76.238658000000001</v>
      </c>
      <c r="AM1166">
        <v>25</v>
      </c>
      <c r="AN1166">
        <v>3425</v>
      </c>
      <c r="AO1166" t="s">
        <v>118</v>
      </c>
      <c r="AP1166">
        <v>-150</v>
      </c>
      <c r="AQ1166">
        <v>-163</v>
      </c>
      <c r="AR1166">
        <v>64</v>
      </c>
      <c r="AZ1166">
        <v>4516</v>
      </c>
      <c r="BA1166">
        <v>1</v>
      </c>
      <c r="BB1166" t="str">
        <f t="shared" si="120"/>
        <v xml:space="preserve">N79NX   </v>
      </c>
      <c r="BC1166">
        <v>1</v>
      </c>
      <c r="BE1166">
        <v>0</v>
      </c>
      <c r="BF1166">
        <v>0</v>
      </c>
      <c r="BG1166">
        <v>0</v>
      </c>
      <c r="BH1166">
        <v>3275</v>
      </c>
      <c r="BI1166">
        <v>0</v>
      </c>
      <c r="BJ1166">
        <v>0</v>
      </c>
      <c r="BK1166">
        <v>0</v>
      </c>
      <c r="BL1166">
        <v>0</v>
      </c>
      <c r="BO1166">
        <v>0</v>
      </c>
      <c r="BP1166">
        <v>0</v>
      </c>
      <c r="BW1166" t="str">
        <f>"18:42:01.571"</f>
        <v>18:42:01.571</v>
      </c>
      <c r="BZ1166">
        <v>0</v>
      </c>
      <c r="CA1166">
        <v>4096</v>
      </c>
      <c r="CB1166">
        <v>216</v>
      </c>
      <c r="CC1166">
        <v>583.59379999999999</v>
      </c>
      <c r="CD1166">
        <v>1</v>
      </c>
      <c r="CE1166">
        <v>1</v>
      </c>
      <c r="CF1166">
        <v>0</v>
      </c>
      <c r="CG1166">
        <v>1</v>
      </c>
      <c r="CH1166">
        <v>0</v>
      </c>
      <c r="CI1166">
        <v>1</v>
      </c>
      <c r="CJ1166">
        <v>0</v>
      </c>
      <c r="CK1166">
        <v>2</v>
      </c>
      <c r="CL1166">
        <v>0</v>
      </c>
      <c r="CM1166">
        <v>2</v>
      </c>
      <c r="CN1166">
        <v>0</v>
      </c>
      <c r="CO1166">
        <v>2</v>
      </c>
      <c r="CP1166" t="s">
        <v>119</v>
      </c>
      <c r="CQ1166">
        <v>145</v>
      </c>
      <c r="CR1166">
        <v>1</v>
      </c>
      <c r="CW1166">
        <v>9032374</v>
      </c>
      <c r="CY1166">
        <v>0</v>
      </c>
      <c r="CZ1166">
        <v>0</v>
      </c>
      <c r="DA1166">
        <v>1</v>
      </c>
      <c r="DB1166">
        <v>0</v>
      </c>
      <c r="DC1166">
        <v>0</v>
      </c>
      <c r="DD1166">
        <v>0</v>
      </c>
      <c r="DE1166">
        <v>0</v>
      </c>
      <c r="DF1166">
        <v>0</v>
      </c>
      <c r="DG1166">
        <v>0</v>
      </c>
      <c r="DH1166">
        <v>0</v>
      </c>
      <c r="DI1166">
        <v>0</v>
      </c>
    </row>
    <row r="1167" spans="1:113" x14ac:dyDescent="0.3">
      <c r="A1167" t="str">
        <f>"02/13/2022 18:42:01.817"</f>
        <v>02/13/2022 18:42:01.817</v>
      </c>
      <c r="C1167" t="str">
        <f t="shared" si="119"/>
        <v>FFDFD7C0</v>
      </c>
      <c r="D1167" t="s">
        <v>113</v>
      </c>
      <c r="E1167">
        <v>4</v>
      </c>
      <c r="F1167">
        <v>1004</v>
      </c>
      <c r="G1167" t="s">
        <v>120</v>
      </c>
      <c r="J1167" t="s">
        <v>115</v>
      </c>
      <c r="K1167">
        <v>0</v>
      </c>
      <c r="L1167">
        <v>3</v>
      </c>
      <c r="M1167">
        <v>0</v>
      </c>
      <c r="N1167">
        <v>2</v>
      </c>
      <c r="O1167">
        <v>1</v>
      </c>
      <c r="P1167">
        <v>0</v>
      </c>
      <c r="Q1167">
        <v>0</v>
      </c>
      <c r="S1167" t="str">
        <f>"18:42:01.570"</f>
        <v>18:42:01.570</v>
      </c>
      <c r="T1167" t="str">
        <f>"18:42:01.370"</f>
        <v>18:42:01.370</v>
      </c>
      <c r="U1167" t="str">
        <f t="shared" si="118"/>
        <v>AAB6EE</v>
      </c>
      <c r="V1167">
        <v>0</v>
      </c>
      <c r="W1167">
        <v>0</v>
      </c>
      <c r="X1167">
        <v>4</v>
      </c>
      <c r="Z1167">
        <v>0</v>
      </c>
      <c r="AA1167">
        <v>8</v>
      </c>
      <c r="AB1167">
        <v>3</v>
      </c>
      <c r="AC1167">
        <v>0</v>
      </c>
      <c r="AD1167">
        <v>10</v>
      </c>
      <c r="AE1167">
        <v>0</v>
      </c>
      <c r="AF1167">
        <v>0</v>
      </c>
      <c r="AG1167">
        <v>1</v>
      </c>
      <c r="AH1167">
        <v>1</v>
      </c>
      <c r="AI1167" t="s">
        <v>899</v>
      </c>
      <c r="AJ1167">
        <v>35.264332000000003</v>
      </c>
      <c r="AK1167" t="s">
        <v>900</v>
      </c>
      <c r="AL1167">
        <v>-76.238658000000001</v>
      </c>
      <c r="AM1167">
        <v>25</v>
      </c>
      <c r="AN1167">
        <v>3425</v>
      </c>
      <c r="AO1167" t="s">
        <v>118</v>
      </c>
      <c r="AP1167">
        <v>-150</v>
      </c>
      <c r="AQ1167">
        <v>-163</v>
      </c>
      <c r="AR1167">
        <v>64</v>
      </c>
      <c r="AZ1167">
        <v>4516</v>
      </c>
      <c r="BA1167">
        <v>1</v>
      </c>
      <c r="BB1167" t="str">
        <f t="shared" si="120"/>
        <v xml:space="preserve">N79NX   </v>
      </c>
      <c r="BC1167">
        <v>1</v>
      </c>
      <c r="BE1167">
        <v>0</v>
      </c>
      <c r="BF1167">
        <v>0</v>
      </c>
      <c r="BG1167">
        <v>0</v>
      </c>
      <c r="BH1167">
        <v>3275</v>
      </c>
      <c r="BI1167">
        <v>0</v>
      </c>
      <c r="BJ1167">
        <v>0</v>
      </c>
      <c r="BK1167">
        <v>0</v>
      </c>
      <c r="BL1167">
        <v>0</v>
      </c>
      <c r="BO1167">
        <v>0</v>
      </c>
      <c r="BP1167">
        <v>0</v>
      </c>
      <c r="BW1167" t="str">
        <f>"18:42:01.571"</f>
        <v>18:42:01.571</v>
      </c>
      <c r="BZ1167">
        <v>0</v>
      </c>
      <c r="CA1167">
        <v>4096</v>
      </c>
      <c r="CB1167">
        <v>216</v>
      </c>
      <c r="CC1167">
        <v>583.59379999999999</v>
      </c>
      <c r="CD1167">
        <v>1</v>
      </c>
      <c r="CE1167">
        <v>1</v>
      </c>
      <c r="CF1167">
        <v>0</v>
      </c>
      <c r="CG1167">
        <v>1</v>
      </c>
      <c r="CH1167">
        <v>0</v>
      </c>
      <c r="CI1167">
        <v>1</v>
      </c>
      <c r="CJ1167">
        <v>0</v>
      </c>
      <c r="CK1167">
        <v>2</v>
      </c>
      <c r="CL1167">
        <v>0</v>
      </c>
      <c r="CM1167">
        <v>2</v>
      </c>
      <c r="CN1167">
        <v>0</v>
      </c>
      <c r="CO1167">
        <v>2</v>
      </c>
      <c r="CP1167" t="s">
        <v>119</v>
      </c>
      <c r="CQ1167">
        <v>145</v>
      </c>
      <c r="CR1167">
        <v>1</v>
      </c>
      <c r="CW1167">
        <v>9032374</v>
      </c>
      <c r="CY1167">
        <v>0</v>
      </c>
      <c r="CZ1167">
        <v>0</v>
      </c>
      <c r="DA1167">
        <v>1</v>
      </c>
      <c r="DB1167">
        <v>0</v>
      </c>
      <c r="DC1167">
        <v>0</v>
      </c>
      <c r="DD1167">
        <v>0</v>
      </c>
      <c r="DE1167">
        <v>0</v>
      </c>
      <c r="DF1167">
        <v>0</v>
      </c>
      <c r="DG1167">
        <v>0</v>
      </c>
      <c r="DH1167">
        <v>0</v>
      </c>
      <c r="DI1167">
        <v>0</v>
      </c>
    </row>
    <row r="1168" spans="1:113" x14ac:dyDescent="0.3">
      <c r="A1168" t="str">
        <f>"02/13/2022 18:42:02.770"</f>
        <v>02/13/2022 18:42:02.770</v>
      </c>
      <c r="C1168" t="str">
        <f t="shared" si="119"/>
        <v>FFDFD7C0</v>
      </c>
      <c r="D1168" t="s">
        <v>121</v>
      </c>
      <c r="E1168">
        <v>2</v>
      </c>
      <c r="H1168">
        <v>158</v>
      </c>
      <c r="I1168" t="s">
        <v>120</v>
      </c>
      <c r="J1168" t="s">
        <v>122</v>
      </c>
      <c r="K1168">
        <v>0</v>
      </c>
      <c r="L1168">
        <v>3</v>
      </c>
      <c r="M1168">
        <v>0</v>
      </c>
      <c r="N1168">
        <v>2</v>
      </c>
      <c r="O1168">
        <v>1</v>
      </c>
      <c r="P1168">
        <v>0</v>
      </c>
      <c r="Q1168">
        <v>0</v>
      </c>
      <c r="S1168" t="str">
        <f>"18:42:02.477"</f>
        <v>18:42:02.477</v>
      </c>
      <c r="T1168" t="str">
        <f>"18:42:01.877"</f>
        <v>18:42:01.877</v>
      </c>
      <c r="U1168" t="str">
        <f t="shared" si="118"/>
        <v>AAB6EE</v>
      </c>
      <c r="V1168">
        <v>0</v>
      </c>
      <c r="W1168">
        <v>0</v>
      </c>
      <c r="X1168">
        <v>4</v>
      </c>
      <c r="Z1168">
        <v>0</v>
      </c>
      <c r="AA1168">
        <v>8</v>
      </c>
      <c r="AB1168">
        <v>3</v>
      </c>
      <c r="AC1168">
        <v>0</v>
      </c>
      <c r="AD1168">
        <v>10</v>
      </c>
      <c r="AE1168">
        <v>0</v>
      </c>
      <c r="AF1168">
        <v>0</v>
      </c>
      <c r="AG1168">
        <v>1</v>
      </c>
      <c r="AH1168">
        <v>1</v>
      </c>
      <c r="AI1168" t="s">
        <v>901</v>
      </c>
      <c r="AJ1168">
        <v>35.263646000000001</v>
      </c>
      <c r="AK1168" t="s">
        <v>902</v>
      </c>
      <c r="AL1168">
        <v>-76.239452</v>
      </c>
      <c r="AM1168">
        <v>25</v>
      </c>
      <c r="AN1168">
        <v>3425</v>
      </c>
      <c r="AO1168" t="s">
        <v>118</v>
      </c>
      <c r="AP1168">
        <v>-148</v>
      </c>
      <c r="AQ1168">
        <v>-164</v>
      </c>
      <c r="AR1168">
        <v>64</v>
      </c>
      <c r="AZ1168">
        <v>4516</v>
      </c>
      <c r="BA1168">
        <v>1</v>
      </c>
      <c r="BB1168" t="str">
        <f t="shared" si="120"/>
        <v xml:space="preserve">N79NX   </v>
      </c>
      <c r="BC1168">
        <v>1</v>
      </c>
      <c r="BE1168">
        <v>0</v>
      </c>
      <c r="BF1168">
        <v>0</v>
      </c>
      <c r="BG1168">
        <v>0</v>
      </c>
      <c r="BH1168">
        <v>3275</v>
      </c>
      <c r="BI1168">
        <v>0</v>
      </c>
      <c r="BJ1168">
        <v>0</v>
      </c>
      <c r="BK1168">
        <v>0</v>
      </c>
      <c r="BL1168">
        <v>0</v>
      </c>
      <c r="BO1168">
        <v>0</v>
      </c>
      <c r="BP1168">
        <v>0</v>
      </c>
      <c r="BW1168" t="str">
        <f>"18:42:02.481"</f>
        <v>18:42:02.481</v>
      </c>
      <c r="BZ1168">
        <v>0</v>
      </c>
      <c r="CA1168">
        <v>4096</v>
      </c>
      <c r="CB1168">
        <v>216</v>
      </c>
      <c r="CC1168">
        <v>632.8125</v>
      </c>
      <c r="CD1168">
        <v>1</v>
      </c>
      <c r="CE1168">
        <v>1</v>
      </c>
      <c r="CF1168">
        <v>0</v>
      </c>
      <c r="CG1168">
        <v>1</v>
      </c>
      <c r="CH1168">
        <v>0</v>
      </c>
      <c r="CI1168">
        <v>1</v>
      </c>
      <c r="CJ1168">
        <v>0</v>
      </c>
      <c r="CK1168">
        <v>2</v>
      </c>
      <c r="CL1168">
        <v>0</v>
      </c>
      <c r="CM1168">
        <v>2</v>
      </c>
      <c r="CN1168">
        <v>0</v>
      </c>
      <c r="CO1168">
        <v>2</v>
      </c>
      <c r="CP1168" t="s">
        <v>119</v>
      </c>
      <c r="CQ1168">
        <v>145</v>
      </c>
      <c r="CR1168">
        <v>1</v>
      </c>
      <c r="CW1168">
        <v>9032811</v>
      </c>
      <c r="CY1168">
        <v>0</v>
      </c>
      <c r="CZ1168">
        <v>0</v>
      </c>
      <c r="DA1168">
        <v>0</v>
      </c>
      <c r="DB1168">
        <v>0</v>
      </c>
      <c r="DC1168">
        <v>0</v>
      </c>
      <c r="DD1168">
        <v>0</v>
      </c>
      <c r="DE1168">
        <v>0</v>
      </c>
      <c r="DF1168">
        <v>0</v>
      </c>
      <c r="DG1168">
        <v>0</v>
      </c>
      <c r="DH1168">
        <v>0</v>
      </c>
      <c r="DI1168">
        <v>0</v>
      </c>
    </row>
    <row r="1169" spans="1:113" x14ac:dyDescent="0.3">
      <c r="A1169" t="str">
        <f>"02/13/2022 18:42:02.770"</f>
        <v>02/13/2022 18:42:02.770</v>
      </c>
      <c r="C1169" t="str">
        <f t="shared" si="119"/>
        <v>FFDFD7C0</v>
      </c>
      <c r="D1169" t="s">
        <v>113</v>
      </c>
      <c r="E1169">
        <v>3</v>
      </c>
      <c r="F1169">
        <v>1003</v>
      </c>
      <c r="G1169" t="s">
        <v>114</v>
      </c>
      <c r="J1169" t="s">
        <v>115</v>
      </c>
      <c r="K1169">
        <v>0</v>
      </c>
      <c r="L1169">
        <v>3</v>
      </c>
      <c r="M1169">
        <v>0</v>
      </c>
      <c r="N1169">
        <v>2</v>
      </c>
      <c r="O1169">
        <v>1</v>
      </c>
      <c r="P1169">
        <v>0</v>
      </c>
      <c r="Q1169">
        <v>0</v>
      </c>
      <c r="S1169" t="str">
        <f>"18:42:02.477"</f>
        <v>18:42:02.477</v>
      </c>
      <c r="T1169" t="str">
        <f>"18:42:01.877"</f>
        <v>18:42:01.877</v>
      </c>
      <c r="U1169" t="str">
        <f t="shared" si="118"/>
        <v>AAB6EE</v>
      </c>
      <c r="V1169">
        <v>0</v>
      </c>
      <c r="W1169">
        <v>0</v>
      </c>
      <c r="X1169">
        <v>4</v>
      </c>
      <c r="Z1169">
        <v>0</v>
      </c>
      <c r="AA1169">
        <v>8</v>
      </c>
      <c r="AB1169">
        <v>3</v>
      </c>
      <c r="AC1169">
        <v>0</v>
      </c>
      <c r="AD1169">
        <v>10</v>
      </c>
      <c r="AE1169">
        <v>0</v>
      </c>
      <c r="AF1169">
        <v>0</v>
      </c>
      <c r="AG1169">
        <v>1</v>
      </c>
      <c r="AH1169">
        <v>1</v>
      </c>
      <c r="AI1169" t="s">
        <v>901</v>
      </c>
      <c r="AJ1169">
        <v>35.263646000000001</v>
      </c>
      <c r="AK1169" t="s">
        <v>902</v>
      </c>
      <c r="AL1169">
        <v>-76.239452</v>
      </c>
      <c r="AM1169">
        <v>25</v>
      </c>
      <c r="AN1169">
        <v>3425</v>
      </c>
      <c r="AO1169" t="s">
        <v>118</v>
      </c>
      <c r="AP1169">
        <v>-148</v>
      </c>
      <c r="AQ1169">
        <v>-164</v>
      </c>
      <c r="AR1169">
        <v>64</v>
      </c>
      <c r="AZ1169">
        <v>4516</v>
      </c>
      <c r="BA1169">
        <v>1</v>
      </c>
      <c r="BB1169" t="str">
        <f t="shared" si="120"/>
        <v xml:space="preserve">N79NX   </v>
      </c>
      <c r="BC1169">
        <v>1</v>
      </c>
      <c r="BE1169">
        <v>0</v>
      </c>
      <c r="BF1169">
        <v>0</v>
      </c>
      <c r="BG1169">
        <v>0</v>
      </c>
      <c r="BH1169">
        <v>3275</v>
      </c>
      <c r="BI1169">
        <v>0</v>
      </c>
      <c r="BJ1169">
        <v>0</v>
      </c>
      <c r="BK1169">
        <v>0</v>
      </c>
      <c r="BL1169">
        <v>0</v>
      </c>
      <c r="BO1169">
        <v>0</v>
      </c>
      <c r="BP1169">
        <v>0</v>
      </c>
      <c r="BW1169" t="str">
        <f>"18:42:02.481"</f>
        <v>18:42:02.481</v>
      </c>
      <c r="BZ1169">
        <v>0</v>
      </c>
      <c r="CA1169">
        <v>4096</v>
      </c>
      <c r="CB1169">
        <v>216</v>
      </c>
      <c r="CC1169">
        <v>632.8125</v>
      </c>
      <c r="CD1169">
        <v>1</v>
      </c>
      <c r="CE1169">
        <v>1</v>
      </c>
      <c r="CF1169">
        <v>0</v>
      </c>
      <c r="CG1169">
        <v>1</v>
      </c>
      <c r="CH1169">
        <v>0</v>
      </c>
      <c r="CI1169">
        <v>1</v>
      </c>
      <c r="CJ1169">
        <v>0</v>
      </c>
      <c r="CK1169">
        <v>2</v>
      </c>
      <c r="CL1169">
        <v>0</v>
      </c>
      <c r="CM1169">
        <v>2</v>
      </c>
      <c r="CN1169">
        <v>0</v>
      </c>
      <c r="CO1169">
        <v>2</v>
      </c>
      <c r="CP1169" t="s">
        <v>119</v>
      </c>
      <c r="CQ1169">
        <v>145</v>
      </c>
      <c r="CR1169">
        <v>1</v>
      </c>
      <c r="CW1169">
        <v>9032811</v>
      </c>
      <c r="CY1169">
        <v>0</v>
      </c>
      <c r="CZ1169">
        <v>0</v>
      </c>
      <c r="DA1169">
        <v>1</v>
      </c>
      <c r="DB1169">
        <v>0</v>
      </c>
      <c r="DC1169">
        <v>0</v>
      </c>
      <c r="DD1169">
        <v>0</v>
      </c>
      <c r="DE1169">
        <v>0</v>
      </c>
      <c r="DF1169">
        <v>0</v>
      </c>
      <c r="DG1169">
        <v>0</v>
      </c>
      <c r="DH1169">
        <v>0</v>
      </c>
      <c r="DI1169">
        <v>0</v>
      </c>
    </row>
    <row r="1170" spans="1:113" x14ac:dyDescent="0.3">
      <c r="A1170" t="str">
        <f>"02/13/2022 18:42:02.770"</f>
        <v>02/13/2022 18:42:02.770</v>
      </c>
      <c r="C1170" t="str">
        <f t="shared" si="119"/>
        <v>FFDFD7C0</v>
      </c>
      <c r="D1170" t="s">
        <v>113</v>
      </c>
      <c r="E1170">
        <v>4</v>
      </c>
      <c r="F1170">
        <v>1004</v>
      </c>
      <c r="G1170" t="s">
        <v>120</v>
      </c>
      <c r="J1170" t="s">
        <v>115</v>
      </c>
      <c r="K1170">
        <v>0</v>
      </c>
      <c r="L1170">
        <v>3</v>
      </c>
      <c r="M1170">
        <v>0</v>
      </c>
      <c r="N1170">
        <v>2</v>
      </c>
      <c r="O1170">
        <v>1</v>
      </c>
      <c r="P1170">
        <v>0</v>
      </c>
      <c r="Q1170">
        <v>0</v>
      </c>
      <c r="S1170" t="str">
        <f>"18:42:02.477"</f>
        <v>18:42:02.477</v>
      </c>
      <c r="T1170" t="str">
        <f>"18:42:01.877"</f>
        <v>18:42:01.877</v>
      </c>
      <c r="U1170" t="str">
        <f t="shared" si="118"/>
        <v>AAB6EE</v>
      </c>
      <c r="V1170">
        <v>0</v>
      </c>
      <c r="W1170">
        <v>0</v>
      </c>
      <c r="X1170">
        <v>4</v>
      </c>
      <c r="Z1170">
        <v>0</v>
      </c>
      <c r="AA1170">
        <v>8</v>
      </c>
      <c r="AB1170">
        <v>3</v>
      </c>
      <c r="AC1170">
        <v>0</v>
      </c>
      <c r="AD1170">
        <v>10</v>
      </c>
      <c r="AE1170">
        <v>0</v>
      </c>
      <c r="AF1170">
        <v>0</v>
      </c>
      <c r="AG1170">
        <v>1</v>
      </c>
      <c r="AH1170">
        <v>1</v>
      </c>
      <c r="AI1170" t="s">
        <v>901</v>
      </c>
      <c r="AJ1170">
        <v>35.263646000000001</v>
      </c>
      <c r="AK1170" t="s">
        <v>902</v>
      </c>
      <c r="AL1170">
        <v>-76.239452</v>
      </c>
      <c r="AM1170">
        <v>25</v>
      </c>
      <c r="AN1170">
        <v>3425</v>
      </c>
      <c r="AO1170" t="s">
        <v>118</v>
      </c>
      <c r="AP1170">
        <v>-148</v>
      </c>
      <c r="AQ1170">
        <v>-164</v>
      </c>
      <c r="AR1170">
        <v>64</v>
      </c>
      <c r="AZ1170">
        <v>4516</v>
      </c>
      <c r="BA1170">
        <v>1</v>
      </c>
      <c r="BB1170" t="str">
        <f t="shared" si="120"/>
        <v xml:space="preserve">N79NX   </v>
      </c>
      <c r="BC1170">
        <v>1</v>
      </c>
      <c r="BE1170">
        <v>0</v>
      </c>
      <c r="BF1170">
        <v>0</v>
      </c>
      <c r="BG1170">
        <v>0</v>
      </c>
      <c r="BH1170">
        <v>3275</v>
      </c>
      <c r="BI1170">
        <v>0</v>
      </c>
      <c r="BJ1170">
        <v>0</v>
      </c>
      <c r="BK1170">
        <v>0</v>
      </c>
      <c r="BL1170">
        <v>0</v>
      </c>
      <c r="BO1170">
        <v>0</v>
      </c>
      <c r="BP1170">
        <v>0</v>
      </c>
      <c r="BW1170" t="str">
        <f>"18:42:02.481"</f>
        <v>18:42:02.481</v>
      </c>
      <c r="BZ1170">
        <v>0</v>
      </c>
      <c r="CA1170">
        <v>4096</v>
      </c>
      <c r="CB1170">
        <v>216</v>
      </c>
      <c r="CC1170">
        <v>632.8125</v>
      </c>
      <c r="CD1170">
        <v>1</v>
      </c>
      <c r="CE1170">
        <v>1</v>
      </c>
      <c r="CF1170">
        <v>0</v>
      </c>
      <c r="CG1170">
        <v>1</v>
      </c>
      <c r="CH1170">
        <v>0</v>
      </c>
      <c r="CI1170">
        <v>1</v>
      </c>
      <c r="CJ1170">
        <v>0</v>
      </c>
      <c r="CK1170">
        <v>2</v>
      </c>
      <c r="CL1170">
        <v>0</v>
      </c>
      <c r="CM1170">
        <v>2</v>
      </c>
      <c r="CN1170">
        <v>0</v>
      </c>
      <c r="CO1170">
        <v>2</v>
      </c>
      <c r="CP1170" t="s">
        <v>119</v>
      </c>
      <c r="CQ1170">
        <v>145</v>
      </c>
      <c r="CR1170">
        <v>1</v>
      </c>
      <c r="CW1170">
        <v>9032811</v>
      </c>
      <c r="CY1170">
        <v>0</v>
      </c>
      <c r="CZ1170">
        <v>0</v>
      </c>
      <c r="DA1170">
        <v>1</v>
      </c>
      <c r="DB1170">
        <v>0</v>
      </c>
      <c r="DC1170">
        <v>0</v>
      </c>
      <c r="DD1170">
        <v>0</v>
      </c>
      <c r="DE1170">
        <v>0</v>
      </c>
      <c r="DF1170">
        <v>0</v>
      </c>
      <c r="DG1170">
        <v>0</v>
      </c>
      <c r="DH1170">
        <v>0</v>
      </c>
      <c r="DI1170">
        <v>0</v>
      </c>
    </row>
    <row r="1171" spans="1:113" x14ac:dyDescent="0.3">
      <c r="A1171" t="str">
        <f>"02/13/2022 18:42:03.942"</f>
        <v>02/13/2022 18:42:03.942</v>
      </c>
      <c r="C1171" t="str">
        <f t="shared" si="119"/>
        <v>FFDFD7C0</v>
      </c>
      <c r="D1171" t="s">
        <v>121</v>
      </c>
      <c r="E1171">
        <v>2</v>
      </c>
      <c r="H1171">
        <v>158</v>
      </c>
      <c r="I1171" t="s">
        <v>120</v>
      </c>
      <c r="J1171" t="s">
        <v>122</v>
      </c>
      <c r="K1171">
        <v>0</v>
      </c>
      <c r="L1171">
        <v>3</v>
      </c>
      <c r="M1171">
        <v>0</v>
      </c>
      <c r="N1171">
        <v>2</v>
      </c>
      <c r="O1171">
        <v>1</v>
      </c>
      <c r="P1171">
        <v>0</v>
      </c>
      <c r="Q1171">
        <v>0</v>
      </c>
      <c r="S1171" t="str">
        <f>"18:42:03.625"</f>
        <v>18:42:03.625</v>
      </c>
      <c r="T1171" t="str">
        <f>"18:42:03.225"</f>
        <v>18:42:03.225</v>
      </c>
      <c r="U1171" t="str">
        <f t="shared" si="118"/>
        <v>AAB6EE</v>
      </c>
      <c r="V1171">
        <v>0</v>
      </c>
      <c r="W1171">
        <v>0</v>
      </c>
      <c r="X1171">
        <v>4</v>
      </c>
      <c r="Z1171">
        <v>0</v>
      </c>
      <c r="AA1171">
        <v>8</v>
      </c>
      <c r="AB1171">
        <v>3</v>
      </c>
      <c r="AC1171">
        <v>0</v>
      </c>
      <c r="AD1171">
        <v>10</v>
      </c>
      <c r="AE1171">
        <v>0</v>
      </c>
      <c r="AF1171">
        <v>0</v>
      </c>
      <c r="AG1171">
        <v>1</v>
      </c>
      <c r="AH1171">
        <v>1</v>
      </c>
      <c r="AI1171" t="s">
        <v>903</v>
      </c>
      <c r="AJ1171">
        <v>35.262723000000001</v>
      </c>
      <c r="AK1171" t="s">
        <v>904</v>
      </c>
      <c r="AL1171">
        <v>-76.240375</v>
      </c>
      <c r="AM1171">
        <v>25</v>
      </c>
      <c r="AN1171">
        <v>3425</v>
      </c>
      <c r="AO1171" t="s">
        <v>118</v>
      </c>
      <c r="AP1171">
        <v>-145</v>
      </c>
      <c r="AQ1171">
        <v>-167</v>
      </c>
      <c r="AR1171">
        <v>64</v>
      </c>
      <c r="AZ1171">
        <v>4516</v>
      </c>
      <c r="BA1171">
        <v>1</v>
      </c>
      <c r="BB1171" t="str">
        <f t="shared" si="120"/>
        <v xml:space="preserve">N79NX   </v>
      </c>
      <c r="BC1171">
        <v>1</v>
      </c>
      <c r="BE1171">
        <v>0</v>
      </c>
      <c r="BF1171">
        <v>0</v>
      </c>
      <c r="BG1171">
        <v>0</v>
      </c>
      <c r="BH1171">
        <v>3275</v>
      </c>
      <c r="BI1171">
        <v>0</v>
      </c>
      <c r="BJ1171">
        <v>0</v>
      </c>
      <c r="BK1171">
        <v>0</v>
      </c>
      <c r="BL1171">
        <v>0</v>
      </c>
      <c r="BO1171">
        <v>0</v>
      </c>
      <c r="BP1171">
        <v>0</v>
      </c>
      <c r="BW1171" t="str">
        <f>"18:42:03.631"</f>
        <v>18:42:03.631</v>
      </c>
      <c r="BZ1171">
        <v>0</v>
      </c>
      <c r="CA1171">
        <v>4096</v>
      </c>
      <c r="CB1171">
        <v>216</v>
      </c>
      <c r="CC1171">
        <v>632.8125</v>
      </c>
      <c r="CD1171">
        <v>1</v>
      </c>
      <c r="CE1171">
        <v>1</v>
      </c>
      <c r="CF1171">
        <v>0</v>
      </c>
      <c r="CG1171">
        <v>1</v>
      </c>
      <c r="CH1171">
        <v>0</v>
      </c>
      <c r="CI1171">
        <v>1</v>
      </c>
      <c r="CJ1171">
        <v>0</v>
      </c>
      <c r="CK1171">
        <v>2</v>
      </c>
      <c r="CL1171">
        <v>0</v>
      </c>
      <c r="CM1171">
        <v>2</v>
      </c>
      <c r="CN1171">
        <v>0</v>
      </c>
      <c r="CO1171">
        <v>2</v>
      </c>
      <c r="CP1171" t="s">
        <v>119</v>
      </c>
      <c r="CQ1171">
        <v>145</v>
      </c>
      <c r="CR1171">
        <v>1</v>
      </c>
      <c r="CW1171">
        <v>9033283</v>
      </c>
      <c r="CY1171">
        <v>0</v>
      </c>
      <c r="CZ1171">
        <v>0</v>
      </c>
      <c r="DA1171">
        <v>0</v>
      </c>
      <c r="DB1171">
        <v>0</v>
      </c>
      <c r="DC1171">
        <v>0</v>
      </c>
      <c r="DD1171">
        <v>0</v>
      </c>
      <c r="DE1171">
        <v>0</v>
      </c>
      <c r="DF1171">
        <v>0</v>
      </c>
      <c r="DG1171">
        <v>0</v>
      </c>
      <c r="DH1171">
        <v>0</v>
      </c>
      <c r="DI1171">
        <v>0</v>
      </c>
    </row>
    <row r="1172" spans="1:113" x14ac:dyDescent="0.3">
      <c r="A1172" t="str">
        <f>"02/13/2022 18:42:03.942"</f>
        <v>02/13/2022 18:42:03.942</v>
      </c>
      <c r="C1172" t="str">
        <f t="shared" si="119"/>
        <v>FFDFD7C0</v>
      </c>
      <c r="D1172" t="s">
        <v>113</v>
      </c>
      <c r="E1172">
        <v>3</v>
      </c>
      <c r="F1172">
        <v>1003</v>
      </c>
      <c r="G1172" t="s">
        <v>114</v>
      </c>
      <c r="J1172" t="s">
        <v>115</v>
      </c>
      <c r="K1172">
        <v>0</v>
      </c>
      <c r="L1172">
        <v>3</v>
      </c>
      <c r="M1172">
        <v>0</v>
      </c>
      <c r="N1172">
        <v>2</v>
      </c>
      <c r="O1172">
        <v>1</v>
      </c>
      <c r="P1172">
        <v>0</v>
      </c>
      <c r="Q1172">
        <v>0</v>
      </c>
      <c r="S1172" t="str">
        <f>"18:42:03.625"</f>
        <v>18:42:03.625</v>
      </c>
      <c r="T1172" t="str">
        <f>"18:42:03.225"</f>
        <v>18:42:03.225</v>
      </c>
      <c r="U1172" t="str">
        <f t="shared" si="118"/>
        <v>AAB6EE</v>
      </c>
      <c r="V1172">
        <v>0</v>
      </c>
      <c r="W1172">
        <v>0</v>
      </c>
      <c r="X1172">
        <v>4</v>
      </c>
      <c r="Z1172">
        <v>0</v>
      </c>
      <c r="AA1172">
        <v>8</v>
      </c>
      <c r="AB1172">
        <v>3</v>
      </c>
      <c r="AC1172">
        <v>0</v>
      </c>
      <c r="AD1172">
        <v>10</v>
      </c>
      <c r="AE1172">
        <v>0</v>
      </c>
      <c r="AF1172">
        <v>0</v>
      </c>
      <c r="AG1172">
        <v>1</v>
      </c>
      <c r="AH1172">
        <v>1</v>
      </c>
      <c r="AI1172" t="s">
        <v>903</v>
      </c>
      <c r="AJ1172">
        <v>35.262723000000001</v>
      </c>
      <c r="AK1172" t="s">
        <v>904</v>
      </c>
      <c r="AL1172">
        <v>-76.240375</v>
      </c>
      <c r="AM1172">
        <v>25</v>
      </c>
      <c r="AN1172">
        <v>3425</v>
      </c>
      <c r="AO1172" t="s">
        <v>118</v>
      </c>
      <c r="AP1172">
        <v>-145</v>
      </c>
      <c r="AQ1172">
        <v>-167</v>
      </c>
      <c r="AR1172">
        <v>64</v>
      </c>
      <c r="AZ1172">
        <v>4516</v>
      </c>
      <c r="BA1172">
        <v>1</v>
      </c>
      <c r="BB1172" t="str">
        <f t="shared" si="120"/>
        <v xml:space="preserve">N79NX   </v>
      </c>
      <c r="BC1172">
        <v>1</v>
      </c>
      <c r="BE1172">
        <v>0</v>
      </c>
      <c r="BF1172">
        <v>0</v>
      </c>
      <c r="BG1172">
        <v>0</v>
      </c>
      <c r="BH1172">
        <v>3275</v>
      </c>
      <c r="BI1172">
        <v>0</v>
      </c>
      <c r="BJ1172">
        <v>0</v>
      </c>
      <c r="BK1172">
        <v>0</v>
      </c>
      <c r="BL1172">
        <v>0</v>
      </c>
      <c r="BO1172">
        <v>0</v>
      </c>
      <c r="BP1172">
        <v>0</v>
      </c>
      <c r="BW1172" t="str">
        <f>"18:42:03.631"</f>
        <v>18:42:03.631</v>
      </c>
      <c r="BZ1172">
        <v>0</v>
      </c>
      <c r="CA1172">
        <v>4096</v>
      </c>
      <c r="CB1172">
        <v>216</v>
      </c>
      <c r="CC1172">
        <v>632.8125</v>
      </c>
      <c r="CD1172">
        <v>1</v>
      </c>
      <c r="CE1172">
        <v>1</v>
      </c>
      <c r="CF1172">
        <v>0</v>
      </c>
      <c r="CG1172">
        <v>1</v>
      </c>
      <c r="CH1172">
        <v>0</v>
      </c>
      <c r="CI1172">
        <v>1</v>
      </c>
      <c r="CJ1172">
        <v>0</v>
      </c>
      <c r="CK1172">
        <v>2</v>
      </c>
      <c r="CL1172">
        <v>0</v>
      </c>
      <c r="CM1172">
        <v>2</v>
      </c>
      <c r="CN1172">
        <v>0</v>
      </c>
      <c r="CO1172">
        <v>2</v>
      </c>
      <c r="CP1172" t="s">
        <v>119</v>
      </c>
      <c r="CQ1172">
        <v>145</v>
      </c>
      <c r="CR1172">
        <v>1</v>
      </c>
      <c r="CW1172">
        <v>9033283</v>
      </c>
      <c r="CY1172">
        <v>0</v>
      </c>
      <c r="CZ1172">
        <v>0</v>
      </c>
      <c r="DA1172">
        <v>1</v>
      </c>
      <c r="DB1172">
        <v>0</v>
      </c>
      <c r="DC1172">
        <v>0</v>
      </c>
      <c r="DD1172">
        <v>0</v>
      </c>
      <c r="DE1172">
        <v>0</v>
      </c>
      <c r="DF1172">
        <v>0</v>
      </c>
      <c r="DG1172">
        <v>0</v>
      </c>
      <c r="DH1172">
        <v>0</v>
      </c>
      <c r="DI1172">
        <v>0</v>
      </c>
    </row>
    <row r="1173" spans="1:113" x14ac:dyDescent="0.3">
      <c r="A1173" t="str">
        <f>"02/13/2022 18:42:03.942"</f>
        <v>02/13/2022 18:42:03.942</v>
      </c>
      <c r="C1173" t="str">
        <f t="shared" si="119"/>
        <v>FFDFD7C0</v>
      </c>
      <c r="D1173" t="s">
        <v>113</v>
      </c>
      <c r="E1173">
        <v>4</v>
      </c>
      <c r="F1173">
        <v>1004</v>
      </c>
      <c r="G1173" t="s">
        <v>120</v>
      </c>
      <c r="J1173" t="s">
        <v>115</v>
      </c>
      <c r="K1173">
        <v>0</v>
      </c>
      <c r="L1173">
        <v>3</v>
      </c>
      <c r="M1173">
        <v>0</v>
      </c>
      <c r="N1173">
        <v>2</v>
      </c>
      <c r="O1173">
        <v>1</v>
      </c>
      <c r="P1173">
        <v>0</v>
      </c>
      <c r="Q1173">
        <v>0</v>
      </c>
      <c r="S1173" t="str">
        <f>"18:42:03.625"</f>
        <v>18:42:03.625</v>
      </c>
      <c r="T1173" t="str">
        <f>"18:42:03.225"</f>
        <v>18:42:03.225</v>
      </c>
      <c r="U1173" t="str">
        <f t="shared" si="118"/>
        <v>AAB6EE</v>
      </c>
      <c r="V1173">
        <v>0</v>
      </c>
      <c r="W1173">
        <v>0</v>
      </c>
      <c r="X1173">
        <v>4</v>
      </c>
      <c r="Z1173">
        <v>0</v>
      </c>
      <c r="AA1173">
        <v>8</v>
      </c>
      <c r="AB1173">
        <v>3</v>
      </c>
      <c r="AC1173">
        <v>0</v>
      </c>
      <c r="AD1173">
        <v>10</v>
      </c>
      <c r="AE1173">
        <v>0</v>
      </c>
      <c r="AF1173">
        <v>0</v>
      </c>
      <c r="AG1173">
        <v>1</v>
      </c>
      <c r="AH1173">
        <v>1</v>
      </c>
      <c r="AI1173" t="s">
        <v>903</v>
      </c>
      <c r="AJ1173">
        <v>35.262723000000001</v>
      </c>
      <c r="AK1173" t="s">
        <v>904</v>
      </c>
      <c r="AL1173">
        <v>-76.240375</v>
      </c>
      <c r="AM1173">
        <v>25</v>
      </c>
      <c r="AN1173">
        <v>3425</v>
      </c>
      <c r="AO1173" t="s">
        <v>118</v>
      </c>
      <c r="AP1173">
        <v>-145</v>
      </c>
      <c r="AQ1173">
        <v>-167</v>
      </c>
      <c r="AR1173">
        <v>64</v>
      </c>
      <c r="AZ1173">
        <v>4516</v>
      </c>
      <c r="BA1173">
        <v>1</v>
      </c>
      <c r="BB1173" t="str">
        <f t="shared" si="120"/>
        <v xml:space="preserve">N79NX   </v>
      </c>
      <c r="BC1173">
        <v>1</v>
      </c>
      <c r="BE1173">
        <v>0</v>
      </c>
      <c r="BF1173">
        <v>0</v>
      </c>
      <c r="BG1173">
        <v>0</v>
      </c>
      <c r="BH1173">
        <v>3275</v>
      </c>
      <c r="BI1173">
        <v>0</v>
      </c>
      <c r="BJ1173">
        <v>0</v>
      </c>
      <c r="BK1173">
        <v>0</v>
      </c>
      <c r="BL1173">
        <v>0</v>
      </c>
      <c r="BO1173">
        <v>0</v>
      </c>
      <c r="BP1173">
        <v>0</v>
      </c>
      <c r="BW1173" t="str">
        <f>"18:42:03.631"</f>
        <v>18:42:03.631</v>
      </c>
      <c r="BZ1173">
        <v>0</v>
      </c>
      <c r="CA1173">
        <v>4096</v>
      </c>
      <c r="CB1173">
        <v>216</v>
      </c>
      <c r="CC1173">
        <v>632.8125</v>
      </c>
      <c r="CD1173">
        <v>1</v>
      </c>
      <c r="CE1173">
        <v>1</v>
      </c>
      <c r="CF1173">
        <v>0</v>
      </c>
      <c r="CG1173">
        <v>1</v>
      </c>
      <c r="CH1173">
        <v>0</v>
      </c>
      <c r="CI1173">
        <v>1</v>
      </c>
      <c r="CJ1173">
        <v>0</v>
      </c>
      <c r="CK1173">
        <v>2</v>
      </c>
      <c r="CL1173">
        <v>0</v>
      </c>
      <c r="CM1173">
        <v>2</v>
      </c>
      <c r="CN1173">
        <v>0</v>
      </c>
      <c r="CO1173">
        <v>2</v>
      </c>
      <c r="CP1173" t="s">
        <v>119</v>
      </c>
      <c r="CQ1173">
        <v>145</v>
      </c>
      <c r="CR1173">
        <v>1</v>
      </c>
      <c r="CW1173">
        <v>9033283</v>
      </c>
      <c r="CY1173">
        <v>0</v>
      </c>
      <c r="CZ1173">
        <v>0</v>
      </c>
      <c r="DA1173">
        <v>1</v>
      </c>
      <c r="DB1173">
        <v>0</v>
      </c>
      <c r="DC1173">
        <v>0</v>
      </c>
      <c r="DD1173">
        <v>0</v>
      </c>
      <c r="DE1173">
        <v>0</v>
      </c>
      <c r="DF1173">
        <v>0</v>
      </c>
      <c r="DG1173">
        <v>0</v>
      </c>
      <c r="DH1173">
        <v>0</v>
      </c>
      <c r="DI1173">
        <v>0</v>
      </c>
    </row>
    <row r="1174" spans="1:113" x14ac:dyDescent="0.3">
      <c r="A1174" t="str">
        <f>"02/13/2022 18:42:05.509"</f>
        <v>02/13/2022 18:42:05.509</v>
      </c>
      <c r="C1174" t="str">
        <f t="shared" si="119"/>
        <v>FFDFD7C0</v>
      </c>
      <c r="D1174" t="s">
        <v>121</v>
      </c>
      <c r="E1174">
        <v>2</v>
      </c>
      <c r="H1174">
        <v>158</v>
      </c>
      <c r="I1174" t="s">
        <v>120</v>
      </c>
      <c r="J1174" t="s">
        <v>122</v>
      </c>
      <c r="K1174">
        <v>0</v>
      </c>
      <c r="L1174">
        <v>3</v>
      </c>
      <c r="M1174">
        <v>0</v>
      </c>
      <c r="N1174">
        <v>2</v>
      </c>
      <c r="O1174">
        <v>1</v>
      </c>
      <c r="P1174">
        <v>0</v>
      </c>
      <c r="Q1174">
        <v>0</v>
      </c>
      <c r="S1174" t="str">
        <f>"18:42:05.227"</f>
        <v>18:42:05.227</v>
      </c>
      <c r="T1174" t="str">
        <f>"18:42:04.727"</f>
        <v>18:42:04.727</v>
      </c>
      <c r="U1174" t="str">
        <f t="shared" si="118"/>
        <v>AAB6EE</v>
      </c>
      <c r="V1174">
        <v>0</v>
      </c>
      <c r="W1174">
        <v>0</v>
      </c>
      <c r="X1174">
        <v>4</v>
      </c>
      <c r="Z1174">
        <v>0</v>
      </c>
      <c r="AA1174">
        <v>8</v>
      </c>
      <c r="AB1174">
        <v>3</v>
      </c>
      <c r="AC1174">
        <v>0</v>
      </c>
      <c r="AD1174">
        <v>10</v>
      </c>
      <c r="AE1174">
        <v>0</v>
      </c>
      <c r="AF1174">
        <v>0</v>
      </c>
      <c r="AG1174">
        <v>1</v>
      </c>
      <c r="AH1174">
        <v>1</v>
      </c>
      <c r="AI1174" t="s">
        <v>905</v>
      </c>
      <c r="AJ1174">
        <v>35.261457</v>
      </c>
      <c r="AK1174" t="s">
        <v>906</v>
      </c>
      <c r="AL1174">
        <v>-76.241663000000003</v>
      </c>
      <c r="AM1174">
        <v>25</v>
      </c>
      <c r="AN1174">
        <v>3425</v>
      </c>
      <c r="AO1174" t="s">
        <v>118</v>
      </c>
      <c r="AP1174">
        <v>-141</v>
      </c>
      <c r="AQ1174">
        <v>-170</v>
      </c>
      <c r="AR1174">
        <v>64</v>
      </c>
      <c r="AZ1174">
        <v>4516</v>
      </c>
      <c r="BA1174">
        <v>1</v>
      </c>
      <c r="BB1174" t="str">
        <f t="shared" si="120"/>
        <v xml:space="preserve">N79NX   </v>
      </c>
      <c r="BC1174">
        <v>1</v>
      </c>
      <c r="BE1174">
        <v>0</v>
      </c>
      <c r="BF1174">
        <v>0</v>
      </c>
      <c r="BG1174">
        <v>0</v>
      </c>
      <c r="BH1174">
        <v>3275</v>
      </c>
      <c r="BI1174">
        <v>0</v>
      </c>
      <c r="BJ1174">
        <v>0</v>
      </c>
      <c r="BK1174">
        <v>0</v>
      </c>
      <c r="BL1174">
        <v>0</v>
      </c>
      <c r="BO1174">
        <v>0</v>
      </c>
      <c r="BP1174">
        <v>0</v>
      </c>
      <c r="BW1174" t="str">
        <f>"18:42:05.232"</f>
        <v>18:42:05.232</v>
      </c>
      <c r="BZ1174">
        <v>0</v>
      </c>
      <c r="CA1174">
        <v>4096</v>
      </c>
      <c r="CB1174">
        <v>216</v>
      </c>
      <c r="CC1174">
        <v>632.8125</v>
      </c>
      <c r="CD1174">
        <v>1</v>
      </c>
      <c r="CE1174">
        <v>1</v>
      </c>
      <c r="CF1174">
        <v>0</v>
      </c>
      <c r="CG1174">
        <v>1</v>
      </c>
      <c r="CH1174">
        <v>0</v>
      </c>
      <c r="CI1174">
        <v>1</v>
      </c>
      <c r="CJ1174">
        <v>0</v>
      </c>
      <c r="CK1174">
        <v>2</v>
      </c>
      <c r="CL1174">
        <v>0</v>
      </c>
      <c r="CM1174">
        <v>2</v>
      </c>
      <c r="CN1174">
        <v>0</v>
      </c>
      <c r="CO1174">
        <v>2</v>
      </c>
      <c r="CP1174" t="s">
        <v>119</v>
      </c>
      <c r="CQ1174">
        <v>145</v>
      </c>
      <c r="CR1174">
        <v>1</v>
      </c>
      <c r="CW1174">
        <v>9033970</v>
      </c>
      <c r="CY1174">
        <v>0</v>
      </c>
      <c r="CZ1174">
        <v>0</v>
      </c>
      <c r="DA1174">
        <v>0</v>
      </c>
      <c r="DB1174">
        <v>0</v>
      </c>
      <c r="DC1174">
        <v>0</v>
      </c>
      <c r="DD1174">
        <v>0</v>
      </c>
      <c r="DE1174">
        <v>0</v>
      </c>
      <c r="DF1174">
        <v>0</v>
      </c>
      <c r="DG1174">
        <v>0</v>
      </c>
      <c r="DH1174">
        <v>0</v>
      </c>
      <c r="DI1174">
        <v>0</v>
      </c>
    </row>
    <row r="1175" spans="1:113" x14ac:dyDescent="0.3">
      <c r="A1175" t="str">
        <f>"02/13/2022 18:42:05.509"</f>
        <v>02/13/2022 18:42:05.509</v>
      </c>
      <c r="C1175" t="str">
        <f t="shared" si="119"/>
        <v>FFDFD7C0</v>
      </c>
      <c r="D1175" t="s">
        <v>113</v>
      </c>
      <c r="E1175">
        <v>3</v>
      </c>
      <c r="F1175">
        <v>1003</v>
      </c>
      <c r="G1175" t="s">
        <v>114</v>
      </c>
      <c r="J1175" t="s">
        <v>115</v>
      </c>
      <c r="K1175">
        <v>0</v>
      </c>
      <c r="L1175">
        <v>3</v>
      </c>
      <c r="M1175">
        <v>0</v>
      </c>
      <c r="N1175">
        <v>2</v>
      </c>
      <c r="O1175">
        <v>1</v>
      </c>
      <c r="P1175">
        <v>0</v>
      </c>
      <c r="Q1175">
        <v>0</v>
      </c>
      <c r="S1175" t="str">
        <f>"18:42:05.227"</f>
        <v>18:42:05.227</v>
      </c>
      <c r="T1175" t="str">
        <f>"18:42:04.727"</f>
        <v>18:42:04.727</v>
      </c>
      <c r="U1175" t="str">
        <f t="shared" si="118"/>
        <v>AAB6EE</v>
      </c>
      <c r="V1175">
        <v>0</v>
      </c>
      <c r="W1175">
        <v>0</v>
      </c>
      <c r="X1175">
        <v>4</v>
      </c>
      <c r="Z1175">
        <v>0</v>
      </c>
      <c r="AA1175">
        <v>8</v>
      </c>
      <c r="AB1175">
        <v>3</v>
      </c>
      <c r="AC1175">
        <v>0</v>
      </c>
      <c r="AD1175">
        <v>10</v>
      </c>
      <c r="AE1175">
        <v>0</v>
      </c>
      <c r="AF1175">
        <v>0</v>
      </c>
      <c r="AG1175">
        <v>1</v>
      </c>
      <c r="AH1175">
        <v>1</v>
      </c>
      <c r="AI1175" t="s">
        <v>905</v>
      </c>
      <c r="AJ1175">
        <v>35.261457</v>
      </c>
      <c r="AK1175" t="s">
        <v>906</v>
      </c>
      <c r="AL1175">
        <v>-76.241663000000003</v>
      </c>
      <c r="AM1175">
        <v>25</v>
      </c>
      <c r="AN1175">
        <v>3425</v>
      </c>
      <c r="AO1175" t="s">
        <v>118</v>
      </c>
      <c r="AP1175">
        <v>-141</v>
      </c>
      <c r="AQ1175">
        <v>-170</v>
      </c>
      <c r="AR1175">
        <v>64</v>
      </c>
      <c r="AZ1175">
        <v>4516</v>
      </c>
      <c r="BA1175">
        <v>1</v>
      </c>
      <c r="BB1175" t="str">
        <f t="shared" si="120"/>
        <v xml:space="preserve">N79NX   </v>
      </c>
      <c r="BC1175">
        <v>1</v>
      </c>
      <c r="BE1175">
        <v>0</v>
      </c>
      <c r="BF1175">
        <v>0</v>
      </c>
      <c r="BG1175">
        <v>0</v>
      </c>
      <c r="BH1175">
        <v>3275</v>
      </c>
      <c r="BI1175">
        <v>0</v>
      </c>
      <c r="BJ1175">
        <v>0</v>
      </c>
      <c r="BK1175">
        <v>0</v>
      </c>
      <c r="BL1175">
        <v>0</v>
      </c>
      <c r="BO1175">
        <v>0</v>
      </c>
      <c r="BP1175">
        <v>0</v>
      </c>
      <c r="BW1175" t="str">
        <f>"18:42:05.232"</f>
        <v>18:42:05.232</v>
      </c>
      <c r="BZ1175">
        <v>0</v>
      </c>
      <c r="CA1175">
        <v>4096</v>
      </c>
      <c r="CB1175">
        <v>216</v>
      </c>
      <c r="CC1175">
        <v>632.8125</v>
      </c>
      <c r="CD1175">
        <v>1</v>
      </c>
      <c r="CE1175">
        <v>1</v>
      </c>
      <c r="CF1175">
        <v>0</v>
      </c>
      <c r="CG1175">
        <v>1</v>
      </c>
      <c r="CH1175">
        <v>0</v>
      </c>
      <c r="CI1175">
        <v>1</v>
      </c>
      <c r="CJ1175">
        <v>0</v>
      </c>
      <c r="CK1175">
        <v>2</v>
      </c>
      <c r="CL1175">
        <v>0</v>
      </c>
      <c r="CM1175">
        <v>2</v>
      </c>
      <c r="CN1175">
        <v>0</v>
      </c>
      <c r="CO1175">
        <v>2</v>
      </c>
      <c r="CP1175" t="s">
        <v>119</v>
      </c>
      <c r="CQ1175">
        <v>145</v>
      </c>
      <c r="CR1175">
        <v>1</v>
      </c>
      <c r="CW1175">
        <v>9033970</v>
      </c>
      <c r="CY1175">
        <v>0</v>
      </c>
      <c r="CZ1175">
        <v>0</v>
      </c>
      <c r="DA1175">
        <v>1</v>
      </c>
      <c r="DB1175">
        <v>0</v>
      </c>
      <c r="DC1175">
        <v>0</v>
      </c>
      <c r="DD1175">
        <v>0</v>
      </c>
      <c r="DE1175">
        <v>0</v>
      </c>
      <c r="DF1175">
        <v>0</v>
      </c>
      <c r="DG1175">
        <v>0</v>
      </c>
      <c r="DH1175">
        <v>0</v>
      </c>
      <c r="DI1175">
        <v>0</v>
      </c>
    </row>
    <row r="1176" spans="1:113" x14ac:dyDescent="0.3">
      <c r="A1176" t="str">
        <f>"02/13/2022 18:42:05.509"</f>
        <v>02/13/2022 18:42:05.509</v>
      </c>
      <c r="C1176" t="str">
        <f t="shared" si="119"/>
        <v>FFDFD7C0</v>
      </c>
      <c r="D1176" t="s">
        <v>113</v>
      </c>
      <c r="E1176">
        <v>4</v>
      </c>
      <c r="F1176">
        <v>1004</v>
      </c>
      <c r="G1176" t="s">
        <v>120</v>
      </c>
      <c r="J1176" t="s">
        <v>115</v>
      </c>
      <c r="K1176">
        <v>0</v>
      </c>
      <c r="L1176">
        <v>3</v>
      </c>
      <c r="M1176">
        <v>0</v>
      </c>
      <c r="N1176">
        <v>2</v>
      </c>
      <c r="O1176">
        <v>1</v>
      </c>
      <c r="P1176">
        <v>0</v>
      </c>
      <c r="Q1176">
        <v>0</v>
      </c>
      <c r="S1176" t="str">
        <f>"18:42:05.227"</f>
        <v>18:42:05.227</v>
      </c>
      <c r="T1176" t="str">
        <f>"18:42:04.727"</f>
        <v>18:42:04.727</v>
      </c>
      <c r="U1176" t="str">
        <f t="shared" si="118"/>
        <v>AAB6EE</v>
      </c>
      <c r="V1176">
        <v>0</v>
      </c>
      <c r="W1176">
        <v>0</v>
      </c>
      <c r="X1176">
        <v>4</v>
      </c>
      <c r="Z1176">
        <v>0</v>
      </c>
      <c r="AA1176">
        <v>8</v>
      </c>
      <c r="AB1176">
        <v>3</v>
      </c>
      <c r="AC1176">
        <v>0</v>
      </c>
      <c r="AD1176">
        <v>10</v>
      </c>
      <c r="AE1176">
        <v>0</v>
      </c>
      <c r="AF1176">
        <v>0</v>
      </c>
      <c r="AG1176">
        <v>1</v>
      </c>
      <c r="AH1176">
        <v>1</v>
      </c>
      <c r="AI1176" t="s">
        <v>905</v>
      </c>
      <c r="AJ1176">
        <v>35.261457</v>
      </c>
      <c r="AK1176" t="s">
        <v>906</v>
      </c>
      <c r="AL1176">
        <v>-76.241663000000003</v>
      </c>
      <c r="AM1176">
        <v>25</v>
      </c>
      <c r="AN1176">
        <v>3425</v>
      </c>
      <c r="AO1176" t="s">
        <v>118</v>
      </c>
      <c r="AP1176">
        <v>-141</v>
      </c>
      <c r="AQ1176">
        <v>-170</v>
      </c>
      <c r="AR1176">
        <v>64</v>
      </c>
      <c r="AZ1176">
        <v>4516</v>
      </c>
      <c r="BA1176">
        <v>1</v>
      </c>
      <c r="BB1176" t="str">
        <f t="shared" si="120"/>
        <v xml:space="preserve">N79NX   </v>
      </c>
      <c r="BC1176">
        <v>1</v>
      </c>
      <c r="BE1176">
        <v>0</v>
      </c>
      <c r="BF1176">
        <v>0</v>
      </c>
      <c r="BG1176">
        <v>0</v>
      </c>
      <c r="BH1176">
        <v>3275</v>
      </c>
      <c r="BI1176">
        <v>0</v>
      </c>
      <c r="BJ1176">
        <v>0</v>
      </c>
      <c r="BK1176">
        <v>0</v>
      </c>
      <c r="BL1176">
        <v>0</v>
      </c>
      <c r="BO1176">
        <v>0</v>
      </c>
      <c r="BP1176">
        <v>0</v>
      </c>
      <c r="BW1176" t="str">
        <f>"18:42:05.232"</f>
        <v>18:42:05.232</v>
      </c>
      <c r="BZ1176">
        <v>0</v>
      </c>
      <c r="CA1176">
        <v>4096</v>
      </c>
      <c r="CB1176">
        <v>216</v>
      </c>
      <c r="CC1176">
        <v>632.8125</v>
      </c>
      <c r="CD1176">
        <v>1</v>
      </c>
      <c r="CE1176">
        <v>1</v>
      </c>
      <c r="CF1176">
        <v>0</v>
      </c>
      <c r="CG1176">
        <v>1</v>
      </c>
      <c r="CH1176">
        <v>0</v>
      </c>
      <c r="CI1176">
        <v>1</v>
      </c>
      <c r="CJ1176">
        <v>0</v>
      </c>
      <c r="CK1176">
        <v>2</v>
      </c>
      <c r="CL1176">
        <v>0</v>
      </c>
      <c r="CM1176">
        <v>2</v>
      </c>
      <c r="CN1176">
        <v>0</v>
      </c>
      <c r="CO1176">
        <v>2</v>
      </c>
      <c r="CP1176" t="s">
        <v>119</v>
      </c>
      <c r="CQ1176">
        <v>145</v>
      </c>
      <c r="CR1176">
        <v>1</v>
      </c>
      <c r="CW1176">
        <v>9033970</v>
      </c>
      <c r="CY1176">
        <v>0</v>
      </c>
      <c r="CZ1176">
        <v>0</v>
      </c>
      <c r="DA1176">
        <v>1</v>
      </c>
      <c r="DB1176">
        <v>0</v>
      </c>
      <c r="DC1176">
        <v>0</v>
      </c>
      <c r="DD1176">
        <v>0</v>
      </c>
      <c r="DE1176">
        <v>0</v>
      </c>
      <c r="DF1176">
        <v>0</v>
      </c>
      <c r="DG1176">
        <v>0</v>
      </c>
      <c r="DH1176">
        <v>0</v>
      </c>
      <c r="DI1176">
        <v>0</v>
      </c>
    </row>
    <row r="1177" spans="1:113" x14ac:dyDescent="0.3">
      <c r="A1177" t="str">
        <f>"02/13/2022 18:42:07.541"</f>
        <v>02/13/2022 18:42:07.541</v>
      </c>
      <c r="C1177" t="str">
        <f t="shared" si="119"/>
        <v>FFDFD7C0</v>
      </c>
      <c r="D1177" t="s">
        <v>121</v>
      </c>
      <c r="E1177">
        <v>2</v>
      </c>
      <c r="H1177">
        <v>158</v>
      </c>
      <c r="I1177" t="s">
        <v>120</v>
      </c>
      <c r="J1177" t="s">
        <v>122</v>
      </c>
      <c r="K1177">
        <v>0</v>
      </c>
      <c r="L1177">
        <v>3</v>
      </c>
      <c r="M1177">
        <v>0</v>
      </c>
      <c r="N1177">
        <v>2</v>
      </c>
      <c r="O1177">
        <v>1</v>
      </c>
      <c r="P1177">
        <v>0</v>
      </c>
      <c r="Q1177">
        <v>0</v>
      </c>
      <c r="S1177" t="str">
        <f>"18:42:07.281"</f>
        <v>18:42:07.281</v>
      </c>
      <c r="T1177" t="str">
        <f>"18:42:07.081"</f>
        <v>18:42:07.081</v>
      </c>
      <c r="U1177" t="str">
        <f t="shared" si="118"/>
        <v>AAB6EE</v>
      </c>
      <c r="V1177">
        <v>0</v>
      </c>
      <c r="W1177">
        <v>0</v>
      </c>
      <c r="X1177">
        <v>4</v>
      </c>
      <c r="Z1177">
        <v>0</v>
      </c>
      <c r="AA1177">
        <v>8</v>
      </c>
      <c r="AB1177">
        <v>3</v>
      </c>
      <c r="AC1177">
        <v>0</v>
      </c>
      <c r="AD1177">
        <v>10</v>
      </c>
      <c r="AE1177">
        <v>0</v>
      </c>
      <c r="AF1177">
        <v>0</v>
      </c>
      <c r="AG1177">
        <v>1</v>
      </c>
      <c r="AH1177">
        <v>1</v>
      </c>
      <c r="AI1177" t="s">
        <v>907</v>
      </c>
      <c r="AJ1177">
        <v>35.259825999999997</v>
      </c>
      <c r="AK1177" t="s">
        <v>908</v>
      </c>
      <c r="AL1177">
        <v>-76.243250000000003</v>
      </c>
      <c r="AM1177">
        <v>25</v>
      </c>
      <c r="AN1177">
        <v>3425</v>
      </c>
      <c r="AO1177" t="s">
        <v>118</v>
      </c>
      <c r="AP1177">
        <v>-138</v>
      </c>
      <c r="AQ1177">
        <v>-173</v>
      </c>
      <c r="AR1177">
        <v>0</v>
      </c>
      <c r="AZ1177">
        <v>4516</v>
      </c>
      <c r="BA1177">
        <v>1</v>
      </c>
      <c r="BB1177" t="str">
        <f t="shared" si="120"/>
        <v xml:space="preserve">N79NX   </v>
      </c>
      <c r="BC1177">
        <v>1</v>
      </c>
      <c r="BE1177">
        <v>0</v>
      </c>
      <c r="BF1177">
        <v>0</v>
      </c>
      <c r="BG1177">
        <v>0</v>
      </c>
      <c r="BH1177">
        <v>3275</v>
      </c>
      <c r="BI1177">
        <v>0</v>
      </c>
      <c r="BJ1177">
        <v>0</v>
      </c>
      <c r="BK1177">
        <v>0</v>
      </c>
      <c r="BL1177">
        <v>0</v>
      </c>
      <c r="BO1177">
        <v>0</v>
      </c>
      <c r="BP1177">
        <v>0</v>
      </c>
      <c r="BW1177" t="str">
        <f>"18:42:07.281"</f>
        <v>18:42:07.281</v>
      </c>
      <c r="BZ1177">
        <v>0</v>
      </c>
      <c r="CA1177">
        <v>4096</v>
      </c>
      <c r="CB1177">
        <v>216</v>
      </c>
      <c r="CC1177">
        <v>632.8125</v>
      </c>
      <c r="CD1177">
        <v>1</v>
      </c>
      <c r="CE1177">
        <v>1</v>
      </c>
      <c r="CF1177">
        <v>0</v>
      </c>
      <c r="CG1177">
        <v>1</v>
      </c>
      <c r="CH1177">
        <v>0</v>
      </c>
      <c r="CI1177">
        <v>1</v>
      </c>
      <c r="CJ1177">
        <v>0</v>
      </c>
      <c r="CK1177">
        <v>2</v>
      </c>
      <c r="CL1177">
        <v>0</v>
      </c>
      <c r="CM1177">
        <v>2</v>
      </c>
      <c r="CN1177">
        <v>0</v>
      </c>
      <c r="CO1177">
        <v>2</v>
      </c>
      <c r="CP1177" t="s">
        <v>119</v>
      </c>
      <c r="CQ1177">
        <v>145</v>
      </c>
      <c r="CR1177">
        <v>1</v>
      </c>
      <c r="CW1177">
        <v>9034966</v>
      </c>
      <c r="CY1177">
        <v>0</v>
      </c>
      <c r="CZ1177">
        <v>0</v>
      </c>
      <c r="DA1177">
        <v>0</v>
      </c>
      <c r="DB1177">
        <v>0</v>
      </c>
      <c r="DC1177">
        <v>0</v>
      </c>
      <c r="DD1177">
        <v>0</v>
      </c>
      <c r="DE1177">
        <v>0</v>
      </c>
      <c r="DF1177">
        <v>0</v>
      </c>
      <c r="DG1177">
        <v>0</v>
      </c>
      <c r="DH1177">
        <v>0</v>
      </c>
      <c r="DI1177">
        <v>0</v>
      </c>
    </row>
    <row r="1178" spans="1:113" x14ac:dyDescent="0.3">
      <c r="A1178" t="str">
        <f>"02/13/2022 18:42:07.541"</f>
        <v>02/13/2022 18:42:07.541</v>
      </c>
      <c r="C1178" t="str">
        <f t="shared" si="119"/>
        <v>FFDFD7C0</v>
      </c>
      <c r="D1178" t="s">
        <v>113</v>
      </c>
      <c r="E1178">
        <v>3</v>
      </c>
      <c r="F1178">
        <v>1003</v>
      </c>
      <c r="G1178" t="s">
        <v>114</v>
      </c>
      <c r="J1178" t="s">
        <v>115</v>
      </c>
      <c r="K1178">
        <v>0</v>
      </c>
      <c r="L1178">
        <v>3</v>
      </c>
      <c r="M1178">
        <v>0</v>
      </c>
      <c r="N1178">
        <v>2</v>
      </c>
      <c r="O1178">
        <v>1</v>
      </c>
      <c r="P1178">
        <v>0</v>
      </c>
      <c r="Q1178">
        <v>0</v>
      </c>
      <c r="S1178" t="str">
        <f>"18:42:07.281"</f>
        <v>18:42:07.281</v>
      </c>
      <c r="T1178" t="str">
        <f>"18:42:07.081"</f>
        <v>18:42:07.081</v>
      </c>
      <c r="U1178" t="str">
        <f t="shared" si="118"/>
        <v>AAB6EE</v>
      </c>
      <c r="V1178">
        <v>0</v>
      </c>
      <c r="W1178">
        <v>0</v>
      </c>
      <c r="X1178">
        <v>4</v>
      </c>
      <c r="Z1178">
        <v>0</v>
      </c>
      <c r="AA1178">
        <v>8</v>
      </c>
      <c r="AB1178">
        <v>3</v>
      </c>
      <c r="AC1178">
        <v>0</v>
      </c>
      <c r="AD1178">
        <v>10</v>
      </c>
      <c r="AE1178">
        <v>0</v>
      </c>
      <c r="AF1178">
        <v>0</v>
      </c>
      <c r="AG1178">
        <v>1</v>
      </c>
      <c r="AH1178">
        <v>1</v>
      </c>
      <c r="AI1178" t="s">
        <v>907</v>
      </c>
      <c r="AJ1178">
        <v>35.259825999999997</v>
      </c>
      <c r="AK1178" t="s">
        <v>908</v>
      </c>
      <c r="AL1178">
        <v>-76.243250000000003</v>
      </c>
      <c r="AM1178">
        <v>25</v>
      </c>
      <c r="AN1178">
        <v>3425</v>
      </c>
      <c r="AO1178" t="s">
        <v>118</v>
      </c>
      <c r="AP1178">
        <v>-138</v>
      </c>
      <c r="AQ1178">
        <v>-173</v>
      </c>
      <c r="AR1178">
        <v>0</v>
      </c>
      <c r="AZ1178">
        <v>4516</v>
      </c>
      <c r="BA1178">
        <v>1</v>
      </c>
      <c r="BB1178" t="str">
        <f t="shared" si="120"/>
        <v xml:space="preserve">N79NX   </v>
      </c>
      <c r="BC1178">
        <v>1</v>
      </c>
      <c r="BE1178">
        <v>0</v>
      </c>
      <c r="BF1178">
        <v>0</v>
      </c>
      <c r="BG1178">
        <v>0</v>
      </c>
      <c r="BH1178">
        <v>3275</v>
      </c>
      <c r="BI1178">
        <v>0</v>
      </c>
      <c r="BJ1178">
        <v>0</v>
      </c>
      <c r="BK1178">
        <v>0</v>
      </c>
      <c r="BL1178">
        <v>0</v>
      </c>
      <c r="BO1178">
        <v>0</v>
      </c>
      <c r="BP1178">
        <v>0</v>
      </c>
      <c r="BW1178" t="str">
        <f>"18:42:07.281"</f>
        <v>18:42:07.281</v>
      </c>
      <c r="BZ1178">
        <v>0</v>
      </c>
      <c r="CA1178">
        <v>4096</v>
      </c>
      <c r="CB1178">
        <v>216</v>
      </c>
      <c r="CC1178">
        <v>632.8125</v>
      </c>
      <c r="CD1178">
        <v>1</v>
      </c>
      <c r="CE1178">
        <v>1</v>
      </c>
      <c r="CF1178">
        <v>0</v>
      </c>
      <c r="CG1178">
        <v>1</v>
      </c>
      <c r="CH1178">
        <v>0</v>
      </c>
      <c r="CI1178">
        <v>1</v>
      </c>
      <c r="CJ1178">
        <v>0</v>
      </c>
      <c r="CK1178">
        <v>2</v>
      </c>
      <c r="CL1178">
        <v>0</v>
      </c>
      <c r="CM1178">
        <v>2</v>
      </c>
      <c r="CN1178">
        <v>0</v>
      </c>
      <c r="CO1178">
        <v>2</v>
      </c>
      <c r="CP1178" t="s">
        <v>119</v>
      </c>
      <c r="CQ1178">
        <v>145</v>
      </c>
      <c r="CR1178">
        <v>1</v>
      </c>
      <c r="CW1178">
        <v>9034966</v>
      </c>
      <c r="CY1178">
        <v>0</v>
      </c>
      <c r="CZ1178">
        <v>0</v>
      </c>
      <c r="DA1178">
        <v>1</v>
      </c>
      <c r="DB1178">
        <v>0</v>
      </c>
      <c r="DC1178">
        <v>0</v>
      </c>
      <c r="DD1178">
        <v>0</v>
      </c>
      <c r="DE1178">
        <v>0</v>
      </c>
      <c r="DF1178">
        <v>0</v>
      </c>
      <c r="DG1178">
        <v>0</v>
      </c>
      <c r="DH1178">
        <v>0</v>
      </c>
      <c r="DI1178">
        <v>0</v>
      </c>
    </row>
    <row r="1179" spans="1:113" x14ac:dyDescent="0.3">
      <c r="A1179" t="str">
        <f>"02/13/2022 18:42:07.541"</f>
        <v>02/13/2022 18:42:07.541</v>
      </c>
      <c r="C1179" t="str">
        <f t="shared" si="119"/>
        <v>FFDFD7C0</v>
      </c>
      <c r="D1179" t="s">
        <v>113</v>
      </c>
      <c r="E1179">
        <v>4</v>
      </c>
      <c r="F1179">
        <v>1004</v>
      </c>
      <c r="G1179" t="s">
        <v>120</v>
      </c>
      <c r="J1179" t="s">
        <v>115</v>
      </c>
      <c r="K1179">
        <v>0</v>
      </c>
      <c r="L1179">
        <v>3</v>
      </c>
      <c r="M1179">
        <v>0</v>
      </c>
      <c r="N1179">
        <v>2</v>
      </c>
      <c r="O1179">
        <v>1</v>
      </c>
      <c r="P1179">
        <v>0</v>
      </c>
      <c r="Q1179">
        <v>0</v>
      </c>
      <c r="S1179" t="str">
        <f>"18:42:07.281"</f>
        <v>18:42:07.281</v>
      </c>
      <c r="T1179" t="str">
        <f>"18:42:07.081"</f>
        <v>18:42:07.081</v>
      </c>
      <c r="U1179" t="str">
        <f t="shared" si="118"/>
        <v>AAB6EE</v>
      </c>
      <c r="V1179">
        <v>0</v>
      </c>
      <c r="W1179">
        <v>0</v>
      </c>
      <c r="X1179">
        <v>4</v>
      </c>
      <c r="Z1179">
        <v>0</v>
      </c>
      <c r="AA1179">
        <v>8</v>
      </c>
      <c r="AB1179">
        <v>3</v>
      </c>
      <c r="AC1179">
        <v>0</v>
      </c>
      <c r="AD1179">
        <v>10</v>
      </c>
      <c r="AE1179">
        <v>0</v>
      </c>
      <c r="AF1179">
        <v>0</v>
      </c>
      <c r="AG1179">
        <v>1</v>
      </c>
      <c r="AH1179">
        <v>1</v>
      </c>
      <c r="AI1179" t="s">
        <v>907</v>
      </c>
      <c r="AJ1179">
        <v>35.259825999999997</v>
      </c>
      <c r="AK1179" t="s">
        <v>908</v>
      </c>
      <c r="AL1179">
        <v>-76.243250000000003</v>
      </c>
      <c r="AM1179">
        <v>25</v>
      </c>
      <c r="AN1179">
        <v>3425</v>
      </c>
      <c r="AO1179" t="s">
        <v>118</v>
      </c>
      <c r="AP1179">
        <v>-138</v>
      </c>
      <c r="AQ1179">
        <v>-173</v>
      </c>
      <c r="AR1179">
        <v>0</v>
      </c>
      <c r="AZ1179">
        <v>4516</v>
      </c>
      <c r="BA1179">
        <v>1</v>
      </c>
      <c r="BB1179" t="str">
        <f t="shared" si="120"/>
        <v xml:space="preserve">N79NX   </v>
      </c>
      <c r="BC1179">
        <v>1</v>
      </c>
      <c r="BE1179">
        <v>0</v>
      </c>
      <c r="BF1179">
        <v>0</v>
      </c>
      <c r="BG1179">
        <v>0</v>
      </c>
      <c r="BH1179">
        <v>3275</v>
      </c>
      <c r="BI1179">
        <v>0</v>
      </c>
      <c r="BJ1179">
        <v>0</v>
      </c>
      <c r="BK1179">
        <v>0</v>
      </c>
      <c r="BL1179">
        <v>0</v>
      </c>
      <c r="BO1179">
        <v>0</v>
      </c>
      <c r="BP1179">
        <v>0</v>
      </c>
      <c r="BW1179" t="str">
        <f>"18:42:07.281"</f>
        <v>18:42:07.281</v>
      </c>
      <c r="BZ1179">
        <v>0</v>
      </c>
      <c r="CA1179">
        <v>4096</v>
      </c>
      <c r="CB1179">
        <v>216</v>
      </c>
      <c r="CC1179">
        <v>632.8125</v>
      </c>
      <c r="CD1179">
        <v>1</v>
      </c>
      <c r="CE1179">
        <v>1</v>
      </c>
      <c r="CF1179">
        <v>0</v>
      </c>
      <c r="CG1179">
        <v>1</v>
      </c>
      <c r="CH1179">
        <v>0</v>
      </c>
      <c r="CI1179">
        <v>1</v>
      </c>
      <c r="CJ1179">
        <v>0</v>
      </c>
      <c r="CK1179">
        <v>2</v>
      </c>
      <c r="CL1179">
        <v>0</v>
      </c>
      <c r="CM1179">
        <v>2</v>
      </c>
      <c r="CN1179">
        <v>0</v>
      </c>
      <c r="CO1179">
        <v>2</v>
      </c>
      <c r="CP1179" t="s">
        <v>119</v>
      </c>
      <c r="CQ1179">
        <v>145</v>
      </c>
      <c r="CR1179">
        <v>1</v>
      </c>
      <c r="CW1179">
        <v>9034966</v>
      </c>
      <c r="CY1179">
        <v>0</v>
      </c>
      <c r="CZ1179">
        <v>0</v>
      </c>
      <c r="DA1179">
        <v>1</v>
      </c>
      <c r="DB1179">
        <v>0</v>
      </c>
      <c r="DC1179">
        <v>0</v>
      </c>
      <c r="DD1179">
        <v>0</v>
      </c>
      <c r="DE1179">
        <v>0</v>
      </c>
      <c r="DF1179">
        <v>0</v>
      </c>
      <c r="DG1179">
        <v>0</v>
      </c>
      <c r="DH1179">
        <v>0</v>
      </c>
      <c r="DI1179">
        <v>0</v>
      </c>
    </row>
    <row r="1180" spans="1:113" x14ac:dyDescent="0.3">
      <c r="A1180" t="str">
        <f>"02/13/2022 18:42:08.525"</f>
        <v>02/13/2022 18:42:08.525</v>
      </c>
      <c r="C1180" t="str">
        <f t="shared" si="119"/>
        <v>FFDFD7C0</v>
      </c>
      <c r="D1180" t="s">
        <v>121</v>
      </c>
      <c r="E1180">
        <v>2</v>
      </c>
      <c r="H1180">
        <v>158</v>
      </c>
      <c r="I1180" t="s">
        <v>120</v>
      </c>
      <c r="J1180" t="s">
        <v>122</v>
      </c>
      <c r="K1180">
        <v>0</v>
      </c>
      <c r="L1180">
        <v>3</v>
      </c>
      <c r="M1180">
        <v>0</v>
      </c>
      <c r="N1180">
        <v>2</v>
      </c>
      <c r="O1180">
        <v>1</v>
      </c>
      <c r="P1180">
        <v>0</v>
      </c>
      <c r="Q1180">
        <v>0</v>
      </c>
      <c r="S1180" t="str">
        <f>"18:42:08.258"</f>
        <v>18:42:08.258</v>
      </c>
      <c r="T1180" t="str">
        <f>"18:42:07.958"</f>
        <v>18:42:07.958</v>
      </c>
      <c r="U1180" t="str">
        <f t="shared" si="118"/>
        <v>AAB6EE</v>
      </c>
      <c r="V1180">
        <v>0</v>
      </c>
      <c r="W1180">
        <v>0</v>
      </c>
      <c r="X1180">
        <v>4</v>
      </c>
      <c r="Z1180">
        <v>0</v>
      </c>
      <c r="AA1180">
        <v>8</v>
      </c>
      <c r="AB1180">
        <v>3</v>
      </c>
      <c r="AC1180">
        <v>0</v>
      </c>
      <c r="AD1180">
        <v>10</v>
      </c>
      <c r="AE1180">
        <v>0</v>
      </c>
      <c r="AF1180">
        <v>0</v>
      </c>
      <c r="AG1180">
        <v>1</v>
      </c>
      <c r="AH1180">
        <v>1</v>
      </c>
      <c r="AI1180" t="s">
        <v>909</v>
      </c>
      <c r="AJ1180">
        <v>35.259031999999998</v>
      </c>
      <c r="AK1180" t="s">
        <v>910</v>
      </c>
      <c r="AL1180">
        <v>-76.244000999999997</v>
      </c>
      <c r="AM1180">
        <v>25</v>
      </c>
      <c r="AN1180">
        <v>3425</v>
      </c>
      <c r="AO1180" t="s">
        <v>118</v>
      </c>
      <c r="AP1180">
        <v>-136</v>
      </c>
      <c r="AQ1180">
        <v>-174</v>
      </c>
      <c r="AR1180">
        <v>-64</v>
      </c>
      <c r="AZ1180">
        <v>4516</v>
      </c>
      <c r="BA1180">
        <v>1</v>
      </c>
      <c r="BB1180" t="str">
        <f t="shared" si="120"/>
        <v xml:space="preserve">N79NX   </v>
      </c>
      <c r="BC1180">
        <v>1</v>
      </c>
      <c r="BE1180">
        <v>0</v>
      </c>
      <c r="BF1180">
        <v>0</v>
      </c>
      <c r="BG1180">
        <v>0</v>
      </c>
      <c r="BH1180">
        <v>3275</v>
      </c>
      <c r="BI1180">
        <v>0</v>
      </c>
      <c r="BJ1180">
        <v>0</v>
      </c>
      <c r="BK1180">
        <v>0</v>
      </c>
      <c r="BL1180">
        <v>0</v>
      </c>
      <c r="BO1180">
        <v>0</v>
      </c>
      <c r="BP1180">
        <v>0</v>
      </c>
      <c r="BW1180" t="str">
        <f>"18:42:08.261"</f>
        <v>18:42:08.261</v>
      </c>
      <c r="BZ1180">
        <v>0</v>
      </c>
      <c r="CA1180">
        <v>4096</v>
      </c>
      <c r="CB1180">
        <v>216</v>
      </c>
      <c r="CC1180">
        <v>403.59379999999999</v>
      </c>
      <c r="CD1180">
        <v>1</v>
      </c>
      <c r="CE1180">
        <v>1</v>
      </c>
      <c r="CF1180">
        <v>0</v>
      </c>
      <c r="CG1180">
        <v>1</v>
      </c>
      <c r="CH1180">
        <v>0</v>
      </c>
      <c r="CI1180">
        <v>1</v>
      </c>
      <c r="CJ1180">
        <v>0</v>
      </c>
      <c r="CK1180">
        <v>2</v>
      </c>
      <c r="CL1180">
        <v>0</v>
      </c>
      <c r="CM1180">
        <v>2</v>
      </c>
      <c r="CN1180">
        <v>0</v>
      </c>
      <c r="CO1180">
        <v>2</v>
      </c>
      <c r="CP1180" t="s">
        <v>119</v>
      </c>
      <c r="CQ1180">
        <v>145</v>
      </c>
      <c r="CR1180">
        <v>1</v>
      </c>
      <c r="CW1180">
        <v>9035380</v>
      </c>
      <c r="CY1180">
        <v>0</v>
      </c>
      <c r="CZ1180">
        <v>0</v>
      </c>
      <c r="DA1180">
        <v>0</v>
      </c>
      <c r="DB1180">
        <v>0</v>
      </c>
      <c r="DC1180">
        <v>0</v>
      </c>
      <c r="DD1180">
        <v>0</v>
      </c>
      <c r="DE1180">
        <v>0</v>
      </c>
      <c r="DF1180">
        <v>0</v>
      </c>
      <c r="DG1180">
        <v>0</v>
      </c>
      <c r="DH1180">
        <v>0</v>
      </c>
      <c r="DI1180">
        <v>0</v>
      </c>
    </row>
    <row r="1181" spans="1:113" x14ac:dyDescent="0.3">
      <c r="A1181" t="str">
        <f>"02/13/2022 18:42:08.525"</f>
        <v>02/13/2022 18:42:08.525</v>
      </c>
      <c r="C1181" t="str">
        <f t="shared" si="119"/>
        <v>FFDFD7C0</v>
      </c>
      <c r="D1181" t="s">
        <v>113</v>
      </c>
      <c r="E1181">
        <v>3</v>
      </c>
      <c r="F1181">
        <v>1003</v>
      </c>
      <c r="G1181" t="s">
        <v>114</v>
      </c>
      <c r="J1181" t="s">
        <v>115</v>
      </c>
      <c r="K1181">
        <v>0</v>
      </c>
      <c r="L1181">
        <v>3</v>
      </c>
      <c r="M1181">
        <v>0</v>
      </c>
      <c r="N1181">
        <v>2</v>
      </c>
      <c r="O1181">
        <v>1</v>
      </c>
      <c r="P1181">
        <v>0</v>
      </c>
      <c r="Q1181">
        <v>0</v>
      </c>
      <c r="S1181" t="str">
        <f>"18:42:08.258"</f>
        <v>18:42:08.258</v>
      </c>
      <c r="T1181" t="str">
        <f>"18:42:07.958"</f>
        <v>18:42:07.958</v>
      </c>
      <c r="U1181" t="str">
        <f t="shared" si="118"/>
        <v>AAB6EE</v>
      </c>
      <c r="V1181">
        <v>0</v>
      </c>
      <c r="W1181">
        <v>0</v>
      </c>
      <c r="X1181">
        <v>4</v>
      </c>
      <c r="Z1181">
        <v>0</v>
      </c>
      <c r="AA1181">
        <v>8</v>
      </c>
      <c r="AB1181">
        <v>3</v>
      </c>
      <c r="AC1181">
        <v>0</v>
      </c>
      <c r="AD1181">
        <v>10</v>
      </c>
      <c r="AE1181">
        <v>0</v>
      </c>
      <c r="AF1181">
        <v>0</v>
      </c>
      <c r="AG1181">
        <v>1</v>
      </c>
      <c r="AH1181">
        <v>1</v>
      </c>
      <c r="AI1181" t="s">
        <v>909</v>
      </c>
      <c r="AJ1181">
        <v>35.259031999999998</v>
      </c>
      <c r="AK1181" t="s">
        <v>910</v>
      </c>
      <c r="AL1181">
        <v>-76.244000999999997</v>
      </c>
      <c r="AM1181">
        <v>25</v>
      </c>
      <c r="AN1181">
        <v>3425</v>
      </c>
      <c r="AO1181" t="s">
        <v>118</v>
      </c>
      <c r="AP1181">
        <v>-136</v>
      </c>
      <c r="AQ1181">
        <v>-174</v>
      </c>
      <c r="AR1181">
        <v>-64</v>
      </c>
      <c r="AZ1181">
        <v>4516</v>
      </c>
      <c r="BA1181">
        <v>1</v>
      </c>
      <c r="BB1181" t="str">
        <f t="shared" si="120"/>
        <v xml:space="preserve">N79NX   </v>
      </c>
      <c r="BC1181">
        <v>1</v>
      </c>
      <c r="BE1181">
        <v>0</v>
      </c>
      <c r="BF1181">
        <v>0</v>
      </c>
      <c r="BG1181">
        <v>0</v>
      </c>
      <c r="BH1181">
        <v>3275</v>
      </c>
      <c r="BI1181">
        <v>0</v>
      </c>
      <c r="BJ1181">
        <v>0</v>
      </c>
      <c r="BK1181">
        <v>0</v>
      </c>
      <c r="BL1181">
        <v>0</v>
      </c>
      <c r="BO1181">
        <v>0</v>
      </c>
      <c r="BP1181">
        <v>0</v>
      </c>
      <c r="BW1181" t="str">
        <f>"18:42:08.261"</f>
        <v>18:42:08.261</v>
      </c>
      <c r="BZ1181">
        <v>0</v>
      </c>
      <c r="CA1181">
        <v>4096</v>
      </c>
      <c r="CB1181">
        <v>216</v>
      </c>
      <c r="CC1181">
        <v>403.59379999999999</v>
      </c>
      <c r="CD1181">
        <v>1</v>
      </c>
      <c r="CE1181">
        <v>1</v>
      </c>
      <c r="CF1181">
        <v>0</v>
      </c>
      <c r="CG1181">
        <v>1</v>
      </c>
      <c r="CH1181">
        <v>0</v>
      </c>
      <c r="CI1181">
        <v>1</v>
      </c>
      <c r="CJ1181">
        <v>0</v>
      </c>
      <c r="CK1181">
        <v>2</v>
      </c>
      <c r="CL1181">
        <v>0</v>
      </c>
      <c r="CM1181">
        <v>2</v>
      </c>
      <c r="CN1181">
        <v>0</v>
      </c>
      <c r="CO1181">
        <v>2</v>
      </c>
      <c r="CP1181" t="s">
        <v>119</v>
      </c>
      <c r="CQ1181">
        <v>145</v>
      </c>
      <c r="CR1181">
        <v>1</v>
      </c>
      <c r="CW1181">
        <v>9035380</v>
      </c>
      <c r="CY1181">
        <v>0</v>
      </c>
      <c r="CZ1181">
        <v>0</v>
      </c>
      <c r="DA1181">
        <v>1</v>
      </c>
      <c r="DB1181">
        <v>0</v>
      </c>
      <c r="DC1181">
        <v>0</v>
      </c>
      <c r="DD1181">
        <v>0</v>
      </c>
      <c r="DE1181">
        <v>0</v>
      </c>
      <c r="DF1181">
        <v>0</v>
      </c>
      <c r="DG1181">
        <v>0</v>
      </c>
      <c r="DH1181">
        <v>0</v>
      </c>
      <c r="DI1181">
        <v>0</v>
      </c>
    </row>
    <row r="1182" spans="1:113" x14ac:dyDescent="0.3">
      <c r="A1182" t="str">
        <f>"02/13/2022 18:42:08.525"</f>
        <v>02/13/2022 18:42:08.525</v>
      </c>
      <c r="C1182" t="str">
        <f t="shared" si="119"/>
        <v>FFDFD7C0</v>
      </c>
      <c r="D1182" t="s">
        <v>113</v>
      </c>
      <c r="E1182">
        <v>4</v>
      </c>
      <c r="F1182">
        <v>1004</v>
      </c>
      <c r="G1182" t="s">
        <v>120</v>
      </c>
      <c r="J1182" t="s">
        <v>115</v>
      </c>
      <c r="K1182">
        <v>0</v>
      </c>
      <c r="L1182">
        <v>3</v>
      </c>
      <c r="M1182">
        <v>0</v>
      </c>
      <c r="N1182">
        <v>2</v>
      </c>
      <c r="O1182">
        <v>1</v>
      </c>
      <c r="P1182">
        <v>0</v>
      </c>
      <c r="Q1182">
        <v>0</v>
      </c>
      <c r="S1182" t="str">
        <f>"18:42:08.258"</f>
        <v>18:42:08.258</v>
      </c>
      <c r="T1182" t="str">
        <f>"18:42:07.958"</f>
        <v>18:42:07.958</v>
      </c>
      <c r="U1182" t="str">
        <f t="shared" si="118"/>
        <v>AAB6EE</v>
      </c>
      <c r="V1182">
        <v>0</v>
      </c>
      <c r="W1182">
        <v>0</v>
      </c>
      <c r="X1182">
        <v>4</v>
      </c>
      <c r="Z1182">
        <v>0</v>
      </c>
      <c r="AA1182">
        <v>8</v>
      </c>
      <c r="AB1182">
        <v>3</v>
      </c>
      <c r="AC1182">
        <v>0</v>
      </c>
      <c r="AD1182">
        <v>10</v>
      </c>
      <c r="AE1182">
        <v>0</v>
      </c>
      <c r="AF1182">
        <v>0</v>
      </c>
      <c r="AG1182">
        <v>1</v>
      </c>
      <c r="AH1182">
        <v>1</v>
      </c>
      <c r="AI1182" t="s">
        <v>909</v>
      </c>
      <c r="AJ1182">
        <v>35.259031999999998</v>
      </c>
      <c r="AK1182" t="s">
        <v>910</v>
      </c>
      <c r="AL1182">
        <v>-76.244000999999997</v>
      </c>
      <c r="AM1182">
        <v>25</v>
      </c>
      <c r="AN1182">
        <v>3425</v>
      </c>
      <c r="AO1182" t="s">
        <v>118</v>
      </c>
      <c r="AP1182">
        <v>-136</v>
      </c>
      <c r="AQ1182">
        <v>-174</v>
      </c>
      <c r="AR1182">
        <v>-64</v>
      </c>
      <c r="AZ1182">
        <v>4516</v>
      </c>
      <c r="BA1182">
        <v>1</v>
      </c>
      <c r="BB1182" t="str">
        <f t="shared" si="120"/>
        <v xml:space="preserve">N79NX   </v>
      </c>
      <c r="BC1182">
        <v>1</v>
      </c>
      <c r="BE1182">
        <v>0</v>
      </c>
      <c r="BF1182">
        <v>0</v>
      </c>
      <c r="BG1182">
        <v>0</v>
      </c>
      <c r="BH1182">
        <v>3275</v>
      </c>
      <c r="BI1182">
        <v>0</v>
      </c>
      <c r="BJ1182">
        <v>0</v>
      </c>
      <c r="BK1182">
        <v>0</v>
      </c>
      <c r="BL1182">
        <v>0</v>
      </c>
      <c r="BO1182">
        <v>0</v>
      </c>
      <c r="BP1182">
        <v>0</v>
      </c>
      <c r="BW1182" t="str">
        <f>"18:42:08.261"</f>
        <v>18:42:08.261</v>
      </c>
      <c r="BZ1182">
        <v>0</v>
      </c>
      <c r="CA1182">
        <v>4096</v>
      </c>
      <c r="CB1182">
        <v>216</v>
      </c>
      <c r="CC1182">
        <v>403.59379999999999</v>
      </c>
      <c r="CD1182">
        <v>1</v>
      </c>
      <c r="CE1182">
        <v>1</v>
      </c>
      <c r="CF1182">
        <v>0</v>
      </c>
      <c r="CG1182">
        <v>1</v>
      </c>
      <c r="CH1182">
        <v>0</v>
      </c>
      <c r="CI1182">
        <v>1</v>
      </c>
      <c r="CJ1182">
        <v>0</v>
      </c>
      <c r="CK1182">
        <v>2</v>
      </c>
      <c r="CL1182">
        <v>0</v>
      </c>
      <c r="CM1182">
        <v>2</v>
      </c>
      <c r="CN1182">
        <v>0</v>
      </c>
      <c r="CO1182">
        <v>2</v>
      </c>
      <c r="CP1182" t="s">
        <v>119</v>
      </c>
      <c r="CQ1182">
        <v>145</v>
      </c>
      <c r="CR1182">
        <v>1</v>
      </c>
      <c r="CW1182">
        <v>9035380</v>
      </c>
      <c r="CY1182">
        <v>0</v>
      </c>
      <c r="CZ1182">
        <v>0</v>
      </c>
      <c r="DA1182">
        <v>1</v>
      </c>
      <c r="DB1182">
        <v>0</v>
      </c>
      <c r="DC1182">
        <v>0</v>
      </c>
      <c r="DD1182">
        <v>0</v>
      </c>
      <c r="DE1182">
        <v>0</v>
      </c>
      <c r="DF1182">
        <v>0</v>
      </c>
      <c r="DG1182">
        <v>0</v>
      </c>
      <c r="DH1182">
        <v>0</v>
      </c>
      <c r="DI1182">
        <v>0</v>
      </c>
    </row>
    <row r="1183" spans="1:113" x14ac:dyDescent="0.3">
      <c r="A1183" t="str">
        <f>"02/13/2022 18:42:09.449"</f>
        <v>02/13/2022 18:42:09.449</v>
      </c>
      <c r="C1183" t="str">
        <f t="shared" si="119"/>
        <v>FFDFD7C0</v>
      </c>
      <c r="D1183" t="s">
        <v>121</v>
      </c>
      <c r="E1183">
        <v>2</v>
      </c>
      <c r="H1183">
        <v>158</v>
      </c>
      <c r="I1183" t="s">
        <v>120</v>
      </c>
      <c r="J1183" t="s">
        <v>122</v>
      </c>
      <c r="K1183">
        <v>0</v>
      </c>
      <c r="L1183">
        <v>3</v>
      </c>
      <c r="M1183">
        <v>0</v>
      </c>
      <c r="N1183">
        <v>2</v>
      </c>
      <c r="O1183">
        <v>1</v>
      </c>
      <c r="P1183">
        <v>0</v>
      </c>
      <c r="Q1183">
        <v>0</v>
      </c>
      <c r="S1183" t="str">
        <f t="shared" ref="S1183:T1185" si="122">"18:42:09.195"</f>
        <v>18:42:09.195</v>
      </c>
      <c r="T1183" t="str">
        <f t="shared" si="122"/>
        <v>18:42:09.195</v>
      </c>
      <c r="U1183" t="str">
        <f t="shared" si="118"/>
        <v>AAB6EE</v>
      </c>
      <c r="V1183">
        <v>0</v>
      </c>
      <c r="W1183">
        <v>0</v>
      </c>
      <c r="X1183">
        <v>4</v>
      </c>
      <c r="Z1183">
        <v>0</v>
      </c>
      <c r="AA1183">
        <v>8</v>
      </c>
      <c r="AB1183">
        <v>3</v>
      </c>
      <c r="AC1183">
        <v>0</v>
      </c>
      <c r="AD1183">
        <v>10</v>
      </c>
      <c r="AE1183">
        <v>0</v>
      </c>
      <c r="AF1183">
        <v>0</v>
      </c>
      <c r="AG1183">
        <v>1</v>
      </c>
      <c r="AH1183">
        <v>1</v>
      </c>
      <c r="AI1183" t="s">
        <v>911</v>
      </c>
      <c r="AJ1183">
        <v>35.258324000000002</v>
      </c>
      <c r="AK1183" t="s">
        <v>912</v>
      </c>
      <c r="AL1183">
        <v>-76.244709</v>
      </c>
      <c r="AM1183">
        <v>25</v>
      </c>
      <c r="AN1183">
        <v>3425</v>
      </c>
      <c r="AO1183" t="s">
        <v>118</v>
      </c>
      <c r="AP1183">
        <v>-135</v>
      </c>
      <c r="AQ1183">
        <v>-176</v>
      </c>
      <c r="AR1183">
        <v>0</v>
      </c>
      <c r="AZ1183">
        <v>4516</v>
      </c>
      <c r="BA1183">
        <v>1</v>
      </c>
      <c r="BB1183" t="str">
        <f t="shared" si="120"/>
        <v xml:space="preserve">N79NX   </v>
      </c>
      <c r="BC1183">
        <v>1</v>
      </c>
      <c r="BE1183">
        <v>0</v>
      </c>
      <c r="BF1183">
        <v>0</v>
      </c>
      <c r="BG1183">
        <v>0</v>
      </c>
      <c r="BH1183">
        <v>3275</v>
      </c>
      <c r="BI1183">
        <v>0</v>
      </c>
      <c r="BJ1183">
        <v>0</v>
      </c>
      <c r="BK1183">
        <v>0</v>
      </c>
      <c r="BL1183">
        <v>0</v>
      </c>
      <c r="BO1183">
        <v>0</v>
      </c>
      <c r="BP1183">
        <v>0</v>
      </c>
      <c r="BW1183" t="str">
        <f>"18:42:09.201"</f>
        <v>18:42:09.201</v>
      </c>
      <c r="BZ1183">
        <v>0</v>
      </c>
      <c r="CA1183">
        <v>4096</v>
      </c>
      <c r="CB1183">
        <v>216</v>
      </c>
      <c r="CC1183">
        <v>403.59379999999999</v>
      </c>
      <c r="CD1183">
        <v>1</v>
      </c>
      <c r="CE1183">
        <v>1</v>
      </c>
      <c r="CF1183">
        <v>0</v>
      </c>
      <c r="CG1183">
        <v>1</v>
      </c>
      <c r="CH1183">
        <v>0</v>
      </c>
      <c r="CI1183">
        <v>1</v>
      </c>
      <c r="CJ1183">
        <v>0</v>
      </c>
      <c r="CK1183">
        <v>2</v>
      </c>
      <c r="CL1183">
        <v>0</v>
      </c>
      <c r="CM1183">
        <v>2</v>
      </c>
      <c r="CN1183">
        <v>0</v>
      </c>
      <c r="CO1183">
        <v>2</v>
      </c>
      <c r="CP1183" t="s">
        <v>119</v>
      </c>
      <c r="CQ1183">
        <v>145</v>
      </c>
      <c r="CR1183">
        <v>1</v>
      </c>
      <c r="CW1183">
        <v>9035766</v>
      </c>
      <c r="CY1183">
        <v>0</v>
      </c>
      <c r="CZ1183">
        <v>0</v>
      </c>
      <c r="DA1183">
        <v>0</v>
      </c>
      <c r="DB1183">
        <v>0</v>
      </c>
      <c r="DC1183">
        <v>0</v>
      </c>
      <c r="DD1183">
        <v>0</v>
      </c>
      <c r="DE1183">
        <v>0</v>
      </c>
      <c r="DF1183">
        <v>0</v>
      </c>
      <c r="DG1183">
        <v>0</v>
      </c>
      <c r="DH1183">
        <v>0</v>
      </c>
      <c r="DI1183">
        <v>0</v>
      </c>
    </row>
    <row r="1184" spans="1:113" x14ac:dyDescent="0.3">
      <c r="A1184" t="str">
        <f>"02/13/2022 18:42:09.449"</f>
        <v>02/13/2022 18:42:09.449</v>
      </c>
      <c r="C1184" t="str">
        <f t="shared" si="119"/>
        <v>FFDFD7C0</v>
      </c>
      <c r="D1184" t="s">
        <v>113</v>
      </c>
      <c r="E1184">
        <v>3</v>
      </c>
      <c r="F1184">
        <v>1003</v>
      </c>
      <c r="G1184" t="s">
        <v>114</v>
      </c>
      <c r="J1184" t="s">
        <v>115</v>
      </c>
      <c r="K1184">
        <v>0</v>
      </c>
      <c r="L1184">
        <v>3</v>
      </c>
      <c r="M1184">
        <v>0</v>
      </c>
      <c r="N1184">
        <v>2</v>
      </c>
      <c r="O1184">
        <v>1</v>
      </c>
      <c r="P1184">
        <v>0</v>
      </c>
      <c r="Q1184">
        <v>0</v>
      </c>
      <c r="S1184" t="str">
        <f t="shared" si="122"/>
        <v>18:42:09.195</v>
      </c>
      <c r="T1184" t="str">
        <f t="shared" si="122"/>
        <v>18:42:09.195</v>
      </c>
      <c r="U1184" t="str">
        <f t="shared" si="118"/>
        <v>AAB6EE</v>
      </c>
      <c r="V1184">
        <v>0</v>
      </c>
      <c r="W1184">
        <v>0</v>
      </c>
      <c r="X1184">
        <v>4</v>
      </c>
      <c r="Z1184">
        <v>0</v>
      </c>
      <c r="AA1184">
        <v>8</v>
      </c>
      <c r="AB1184">
        <v>3</v>
      </c>
      <c r="AC1184">
        <v>0</v>
      </c>
      <c r="AD1184">
        <v>10</v>
      </c>
      <c r="AE1184">
        <v>0</v>
      </c>
      <c r="AF1184">
        <v>0</v>
      </c>
      <c r="AG1184">
        <v>1</v>
      </c>
      <c r="AH1184">
        <v>1</v>
      </c>
      <c r="AI1184" t="s">
        <v>911</v>
      </c>
      <c r="AJ1184">
        <v>35.258324000000002</v>
      </c>
      <c r="AK1184" t="s">
        <v>912</v>
      </c>
      <c r="AL1184">
        <v>-76.244709</v>
      </c>
      <c r="AM1184">
        <v>25</v>
      </c>
      <c r="AN1184">
        <v>3425</v>
      </c>
      <c r="AO1184" t="s">
        <v>118</v>
      </c>
      <c r="AP1184">
        <v>-135</v>
      </c>
      <c r="AQ1184">
        <v>-176</v>
      </c>
      <c r="AR1184">
        <v>0</v>
      </c>
      <c r="AZ1184">
        <v>4516</v>
      </c>
      <c r="BA1184">
        <v>1</v>
      </c>
      <c r="BB1184" t="str">
        <f t="shared" si="120"/>
        <v xml:space="preserve">N79NX   </v>
      </c>
      <c r="BC1184">
        <v>1</v>
      </c>
      <c r="BE1184">
        <v>0</v>
      </c>
      <c r="BF1184">
        <v>0</v>
      </c>
      <c r="BG1184">
        <v>0</v>
      </c>
      <c r="BH1184">
        <v>3275</v>
      </c>
      <c r="BI1184">
        <v>0</v>
      </c>
      <c r="BJ1184">
        <v>0</v>
      </c>
      <c r="BK1184">
        <v>0</v>
      </c>
      <c r="BL1184">
        <v>0</v>
      </c>
      <c r="BO1184">
        <v>0</v>
      </c>
      <c r="BP1184">
        <v>0</v>
      </c>
      <c r="BW1184" t="str">
        <f>"18:42:09.201"</f>
        <v>18:42:09.201</v>
      </c>
      <c r="BZ1184">
        <v>0</v>
      </c>
      <c r="CA1184">
        <v>4096</v>
      </c>
      <c r="CB1184">
        <v>216</v>
      </c>
      <c r="CC1184">
        <v>403.59379999999999</v>
      </c>
      <c r="CD1184">
        <v>1</v>
      </c>
      <c r="CE1184">
        <v>1</v>
      </c>
      <c r="CF1184">
        <v>0</v>
      </c>
      <c r="CG1184">
        <v>1</v>
      </c>
      <c r="CH1184">
        <v>0</v>
      </c>
      <c r="CI1184">
        <v>1</v>
      </c>
      <c r="CJ1184">
        <v>0</v>
      </c>
      <c r="CK1184">
        <v>2</v>
      </c>
      <c r="CL1184">
        <v>0</v>
      </c>
      <c r="CM1184">
        <v>2</v>
      </c>
      <c r="CN1184">
        <v>0</v>
      </c>
      <c r="CO1184">
        <v>2</v>
      </c>
      <c r="CP1184" t="s">
        <v>119</v>
      </c>
      <c r="CQ1184">
        <v>145</v>
      </c>
      <c r="CR1184">
        <v>1</v>
      </c>
      <c r="CW1184">
        <v>9035766</v>
      </c>
      <c r="CY1184">
        <v>0</v>
      </c>
      <c r="CZ1184">
        <v>0</v>
      </c>
      <c r="DA1184">
        <v>1</v>
      </c>
      <c r="DB1184">
        <v>0</v>
      </c>
      <c r="DC1184">
        <v>0</v>
      </c>
      <c r="DD1184">
        <v>0</v>
      </c>
      <c r="DE1184">
        <v>0</v>
      </c>
      <c r="DF1184">
        <v>0</v>
      </c>
      <c r="DG1184">
        <v>0</v>
      </c>
      <c r="DH1184">
        <v>0</v>
      </c>
      <c r="DI1184">
        <v>0</v>
      </c>
    </row>
    <row r="1185" spans="1:113" x14ac:dyDescent="0.3">
      <c r="A1185" t="str">
        <f>"02/13/2022 18:42:09.449"</f>
        <v>02/13/2022 18:42:09.449</v>
      </c>
      <c r="C1185" t="str">
        <f t="shared" si="119"/>
        <v>FFDFD7C0</v>
      </c>
      <c r="D1185" t="s">
        <v>113</v>
      </c>
      <c r="E1185">
        <v>4</v>
      </c>
      <c r="F1185">
        <v>1004</v>
      </c>
      <c r="G1185" t="s">
        <v>120</v>
      </c>
      <c r="J1185" t="s">
        <v>115</v>
      </c>
      <c r="K1185">
        <v>0</v>
      </c>
      <c r="L1185">
        <v>3</v>
      </c>
      <c r="M1185">
        <v>0</v>
      </c>
      <c r="N1185">
        <v>2</v>
      </c>
      <c r="O1185">
        <v>1</v>
      </c>
      <c r="P1185">
        <v>0</v>
      </c>
      <c r="Q1185">
        <v>0</v>
      </c>
      <c r="S1185" t="str">
        <f t="shared" si="122"/>
        <v>18:42:09.195</v>
      </c>
      <c r="T1185" t="str">
        <f t="shared" si="122"/>
        <v>18:42:09.195</v>
      </c>
      <c r="U1185" t="str">
        <f t="shared" si="118"/>
        <v>AAB6EE</v>
      </c>
      <c r="V1185">
        <v>0</v>
      </c>
      <c r="W1185">
        <v>0</v>
      </c>
      <c r="X1185">
        <v>4</v>
      </c>
      <c r="Z1185">
        <v>0</v>
      </c>
      <c r="AA1185">
        <v>8</v>
      </c>
      <c r="AB1185">
        <v>3</v>
      </c>
      <c r="AC1185">
        <v>0</v>
      </c>
      <c r="AD1185">
        <v>10</v>
      </c>
      <c r="AE1185">
        <v>0</v>
      </c>
      <c r="AF1185">
        <v>0</v>
      </c>
      <c r="AG1185">
        <v>1</v>
      </c>
      <c r="AH1185">
        <v>1</v>
      </c>
      <c r="AI1185" t="s">
        <v>911</v>
      </c>
      <c r="AJ1185">
        <v>35.258324000000002</v>
      </c>
      <c r="AK1185" t="s">
        <v>912</v>
      </c>
      <c r="AL1185">
        <v>-76.244709</v>
      </c>
      <c r="AM1185">
        <v>25</v>
      </c>
      <c r="AN1185">
        <v>3425</v>
      </c>
      <c r="AO1185" t="s">
        <v>118</v>
      </c>
      <c r="AP1185">
        <v>-135</v>
      </c>
      <c r="AQ1185">
        <v>-176</v>
      </c>
      <c r="AR1185">
        <v>0</v>
      </c>
      <c r="AZ1185">
        <v>4516</v>
      </c>
      <c r="BA1185">
        <v>1</v>
      </c>
      <c r="BB1185" t="str">
        <f t="shared" si="120"/>
        <v xml:space="preserve">N79NX   </v>
      </c>
      <c r="BC1185">
        <v>1</v>
      </c>
      <c r="BE1185">
        <v>0</v>
      </c>
      <c r="BF1185">
        <v>0</v>
      </c>
      <c r="BG1185">
        <v>0</v>
      </c>
      <c r="BH1185">
        <v>3275</v>
      </c>
      <c r="BI1185">
        <v>0</v>
      </c>
      <c r="BJ1185">
        <v>0</v>
      </c>
      <c r="BK1185">
        <v>0</v>
      </c>
      <c r="BL1185">
        <v>0</v>
      </c>
      <c r="BO1185">
        <v>0</v>
      </c>
      <c r="BP1185">
        <v>0</v>
      </c>
      <c r="BW1185" t="str">
        <f>"18:42:09.201"</f>
        <v>18:42:09.201</v>
      </c>
      <c r="BZ1185">
        <v>0</v>
      </c>
      <c r="CA1185">
        <v>4096</v>
      </c>
      <c r="CB1185">
        <v>216</v>
      </c>
      <c r="CC1185">
        <v>403.59379999999999</v>
      </c>
      <c r="CD1185">
        <v>1</v>
      </c>
      <c r="CE1185">
        <v>1</v>
      </c>
      <c r="CF1185">
        <v>0</v>
      </c>
      <c r="CG1185">
        <v>1</v>
      </c>
      <c r="CH1185">
        <v>0</v>
      </c>
      <c r="CI1185">
        <v>1</v>
      </c>
      <c r="CJ1185">
        <v>0</v>
      </c>
      <c r="CK1185">
        <v>2</v>
      </c>
      <c r="CL1185">
        <v>0</v>
      </c>
      <c r="CM1185">
        <v>2</v>
      </c>
      <c r="CN1185">
        <v>0</v>
      </c>
      <c r="CO1185">
        <v>2</v>
      </c>
      <c r="CP1185" t="s">
        <v>119</v>
      </c>
      <c r="CQ1185">
        <v>145</v>
      </c>
      <c r="CR1185">
        <v>1</v>
      </c>
      <c r="CW1185">
        <v>9035766</v>
      </c>
      <c r="CY1185">
        <v>0</v>
      </c>
      <c r="CZ1185">
        <v>0</v>
      </c>
      <c r="DA1185">
        <v>1</v>
      </c>
      <c r="DB1185">
        <v>0</v>
      </c>
      <c r="DC1185">
        <v>0</v>
      </c>
      <c r="DD1185">
        <v>0</v>
      </c>
      <c r="DE1185">
        <v>0</v>
      </c>
      <c r="DF1185">
        <v>0</v>
      </c>
      <c r="DG1185">
        <v>0</v>
      </c>
      <c r="DH1185">
        <v>0</v>
      </c>
      <c r="DI1185">
        <v>0</v>
      </c>
    </row>
    <row r="1186" spans="1:113" x14ac:dyDescent="0.3">
      <c r="A1186" t="str">
        <f>"02/13/2022 18:42:10.231"</f>
        <v>02/13/2022 18:42:10.231</v>
      </c>
      <c r="C1186" t="str">
        <f t="shared" si="119"/>
        <v>FFDFD7C0</v>
      </c>
      <c r="D1186" t="s">
        <v>113</v>
      </c>
      <c r="E1186">
        <v>4</v>
      </c>
      <c r="F1186">
        <v>1004</v>
      </c>
      <c r="G1186" t="s">
        <v>120</v>
      </c>
      <c r="J1186" t="s">
        <v>115</v>
      </c>
      <c r="K1186">
        <v>0</v>
      </c>
      <c r="L1186">
        <v>3</v>
      </c>
      <c r="M1186">
        <v>0</v>
      </c>
      <c r="N1186">
        <v>2</v>
      </c>
      <c r="O1186">
        <v>1</v>
      </c>
      <c r="P1186">
        <v>0</v>
      </c>
      <c r="Q1186">
        <v>0</v>
      </c>
      <c r="S1186" t="str">
        <f>"18:42:10.031"</f>
        <v>18:42:10.031</v>
      </c>
      <c r="T1186" t="str">
        <f>"18:42:09.731"</f>
        <v>18:42:09.731</v>
      </c>
      <c r="U1186" t="str">
        <f t="shared" si="118"/>
        <v>AAB6EE</v>
      </c>
      <c r="V1186">
        <v>0</v>
      </c>
      <c r="W1186">
        <v>0</v>
      </c>
      <c r="X1186">
        <v>4</v>
      </c>
      <c r="Z1186">
        <v>0</v>
      </c>
      <c r="AA1186">
        <v>8</v>
      </c>
      <c r="AB1186">
        <v>3</v>
      </c>
      <c r="AC1186">
        <v>0</v>
      </c>
      <c r="AD1186">
        <v>10</v>
      </c>
      <c r="AE1186">
        <v>0</v>
      </c>
      <c r="AF1186">
        <v>0</v>
      </c>
      <c r="AG1186">
        <v>1</v>
      </c>
      <c r="AH1186">
        <v>1</v>
      </c>
      <c r="AI1186" t="s">
        <v>913</v>
      </c>
      <c r="AJ1186">
        <v>35.257595000000002</v>
      </c>
      <c r="AK1186" t="s">
        <v>914</v>
      </c>
      <c r="AL1186">
        <v>-76.245418000000001</v>
      </c>
      <c r="AM1186">
        <v>25</v>
      </c>
      <c r="AN1186">
        <v>3425</v>
      </c>
      <c r="AO1186" t="s">
        <v>118</v>
      </c>
      <c r="AP1186">
        <v>-134</v>
      </c>
      <c r="AQ1186">
        <v>-176</v>
      </c>
      <c r="AR1186">
        <v>0</v>
      </c>
      <c r="AZ1186">
        <v>4516</v>
      </c>
      <c r="BA1186">
        <v>1</v>
      </c>
      <c r="BB1186" t="str">
        <f t="shared" si="120"/>
        <v xml:space="preserve">N79NX   </v>
      </c>
      <c r="BC1186">
        <v>1</v>
      </c>
      <c r="BE1186">
        <v>0</v>
      </c>
      <c r="BF1186">
        <v>0</v>
      </c>
      <c r="BG1186">
        <v>0</v>
      </c>
      <c r="BH1186">
        <v>3275</v>
      </c>
      <c r="BI1186">
        <v>0</v>
      </c>
      <c r="BJ1186">
        <v>0</v>
      </c>
      <c r="BK1186">
        <v>0</v>
      </c>
      <c r="BL1186">
        <v>0</v>
      </c>
      <c r="BO1186">
        <v>0</v>
      </c>
      <c r="BP1186">
        <v>0</v>
      </c>
      <c r="BW1186" t="str">
        <f>"18:42:10.031"</f>
        <v>18:42:10.031</v>
      </c>
      <c r="BZ1186">
        <v>0</v>
      </c>
      <c r="CA1186">
        <v>4096</v>
      </c>
      <c r="CB1186">
        <v>216</v>
      </c>
      <c r="CC1186">
        <v>403.59379999999999</v>
      </c>
      <c r="CD1186">
        <v>1</v>
      </c>
      <c r="CE1186">
        <v>1</v>
      </c>
      <c r="CF1186">
        <v>0</v>
      </c>
      <c r="CG1186">
        <v>1</v>
      </c>
      <c r="CH1186">
        <v>0</v>
      </c>
      <c r="CI1186">
        <v>1</v>
      </c>
      <c r="CJ1186">
        <v>0</v>
      </c>
      <c r="CK1186">
        <v>2</v>
      </c>
      <c r="CL1186">
        <v>0</v>
      </c>
      <c r="CM1186">
        <v>2</v>
      </c>
      <c r="CN1186">
        <v>0</v>
      </c>
      <c r="CO1186">
        <v>2</v>
      </c>
      <c r="CP1186" t="s">
        <v>119</v>
      </c>
      <c r="CQ1186">
        <v>145</v>
      </c>
      <c r="CR1186">
        <v>1</v>
      </c>
      <c r="CW1186">
        <v>9036185</v>
      </c>
      <c r="CY1186">
        <v>0</v>
      </c>
      <c r="CZ1186">
        <v>0</v>
      </c>
      <c r="DA1186">
        <v>0</v>
      </c>
      <c r="DB1186">
        <v>0</v>
      </c>
      <c r="DC1186">
        <v>0</v>
      </c>
      <c r="DD1186">
        <v>0</v>
      </c>
      <c r="DE1186">
        <v>0</v>
      </c>
      <c r="DF1186">
        <v>0</v>
      </c>
      <c r="DG1186">
        <v>0</v>
      </c>
      <c r="DH1186">
        <v>0</v>
      </c>
      <c r="DI1186">
        <v>0</v>
      </c>
    </row>
    <row r="1187" spans="1:113" x14ac:dyDescent="0.3">
      <c r="A1187" t="str">
        <f>"02/13/2022 18:42:10.231"</f>
        <v>02/13/2022 18:42:10.231</v>
      </c>
      <c r="C1187" t="str">
        <f t="shared" si="119"/>
        <v>FFDFD7C0</v>
      </c>
      <c r="D1187" t="s">
        <v>113</v>
      </c>
      <c r="E1187">
        <v>3</v>
      </c>
      <c r="F1187">
        <v>1003</v>
      </c>
      <c r="G1187" t="s">
        <v>114</v>
      </c>
      <c r="J1187" t="s">
        <v>115</v>
      </c>
      <c r="K1187">
        <v>0</v>
      </c>
      <c r="L1187">
        <v>3</v>
      </c>
      <c r="M1187">
        <v>0</v>
      </c>
      <c r="N1187">
        <v>2</v>
      </c>
      <c r="O1187">
        <v>1</v>
      </c>
      <c r="P1187">
        <v>0</v>
      </c>
      <c r="Q1187">
        <v>0</v>
      </c>
      <c r="S1187" t="str">
        <f>"18:42:10.031"</f>
        <v>18:42:10.031</v>
      </c>
      <c r="T1187" t="str">
        <f>"18:42:09.731"</f>
        <v>18:42:09.731</v>
      </c>
      <c r="U1187" t="str">
        <f t="shared" si="118"/>
        <v>AAB6EE</v>
      </c>
      <c r="V1187">
        <v>0</v>
      </c>
      <c r="W1187">
        <v>0</v>
      </c>
      <c r="X1187">
        <v>4</v>
      </c>
      <c r="Z1187">
        <v>0</v>
      </c>
      <c r="AA1187">
        <v>8</v>
      </c>
      <c r="AB1187">
        <v>3</v>
      </c>
      <c r="AC1187">
        <v>0</v>
      </c>
      <c r="AD1187">
        <v>10</v>
      </c>
      <c r="AE1187">
        <v>0</v>
      </c>
      <c r="AF1187">
        <v>0</v>
      </c>
      <c r="AG1187">
        <v>1</v>
      </c>
      <c r="AH1187">
        <v>1</v>
      </c>
      <c r="AI1187" t="s">
        <v>913</v>
      </c>
      <c r="AJ1187">
        <v>35.257595000000002</v>
      </c>
      <c r="AK1187" t="s">
        <v>914</v>
      </c>
      <c r="AL1187">
        <v>-76.245418000000001</v>
      </c>
      <c r="AM1187">
        <v>25</v>
      </c>
      <c r="AN1187">
        <v>3425</v>
      </c>
      <c r="AO1187" t="s">
        <v>118</v>
      </c>
      <c r="AP1187">
        <v>-134</v>
      </c>
      <c r="AQ1187">
        <v>-176</v>
      </c>
      <c r="AR1187">
        <v>0</v>
      </c>
      <c r="AZ1187">
        <v>4516</v>
      </c>
      <c r="BA1187">
        <v>1</v>
      </c>
      <c r="BB1187" t="str">
        <f t="shared" si="120"/>
        <v xml:space="preserve">N79NX   </v>
      </c>
      <c r="BC1187">
        <v>1</v>
      </c>
      <c r="BE1187">
        <v>0</v>
      </c>
      <c r="BF1187">
        <v>0</v>
      </c>
      <c r="BG1187">
        <v>0</v>
      </c>
      <c r="BH1187">
        <v>3275</v>
      </c>
      <c r="BI1187">
        <v>0</v>
      </c>
      <c r="BJ1187">
        <v>0</v>
      </c>
      <c r="BK1187">
        <v>0</v>
      </c>
      <c r="BL1187">
        <v>0</v>
      </c>
      <c r="BO1187">
        <v>0</v>
      </c>
      <c r="BP1187">
        <v>0</v>
      </c>
      <c r="BW1187" t="str">
        <f>"18:42:10.031"</f>
        <v>18:42:10.031</v>
      </c>
      <c r="BZ1187">
        <v>0</v>
      </c>
      <c r="CA1187">
        <v>4096</v>
      </c>
      <c r="CB1187">
        <v>216</v>
      </c>
      <c r="CC1187">
        <v>403.59379999999999</v>
      </c>
      <c r="CD1187">
        <v>1</v>
      </c>
      <c r="CE1187">
        <v>1</v>
      </c>
      <c r="CF1187">
        <v>0</v>
      </c>
      <c r="CG1187">
        <v>1</v>
      </c>
      <c r="CH1187">
        <v>0</v>
      </c>
      <c r="CI1187">
        <v>1</v>
      </c>
      <c r="CJ1187">
        <v>0</v>
      </c>
      <c r="CK1187">
        <v>2</v>
      </c>
      <c r="CL1187">
        <v>0</v>
      </c>
      <c r="CM1187">
        <v>2</v>
      </c>
      <c r="CN1187">
        <v>0</v>
      </c>
      <c r="CO1187">
        <v>2</v>
      </c>
      <c r="CP1187" t="s">
        <v>119</v>
      </c>
      <c r="CQ1187">
        <v>145</v>
      </c>
      <c r="CR1187">
        <v>1</v>
      </c>
      <c r="CW1187">
        <v>9036185</v>
      </c>
      <c r="CY1187">
        <v>0</v>
      </c>
      <c r="CZ1187">
        <v>0</v>
      </c>
      <c r="DA1187">
        <v>1</v>
      </c>
      <c r="DB1187">
        <v>0</v>
      </c>
      <c r="DC1187">
        <v>0</v>
      </c>
      <c r="DD1187">
        <v>0</v>
      </c>
      <c r="DE1187">
        <v>0</v>
      </c>
      <c r="DF1187">
        <v>0</v>
      </c>
      <c r="DG1187">
        <v>0</v>
      </c>
      <c r="DH1187">
        <v>0</v>
      </c>
      <c r="DI1187">
        <v>0</v>
      </c>
    </row>
    <row r="1188" spans="1:113" x14ac:dyDescent="0.3">
      <c r="A1188" t="str">
        <f>"02/13/2022 18:42:10.231"</f>
        <v>02/13/2022 18:42:10.231</v>
      </c>
      <c r="C1188" t="str">
        <f t="shared" si="119"/>
        <v>FFDFD7C0</v>
      </c>
      <c r="D1188" t="s">
        <v>121</v>
      </c>
      <c r="E1188">
        <v>2</v>
      </c>
      <c r="H1188">
        <v>158</v>
      </c>
      <c r="I1188" t="s">
        <v>120</v>
      </c>
      <c r="J1188" t="s">
        <v>122</v>
      </c>
      <c r="K1188">
        <v>0</v>
      </c>
      <c r="L1188">
        <v>3</v>
      </c>
      <c r="M1188">
        <v>0</v>
      </c>
      <c r="N1188">
        <v>2</v>
      </c>
      <c r="O1188">
        <v>1</v>
      </c>
      <c r="P1188">
        <v>0</v>
      </c>
      <c r="Q1188">
        <v>0</v>
      </c>
      <c r="S1188" t="str">
        <f>"18:42:10.031"</f>
        <v>18:42:10.031</v>
      </c>
      <c r="T1188" t="str">
        <f>"18:42:09.731"</f>
        <v>18:42:09.731</v>
      </c>
      <c r="U1188" t="str">
        <f t="shared" si="118"/>
        <v>AAB6EE</v>
      </c>
      <c r="V1188">
        <v>0</v>
      </c>
      <c r="W1188">
        <v>0</v>
      </c>
      <c r="X1188">
        <v>4</v>
      </c>
      <c r="Z1188">
        <v>0</v>
      </c>
      <c r="AA1188">
        <v>8</v>
      </c>
      <c r="AB1188">
        <v>3</v>
      </c>
      <c r="AC1188">
        <v>0</v>
      </c>
      <c r="AD1188">
        <v>10</v>
      </c>
      <c r="AE1188">
        <v>0</v>
      </c>
      <c r="AF1188">
        <v>0</v>
      </c>
      <c r="AG1188">
        <v>1</v>
      </c>
      <c r="AH1188">
        <v>1</v>
      </c>
      <c r="AI1188" t="s">
        <v>913</v>
      </c>
      <c r="AJ1188">
        <v>35.257595000000002</v>
      </c>
      <c r="AK1188" t="s">
        <v>914</v>
      </c>
      <c r="AL1188">
        <v>-76.245418000000001</v>
      </c>
      <c r="AM1188">
        <v>25</v>
      </c>
      <c r="AN1188">
        <v>3425</v>
      </c>
      <c r="AO1188" t="s">
        <v>118</v>
      </c>
      <c r="AP1188">
        <v>-134</v>
      </c>
      <c r="AQ1188">
        <v>-176</v>
      </c>
      <c r="AR1188">
        <v>0</v>
      </c>
      <c r="AZ1188">
        <v>4516</v>
      </c>
      <c r="BA1188">
        <v>1</v>
      </c>
      <c r="BB1188" t="str">
        <f t="shared" si="120"/>
        <v xml:space="preserve">N79NX   </v>
      </c>
      <c r="BC1188">
        <v>1</v>
      </c>
      <c r="BE1188">
        <v>0</v>
      </c>
      <c r="BF1188">
        <v>0</v>
      </c>
      <c r="BG1188">
        <v>0</v>
      </c>
      <c r="BH1188">
        <v>3275</v>
      </c>
      <c r="BI1188">
        <v>0</v>
      </c>
      <c r="BJ1188">
        <v>0</v>
      </c>
      <c r="BK1188">
        <v>0</v>
      </c>
      <c r="BL1188">
        <v>0</v>
      </c>
      <c r="BO1188">
        <v>0</v>
      </c>
      <c r="BP1188">
        <v>0</v>
      </c>
      <c r="BW1188" t="str">
        <f>"18:42:10.031"</f>
        <v>18:42:10.031</v>
      </c>
      <c r="BZ1188">
        <v>0</v>
      </c>
      <c r="CA1188">
        <v>4096</v>
      </c>
      <c r="CB1188">
        <v>216</v>
      </c>
      <c r="CC1188">
        <v>403.59379999999999</v>
      </c>
      <c r="CD1188">
        <v>1</v>
      </c>
      <c r="CE1188">
        <v>1</v>
      </c>
      <c r="CF1188">
        <v>0</v>
      </c>
      <c r="CG1188">
        <v>1</v>
      </c>
      <c r="CH1188">
        <v>0</v>
      </c>
      <c r="CI1188">
        <v>1</v>
      </c>
      <c r="CJ1188">
        <v>0</v>
      </c>
      <c r="CK1188">
        <v>2</v>
      </c>
      <c r="CL1188">
        <v>0</v>
      </c>
      <c r="CM1188">
        <v>2</v>
      </c>
      <c r="CN1188">
        <v>0</v>
      </c>
      <c r="CO1188">
        <v>2</v>
      </c>
      <c r="CP1188" t="s">
        <v>119</v>
      </c>
      <c r="CQ1188">
        <v>145</v>
      </c>
      <c r="CR1188">
        <v>1</v>
      </c>
      <c r="CW1188">
        <v>9036185</v>
      </c>
      <c r="CY1188">
        <v>0</v>
      </c>
      <c r="CZ1188">
        <v>0</v>
      </c>
      <c r="DA1188">
        <v>1</v>
      </c>
      <c r="DB1188">
        <v>0</v>
      </c>
      <c r="DC1188">
        <v>0</v>
      </c>
      <c r="DD1188">
        <v>0</v>
      </c>
      <c r="DE1188">
        <v>0</v>
      </c>
      <c r="DF1188">
        <v>0</v>
      </c>
      <c r="DG1188">
        <v>0</v>
      </c>
      <c r="DH1188">
        <v>0</v>
      </c>
      <c r="DI1188">
        <v>0</v>
      </c>
    </row>
    <row r="1189" spans="1:113" x14ac:dyDescent="0.3">
      <c r="A1189" t="str">
        <f>"02/13/2022 18:42:11.451"</f>
        <v>02/13/2022 18:42:11.451</v>
      </c>
      <c r="C1189" t="str">
        <f t="shared" si="119"/>
        <v>FFDFD7C0</v>
      </c>
      <c r="D1189" t="s">
        <v>113</v>
      </c>
      <c r="E1189">
        <v>3</v>
      </c>
      <c r="F1189">
        <v>1003</v>
      </c>
      <c r="G1189" t="s">
        <v>114</v>
      </c>
      <c r="J1189" t="s">
        <v>115</v>
      </c>
      <c r="K1189">
        <v>0</v>
      </c>
      <c r="L1189">
        <v>3</v>
      </c>
      <c r="M1189">
        <v>0</v>
      </c>
      <c r="N1189">
        <v>2</v>
      </c>
      <c r="O1189">
        <v>1</v>
      </c>
      <c r="P1189">
        <v>0</v>
      </c>
      <c r="Q1189">
        <v>0</v>
      </c>
      <c r="S1189" t="str">
        <f>"18:42:11.078"</f>
        <v>18:42:11.078</v>
      </c>
      <c r="T1189" t="str">
        <f>"18:42:10.678"</f>
        <v>18:42:10.678</v>
      </c>
      <c r="U1189" t="str">
        <f t="shared" si="118"/>
        <v>AAB6EE</v>
      </c>
      <c r="V1189">
        <v>0</v>
      </c>
      <c r="W1189">
        <v>0</v>
      </c>
      <c r="X1189">
        <v>4</v>
      </c>
      <c r="Z1189">
        <v>0</v>
      </c>
      <c r="AA1189">
        <v>8</v>
      </c>
      <c r="AB1189">
        <v>3</v>
      </c>
      <c r="AC1189">
        <v>0</v>
      </c>
      <c r="AD1189">
        <v>10</v>
      </c>
      <c r="AE1189">
        <v>0</v>
      </c>
      <c r="AF1189">
        <v>0</v>
      </c>
      <c r="AG1189">
        <v>1</v>
      </c>
      <c r="AH1189">
        <v>1</v>
      </c>
      <c r="AI1189" t="s">
        <v>915</v>
      </c>
      <c r="AJ1189">
        <v>35.256757999999998</v>
      </c>
      <c r="AK1189" t="s">
        <v>916</v>
      </c>
      <c r="AL1189">
        <v>-76.246104000000003</v>
      </c>
      <c r="AM1189">
        <v>25</v>
      </c>
      <c r="AN1189">
        <v>3425</v>
      </c>
      <c r="AO1189" t="s">
        <v>118</v>
      </c>
      <c r="AP1189">
        <v>-134</v>
      </c>
      <c r="AQ1189">
        <v>-177</v>
      </c>
      <c r="AR1189">
        <v>0</v>
      </c>
      <c r="AZ1189">
        <v>4516</v>
      </c>
      <c r="BA1189">
        <v>1</v>
      </c>
      <c r="BB1189" t="str">
        <f t="shared" si="120"/>
        <v xml:space="preserve">N79NX   </v>
      </c>
      <c r="BC1189">
        <v>1</v>
      </c>
      <c r="BE1189">
        <v>0</v>
      </c>
      <c r="BF1189">
        <v>0</v>
      </c>
      <c r="BG1189">
        <v>0</v>
      </c>
      <c r="BH1189">
        <v>3275</v>
      </c>
      <c r="BI1189">
        <v>0</v>
      </c>
      <c r="BJ1189">
        <v>0</v>
      </c>
      <c r="BK1189">
        <v>0</v>
      </c>
      <c r="BL1189">
        <v>0</v>
      </c>
      <c r="BO1189">
        <v>0</v>
      </c>
      <c r="BP1189">
        <v>0</v>
      </c>
      <c r="BW1189" t="str">
        <f>"18:42:11.081"</f>
        <v>18:42:11.081</v>
      </c>
      <c r="BZ1189">
        <v>0</v>
      </c>
      <c r="CA1189">
        <v>4096</v>
      </c>
      <c r="CB1189">
        <v>216</v>
      </c>
      <c r="CC1189">
        <v>403.59379999999999</v>
      </c>
      <c r="CD1189">
        <v>1</v>
      </c>
      <c r="CE1189">
        <v>1</v>
      </c>
      <c r="CF1189">
        <v>0</v>
      </c>
      <c r="CG1189">
        <v>1</v>
      </c>
      <c r="CH1189">
        <v>0</v>
      </c>
      <c r="CI1189">
        <v>1</v>
      </c>
      <c r="CJ1189">
        <v>0</v>
      </c>
      <c r="CK1189">
        <v>2</v>
      </c>
      <c r="CL1189">
        <v>0</v>
      </c>
      <c r="CM1189">
        <v>2</v>
      </c>
      <c r="CN1189">
        <v>0</v>
      </c>
      <c r="CO1189">
        <v>3</v>
      </c>
      <c r="CP1189" t="s">
        <v>119</v>
      </c>
      <c r="CQ1189">
        <v>145</v>
      </c>
      <c r="CR1189">
        <v>1</v>
      </c>
      <c r="CW1189">
        <v>9036728</v>
      </c>
      <c r="CY1189">
        <v>0</v>
      </c>
      <c r="CZ1189">
        <v>0</v>
      </c>
      <c r="DA1189">
        <v>0</v>
      </c>
      <c r="DB1189">
        <v>0</v>
      </c>
      <c r="DC1189">
        <v>0</v>
      </c>
      <c r="DD1189">
        <v>0</v>
      </c>
      <c r="DE1189">
        <v>0</v>
      </c>
      <c r="DF1189">
        <v>0</v>
      </c>
      <c r="DG1189">
        <v>0</v>
      </c>
      <c r="DH1189">
        <v>0</v>
      </c>
      <c r="DI1189">
        <v>0</v>
      </c>
    </row>
    <row r="1190" spans="1:113" x14ac:dyDescent="0.3">
      <c r="A1190" t="str">
        <f>"02/13/2022 18:42:11.451"</f>
        <v>02/13/2022 18:42:11.451</v>
      </c>
      <c r="C1190" t="str">
        <f t="shared" si="119"/>
        <v>FFDFD7C0</v>
      </c>
      <c r="D1190" t="s">
        <v>113</v>
      </c>
      <c r="E1190">
        <v>4</v>
      </c>
      <c r="F1190">
        <v>1004</v>
      </c>
      <c r="G1190" t="s">
        <v>120</v>
      </c>
      <c r="J1190" t="s">
        <v>115</v>
      </c>
      <c r="K1190">
        <v>0</v>
      </c>
      <c r="L1190">
        <v>3</v>
      </c>
      <c r="M1190">
        <v>0</v>
      </c>
      <c r="N1190">
        <v>2</v>
      </c>
      <c r="O1190">
        <v>1</v>
      </c>
      <c r="P1190">
        <v>0</v>
      </c>
      <c r="Q1190">
        <v>0</v>
      </c>
      <c r="S1190" t="str">
        <f>"18:42:11.078"</f>
        <v>18:42:11.078</v>
      </c>
      <c r="T1190" t="str">
        <f>"18:42:10.678"</f>
        <v>18:42:10.678</v>
      </c>
      <c r="U1190" t="str">
        <f t="shared" si="118"/>
        <v>AAB6EE</v>
      </c>
      <c r="V1190">
        <v>0</v>
      </c>
      <c r="W1190">
        <v>0</v>
      </c>
      <c r="X1190">
        <v>4</v>
      </c>
      <c r="Z1190">
        <v>0</v>
      </c>
      <c r="AA1190">
        <v>8</v>
      </c>
      <c r="AB1190">
        <v>3</v>
      </c>
      <c r="AC1190">
        <v>0</v>
      </c>
      <c r="AD1190">
        <v>10</v>
      </c>
      <c r="AE1190">
        <v>0</v>
      </c>
      <c r="AF1190">
        <v>0</v>
      </c>
      <c r="AG1190">
        <v>1</v>
      </c>
      <c r="AH1190">
        <v>1</v>
      </c>
      <c r="AI1190" t="s">
        <v>915</v>
      </c>
      <c r="AJ1190">
        <v>35.256757999999998</v>
      </c>
      <c r="AK1190" t="s">
        <v>916</v>
      </c>
      <c r="AL1190">
        <v>-76.246104000000003</v>
      </c>
      <c r="AM1190">
        <v>25</v>
      </c>
      <c r="AN1190">
        <v>3425</v>
      </c>
      <c r="AO1190" t="s">
        <v>118</v>
      </c>
      <c r="AP1190">
        <v>-134</v>
      </c>
      <c r="AQ1190">
        <v>-177</v>
      </c>
      <c r="AR1190">
        <v>0</v>
      </c>
      <c r="AZ1190">
        <v>4516</v>
      </c>
      <c r="BA1190">
        <v>1</v>
      </c>
      <c r="BB1190" t="str">
        <f t="shared" si="120"/>
        <v xml:space="preserve">N79NX   </v>
      </c>
      <c r="BC1190">
        <v>1</v>
      </c>
      <c r="BE1190">
        <v>0</v>
      </c>
      <c r="BF1190">
        <v>0</v>
      </c>
      <c r="BG1190">
        <v>0</v>
      </c>
      <c r="BH1190">
        <v>3275</v>
      </c>
      <c r="BI1190">
        <v>0</v>
      </c>
      <c r="BJ1190">
        <v>0</v>
      </c>
      <c r="BK1190">
        <v>0</v>
      </c>
      <c r="BL1190">
        <v>0</v>
      </c>
      <c r="BO1190">
        <v>0</v>
      </c>
      <c r="BP1190">
        <v>0</v>
      </c>
      <c r="BW1190" t="str">
        <f>"18:42:11.081"</f>
        <v>18:42:11.081</v>
      </c>
      <c r="BZ1190">
        <v>0</v>
      </c>
      <c r="CA1190">
        <v>4096</v>
      </c>
      <c r="CB1190">
        <v>216</v>
      </c>
      <c r="CC1190">
        <v>403.59379999999999</v>
      </c>
      <c r="CD1190">
        <v>1</v>
      </c>
      <c r="CE1190">
        <v>1</v>
      </c>
      <c r="CF1190">
        <v>0</v>
      </c>
      <c r="CG1190">
        <v>1</v>
      </c>
      <c r="CH1190">
        <v>0</v>
      </c>
      <c r="CI1190">
        <v>1</v>
      </c>
      <c r="CJ1190">
        <v>0</v>
      </c>
      <c r="CK1190">
        <v>2</v>
      </c>
      <c r="CL1190">
        <v>0</v>
      </c>
      <c r="CM1190">
        <v>2</v>
      </c>
      <c r="CN1190">
        <v>0</v>
      </c>
      <c r="CO1190">
        <v>3</v>
      </c>
      <c r="CP1190" t="s">
        <v>119</v>
      </c>
      <c r="CQ1190">
        <v>145</v>
      </c>
      <c r="CR1190">
        <v>1</v>
      </c>
      <c r="CW1190">
        <v>9036728</v>
      </c>
      <c r="CY1190">
        <v>0</v>
      </c>
      <c r="CZ1190">
        <v>0</v>
      </c>
      <c r="DA1190">
        <v>1</v>
      </c>
      <c r="DB1190">
        <v>0</v>
      </c>
      <c r="DC1190">
        <v>0</v>
      </c>
      <c r="DD1190">
        <v>0</v>
      </c>
      <c r="DE1190">
        <v>0</v>
      </c>
      <c r="DF1190">
        <v>0</v>
      </c>
      <c r="DG1190">
        <v>0</v>
      </c>
      <c r="DH1190">
        <v>0</v>
      </c>
      <c r="DI1190">
        <v>0</v>
      </c>
    </row>
    <row r="1191" spans="1:113" x14ac:dyDescent="0.3">
      <c r="A1191" t="str">
        <f>"02/13/2022 18:42:11.451"</f>
        <v>02/13/2022 18:42:11.451</v>
      </c>
      <c r="C1191" t="str">
        <f t="shared" si="119"/>
        <v>FFDFD7C0</v>
      </c>
      <c r="D1191" t="s">
        <v>121</v>
      </c>
      <c r="E1191">
        <v>2</v>
      </c>
      <c r="H1191">
        <v>158</v>
      </c>
      <c r="I1191" t="s">
        <v>120</v>
      </c>
      <c r="J1191" t="s">
        <v>122</v>
      </c>
      <c r="K1191">
        <v>0</v>
      </c>
      <c r="L1191">
        <v>3</v>
      </c>
      <c r="M1191">
        <v>0</v>
      </c>
      <c r="N1191">
        <v>2</v>
      </c>
      <c r="O1191">
        <v>1</v>
      </c>
      <c r="P1191">
        <v>0</v>
      </c>
      <c r="Q1191">
        <v>0</v>
      </c>
      <c r="S1191" t="str">
        <f>"18:42:11.078"</f>
        <v>18:42:11.078</v>
      </c>
      <c r="T1191" t="str">
        <f>"18:42:10.678"</f>
        <v>18:42:10.678</v>
      </c>
      <c r="U1191" t="str">
        <f t="shared" si="118"/>
        <v>AAB6EE</v>
      </c>
      <c r="V1191">
        <v>0</v>
      </c>
      <c r="W1191">
        <v>0</v>
      </c>
      <c r="X1191">
        <v>4</v>
      </c>
      <c r="Z1191">
        <v>0</v>
      </c>
      <c r="AA1191">
        <v>8</v>
      </c>
      <c r="AB1191">
        <v>3</v>
      </c>
      <c r="AC1191">
        <v>0</v>
      </c>
      <c r="AD1191">
        <v>10</v>
      </c>
      <c r="AE1191">
        <v>0</v>
      </c>
      <c r="AF1191">
        <v>0</v>
      </c>
      <c r="AG1191">
        <v>1</v>
      </c>
      <c r="AH1191">
        <v>1</v>
      </c>
      <c r="AI1191" t="s">
        <v>915</v>
      </c>
      <c r="AJ1191">
        <v>35.256757999999998</v>
      </c>
      <c r="AK1191" t="s">
        <v>916</v>
      </c>
      <c r="AL1191">
        <v>-76.246104000000003</v>
      </c>
      <c r="AM1191">
        <v>25</v>
      </c>
      <c r="AN1191">
        <v>3425</v>
      </c>
      <c r="AO1191" t="s">
        <v>118</v>
      </c>
      <c r="AP1191">
        <v>-134</v>
      </c>
      <c r="AQ1191">
        <v>-177</v>
      </c>
      <c r="AR1191">
        <v>0</v>
      </c>
      <c r="AZ1191">
        <v>4516</v>
      </c>
      <c r="BA1191">
        <v>1</v>
      </c>
      <c r="BB1191" t="str">
        <f t="shared" si="120"/>
        <v xml:space="preserve">N79NX   </v>
      </c>
      <c r="BC1191">
        <v>1</v>
      </c>
      <c r="BE1191">
        <v>0</v>
      </c>
      <c r="BF1191">
        <v>0</v>
      </c>
      <c r="BG1191">
        <v>0</v>
      </c>
      <c r="BH1191">
        <v>3275</v>
      </c>
      <c r="BI1191">
        <v>0</v>
      </c>
      <c r="BJ1191">
        <v>0</v>
      </c>
      <c r="BK1191">
        <v>0</v>
      </c>
      <c r="BL1191">
        <v>0</v>
      </c>
      <c r="BO1191">
        <v>0</v>
      </c>
      <c r="BP1191">
        <v>0</v>
      </c>
      <c r="BW1191" t="str">
        <f>"18:42:11.081"</f>
        <v>18:42:11.081</v>
      </c>
      <c r="BZ1191">
        <v>0</v>
      </c>
      <c r="CA1191">
        <v>4096</v>
      </c>
      <c r="CB1191">
        <v>216</v>
      </c>
      <c r="CC1191">
        <v>403.59379999999999</v>
      </c>
      <c r="CD1191">
        <v>1</v>
      </c>
      <c r="CE1191">
        <v>1</v>
      </c>
      <c r="CF1191">
        <v>0</v>
      </c>
      <c r="CG1191">
        <v>1</v>
      </c>
      <c r="CH1191">
        <v>0</v>
      </c>
      <c r="CI1191">
        <v>1</v>
      </c>
      <c r="CJ1191">
        <v>0</v>
      </c>
      <c r="CK1191">
        <v>2</v>
      </c>
      <c r="CL1191">
        <v>0</v>
      </c>
      <c r="CM1191">
        <v>2</v>
      </c>
      <c r="CN1191">
        <v>0</v>
      </c>
      <c r="CO1191">
        <v>3</v>
      </c>
      <c r="CP1191" t="s">
        <v>119</v>
      </c>
      <c r="CQ1191">
        <v>145</v>
      </c>
      <c r="CR1191">
        <v>1</v>
      </c>
      <c r="CW1191">
        <v>9036728</v>
      </c>
      <c r="CY1191">
        <v>0</v>
      </c>
      <c r="CZ1191">
        <v>0</v>
      </c>
      <c r="DA1191">
        <v>1</v>
      </c>
      <c r="DB1191">
        <v>0</v>
      </c>
      <c r="DC1191">
        <v>0</v>
      </c>
      <c r="DD1191">
        <v>0</v>
      </c>
      <c r="DE1191">
        <v>0</v>
      </c>
      <c r="DF1191">
        <v>0</v>
      </c>
      <c r="DG1191">
        <v>0</v>
      </c>
      <c r="DH1191">
        <v>0</v>
      </c>
      <c r="DI1191">
        <v>0</v>
      </c>
    </row>
    <row r="1192" spans="1:113" x14ac:dyDescent="0.3">
      <c r="A1192" t="str">
        <f>"02/13/2022 18:42:12.435"</f>
        <v>02/13/2022 18:42:12.435</v>
      </c>
      <c r="C1192" t="str">
        <f t="shared" si="119"/>
        <v>FFDFD7C0</v>
      </c>
      <c r="D1192" t="s">
        <v>113</v>
      </c>
      <c r="E1192">
        <v>3</v>
      </c>
      <c r="F1192">
        <v>1003</v>
      </c>
      <c r="G1192" t="s">
        <v>114</v>
      </c>
      <c r="J1192" t="s">
        <v>115</v>
      </c>
      <c r="K1192">
        <v>0</v>
      </c>
      <c r="L1192">
        <v>3</v>
      </c>
      <c r="M1192">
        <v>0</v>
      </c>
      <c r="N1192">
        <v>2</v>
      </c>
      <c r="O1192">
        <v>1</v>
      </c>
      <c r="P1192">
        <v>0</v>
      </c>
      <c r="Q1192">
        <v>0</v>
      </c>
      <c r="S1192" t="str">
        <f>"18:42:12.156"</f>
        <v>18:42:12.156</v>
      </c>
      <c r="T1192" t="str">
        <f>"18:42:12.056"</f>
        <v>18:42:12.056</v>
      </c>
      <c r="U1192" t="str">
        <f t="shared" si="118"/>
        <v>AAB6EE</v>
      </c>
      <c r="V1192">
        <v>0</v>
      </c>
      <c r="W1192">
        <v>0</v>
      </c>
      <c r="X1192">
        <v>4</v>
      </c>
      <c r="Z1192">
        <v>0</v>
      </c>
      <c r="AA1192">
        <v>8</v>
      </c>
      <c r="AB1192">
        <v>3</v>
      </c>
      <c r="AC1192">
        <v>0</v>
      </c>
      <c r="AD1192">
        <v>10</v>
      </c>
      <c r="AE1192">
        <v>0</v>
      </c>
      <c r="AF1192">
        <v>0</v>
      </c>
      <c r="AG1192">
        <v>1</v>
      </c>
      <c r="AH1192">
        <v>1</v>
      </c>
      <c r="AI1192" t="s">
        <v>917</v>
      </c>
      <c r="AJ1192">
        <v>35.255856999999999</v>
      </c>
      <c r="AK1192" t="s">
        <v>918</v>
      </c>
      <c r="AL1192">
        <v>-76.246941000000007</v>
      </c>
      <c r="AM1192">
        <v>25</v>
      </c>
      <c r="AN1192">
        <v>3425</v>
      </c>
      <c r="AO1192" t="s">
        <v>118</v>
      </c>
      <c r="AP1192">
        <v>-132</v>
      </c>
      <c r="AQ1192">
        <v>-178</v>
      </c>
      <c r="AR1192">
        <v>64</v>
      </c>
      <c r="AZ1192">
        <v>4516</v>
      </c>
      <c r="BA1192">
        <v>1</v>
      </c>
      <c r="BB1192" t="str">
        <f t="shared" si="120"/>
        <v xml:space="preserve">N79NX   </v>
      </c>
      <c r="BC1192">
        <v>1</v>
      </c>
      <c r="BE1192">
        <v>0</v>
      </c>
      <c r="BF1192">
        <v>0</v>
      </c>
      <c r="BG1192">
        <v>0</v>
      </c>
      <c r="BH1192">
        <v>3275</v>
      </c>
      <c r="BI1192">
        <v>0</v>
      </c>
      <c r="BJ1192">
        <v>0</v>
      </c>
      <c r="BK1192">
        <v>0</v>
      </c>
      <c r="BL1192">
        <v>0</v>
      </c>
      <c r="BO1192">
        <v>0</v>
      </c>
      <c r="BP1192">
        <v>0</v>
      </c>
      <c r="BW1192" t="str">
        <f>"18:42:12.161"</f>
        <v>18:42:12.161</v>
      </c>
      <c r="BZ1192">
        <v>0</v>
      </c>
      <c r="CA1192">
        <v>4096</v>
      </c>
      <c r="CB1192">
        <v>216</v>
      </c>
      <c r="CC1192">
        <v>403.59379999999999</v>
      </c>
      <c r="CD1192">
        <v>1</v>
      </c>
      <c r="CE1192">
        <v>1</v>
      </c>
      <c r="CF1192">
        <v>0</v>
      </c>
      <c r="CG1192">
        <v>1</v>
      </c>
      <c r="CH1192">
        <v>0</v>
      </c>
      <c r="CI1192">
        <v>1</v>
      </c>
      <c r="CJ1192">
        <v>0</v>
      </c>
      <c r="CK1192">
        <v>2</v>
      </c>
      <c r="CL1192">
        <v>0</v>
      </c>
      <c r="CM1192">
        <v>2</v>
      </c>
      <c r="CN1192">
        <v>0</v>
      </c>
      <c r="CO1192">
        <v>2</v>
      </c>
      <c r="CP1192" t="s">
        <v>119</v>
      </c>
      <c r="CQ1192">
        <v>145</v>
      </c>
      <c r="CR1192">
        <v>1</v>
      </c>
      <c r="CW1192">
        <v>9037258</v>
      </c>
      <c r="CY1192">
        <v>0</v>
      </c>
      <c r="CZ1192">
        <v>0</v>
      </c>
      <c r="DA1192">
        <v>0</v>
      </c>
      <c r="DB1192">
        <v>0</v>
      </c>
      <c r="DC1192">
        <v>0</v>
      </c>
      <c r="DD1192">
        <v>0</v>
      </c>
      <c r="DE1192">
        <v>0</v>
      </c>
      <c r="DF1192">
        <v>0</v>
      </c>
      <c r="DG1192">
        <v>0</v>
      </c>
      <c r="DH1192">
        <v>0</v>
      </c>
      <c r="DI1192">
        <v>0</v>
      </c>
    </row>
    <row r="1193" spans="1:113" x14ac:dyDescent="0.3">
      <c r="A1193" t="str">
        <f>"02/13/2022 18:42:12.435"</f>
        <v>02/13/2022 18:42:12.435</v>
      </c>
      <c r="C1193" t="str">
        <f t="shared" si="119"/>
        <v>FFDFD7C0</v>
      </c>
      <c r="D1193" t="s">
        <v>113</v>
      </c>
      <c r="E1193">
        <v>4</v>
      </c>
      <c r="F1193">
        <v>1004</v>
      </c>
      <c r="G1193" t="s">
        <v>120</v>
      </c>
      <c r="J1193" t="s">
        <v>115</v>
      </c>
      <c r="K1193">
        <v>0</v>
      </c>
      <c r="L1193">
        <v>3</v>
      </c>
      <c r="M1193">
        <v>0</v>
      </c>
      <c r="N1193">
        <v>2</v>
      </c>
      <c r="O1193">
        <v>1</v>
      </c>
      <c r="P1193">
        <v>0</v>
      </c>
      <c r="Q1193">
        <v>0</v>
      </c>
      <c r="S1193" t="str">
        <f>"18:42:12.156"</f>
        <v>18:42:12.156</v>
      </c>
      <c r="T1193" t="str">
        <f>"18:42:12.056"</f>
        <v>18:42:12.056</v>
      </c>
      <c r="U1193" t="str">
        <f t="shared" si="118"/>
        <v>AAB6EE</v>
      </c>
      <c r="V1193">
        <v>0</v>
      </c>
      <c r="W1193">
        <v>0</v>
      </c>
      <c r="X1193">
        <v>4</v>
      </c>
      <c r="Z1193">
        <v>0</v>
      </c>
      <c r="AA1193">
        <v>8</v>
      </c>
      <c r="AB1193">
        <v>3</v>
      </c>
      <c r="AC1193">
        <v>0</v>
      </c>
      <c r="AD1193">
        <v>10</v>
      </c>
      <c r="AE1193">
        <v>0</v>
      </c>
      <c r="AF1193">
        <v>0</v>
      </c>
      <c r="AG1193">
        <v>1</v>
      </c>
      <c r="AH1193">
        <v>1</v>
      </c>
      <c r="AI1193" t="s">
        <v>917</v>
      </c>
      <c r="AJ1193">
        <v>35.255856999999999</v>
      </c>
      <c r="AK1193" t="s">
        <v>918</v>
      </c>
      <c r="AL1193">
        <v>-76.246941000000007</v>
      </c>
      <c r="AM1193">
        <v>25</v>
      </c>
      <c r="AN1193">
        <v>3425</v>
      </c>
      <c r="AO1193" t="s">
        <v>118</v>
      </c>
      <c r="AP1193">
        <v>-132</v>
      </c>
      <c r="AQ1193">
        <v>-178</v>
      </c>
      <c r="AR1193">
        <v>64</v>
      </c>
      <c r="AZ1193">
        <v>4516</v>
      </c>
      <c r="BA1193">
        <v>1</v>
      </c>
      <c r="BB1193" t="str">
        <f t="shared" si="120"/>
        <v xml:space="preserve">N79NX   </v>
      </c>
      <c r="BC1193">
        <v>1</v>
      </c>
      <c r="BE1193">
        <v>0</v>
      </c>
      <c r="BF1193">
        <v>0</v>
      </c>
      <c r="BG1193">
        <v>0</v>
      </c>
      <c r="BH1193">
        <v>3275</v>
      </c>
      <c r="BI1193">
        <v>0</v>
      </c>
      <c r="BJ1193">
        <v>0</v>
      </c>
      <c r="BK1193">
        <v>0</v>
      </c>
      <c r="BL1193">
        <v>0</v>
      </c>
      <c r="BO1193">
        <v>0</v>
      </c>
      <c r="BP1193">
        <v>0</v>
      </c>
      <c r="BW1193" t="str">
        <f>"18:42:12.161"</f>
        <v>18:42:12.161</v>
      </c>
      <c r="BZ1193">
        <v>0</v>
      </c>
      <c r="CA1193">
        <v>4096</v>
      </c>
      <c r="CB1193">
        <v>216</v>
      </c>
      <c r="CC1193">
        <v>403.59379999999999</v>
      </c>
      <c r="CD1193">
        <v>1</v>
      </c>
      <c r="CE1193">
        <v>1</v>
      </c>
      <c r="CF1193">
        <v>0</v>
      </c>
      <c r="CG1193">
        <v>1</v>
      </c>
      <c r="CH1193">
        <v>0</v>
      </c>
      <c r="CI1193">
        <v>1</v>
      </c>
      <c r="CJ1193">
        <v>0</v>
      </c>
      <c r="CK1193">
        <v>2</v>
      </c>
      <c r="CL1193">
        <v>0</v>
      </c>
      <c r="CM1193">
        <v>2</v>
      </c>
      <c r="CN1193">
        <v>0</v>
      </c>
      <c r="CO1193">
        <v>2</v>
      </c>
      <c r="CP1193" t="s">
        <v>119</v>
      </c>
      <c r="CQ1193">
        <v>145</v>
      </c>
      <c r="CR1193">
        <v>1</v>
      </c>
      <c r="CW1193">
        <v>9037258</v>
      </c>
      <c r="CY1193">
        <v>0</v>
      </c>
      <c r="CZ1193">
        <v>0</v>
      </c>
      <c r="DA1193">
        <v>1</v>
      </c>
      <c r="DB1193">
        <v>0</v>
      </c>
      <c r="DC1193">
        <v>0</v>
      </c>
      <c r="DD1193">
        <v>0</v>
      </c>
      <c r="DE1193">
        <v>0</v>
      </c>
      <c r="DF1193">
        <v>0</v>
      </c>
      <c r="DG1193">
        <v>0</v>
      </c>
      <c r="DH1193">
        <v>0</v>
      </c>
      <c r="DI1193">
        <v>0</v>
      </c>
    </row>
    <row r="1194" spans="1:113" x14ac:dyDescent="0.3">
      <c r="A1194" t="str">
        <f>"02/13/2022 18:42:12.435"</f>
        <v>02/13/2022 18:42:12.435</v>
      </c>
      <c r="C1194" t="str">
        <f t="shared" si="119"/>
        <v>FFDFD7C0</v>
      </c>
      <c r="D1194" t="s">
        <v>121</v>
      </c>
      <c r="E1194">
        <v>2</v>
      </c>
      <c r="H1194">
        <v>158</v>
      </c>
      <c r="I1194" t="s">
        <v>120</v>
      </c>
      <c r="J1194" t="s">
        <v>122</v>
      </c>
      <c r="K1194">
        <v>0</v>
      </c>
      <c r="L1194">
        <v>3</v>
      </c>
      <c r="M1194">
        <v>0</v>
      </c>
      <c r="N1194">
        <v>2</v>
      </c>
      <c r="O1194">
        <v>1</v>
      </c>
      <c r="P1194">
        <v>0</v>
      </c>
      <c r="Q1194">
        <v>0</v>
      </c>
      <c r="S1194" t="str">
        <f>"18:42:12.156"</f>
        <v>18:42:12.156</v>
      </c>
      <c r="T1194" t="str">
        <f>"18:42:12.056"</f>
        <v>18:42:12.056</v>
      </c>
      <c r="U1194" t="str">
        <f t="shared" si="118"/>
        <v>AAB6EE</v>
      </c>
      <c r="V1194">
        <v>0</v>
      </c>
      <c r="W1194">
        <v>0</v>
      </c>
      <c r="X1194">
        <v>4</v>
      </c>
      <c r="Z1194">
        <v>0</v>
      </c>
      <c r="AA1194">
        <v>8</v>
      </c>
      <c r="AB1194">
        <v>3</v>
      </c>
      <c r="AC1194">
        <v>0</v>
      </c>
      <c r="AD1194">
        <v>10</v>
      </c>
      <c r="AE1194">
        <v>0</v>
      </c>
      <c r="AF1194">
        <v>0</v>
      </c>
      <c r="AG1194">
        <v>1</v>
      </c>
      <c r="AH1194">
        <v>1</v>
      </c>
      <c r="AI1194" t="s">
        <v>917</v>
      </c>
      <c r="AJ1194">
        <v>35.255856999999999</v>
      </c>
      <c r="AK1194" t="s">
        <v>918</v>
      </c>
      <c r="AL1194">
        <v>-76.246941000000007</v>
      </c>
      <c r="AM1194">
        <v>25</v>
      </c>
      <c r="AN1194">
        <v>3425</v>
      </c>
      <c r="AO1194" t="s">
        <v>118</v>
      </c>
      <c r="AP1194">
        <v>-132</v>
      </c>
      <c r="AQ1194">
        <v>-178</v>
      </c>
      <c r="AR1194">
        <v>64</v>
      </c>
      <c r="AZ1194">
        <v>4516</v>
      </c>
      <c r="BA1194">
        <v>1</v>
      </c>
      <c r="BB1194" t="str">
        <f t="shared" si="120"/>
        <v xml:space="preserve">N79NX   </v>
      </c>
      <c r="BC1194">
        <v>1</v>
      </c>
      <c r="BE1194">
        <v>0</v>
      </c>
      <c r="BF1194">
        <v>0</v>
      </c>
      <c r="BG1194">
        <v>0</v>
      </c>
      <c r="BH1194">
        <v>3275</v>
      </c>
      <c r="BI1194">
        <v>0</v>
      </c>
      <c r="BJ1194">
        <v>0</v>
      </c>
      <c r="BK1194">
        <v>0</v>
      </c>
      <c r="BL1194">
        <v>0</v>
      </c>
      <c r="BO1194">
        <v>0</v>
      </c>
      <c r="BP1194">
        <v>0</v>
      </c>
      <c r="BW1194" t="str">
        <f>"18:42:12.161"</f>
        <v>18:42:12.161</v>
      </c>
      <c r="BZ1194">
        <v>0</v>
      </c>
      <c r="CA1194">
        <v>4096</v>
      </c>
      <c r="CB1194">
        <v>216</v>
      </c>
      <c r="CC1194">
        <v>403.59379999999999</v>
      </c>
      <c r="CD1194">
        <v>1</v>
      </c>
      <c r="CE1194">
        <v>1</v>
      </c>
      <c r="CF1194">
        <v>0</v>
      </c>
      <c r="CG1194">
        <v>1</v>
      </c>
      <c r="CH1194">
        <v>0</v>
      </c>
      <c r="CI1194">
        <v>1</v>
      </c>
      <c r="CJ1194">
        <v>0</v>
      </c>
      <c r="CK1194">
        <v>2</v>
      </c>
      <c r="CL1194">
        <v>0</v>
      </c>
      <c r="CM1194">
        <v>2</v>
      </c>
      <c r="CN1194">
        <v>0</v>
      </c>
      <c r="CO1194">
        <v>2</v>
      </c>
      <c r="CP1194" t="s">
        <v>119</v>
      </c>
      <c r="CQ1194">
        <v>145</v>
      </c>
      <c r="CR1194">
        <v>1</v>
      </c>
      <c r="CW1194">
        <v>9037258</v>
      </c>
      <c r="CY1194">
        <v>0</v>
      </c>
      <c r="CZ1194">
        <v>0</v>
      </c>
      <c r="DA1194">
        <v>1</v>
      </c>
      <c r="DB1194">
        <v>0</v>
      </c>
      <c r="DC1194">
        <v>0</v>
      </c>
      <c r="DD1194">
        <v>0</v>
      </c>
      <c r="DE1194">
        <v>0</v>
      </c>
      <c r="DF1194">
        <v>0</v>
      </c>
      <c r="DG1194">
        <v>0</v>
      </c>
      <c r="DH1194">
        <v>0</v>
      </c>
      <c r="DI1194">
        <v>0</v>
      </c>
    </row>
    <row r="1195" spans="1:113" x14ac:dyDescent="0.3">
      <c r="A1195" t="str">
        <f>"02/13/2022 18:42:13.451"</f>
        <v>02/13/2022 18:42:13.451</v>
      </c>
      <c r="C1195" t="str">
        <f t="shared" si="119"/>
        <v>FFDFD7C0</v>
      </c>
      <c r="D1195" t="s">
        <v>113</v>
      </c>
      <c r="E1195">
        <v>3</v>
      </c>
      <c r="F1195">
        <v>1003</v>
      </c>
      <c r="G1195" t="s">
        <v>114</v>
      </c>
      <c r="J1195" t="s">
        <v>115</v>
      </c>
      <c r="K1195">
        <v>0</v>
      </c>
      <c r="L1195">
        <v>3</v>
      </c>
      <c r="M1195">
        <v>0</v>
      </c>
      <c r="N1195">
        <v>2</v>
      </c>
      <c r="O1195">
        <v>1</v>
      </c>
      <c r="P1195">
        <v>0</v>
      </c>
      <c r="Q1195">
        <v>0</v>
      </c>
      <c r="S1195" t="str">
        <f>"18:42:13.281"</f>
        <v>18:42:13.281</v>
      </c>
      <c r="T1195" t="str">
        <f>"18:42:13.181"</f>
        <v>18:42:13.181</v>
      </c>
      <c r="U1195" t="str">
        <f t="shared" si="118"/>
        <v>AAB6EE</v>
      </c>
      <c r="V1195">
        <v>0</v>
      </c>
      <c r="W1195">
        <v>0</v>
      </c>
      <c r="X1195">
        <v>4</v>
      </c>
      <c r="Z1195">
        <v>0</v>
      </c>
      <c r="AA1195">
        <v>8</v>
      </c>
      <c r="AB1195">
        <v>3</v>
      </c>
      <c r="AC1195">
        <v>0</v>
      </c>
      <c r="AD1195">
        <v>10</v>
      </c>
      <c r="AE1195">
        <v>0</v>
      </c>
      <c r="AF1195">
        <v>0</v>
      </c>
      <c r="AG1195">
        <v>1</v>
      </c>
      <c r="AH1195">
        <v>1</v>
      </c>
      <c r="AI1195" t="s">
        <v>919</v>
      </c>
      <c r="AJ1195">
        <v>35.254933999999999</v>
      </c>
      <c r="AK1195" t="s">
        <v>920</v>
      </c>
      <c r="AL1195">
        <v>-76.247799000000001</v>
      </c>
      <c r="AM1195">
        <v>25</v>
      </c>
      <c r="AN1195">
        <v>3425</v>
      </c>
      <c r="AO1195" t="s">
        <v>118</v>
      </c>
      <c r="AP1195">
        <v>-132</v>
      </c>
      <c r="AQ1195">
        <v>-178</v>
      </c>
      <c r="AR1195">
        <v>64</v>
      </c>
      <c r="AZ1195">
        <v>4516</v>
      </c>
      <c r="BA1195">
        <v>1</v>
      </c>
      <c r="BB1195" t="str">
        <f t="shared" si="120"/>
        <v xml:space="preserve">N79NX   </v>
      </c>
      <c r="BC1195">
        <v>1</v>
      </c>
      <c r="BE1195">
        <v>0</v>
      </c>
      <c r="BF1195">
        <v>0</v>
      </c>
      <c r="BG1195">
        <v>0</v>
      </c>
      <c r="BH1195">
        <v>3275</v>
      </c>
      <c r="BI1195">
        <v>0</v>
      </c>
      <c r="BJ1195">
        <v>0</v>
      </c>
      <c r="BK1195">
        <v>0</v>
      </c>
      <c r="BL1195">
        <v>0</v>
      </c>
      <c r="BO1195">
        <v>0</v>
      </c>
      <c r="BP1195">
        <v>0</v>
      </c>
      <c r="BW1195" t="str">
        <f>"18:42:13.281"</f>
        <v>18:42:13.281</v>
      </c>
      <c r="BZ1195">
        <v>0</v>
      </c>
      <c r="CA1195">
        <v>4096</v>
      </c>
      <c r="CB1195">
        <v>216</v>
      </c>
      <c r="CC1195">
        <v>403.59379999999999</v>
      </c>
      <c r="CD1195">
        <v>1</v>
      </c>
      <c r="CE1195">
        <v>1</v>
      </c>
      <c r="CF1195">
        <v>0</v>
      </c>
      <c r="CG1195">
        <v>1</v>
      </c>
      <c r="CH1195">
        <v>0</v>
      </c>
      <c r="CI1195">
        <v>1</v>
      </c>
      <c r="CJ1195">
        <v>0</v>
      </c>
      <c r="CK1195">
        <v>2</v>
      </c>
      <c r="CL1195">
        <v>0</v>
      </c>
      <c r="CM1195">
        <v>2</v>
      </c>
      <c r="CN1195">
        <v>0</v>
      </c>
      <c r="CO1195">
        <v>2</v>
      </c>
      <c r="CP1195" t="s">
        <v>119</v>
      </c>
      <c r="CQ1195">
        <v>145</v>
      </c>
      <c r="CR1195">
        <v>1</v>
      </c>
      <c r="CW1195">
        <v>9037697</v>
      </c>
      <c r="CY1195">
        <v>0</v>
      </c>
      <c r="CZ1195">
        <v>0</v>
      </c>
      <c r="DA1195">
        <v>0</v>
      </c>
      <c r="DB1195">
        <v>0</v>
      </c>
      <c r="DC1195">
        <v>0</v>
      </c>
      <c r="DD1195">
        <v>0</v>
      </c>
      <c r="DE1195">
        <v>0</v>
      </c>
      <c r="DF1195">
        <v>0</v>
      </c>
      <c r="DG1195">
        <v>0</v>
      </c>
      <c r="DH1195">
        <v>0</v>
      </c>
      <c r="DI1195">
        <v>0</v>
      </c>
    </row>
    <row r="1196" spans="1:113" x14ac:dyDescent="0.3">
      <c r="A1196" t="str">
        <f>"02/13/2022 18:42:13.451"</f>
        <v>02/13/2022 18:42:13.451</v>
      </c>
      <c r="C1196" t="str">
        <f t="shared" si="119"/>
        <v>FFDFD7C0</v>
      </c>
      <c r="D1196" t="s">
        <v>113</v>
      </c>
      <c r="E1196">
        <v>4</v>
      </c>
      <c r="F1196">
        <v>1004</v>
      </c>
      <c r="G1196" t="s">
        <v>120</v>
      </c>
      <c r="J1196" t="s">
        <v>115</v>
      </c>
      <c r="K1196">
        <v>0</v>
      </c>
      <c r="L1196">
        <v>3</v>
      </c>
      <c r="M1196">
        <v>0</v>
      </c>
      <c r="N1196">
        <v>2</v>
      </c>
      <c r="O1196">
        <v>1</v>
      </c>
      <c r="P1196">
        <v>0</v>
      </c>
      <c r="Q1196">
        <v>0</v>
      </c>
      <c r="S1196" t="str">
        <f>"18:42:13.281"</f>
        <v>18:42:13.281</v>
      </c>
      <c r="T1196" t="str">
        <f>"18:42:13.181"</f>
        <v>18:42:13.181</v>
      </c>
      <c r="U1196" t="str">
        <f t="shared" si="118"/>
        <v>AAB6EE</v>
      </c>
      <c r="V1196">
        <v>0</v>
      </c>
      <c r="W1196">
        <v>0</v>
      </c>
      <c r="X1196">
        <v>4</v>
      </c>
      <c r="Z1196">
        <v>0</v>
      </c>
      <c r="AA1196">
        <v>8</v>
      </c>
      <c r="AB1196">
        <v>3</v>
      </c>
      <c r="AC1196">
        <v>0</v>
      </c>
      <c r="AD1196">
        <v>10</v>
      </c>
      <c r="AE1196">
        <v>0</v>
      </c>
      <c r="AF1196">
        <v>0</v>
      </c>
      <c r="AG1196">
        <v>1</v>
      </c>
      <c r="AH1196">
        <v>1</v>
      </c>
      <c r="AI1196" t="s">
        <v>919</v>
      </c>
      <c r="AJ1196">
        <v>35.254933999999999</v>
      </c>
      <c r="AK1196" t="s">
        <v>920</v>
      </c>
      <c r="AL1196">
        <v>-76.247799000000001</v>
      </c>
      <c r="AM1196">
        <v>25</v>
      </c>
      <c r="AN1196">
        <v>3425</v>
      </c>
      <c r="AO1196" t="s">
        <v>118</v>
      </c>
      <c r="AP1196">
        <v>-132</v>
      </c>
      <c r="AQ1196">
        <v>-178</v>
      </c>
      <c r="AR1196">
        <v>64</v>
      </c>
      <c r="AZ1196">
        <v>4516</v>
      </c>
      <c r="BA1196">
        <v>1</v>
      </c>
      <c r="BB1196" t="str">
        <f t="shared" si="120"/>
        <v xml:space="preserve">N79NX   </v>
      </c>
      <c r="BC1196">
        <v>1</v>
      </c>
      <c r="BE1196">
        <v>0</v>
      </c>
      <c r="BF1196">
        <v>0</v>
      </c>
      <c r="BG1196">
        <v>0</v>
      </c>
      <c r="BH1196">
        <v>3275</v>
      </c>
      <c r="BI1196">
        <v>0</v>
      </c>
      <c r="BJ1196">
        <v>0</v>
      </c>
      <c r="BK1196">
        <v>0</v>
      </c>
      <c r="BL1196">
        <v>0</v>
      </c>
      <c r="BO1196">
        <v>0</v>
      </c>
      <c r="BP1196">
        <v>0</v>
      </c>
      <c r="BW1196" t="str">
        <f>"18:42:13.281"</f>
        <v>18:42:13.281</v>
      </c>
      <c r="BZ1196">
        <v>0</v>
      </c>
      <c r="CA1196">
        <v>4096</v>
      </c>
      <c r="CB1196">
        <v>216</v>
      </c>
      <c r="CC1196">
        <v>403.59379999999999</v>
      </c>
      <c r="CD1196">
        <v>1</v>
      </c>
      <c r="CE1196">
        <v>1</v>
      </c>
      <c r="CF1196">
        <v>0</v>
      </c>
      <c r="CG1196">
        <v>1</v>
      </c>
      <c r="CH1196">
        <v>0</v>
      </c>
      <c r="CI1196">
        <v>1</v>
      </c>
      <c r="CJ1196">
        <v>0</v>
      </c>
      <c r="CK1196">
        <v>2</v>
      </c>
      <c r="CL1196">
        <v>0</v>
      </c>
      <c r="CM1196">
        <v>2</v>
      </c>
      <c r="CN1196">
        <v>0</v>
      </c>
      <c r="CO1196">
        <v>2</v>
      </c>
      <c r="CP1196" t="s">
        <v>119</v>
      </c>
      <c r="CQ1196">
        <v>145</v>
      </c>
      <c r="CR1196">
        <v>1</v>
      </c>
      <c r="CW1196">
        <v>9037697</v>
      </c>
      <c r="CY1196">
        <v>0</v>
      </c>
      <c r="CZ1196">
        <v>0</v>
      </c>
      <c r="DA1196">
        <v>1</v>
      </c>
      <c r="DB1196">
        <v>0</v>
      </c>
      <c r="DC1196">
        <v>0</v>
      </c>
      <c r="DD1196">
        <v>0</v>
      </c>
      <c r="DE1196">
        <v>0</v>
      </c>
      <c r="DF1196">
        <v>0</v>
      </c>
      <c r="DG1196">
        <v>0</v>
      </c>
      <c r="DH1196">
        <v>0</v>
      </c>
      <c r="DI1196">
        <v>0</v>
      </c>
    </row>
    <row r="1197" spans="1:113" x14ac:dyDescent="0.3">
      <c r="A1197" t="str">
        <f>"02/13/2022 18:42:13.451"</f>
        <v>02/13/2022 18:42:13.451</v>
      </c>
      <c r="C1197" t="str">
        <f t="shared" si="119"/>
        <v>FFDFD7C0</v>
      </c>
      <c r="D1197" t="s">
        <v>121</v>
      </c>
      <c r="E1197">
        <v>2</v>
      </c>
      <c r="H1197">
        <v>158</v>
      </c>
      <c r="I1197" t="s">
        <v>120</v>
      </c>
      <c r="J1197" t="s">
        <v>122</v>
      </c>
      <c r="K1197">
        <v>0</v>
      </c>
      <c r="L1197">
        <v>3</v>
      </c>
      <c r="M1197">
        <v>0</v>
      </c>
      <c r="N1197">
        <v>2</v>
      </c>
      <c r="O1197">
        <v>1</v>
      </c>
      <c r="P1197">
        <v>0</v>
      </c>
      <c r="Q1197">
        <v>0</v>
      </c>
      <c r="S1197" t="str">
        <f>"18:42:13.281"</f>
        <v>18:42:13.281</v>
      </c>
      <c r="T1197" t="str">
        <f>"18:42:13.181"</f>
        <v>18:42:13.181</v>
      </c>
      <c r="U1197" t="str">
        <f t="shared" si="118"/>
        <v>AAB6EE</v>
      </c>
      <c r="V1197">
        <v>0</v>
      </c>
      <c r="W1197">
        <v>0</v>
      </c>
      <c r="X1197">
        <v>4</v>
      </c>
      <c r="Z1197">
        <v>0</v>
      </c>
      <c r="AA1197">
        <v>8</v>
      </c>
      <c r="AB1197">
        <v>3</v>
      </c>
      <c r="AC1197">
        <v>0</v>
      </c>
      <c r="AD1197">
        <v>10</v>
      </c>
      <c r="AE1197">
        <v>0</v>
      </c>
      <c r="AF1197">
        <v>0</v>
      </c>
      <c r="AG1197">
        <v>1</v>
      </c>
      <c r="AH1197">
        <v>1</v>
      </c>
      <c r="AI1197" t="s">
        <v>919</v>
      </c>
      <c r="AJ1197">
        <v>35.254933999999999</v>
      </c>
      <c r="AK1197" t="s">
        <v>920</v>
      </c>
      <c r="AL1197">
        <v>-76.247799000000001</v>
      </c>
      <c r="AM1197">
        <v>25</v>
      </c>
      <c r="AN1197">
        <v>3425</v>
      </c>
      <c r="AO1197" t="s">
        <v>118</v>
      </c>
      <c r="AP1197">
        <v>-132</v>
      </c>
      <c r="AQ1197">
        <v>-178</v>
      </c>
      <c r="AR1197">
        <v>64</v>
      </c>
      <c r="AZ1197">
        <v>4516</v>
      </c>
      <c r="BA1197">
        <v>1</v>
      </c>
      <c r="BB1197" t="str">
        <f t="shared" si="120"/>
        <v xml:space="preserve">N79NX   </v>
      </c>
      <c r="BC1197">
        <v>1</v>
      </c>
      <c r="BE1197">
        <v>0</v>
      </c>
      <c r="BF1197">
        <v>0</v>
      </c>
      <c r="BG1197">
        <v>0</v>
      </c>
      <c r="BH1197">
        <v>3275</v>
      </c>
      <c r="BI1197">
        <v>0</v>
      </c>
      <c r="BJ1197">
        <v>0</v>
      </c>
      <c r="BK1197">
        <v>0</v>
      </c>
      <c r="BL1197">
        <v>0</v>
      </c>
      <c r="BO1197">
        <v>0</v>
      </c>
      <c r="BP1197">
        <v>0</v>
      </c>
      <c r="BW1197" t="str">
        <f>"18:42:13.281"</f>
        <v>18:42:13.281</v>
      </c>
      <c r="BZ1197">
        <v>0</v>
      </c>
      <c r="CA1197">
        <v>4096</v>
      </c>
      <c r="CB1197">
        <v>216</v>
      </c>
      <c r="CC1197">
        <v>403.59379999999999</v>
      </c>
      <c r="CD1197">
        <v>1</v>
      </c>
      <c r="CE1197">
        <v>1</v>
      </c>
      <c r="CF1197">
        <v>0</v>
      </c>
      <c r="CG1197">
        <v>1</v>
      </c>
      <c r="CH1197">
        <v>0</v>
      </c>
      <c r="CI1197">
        <v>1</v>
      </c>
      <c r="CJ1197">
        <v>0</v>
      </c>
      <c r="CK1197">
        <v>2</v>
      </c>
      <c r="CL1197">
        <v>0</v>
      </c>
      <c r="CM1197">
        <v>2</v>
      </c>
      <c r="CN1197">
        <v>0</v>
      </c>
      <c r="CO1197">
        <v>2</v>
      </c>
      <c r="CP1197" t="s">
        <v>119</v>
      </c>
      <c r="CQ1197">
        <v>145</v>
      </c>
      <c r="CR1197">
        <v>1</v>
      </c>
      <c r="CW1197">
        <v>9037697</v>
      </c>
      <c r="CY1197">
        <v>0</v>
      </c>
      <c r="CZ1197">
        <v>0</v>
      </c>
      <c r="DA1197">
        <v>1</v>
      </c>
      <c r="DB1197">
        <v>0</v>
      </c>
      <c r="DC1197">
        <v>0</v>
      </c>
      <c r="DD1197">
        <v>0</v>
      </c>
      <c r="DE1197">
        <v>0</v>
      </c>
      <c r="DF1197">
        <v>0</v>
      </c>
      <c r="DG1197">
        <v>0</v>
      </c>
      <c r="DH1197">
        <v>0</v>
      </c>
      <c r="DI1197">
        <v>0</v>
      </c>
    </row>
    <row r="1198" spans="1:113" x14ac:dyDescent="0.3">
      <c r="A1198" t="str">
        <f>"02/13/2022 18:42:14.578"</f>
        <v>02/13/2022 18:42:14.578</v>
      </c>
      <c r="C1198" t="str">
        <f t="shared" si="119"/>
        <v>FFDFD7C0</v>
      </c>
      <c r="D1198" t="s">
        <v>121</v>
      </c>
      <c r="E1198">
        <v>2</v>
      </c>
      <c r="H1198">
        <v>158</v>
      </c>
      <c r="I1198" t="s">
        <v>120</v>
      </c>
      <c r="J1198" t="s">
        <v>122</v>
      </c>
      <c r="K1198">
        <v>0</v>
      </c>
      <c r="L1198">
        <v>3</v>
      </c>
      <c r="M1198">
        <v>0</v>
      </c>
      <c r="N1198">
        <v>2</v>
      </c>
      <c r="O1198">
        <v>1</v>
      </c>
      <c r="P1198">
        <v>0</v>
      </c>
      <c r="Q1198">
        <v>0</v>
      </c>
      <c r="S1198" t="str">
        <f>"18:42:14.406"</f>
        <v>18:42:14.406</v>
      </c>
      <c r="T1198" t="str">
        <f>"18:42:14.106"</f>
        <v>18:42:14.106</v>
      </c>
      <c r="U1198" t="str">
        <f t="shared" si="118"/>
        <v>AAB6EE</v>
      </c>
      <c r="V1198">
        <v>0</v>
      </c>
      <c r="W1198">
        <v>0</v>
      </c>
      <c r="X1198">
        <v>4</v>
      </c>
      <c r="Z1198">
        <v>0</v>
      </c>
      <c r="AA1198">
        <v>8</v>
      </c>
      <c r="AB1198">
        <v>3</v>
      </c>
      <c r="AC1198">
        <v>0</v>
      </c>
      <c r="AD1198">
        <v>10</v>
      </c>
      <c r="AE1198">
        <v>0</v>
      </c>
      <c r="AF1198">
        <v>0</v>
      </c>
      <c r="AG1198">
        <v>1</v>
      </c>
      <c r="AH1198">
        <v>1</v>
      </c>
      <c r="AI1198" t="s">
        <v>921</v>
      </c>
      <c r="AJ1198">
        <v>35.253968</v>
      </c>
      <c r="AK1198" t="s">
        <v>922</v>
      </c>
      <c r="AL1198">
        <v>-76.248678999999996</v>
      </c>
      <c r="AM1198">
        <v>25</v>
      </c>
      <c r="AN1198">
        <v>3425</v>
      </c>
      <c r="AO1198" t="s">
        <v>118</v>
      </c>
      <c r="AP1198">
        <v>-131</v>
      </c>
      <c r="AQ1198">
        <v>-178</v>
      </c>
      <c r="AR1198">
        <v>64</v>
      </c>
      <c r="AZ1198">
        <v>4516</v>
      </c>
      <c r="BA1198">
        <v>1</v>
      </c>
      <c r="BB1198" t="str">
        <f t="shared" si="120"/>
        <v xml:space="preserve">N79NX   </v>
      </c>
      <c r="BC1198">
        <v>1</v>
      </c>
      <c r="BE1198">
        <v>0</v>
      </c>
      <c r="BF1198">
        <v>0</v>
      </c>
      <c r="BG1198">
        <v>0</v>
      </c>
      <c r="BH1198">
        <v>3275</v>
      </c>
      <c r="BI1198">
        <v>0</v>
      </c>
      <c r="BJ1198">
        <v>0</v>
      </c>
      <c r="BK1198">
        <v>0</v>
      </c>
      <c r="BL1198">
        <v>0</v>
      </c>
      <c r="BO1198">
        <v>0</v>
      </c>
      <c r="BP1198">
        <v>0</v>
      </c>
      <c r="BW1198" t="str">
        <f>"18:42:14.411"</f>
        <v>18:42:14.411</v>
      </c>
      <c r="BZ1198">
        <v>0</v>
      </c>
      <c r="CA1198">
        <v>4096</v>
      </c>
      <c r="CB1198">
        <v>216</v>
      </c>
      <c r="CC1198">
        <v>403.59379999999999</v>
      </c>
      <c r="CD1198">
        <v>1</v>
      </c>
      <c r="CE1198">
        <v>1</v>
      </c>
      <c r="CF1198">
        <v>0</v>
      </c>
      <c r="CG1198">
        <v>1</v>
      </c>
      <c r="CH1198">
        <v>0</v>
      </c>
      <c r="CI1198">
        <v>1</v>
      </c>
      <c r="CJ1198">
        <v>0</v>
      </c>
      <c r="CK1198">
        <v>2</v>
      </c>
      <c r="CL1198">
        <v>0</v>
      </c>
      <c r="CM1198">
        <v>2</v>
      </c>
      <c r="CN1198">
        <v>0</v>
      </c>
      <c r="CO1198">
        <v>2</v>
      </c>
      <c r="CP1198" t="s">
        <v>119</v>
      </c>
      <c r="CQ1198">
        <v>145</v>
      </c>
      <c r="CR1198">
        <v>1</v>
      </c>
      <c r="CW1198">
        <v>9038209</v>
      </c>
      <c r="CY1198">
        <v>0</v>
      </c>
      <c r="CZ1198">
        <v>0</v>
      </c>
      <c r="DA1198">
        <v>0</v>
      </c>
      <c r="DB1198">
        <v>0</v>
      </c>
      <c r="DC1198">
        <v>0</v>
      </c>
      <c r="DD1198">
        <v>0</v>
      </c>
      <c r="DE1198">
        <v>0</v>
      </c>
      <c r="DF1198">
        <v>0</v>
      </c>
      <c r="DG1198">
        <v>0</v>
      </c>
      <c r="DH1198">
        <v>0</v>
      </c>
      <c r="DI1198">
        <v>0</v>
      </c>
    </row>
    <row r="1199" spans="1:113" x14ac:dyDescent="0.3">
      <c r="A1199" t="str">
        <f>"02/13/2022 18:42:14.625"</f>
        <v>02/13/2022 18:42:14.625</v>
      </c>
      <c r="C1199" t="str">
        <f t="shared" si="119"/>
        <v>FFDFD7C0</v>
      </c>
      <c r="D1199" t="s">
        <v>113</v>
      </c>
      <c r="E1199">
        <v>3</v>
      </c>
      <c r="F1199">
        <v>1003</v>
      </c>
      <c r="G1199" t="s">
        <v>114</v>
      </c>
      <c r="J1199" t="s">
        <v>115</v>
      </c>
      <c r="K1199">
        <v>0</v>
      </c>
      <c r="L1199">
        <v>3</v>
      </c>
      <c r="M1199">
        <v>0</v>
      </c>
      <c r="N1199">
        <v>2</v>
      </c>
      <c r="O1199">
        <v>1</v>
      </c>
      <c r="P1199">
        <v>0</v>
      </c>
      <c r="Q1199">
        <v>0</v>
      </c>
      <c r="S1199" t="str">
        <f>"18:42:14.406"</f>
        <v>18:42:14.406</v>
      </c>
      <c r="T1199" t="str">
        <f>"18:42:14.106"</f>
        <v>18:42:14.106</v>
      </c>
      <c r="U1199" t="str">
        <f t="shared" si="118"/>
        <v>AAB6EE</v>
      </c>
      <c r="V1199">
        <v>0</v>
      </c>
      <c r="W1199">
        <v>0</v>
      </c>
      <c r="X1199">
        <v>4</v>
      </c>
      <c r="Z1199">
        <v>0</v>
      </c>
      <c r="AA1199">
        <v>8</v>
      </c>
      <c r="AB1199">
        <v>3</v>
      </c>
      <c r="AC1199">
        <v>0</v>
      </c>
      <c r="AD1199">
        <v>10</v>
      </c>
      <c r="AE1199">
        <v>0</v>
      </c>
      <c r="AF1199">
        <v>0</v>
      </c>
      <c r="AG1199">
        <v>1</v>
      </c>
      <c r="AH1199">
        <v>1</v>
      </c>
      <c r="AI1199" t="s">
        <v>921</v>
      </c>
      <c r="AJ1199">
        <v>35.253968</v>
      </c>
      <c r="AK1199" t="s">
        <v>922</v>
      </c>
      <c r="AL1199">
        <v>-76.248678999999996</v>
      </c>
      <c r="AM1199">
        <v>25</v>
      </c>
      <c r="AN1199">
        <v>3425</v>
      </c>
      <c r="AO1199" t="s">
        <v>118</v>
      </c>
      <c r="AP1199">
        <v>-131</v>
      </c>
      <c r="AQ1199">
        <v>-178</v>
      </c>
      <c r="AR1199">
        <v>64</v>
      </c>
      <c r="AZ1199">
        <v>4516</v>
      </c>
      <c r="BA1199">
        <v>1</v>
      </c>
      <c r="BB1199" t="str">
        <f t="shared" si="120"/>
        <v xml:space="preserve">N79NX   </v>
      </c>
      <c r="BC1199">
        <v>1</v>
      </c>
      <c r="BE1199">
        <v>0</v>
      </c>
      <c r="BF1199">
        <v>0</v>
      </c>
      <c r="BG1199">
        <v>0</v>
      </c>
      <c r="BH1199">
        <v>3275</v>
      </c>
      <c r="BI1199">
        <v>0</v>
      </c>
      <c r="BJ1199">
        <v>0</v>
      </c>
      <c r="BK1199">
        <v>0</v>
      </c>
      <c r="BL1199">
        <v>0</v>
      </c>
      <c r="BO1199">
        <v>0</v>
      </c>
      <c r="BP1199">
        <v>0</v>
      </c>
      <c r="BW1199" t="str">
        <f>"18:42:14.411"</f>
        <v>18:42:14.411</v>
      </c>
      <c r="BZ1199">
        <v>0</v>
      </c>
      <c r="CA1199">
        <v>4096</v>
      </c>
      <c r="CB1199">
        <v>216</v>
      </c>
      <c r="CC1199">
        <v>403.59379999999999</v>
      </c>
      <c r="CD1199">
        <v>1</v>
      </c>
      <c r="CE1199">
        <v>1</v>
      </c>
      <c r="CF1199">
        <v>0</v>
      </c>
      <c r="CG1199">
        <v>1</v>
      </c>
      <c r="CH1199">
        <v>0</v>
      </c>
      <c r="CI1199">
        <v>1</v>
      </c>
      <c r="CJ1199">
        <v>0</v>
      </c>
      <c r="CK1199">
        <v>2</v>
      </c>
      <c r="CL1199">
        <v>0</v>
      </c>
      <c r="CM1199">
        <v>2</v>
      </c>
      <c r="CN1199">
        <v>0</v>
      </c>
      <c r="CO1199">
        <v>2</v>
      </c>
      <c r="CP1199" t="s">
        <v>119</v>
      </c>
      <c r="CQ1199">
        <v>145</v>
      </c>
      <c r="CR1199">
        <v>1</v>
      </c>
      <c r="CW1199">
        <v>9038209</v>
      </c>
      <c r="CY1199">
        <v>0</v>
      </c>
      <c r="CZ1199">
        <v>0</v>
      </c>
      <c r="DA1199">
        <v>1</v>
      </c>
      <c r="DB1199">
        <v>0</v>
      </c>
      <c r="DC1199">
        <v>0</v>
      </c>
      <c r="DD1199">
        <v>0</v>
      </c>
      <c r="DE1199">
        <v>0</v>
      </c>
      <c r="DF1199">
        <v>0</v>
      </c>
      <c r="DG1199">
        <v>0</v>
      </c>
      <c r="DH1199">
        <v>0</v>
      </c>
      <c r="DI1199">
        <v>0</v>
      </c>
    </row>
    <row r="1200" spans="1:113" x14ac:dyDescent="0.3">
      <c r="A1200" t="str">
        <f>"02/13/2022 18:42:14.625"</f>
        <v>02/13/2022 18:42:14.625</v>
      </c>
      <c r="C1200" t="str">
        <f t="shared" si="119"/>
        <v>FFDFD7C0</v>
      </c>
      <c r="D1200" t="s">
        <v>113</v>
      </c>
      <c r="E1200">
        <v>4</v>
      </c>
      <c r="F1200">
        <v>1004</v>
      </c>
      <c r="G1200" t="s">
        <v>120</v>
      </c>
      <c r="J1200" t="s">
        <v>115</v>
      </c>
      <c r="K1200">
        <v>0</v>
      </c>
      <c r="L1200">
        <v>3</v>
      </c>
      <c r="M1200">
        <v>0</v>
      </c>
      <c r="N1200">
        <v>2</v>
      </c>
      <c r="O1200">
        <v>1</v>
      </c>
      <c r="P1200">
        <v>0</v>
      </c>
      <c r="Q1200">
        <v>0</v>
      </c>
      <c r="S1200" t="str">
        <f>"18:42:14.406"</f>
        <v>18:42:14.406</v>
      </c>
      <c r="T1200" t="str">
        <f>"18:42:14.106"</f>
        <v>18:42:14.106</v>
      </c>
      <c r="U1200" t="str">
        <f t="shared" si="118"/>
        <v>AAB6EE</v>
      </c>
      <c r="V1200">
        <v>0</v>
      </c>
      <c r="W1200">
        <v>0</v>
      </c>
      <c r="X1200">
        <v>4</v>
      </c>
      <c r="Z1200">
        <v>0</v>
      </c>
      <c r="AA1200">
        <v>8</v>
      </c>
      <c r="AB1200">
        <v>3</v>
      </c>
      <c r="AC1200">
        <v>0</v>
      </c>
      <c r="AD1200">
        <v>10</v>
      </c>
      <c r="AE1200">
        <v>0</v>
      </c>
      <c r="AF1200">
        <v>0</v>
      </c>
      <c r="AG1200">
        <v>1</v>
      </c>
      <c r="AH1200">
        <v>1</v>
      </c>
      <c r="AI1200" t="s">
        <v>921</v>
      </c>
      <c r="AJ1200">
        <v>35.253968</v>
      </c>
      <c r="AK1200" t="s">
        <v>922</v>
      </c>
      <c r="AL1200">
        <v>-76.248678999999996</v>
      </c>
      <c r="AM1200">
        <v>25</v>
      </c>
      <c r="AN1200">
        <v>3425</v>
      </c>
      <c r="AO1200" t="s">
        <v>118</v>
      </c>
      <c r="AP1200">
        <v>-131</v>
      </c>
      <c r="AQ1200">
        <v>-178</v>
      </c>
      <c r="AR1200">
        <v>64</v>
      </c>
      <c r="AZ1200">
        <v>4516</v>
      </c>
      <c r="BA1200">
        <v>1</v>
      </c>
      <c r="BB1200" t="str">
        <f t="shared" si="120"/>
        <v xml:space="preserve">N79NX   </v>
      </c>
      <c r="BC1200">
        <v>1</v>
      </c>
      <c r="BE1200">
        <v>0</v>
      </c>
      <c r="BF1200">
        <v>0</v>
      </c>
      <c r="BG1200">
        <v>0</v>
      </c>
      <c r="BH1200">
        <v>3275</v>
      </c>
      <c r="BI1200">
        <v>0</v>
      </c>
      <c r="BJ1200">
        <v>0</v>
      </c>
      <c r="BK1200">
        <v>0</v>
      </c>
      <c r="BL1200">
        <v>0</v>
      </c>
      <c r="BO1200">
        <v>0</v>
      </c>
      <c r="BP1200">
        <v>0</v>
      </c>
      <c r="BW1200" t="str">
        <f>"18:42:14.411"</f>
        <v>18:42:14.411</v>
      </c>
      <c r="BZ1200">
        <v>0</v>
      </c>
      <c r="CA1200">
        <v>4096</v>
      </c>
      <c r="CB1200">
        <v>216</v>
      </c>
      <c r="CC1200">
        <v>403.59379999999999</v>
      </c>
      <c r="CD1200">
        <v>1</v>
      </c>
      <c r="CE1200">
        <v>1</v>
      </c>
      <c r="CF1200">
        <v>0</v>
      </c>
      <c r="CG1200">
        <v>1</v>
      </c>
      <c r="CH1200">
        <v>0</v>
      </c>
      <c r="CI1200">
        <v>1</v>
      </c>
      <c r="CJ1200">
        <v>0</v>
      </c>
      <c r="CK1200">
        <v>2</v>
      </c>
      <c r="CL1200">
        <v>0</v>
      </c>
      <c r="CM1200">
        <v>2</v>
      </c>
      <c r="CN1200">
        <v>0</v>
      </c>
      <c r="CO1200">
        <v>2</v>
      </c>
      <c r="CP1200" t="s">
        <v>119</v>
      </c>
      <c r="CQ1200">
        <v>145</v>
      </c>
      <c r="CR1200">
        <v>1</v>
      </c>
      <c r="CW1200">
        <v>9038209</v>
      </c>
      <c r="CY1200">
        <v>0</v>
      </c>
      <c r="CZ1200">
        <v>0</v>
      </c>
      <c r="DA1200">
        <v>1</v>
      </c>
      <c r="DB1200">
        <v>0</v>
      </c>
      <c r="DC1200">
        <v>0</v>
      </c>
      <c r="DD1200">
        <v>0</v>
      </c>
      <c r="DE1200">
        <v>0</v>
      </c>
      <c r="DF1200">
        <v>0</v>
      </c>
      <c r="DG1200">
        <v>0</v>
      </c>
      <c r="DH1200">
        <v>0</v>
      </c>
      <c r="DI1200">
        <v>0</v>
      </c>
    </row>
    <row r="1201" spans="1:113" x14ac:dyDescent="0.3">
      <c r="A1201" t="str">
        <f>"02/13/2022 18:42:16.095"</f>
        <v>02/13/2022 18:42:16.095</v>
      </c>
      <c r="C1201" t="str">
        <f t="shared" si="119"/>
        <v>FFDFD7C0</v>
      </c>
      <c r="D1201" t="s">
        <v>113</v>
      </c>
      <c r="E1201">
        <v>3</v>
      </c>
      <c r="F1201">
        <v>1003</v>
      </c>
      <c r="G1201" t="s">
        <v>114</v>
      </c>
      <c r="J1201" t="s">
        <v>115</v>
      </c>
      <c r="K1201">
        <v>0</v>
      </c>
      <c r="L1201">
        <v>3</v>
      </c>
      <c r="M1201">
        <v>0</v>
      </c>
      <c r="N1201">
        <v>2</v>
      </c>
      <c r="O1201">
        <v>1</v>
      </c>
      <c r="P1201">
        <v>0</v>
      </c>
      <c r="Q1201">
        <v>0</v>
      </c>
      <c r="S1201" t="str">
        <f>"18:42:15.867"</f>
        <v>18:42:15.867</v>
      </c>
      <c r="T1201" t="str">
        <f>"18:42:15.467"</f>
        <v>18:42:15.467</v>
      </c>
      <c r="U1201" t="str">
        <f t="shared" si="118"/>
        <v>AAB6EE</v>
      </c>
      <c r="V1201">
        <v>0</v>
      </c>
      <c r="W1201">
        <v>0</v>
      </c>
      <c r="X1201">
        <v>4</v>
      </c>
      <c r="Z1201">
        <v>0</v>
      </c>
      <c r="AA1201">
        <v>8</v>
      </c>
      <c r="AB1201">
        <v>3</v>
      </c>
      <c r="AC1201">
        <v>0</v>
      </c>
      <c r="AD1201">
        <v>10</v>
      </c>
      <c r="AE1201">
        <v>0</v>
      </c>
      <c r="AF1201">
        <v>0</v>
      </c>
      <c r="AG1201">
        <v>1</v>
      </c>
      <c r="AH1201">
        <v>1</v>
      </c>
      <c r="AI1201" t="s">
        <v>923</v>
      </c>
      <c r="AJ1201">
        <v>35.252809999999997</v>
      </c>
      <c r="AK1201" t="s">
        <v>924</v>
      </c>
      <c r="AL1201">
        <v>-76.249730999999997</v>
      </c>
      <c r="AM1201">
        <v>25</v>
      </c>
      <c r="AN1201">
        <v>3425</v>
      </c>
      <c r="AO1201" t="s">
        <v>118</v>
      </c>
      <c r="AP1201">
        <v>-130</v>
      </c>
      <c r="AQ1201">
        <v>-179</v>
      </c>
      <c r="AR1201">
        <v>0</v>
      </c>
      <c r="AZ1201">
        <v>4516</v>
      </c>
      <c r="BA1201">
        <v>1</v>
      </c>
      <c r="BB1201" t="str">
        <f t="shared" si="120"/>
        <v xml:space="preserve">N79NX   </v>
      </c>
      <c r="BC1201">
        <v>1</v>
      </c>
      <c r="BE1201">
        <v>0</v>
      </c>
      <c r="BF1201">
        <v>0</v>
      </c>
      <c r="BG1201">
        <v>0</v>
      </c>
      <c r="BH1201">
        <v>3275</v>
      </c>
      <c r="BI1201">
        <v>0</v>
      </c>
      <c r="BJ1201">
        <v>0</v>
      </c>
      <c r="BK1201">
        <v>0</v>
      </c>
      <c r="BL1201">
        <v>0</v>
      </c>
      <c r="BO1201">
        <v>0</v>
      </c>
      <c r="BP1201">
        <v>0</v>
      </c>
      <c r="BW1201" t="str">
        <f>"18:42:15.871"</f>
        <v>18:42:15.871</v>
      </c>
      <c r="BZ1201">
        <v>0</v>
      </c>
      <c r="CA1201">
        <v>4096</v>
      </c>
      <c r="CB1201">
        <v>216</v>
      </c>
      <c r="CC1201">
        <v>403.59379999999999</v>
      </c>
      <c r="CD1201">
        <v>1</v>
      </c>
      <c r="CE1201">
        <v>1</v>
      </c>
      <c r="CF1201">
        <v>0</v>
      </c>
      <c r="CG1201">
        <v>1</v>
      </c>
      <c r="CH1201">
        <v>0</v>
      </c>
      <c r="CI1201">
        <v>1</v>
      </c>
      <c r="CJ1201">
        <v>0</v>
      </c>
      <c r="CK1201">
        <v>2</v>
      </c>
      <c r="CL1201">
        <v>0</v>
      </c>
      <c r="CM1201">
        <v>2</v>
      </c>
      <c r="CN1201">
        <v>0</v>
      </c>
      <c r="CO1201">
        <v>1</v>
      </c>
      <c r="CP1201" t="s">
        <v>119</v>
      </c>
      <c r="CQ1201">
        <v>145</v>
      </c>
      <c r="CR1201">
        <v>1</v>
      </c>
      <c r="CW1201">
        <v>9038932</v>
      </c>
      <c r="CY1201">
        <v>0</v>
      </c>
      <c r="CZ1201">
        <v>0</v>
      </c>
      <c r="DA1201">
        <v>0</v>
      </c>
      <c r="DB1201">
        <v>0</v>
      </c>
      <c r="DC1201">
        <v>0</v>
      </c>
      <c r="DD1201">
        <v>0</v>
      </c>
      <c r="DE1201">
        <v>0</v>
      </c>
      <c r="DF1201">
        <v>0</v>
      </c>
      <c r="DG1201">
        <v>0</v>
      </c>
      <c r="DH1201">
        <v>0</v>
      </c>
      <c r="DI1201">
        <v>0</v>
      </c>
    </row>
    <row r="1202" spans="1:113" x14ac:dyDescent="0.3">
      <c r="A1202" t="str">
        <f>"02/13/2022 18:42:16.095"</f>
        <v>02/13/2022 18:42:16.095</v>
      </c>
      <c r="C1202" t="str">
        <f t="shared" si="119"/>
        <v>FFDFD7C0</v>
      </c>
      <c r="D1202" t="s">
        <v>113</v>
      </c>
      <c r="E1202">
        <v>4</v>
      </c>
      <c r="F1202">
        <v>1004</v>
      </c>
      <c r="G1202" t="s">
        <v>120</v>
      </c>
      <c r="J1202" t="s">
        <v>115</v>
      </c>
      <c r="K1202">
        <v>0</v>
      </c>
      <c r="L1202">
        <v>3</v>
      </c>
      <c r="M1202">
        <v>0</v>
      </c>
      <c r="N1202">
        <v>2</v>
      </c>
      <c r="O1202">
        <v>1</v>
      </c>
      <c r="P1202">
        <v>0</v>
      </c>
      <c r="Q1202">
        <v>0</v>
      </c>
      <c r="S1202" t="str">
        <f>"18:42:15.867"</f>
        <v>18:42:15.867</v>
      </c>
      <c r="T1202" t="str">
        <f>"18:42:15.467"</f>
        <v>18:42:15.467</v>
      </c>
      <c r="U1202" t="str">
        <f t="shared" si="118"/>
        <v>AAB6EE</v>
      </c>
      <c r="V1202">
        <v>0</v>
      </c>
      <c r="W1202">
        <v>0</v>
      </c>
      <c r="X1202">
        <v>4</v>
      </c>
      <c r="Z1202">
        <v>0</v>
      </c>
      <c r="AA1202">
        <v>8</v>
      </c>
      <c r="AB1202">
        <v>3</v>
      </c>
      <c r="AC1202">
        <v>0</v>
      </c>
      <c r="AD1202">
        <v>10</v>
      </c>
      <c r="AE1202">
        <v>0</v>
      </c>
      <c r="AF1202">
        <v>0</v>
      </c>
      <c r="AG1202">
        <v>1</v>
      </c>
      <c r="AH1202">
        <v>1</v>
      </c>
      <c r="AI1202" t="s">
        <v>923</v>
      </c>
      <c r="AJ1202">
        <v>35.252809999999997</v>
      </c>
      <c r="AK1202" t="s">
        <v>924</v>
      </c>
      <c r="AL1202">
        <v>-76.249730999999997</v>
      </c>
      <c r="AM1202">
        <v>25</v>
      </c>
      <c r="AN1202">
        <v>3425</v>
      </c>
      <c r="AO1202" t="s">
        <v>118</v>
      </c>
      <c r="AP1202">
        <v>-130</v>
      </c>
      <c r="AQ1202">
        <v>-179</v>
      </c>
      <c r="AR1202">
        <v>0</v>
      </c>
      <c r="AZ1202">
        <v>4516</v>
      </c>
      <c r="BA1202">
        <v>1</v>
      </c>
      <c r="BB1202" t="str">
        <f t="shared" si="120"/>
        <v xml:space="preserve">N79NX   </v>
      </c>
      <c r="BC1202">
        <v>1</v>
      </c>
      <c r="BE1202">
        <v>0</v>
      </c>
      <c r="BF1202">
        <v>0</v>
      </c>
      <c r="BG1202">
        <v>0</v>
      </c>
      <c r="BH1202">
        <v>3275</v>
      </c>
      <c r="BI1202">
        <v>0</v>
      </c>
      <c r="BJ1202">
        <v>0</v>
      </c>
      <c r="BK1202">
        <v>0</v>
      </c>
      <c r="BL1202">
        <v>0</v>
      </c>
      <c r="BO1202">
        <v>0</v>
      </c>
      <c r="BP1202">
        <v>0</v>
      </c>
      <c r="BW1202" t="str">
        <f>"18:42:15.871"</f>
        <v>18:42:15.871</v>
      </c>
      <c r="BZ1202">
        <v>0</v>
      </c>
      <c r="CA1202">
        <v>4096</v>
      </c>
      <c r="CB1202">
        <v>216</v>
      </c>
      <c r="CC1202">
        <v>403.59379999999999</v>
      </c>
      <c r="CD1202">
        <v>1</v>
      </c>
      <c r="CE1202">
        <v>1</v>
      </c>
      <c r="CF1202">
        <v>0</v>
      </c>
      <c r="CG1202">
        <v>1</v>
      </c>
      <c r="CH1202">
        <v>0</v>
      </c>
      <c r="CI1202">
        <v>1</v>
      </c>
      <c r="CJ1202">
        <v>0</v>
      </c>
      <c r="CK1202">
        <v>2</v>
      </c>
      <c r="CL1202">
        <v>0</v>
      </c>
      <c r="CM1202">
        <v>2</v>
      </c>
      <c r="CN1202">
        <v>0</v>
      </c>
      <c r="CO1202">
        <v>1</v>
      </c>
      <c r="CP1202" t="s">
        <v>119</v>
      </c>
      <c r="CQ1202">
        <v>145</v>
      </c>
      <c r="CR1202">
        <v>1</v>
      </c>
      <c r="CW1202">
        <v>9038932</v>
      </c>
      <c r="CY1202">
        <v>0</v>
      </c>
      <c r="CZ1202">
        <v>0</v>
      </c>
      <c r="DA1202">
        <v>1</v>
      </c>
      <c r="DB1202">
        <v>0</v>
      </c>
      <c r="DC1202">
        <v>0</v>
      </c>
      <c r="DD1202">
        <v>0</v>
      </c>
      <c r="DE1202">
        <v>0</v>
      </c>
      <c r="DF1202">
        <v>0</v>
      </c>
      <c r="DG1202">
        <v>0</v>
      </c>
      <c r="DH1202">
        <v>0</v>
      </c>
      <c r="DI1202">
        <v>0</v>
      </c>
    </row>
    <row r="1203" spans="1:113" x14ac:dyDescent="0.3">
      <c r="A1203" t="str">
        <f>"02/13/2022 18:42:16.095"</f>
        <v>02/13/2022 18:42:16.095</v>
      </c>
      <c r="C1203" t="str">
        <f t="shared" si="119"/>
        <v>FFDFD7C0</v>
      </c>
      <c r="D1203" t="s">
        <v>121</v>
      </c>
      <c r="E1203">
        <v>2</v>
      </c>
      <c r="H1203">
        <v>158</v>
      </c>
      <c r="I1203" t="s">
        <v>120</v>
      </c>
      <c r="J1203" t="s">
        <v>122</v>
      </c>
      <c r="K1203">
        <v>0</v>
      </c>
      <c r="L1203">
        <v>3</v>
      </c>
      <c r="M1203">
        <v>0</v>
      </c>
      <c r="N1203">
        <v>2</v>
      </c>
      <c r="O1203">
        <v>1</v>
      </c>
      <c r="P1203">
        <v>0</v>
      </c>
      <c r="Q1203">
        <v>0</v>
      </c>
      <c r="S1203" t="str">
        <f>"18:42:15.867"</f>
        <v>18:42:15.867</v>
      </c>
      <c r="T1203" t="str">
        <f>"18:42:15.467"</f>
        <v>18:42:15.467</v>
      </c>
      <c r="U1203" t="str">
        <f t="shared" si="118"/>
        <v>AAB6EE</v>
      </c>
      <c r="V1203">
        <v>0</v>
      </c>
      <c r="W1203">
        <v>0</v>
      </c>
      <c r="X1203">
        <v>4</v>
      </c>
      <c r="Z1203">
        <v>0</v>
      </c>
      <c r="AA1203">
        <v>8</v>
      </c>
      <c r="AB1203">
        <v>3</v>
      </c>
      <c r="AC1203">
        <v>0</v>
      </c>
      <c r="AD1203">
        <v>10</v>
      </c>
      <c r="AE1203">
        <v>0</v>
      </c>
      <c r="AF1203">
        <v>0</v>
      </c>
      <c r="AG1203">
        <v>1</v>
      </c>
      <c r="AH1203">
        <v>1</v>
      </c>
      <c r="AI1203" t="s">
        <v>923</v>
      </c>
      <c r="AJ1203">
        <v>35.252809999999997</v>
      </c>
      <c r="AK1203" t="s">
        <v>924</v>
      </c>
      <c r="AL1203">
        <v>-76.249730999999997</v>
      </c>
      <c r="AM1203">
        <v>25</v>
      </c>
      <c r="AN1203">
        <v>3425</v>
      </c>
      <c r="AO1203" t="s">
        <v>118</v>
      </c>
      <c r="AP1203">
        <v>-130</v>
      </c>
      <c r="AQ1203">
        <v>-179</v>
      </c>
      <c r="AR1203">
        <v>0</v>
      </c>
      <c r="AZ1203">
        <v>4516</v>
      </c>
      <c r="BA1203">
        <v>1</v>
      </c>
      <c r="BB1203" t="str">
        <f t="shared" si="120"/>
        <v xml:space="preserve">N79NX   </v>
      </c>
      <c r="BC1203">
        <v>1</v>
      </c>
      <c r="BE1203">
        <v>0</v>
      </c>
      <c r="BF1203">
        <v>0</v>
      </c>
      <c r="BG1203">
        <v>0</v>
      </c>
      <c r="BH1203">
        <v>3275</v>
      </c>
      <c r="BI1203">
        <v>0</v>
      </c>
      <c r="BJ1203">
        <v>0</v>
      </c>
      <c r="BK1203">
        <v>0</v>
      </c>
      <c r="BL1203">
        <v>0</v>
      </c>
      <c r="BO1203">
        <v>0</v>
      </c>
      <c r="BP1203">
        <v>0</v>
      </c>
      <c r="BW1203" t="str">
        <f>"18:42:15.871"</f>
        <v>18:42:15.871</v>
      </c>
      <c r="BZ1203">
        <v>0</v>
      </c>
      <c r="CA1203">
        <v>4096</v>
      </c>
      <c r="CB1203">
        <v>216</v>
      </c>
      <c r="CC1203">
        <v>403.59379999999999</v>
      </c>
      <c r="CD1203">
        <v>1</v>
      </c>
      <c r="CE1203">
        <v>1</v>
      </c>
      <c r="CF1203">
        <v>0</v>
      </c>
      <c r="CG1203">
        <v>1</v>
      </c>
      <c r="CH1203">
        <v>0</v>
      </c>
      <c r="CI1203">
        <v>1</v>
      </c>
      <c r="CJ1203">
        <v>0</v>
      </c>
      <c r="CK1203">
        <v>2</v>
      </c>
      <c r="CL1203">
        <v>0</v>
      </c>
      <c r="CM1203">
        <v>2</v>
      </c>
      <c r="CN1203">
        <v>0</v>
      </c>
      <c r="CO1203">
        <v>1</v>
      </c>
      <c r="CP1203" t="s">
        <v>119</v>
      </c>
      <c r="CQ1203">
        <v>145</v>
      </c>
      <c r="CR1203">
        <v>1</v>
      </c>
      <c r="CW1203">
        <v>9038932</v>
      </c>
      <c r="CY1203">
        <v>0</v>
      </c>
      <c r="CZ1203">
        <v>0</v>
      </c>
      <c r="DA1203">
        <v>1</v>
      </c>
      <c r="DB1203">
        <v>0</v>
      </c>
      <c r="DC1203">
        <v>0</v>
      </c>
      <c r="DD1203">
        <v>0</v>
      </c>
      <c r="DE1203">
        <v>0</v>
      </c>
      <c r="DF1203">
        <v>0</v>
      </c>
      <c r="DG1203">
        <v>0</v>
      </c>
      <c r="DH1203">
        <v>0</v>
      </c>
      <c r="DI1203">
        <v>0</v>
      </c>
    </row>
    <row r="1204" spans="1:113" x14ac:dyDescent="0.3">
      <c r="A1204" t="str">
        <f>"02/13/2022 18:42:17.001"</f>
        <v>02/13/2022 18:42:17.001</v>
      </c>
      <c r="C1204" t="str">
        <f t="shared" si="119"/>
        <v>FFDFD7C0</v>
      </c>
      <c r="D1204" t="s">
        <v>113</v>
      </c>
      <c r="E1204">
        <v>3</v>
      </c>
      <c r="F1204">
        <v>1003</v>
      </c>
      <c r="G1204" t="s">
        <v>114</v>
      </c>
      <c r="J1204" t="s">
        <v>115</v>
      </c>
      <c r="K1204">
        <v>0</v>
      </c>
      <c r="L1204">
        <v>3</v>
      </c>
      <c r="M1204">
        <v>0</v>
      </c>
      <c r="N1204">
        <v>2</v>
      </c>
      <c r="O1204">
        <v>1</v>
      </c>
      <c r="P1204">
        <v>0</v>
      </c>
      <c r="Q1204">
        <v>0</v>
      </c>
      <c r="S1204" t="str">
        <f>"18:42:16.781"</f>
        <v>18:42:16.781</v>
      </c>
      <c r="T1204" t="str">
        <f>"18:42:16.381"</f>
        <v>18:42:16.381</v>
      </c>
      <c r="U1204" t="str">
        <f t="shared" si="118"/>
        <v>AAB6EE</v>
      </c>
      <c r="V1204">
        <v>0</v>
      </c>
      <c r="W1204">
        <v>0</v>
      </c>
      <c r="X1204">
        <v>4</v>
      </c>
      <c r="Z1204">
        <v>0</v>
      </c>
      <c r="AA1204">
        <v>8</v>
      </c>
      <c r="AB1204">
        <v>3</v>
      </c>
      <c r="AC1204">
        <v>0</v>
      </c>
      <c r="AD1204">
        <v>10</v>
      </c>
      <c r="AE1204">
        <v>0</v>
      </c>
      <c r="AF1204">
        <v>0</v>
      </c>
      <c r="AG1204">
        <v>1</v>
      </c>
      <c r="AH1204">
        <v>1</v>
      </c>
      <c r="AI1204" t="s">
        <v>925</v>
      </c>
      <c r="AJ1204">
        <v>35.252059000000003</v>
      </c>
      <c r="AK1204" t="s">
        <v>926</v>
      </c>
      <c r="AL1204">
        <v>-76.250373999999994</v>
      </c>
      <c r="AM1204">
        <v>25</v>
      </c>
      <c r="AN1204">
        <v>3425</v>
      </c>
      <c r="AO1204" t="s">
        <v>118</v>
      </c>
      <c r="AP1204">
        <v>-130</v>
      </c>
      <c r="AQ1204">
        <v>-180</v>
      </c>
      <c r="AR1204">
        <v>0</v>
      </c>
      <c r="AZ1204">
        <v>4516</v>
      </c>
      <c r="BA1204">
        <v>1</v>
      </c>
      <c r="BB1204" t="str">
        <f t="shared" si="120"/>
        <v xml:space="preserve">N79NX   </v>
      </c>
      <c r="BC1204">
        <v>1</v>
      </c>
      <c r="BE1204">
        <v>0</v>
      </c>
      <c r="BF1204">
        <v>0</v>
      </c>
      <c r="BG1204">
        <v>0</v>
      </c>
      <c r="BH1204">
        <v>3275</v>
      </c>
      <c r="BI1204">
        <v>0</v>
      </c>
      <c r="BJ1204">
        <v>0</v>
      </c>
      <c r="BK1204">
        <v>0</v>
      </c>
      <c r="BL1204">
        <v>0</v>
      </c>
      <c r="BO1204">
        <v>0</v>
      </c>
      <c r="BP1204">
        <v>0</v>
      </c>
      <c r="BW1204" t="str">
        <f>"18:42:16.781"</f>
        <v>18:42:16.781</v>
      </c>
      <c r="BZ1204">
        <v>0</v>
      </c>
      <c r="CA1204">
        <v>4096</v>
      </c>
      <c r="CB1204">
        <v>216</v>
      </c>
      <c r="CC1204">
        <v>403.59379999999999</v>
      </c>
      <c r="CD1204">
        <v>1</v>
      </c>
      <c r="CE1204">
        <v>1</v>
      </c>
      <c r="CF1204">
        <v>0</v>
      </c>
      <c r="CG1204">
        <v>1</v>
      </c>
      <c r="CH1204">
        <v>0</v>
      </c>
      <c r="CI1204">
        <v>1</v>
      </c>
      <c r="CJ1204">
        <v>0</v>
      </c>
      <c r="CK1204">
        <v>2</v>
      </c>
      <c r="CL1204">
        <v>0</v>
      </c>
      <c r="CM1204">
        <v>2</v>
      </c>
      <c r="CN1204">
        <v>0</v>
      </c>
      <c r="CO1204">
        <v>2</v>
      </c>
      <c r="CP1204" t="s">
        <v>119</v>
      </c>
      <c r="CQ1204">
        <v>145</v>
      </c>
      <c r="CR1204">
        <v>1</v>
      </c>
      <c r="CW1204">
        <v>9039368</v>
      </c>
      <c r="CY1204">
        <v>0</v>
      </c>
      <c r="CZ1204">
        <v>0</v>
      </c>
      <c r="DA1204">
        <v>0</v>
      </c>
      <c r="DB1204">
        <v>0</v>
      </c>
      <c r="DC1204">
        <v>0</v>
      </c>
      <c r="DD1204">
        <v>0</v>
      </c>
      <c r="DE1204">
        <v>0</v>
      </c>
      <c r="DF1204">
        <v>0</v>
      </c>
      <c r="DG1204">
        <v>0</v>
      </c>
      <c r="DH1204">
        <v>0</v>
      </c>
      <c r="DI1204">
        <v>0</v>
      </c>
    </row>
    <row r="1205" spans="1:113" x14ac:dyDescent="0.3">
      <c r="A1205" t="str">
        <f>"02/13/2022 18:42:17.001"</f>
        <v>02/13/2022 18:42:17.001</v>
      </c>
      <c r="C1205" t="str">
        <f t="shared" si="119"/>
        <v>FFDFD7C0</v>
      </c>
      <c r="D1205" t="s">
        <v>113</v>
      </c>
      <c r="E1205">
        <v>4</v>
      </c>
      <c r="F1205">
        <v>1004</v>
      </c>
      <c r="G1205" t="s">
        <v>120</v>
      </c>
      <c r="J1205" t="s">
        <v>115</v>
      </c>
      <c r="K1205">
        <v>0</v>
      </c>
      <c r="L1205">
        <v>3</v>
      </c>
      <c r="M1205">
        <v>0</v>
      </c>
      <c r="N1205">
        <v>2</v>
      </c>
      <c r="O1205">
        <v>1</v>
      </c>
      <c r="P1205">
        <v>0</v>
      </c>
      <c r="Q1205">
        <v>0</v>
      </c>
      <c r="S1205" t="str">
        <f>"18:42:16.781"</f>
        <v>18:42:16.781</v>
      </c>
      <c r="T1205" t="str">
        <f>"18:42:16.381"</f>
        <v>18:42:16.381</v>
      </c>
      <c r="U1205" t="str">
        <f t="shared" si="118"/>
        <v>AAB6EE</v>
      </c>
      <c r="V1205">
        <v>0</v>
      </c>
      <c r="W1205">
        <v>0</v>
      </c>
      <c r="X1205">
        <v>4</v>
      </c>
      <c r="Z1205">
        <v>0</v>
      </c>
      <c r="AA1205">
        <v>8</v>
      </c>
      <c r="AB1205">
        <v>3</v>
      </c>
      <c r="AC1205">
        <v>0</v>
      </c>
      <c r="AD1205">
        <v>10</v>
      </c>
      <c r="AE1205">
        <v>0</v>
      </c>
      <c r="AF1205">
        <v>0</v>
      </c>
      <c r="AG1205">
        <v>1</v>
      </c>
      <c r="AH1205">
        <v>1</v>
      </c>
      <c r="AI1205" t="s">
        <v>925</v>
      </c>
      <c r="AJ1205">
        <v>35.252059000000003</v>
      </c>
      <c r="AK1205" t="s">
        <v>926</v>
      </c>
      <c r="AL1205">
        <v>-76.250373999999994</v>
      </c>
      <c r="AM1205">
        <v>25</v>
      </c>
      <c r="AN1205">
        <v>3425</v>
      </c>
      <c r="AO1205" t="s">
        <v>118</v>
      </c>
      <c r="AP1205">
        <v>-130</v>
      </c>
      <c r="AQ1205">
        <v>-180</v>
      </c>
      <c r="AR1205">
        <v>0</v>
      </c>
      <c r="AZ1205">
        <v>4516</v>
      </c>
      <c r="BA1205">
        <v>1</v>
      </c>
      <c r="BB1205" t="str">
        <f t="shared" si="120"/>
        <v xml:space="preserve">N79NX   </v>
      </c>
      <c r="BC1205">
        <v>1</v>
      </c>
      <c r="BE1205">
        <v>0</v>
      </c>
      <c r="BF1205">
        <v>0</v>
      </c>
      <c r="BG1205">
        <v>0</v>
      </c>
      <c r="BH1205">
        <v>3275</v>
      </c>
      <c r="BI1205">
        <v>0</v>
      </c>
      <c r="BJ1205">
        <v>0</v>
      </c>
      <c r="BK1205">
        <v>0</v>
      </c>
      <c r="BL1205">
        <v>0</v>
      </c>
      <c r="BO1205">
        <v>0</v>
      </c>
      <c r="BP1205">
        <v>0</v>
      </c>
      <c r="BW1205" t="str">
        <f>"18:42:16.781"</f>
        <v>18:42:16.781</v>
      </c>
      <c r="BZ1205">
        <v>0</v>
      </c>
      <c r="CA1205">
        <v>4096</v>
      </c>
      <c r="CB1205">
        <v>216</v>
      </c>
      <c r="CC1205">
        <v>403.59379999999999</v>
      </c>
      <c r="CD1205">
        <v>1</v>
      </c>
      <c r="CE1205">
        <v>1</v>
      </c>
      <c r="CF1205">
        <v>0</v>
      </c>
      <c r="CG1205">
        <v>1</v>
      </c>
      <c r="CH1205">
        <v>0</v>
      </c>
      <c r="CI1205">
        <v>1</v>
      </c>
      <c r="CJ1205">
        <v>0</v>
      </c>
      <c r="CK1205">
        <v>2</v>
      </c>
      <c r="CL1205">
        <v>0</v>
      </c>
      <c r="CM1205">
        <v>2</v>
      </c>
      <c r="CN1205">
        <v>0</v>
      </c>
      <c r="CO1205">
        <v>2</v>
      </c>
      <c r="CP1205" t="s">
        <v>119</v>
      </c>
      <c r="CQ1205">
        <v>145</v>
      </c>
      <c r="CR1205">
        <v>1</v>
      </c>
      <c r="CW1205">
        <v>9039368</v>
      </c>
      <c r="CY1205">
        <v>0</v>
      </c>
      <c r="CZ1205">
        <v>0</v>
      </c>
      <c r="DA1205">
        <v>1</v>
      </c>
      <c r="DB1205">
        <v>0</v>
      </c>
      <c r="DC1205">
        <v>0</v>
      </c>
      <c r="DD1205">
        <v>0</v>
      </c>
      <c r="DE1205">
        <v>0</v>
      </c>
      <c r="DF1205">
        <v>0</v>
      </c>
      <c r="DG1205">
        <v>0</v>
      </c>
      <c r="DH1205">
        <v>0</v>
      </c>
      <c r="DI1205">
        <v>0</v>
      </c>
    </row>
    <row r="1206" spans="1:113" x14ac:dyDescent="0.3">
      <c r="A1206" t="str">
        <f>"02/13/2022 18:42:17.001"</f>
        <v>02/13/2022 18:42:17.001</v>
      </c>
      <c r="C1206" t="str">
        <f t="shared" si="119"/>
        <v>FFDFD7C0</v>
      </c>
      <c r="D1206" t="s">
        <v>121</v>
      </c>
      <c r="E1206">
        <v>2</v>
      </c>
      <c r="H1206">
        <v>158</v>
      </c>
      <c r="I1206" t="s">
        <v>120</v>
      </c>
      <c r="J1206" t="s">
        <v>122</v>
      </c>
      <c r="K1206">
        <v>0</v>
      </c>
      <c r="L1206">
        <v>3</v>
      </c>
      <c r="M1206">
        <v>0</v>
      </c>
      <c r="N1206">
        <v>2</v>
      </c>
      <c r="O1206">
        <v>1</v>
      </c>
      <c r="P1206">
        <v>0</v>
      </c>
      <c r="Q1206">
        <v>0</v>
      </c>
      <c r="S1206" t="str">
        <f>"18:42:16.781"</f>
        <v>18:42:16.781</v>
      </c>
      <c r="T1206" t="str">
        <f>"18:42:16.381"</f>
        <v>18:42:16.381</v>
      </c>
      <c r="U1206" t="str">
        <f t="shared" si="118"/>
        <v>AAB6EE</v>
      </c>
      <c r="V1206">
        <v>0</v>
      </c>
      <c r="W1206">
        <v>0</v>
      </c>
      <c r="X1206">
        <v>4</v>
      </c>
      <c r="Z1206">
        <v>0</v>
      </c>
      <c r="AA1206">
        <v>8</v>
      </c>
      <c r="AB1206">
        <v>3</v>
      </c>
      <c r="AC1206">
        <v>0</v>
      </c>
      <c r="AD1206">
        <v>10</v>
      </c>
      <c r="AE1206">
        <v>0</v>
      </c>
      <c r="AF1206">
        <v>0</v>
      </c>
      <c r="AG1206">
        <v>1</v>
      </c>
      <c r="AH1206">
        <v>1</v>
      </c>
      <c r="AI1206" t="s">
        <v>925</v>
      </c>
      <c r="AJ1206">
        <v>35.252059000000003</v>
      </c>
      <c r="AK1206" t="s">
        <v>926</v>
      </c>
      <c r="AL1206">
        <v>-76.250373999999994</v>
      </c>
      <c r="AM1206">
        <v>25</v>
      </c>
      <c r="AN1206">
        <v>3425</v>
      </c>
      <c r="AO1206" t="s">
        <v>118</v>
      </c>
      <c r="AP1206">
        <v>-130</v>
      </c>
      <c r="AQ1206">
        <v>-180</v>
      </c>
      <c r="AR1206">
        <v>0</v>
      </c>
      <c r="AZ1206">
        <v>4516</v>
      </c>
      <c r="BA1206">
        <v>1</v>
      </c>
      <c r="BB1206" t="str">
        <f t="shared" si="120"/>
        <v xml:space="preserve">N79NX   </v>
      </c>
      <c r="BC1206">
        <v>1</v>
      </c>
      <c r="BE1206">
        <v>0</v>
      </c>
      <c r="BF1206">
        <v>0</v>
      </c>
      <c r="BG1206">
        <v>0</v>
      </c>
      <c r="BH1206">
        <v>3275</v>
      </c>
      <c r="BI1206">
        <v>0</v>
      </c>
      <c r="BJ1206">
        <v>0</v>
      </c>
      <c r="BK1206">
        <v>0</v>
      </c>
      <c r="BL1206">
        <v>0</v>
      </c>
      <c r="BO1206">
        <v>0</v>
      </c>
      <c r="BP1206">
        <v>0</v>
      </c>
      <c r="BW1206" t="str">
        <f>"18:42:16.781"</f>
        <v>18:42:16.781</v>
      </c>
      <c r="BZ1206">
        <v>0</v>
      </c>
      <c r="CA1206">
        <v>4096</v>
      </c>
      <c r="CB1206">
        <v>216</v>
      </c>
      <c r="CC1206">
        <v>403.59379999999999</v>
      </c>
      <c r="CD1206">
        <v>1</v>
      </c>
      <c r="CE1206">
        <v>1</v>
      </c>
      <c r="CF1206">
        <v>0</v>
      </c>
      <c r="CG1206">
        <v>1</v>
      </c>
      <c r="CH1206">
        <v>0</v>
      </c>
      <c r="CI1206">
        <v>1</v>
      </c>
      <c r="CJ1206">
        <v>0</v>
      </c>
      <c r="CK1206">
        <v>2</v>
      </c>
      <c r="CL1206">
        <v>0</v>
      </c>
      <c r="CM1206">
        <v>2</v>
      </c>
      <c r="CN1206">
        <v>0</v>
      </c>
      <c r="CO1206">
        <v>2</v>
      </c>
      <c r="CP1206" t="s">
        <v>119</v>
      </c>
      <c r="CQ1206">
        <v>145</v>
      </c>
      <c r="CR1206">
        <v>1</v>
      </c>
      <c r="CW1206">
        <v>9039368</v>
      </c>
      <c r="CY1206">
        <v>0</v>
      </c>
      <c r="CZ1206">
        <v>0</v>
      </c>
      <c r="DA1206">
        <v>1</v>
      </c>
      <c r="DB1206">
        <v>0</v>
      </c>
      <c r="DC1206">
        <v>0</v>
      </c>
      <c r="DD1206">
        <v>0</v>
      </c>
      <c r="DE1206">
        <v>0</v>
      </c>
      <c r="DF1206">
        <v>0</v>
      </c>
      <c r="DG1206">
        <v>0</v>
      </c>
      <c r="DH1206">
        <v>0</v>
      </c>
      <c r="DI1206">
        <v>0</v>
      </c>
    </row>
    <row r="1207" spans="1:113" x14ac:dyDescent="0.3">
      <c r="A1207" t="str">
        <f>"02/13/2022 18:42:18.548"</f>
        <v>02/13/2022 18:42:18.548</v>
      </c>
      <c r="C1207" t="str">
        <f t="shared" si="119"/>
        <v>FFDFD7C0</v>
      </c>
      <c r="D1207" t="s">
        <v>113</v>
      </c>
      <c r="E1207">
        <v>3</v>
      </c>
      <c r="F1207">
        <v>1003</v>
      </c>
      <c r="G1207" t="s">
        <v>114</v>
      </c>
      <c r="J1207" t="s">
        <v>115</v>
      </c>
      <c r="K1207">
        <v>0</v>
      </c>
      <c r="L1207">
        <v>3</v>
      </c>
      <c r="M1207">
        <v>0</v>
      </c>
      <c r="N1207">
        <v>2</v>
      </c>
      <c r="O1207">
        <v>1</v>
      </c>
      <c r="P1207">
        <v>0</v>
      </c>
      <c r="Q1207">
        <v>0</v>
      </c>
      <c r="S1207" t="str">
        <f>"18:42:18.320"</f>
        <v>18:42:18.320</v>
      </c>
      <c r="T1207" t="str">
        <f>"18:42:17.520"</f>
        <v>18:42:17.520</v>
      </c>
      <c r="U1207" t="str">
        <f t="shared" si="118"/>
        <v>AAB6EE</v>
      </c>
      <c r="V1207">
        <v>0</v>
      </c>
      <c r="W1207">
        <v>0</v>
      </c>
      <c r="X1207">
        <v>4</v>
      </c>
      <c r="Z1207">
        <v>0</v>
      </c>
      <c r="AA1207">
        <v>8</v>
      </c>
      <c r="AB1207">
        <v>3</v>
      </c>
      <c r="AC1207">
        <v>0</v>
      </c>
      <c r="AD1207">
        <v>10</v>
      </c>
      <c r="AE1207">
        <v>0</v>
      </c>
      <c r="AF1207">
        <v>0</v>
      </c>
      <c r="AG1207">
        <v>1</v>
      </c>
      <c r="AH1207">
        <v>1</v>
      </c>
      <c r="AI1207" t="s">
        <v>927</v>
      </c>
      <c r="AJ1207">
        <v>35.250684999999997</v>
      </c>
      <c r="AK1207" t="s">
        <v>928</v>
      </c>
      <c r="AL1207">
        <v>-76.251532999999995</v>
      </c>
      <c r="AM1207">
        <v>25</v>
      </c>
      <c r="AN1207">
        <v>3425</v>
      </c>
      <c r="AO1207" t="s">
        <v>118</v>
      </c>
      <c r="AP1207">
        <v>-129</v>
      </c>
      <c r="AQ1207">
        <v>-180</v>
      </c>
      <c r="AR1207">
        <v>0</v>
      </c>
      <c r="AZ1207">
        <v>4516</v>
      </c>
      <c r="BA1207">
        <v>1</v>
      </c>
      <c r="BB1207" t="str">
        <f t="shared" si="120"/>
        <v xml:space="preserve">N79NX   </v>
      </c>
      <c r="BC1207">
        <v>1</v>
      </c>
      <c r="BE1207">
        <v>0</v>
      </c>
      <c r="BF1207">
        <v>0</v>
      </c>
      <c r="BG1207">
        <v>0</v>
      </c>
      <c r="BH1207">
        <v>3275</v>
      </c>
      <c r="BI1207">
        <v>0</v>
      </c>
      <c r="BJ1207">
        <v>0</v>
      </c>
      <c r="BK1207">
        <v>0</v>
      </c>
      <c r="BL1207">
        <v>0</v>
      </c>
      <c r="BO1207">
        <v>0</v>
      </c>
      <c r="BP1207">
        <v>0</v>
      </c>
      <c r="BW1207" t="str">
        <f>"18:42:18.321"</f>
        <v>18:42:18.321</v>
      </c>
      <c r="BZ1207">
        <v>0</v>
      </c>
      <c r="CA1207">
        <v>4096</v>
      </c>
      <c r="CB1207">
        <v>216</v>
      </c>
      <c r="CC1207">
        <v>403.59379999999999</v>
      </c>
      <c r="CD1207">
        <v>1</v>
      </c>
      <c r="CE1207">
        <v>1</v>
      </c>
      <c r="CF1207">
        <v>0</v>
      </c>
      <c r="CG1207">
        <v>1</v>
      </c>
      <c r="CH1207">
        <v>0</v>
      </c>
      <c r="CI1207">
        <v>1</v>
      </c>
      <c r="CJ1207">
        <v>0</v>
      </c>
      <c r="CK1207">
        <v>2</v>
      </c>
      <c r="CL1207">
        <v>0</v>
      </c>
      <c r="CM1207">
        <v>2</v>
      </c>
      <c r="CN1207">
        <v>0</v>
      </c>
      <c r="CO1207">
        <v>2</v>
      </c>
      <c r="CP1207" t="s">
        <v>119</v>
      </c>
      <c r="CQ1207">
        <v>145</v>
      </c>
      <c r="CR1207">
        <v>1</v>
      </c>
      <c r="CW1207">
        <v>9040028</v>
      </c>
      <c r="CY1207">
        <v>0</v>
      </c>
      <c r="CZ1207">
        <v>0</v>
      </c>
      <c r="DA1207">
        <v>0</v>
      </c>
      <c r="DB1207">
        <v>0</v>
      </c>
      <c r="DC1207">
        <v>0</v>
      </c>
      <c r="DD1207">
        <v>0</v>
      </c>
      <c r="DE1207">
        <v>0</v>
      </c>
      <c r="DF1207">
        <v>0</v>
      </c>
      <c r="DG1207">
        <v>0</v>
      </c>
      <c r="DH1207">
        <v>0</v>
      </c>
      <c r="DI1207">
        <v>0</v>
      </c>
    </row>
    <row r="1208" spans="1:113" x14ac:dyDescent="0.3">
      <c r="A1208" t="str">
        <f>"02/13/2022 18:42:18.548"</f>
        <v>02/13/2022 18:42:18.548</v>
      </c>
      <c r="C1208" t="str">
        <f t="shared" si="119"/>
        <v>FFDFD7C0</v>
      </c>
      <c r="D1208" t="s">
        <v>113</v>
      </c>
      <c r="E1208">
        <v>4</v>
      </c>
      <c r="F1208">
        <v>1004</v>
      </c>
      <c r="G1208" t="s">
        <v>120</v>
      </c>
      <c r="J1208" t="s">
        <v>115</v>
      </c>
      <c r="K1208">
        <v>0</v>
      </c>
      <c r="L1208">
        <v>3</v>
      </c>
      <c r="M1208">
        <v>0</v>
      </c>
      <c r="N1208">
        <v>2</v>
      </c>
      <c r="O1208">
        <v>1</v>
      </c>
      <c r="P1208">
        <v>0</v>
      </c>
      <c r="Q1208">
        <v>0</v>
      </c>
      <c r="S1208" t="str">
        <f>"18:42:18.320"</f>
        <v>18:42:18.320</v>
      </c>
      <c r="T1208" t="str">
        <f>"18:42:17.520"</f>
        <v>18:42:17.520</v>
      </c>
      <c r="U1208" t="str">
        <f t="shared" si="118"/>
        <v>AAB6EE</v>
      </c>
      <c r="V1208">
        <v>0</v>
      </c>
      <c r="W1208">
        <v>0</v>
      </c>
      <c r="X1208">
        <v>4</v>
      </c>
      <c r="Z1208">
        <v>0</v>
      </c>
      <c r="AA1208">
        <v>8</v>
      </c>
      <c r="AB1208">
        <v>3</v>
      </c>
      <c r="AC1208">
        <v>0</v>
      </c>
      <c r="AD1208">
        <v>10</v>
      </c>
      <c r="AE1208">
        <v>0</v>
      </c>
      <c r="AF1208">
        <v>0</v>
      </c>
      <c r="AG1208">
        <v>1</v>
      </c>
      <c r="AH1208">
        <v>1</v>
      </c>
      <c r="AI1208" t="s">
        <v>927</v>
      </c>
      <c r="AJ1208">
        <v>35.250684999999997</v>
      </c>
      <c r="AK1208" t="s">
        <v>928</v>
      </c>
      <c r="AL1208">
        <v>-76.251532999999995</v>
      </c>
      <c r="AM1208">
        <v>25</v>
      </c>
      <c r="AN1208">
        <v>3425</v>
      </c>
      <c r="AO1208" t="s">
        <v>118</v>
      </c>
      <c r="AP1208">
        <v>-129</v>
      </c>
      <c r="AQ1208">
        <v>-180</v>
      </c>
      <c r="AR1208">
        <v>0</v>
      </c>
      <c r="AZ1208">
        <v>4516</v>
      </c>
      <c r="BA1208">
        <v>1</v>
      </c>
      <c r="BB1208" t="str">
        <f t="shared" si="120"/>
        <v xml:space="preserve">N79NX   </v>
      </c>
      <c r="BC1208">
        <v>1</v>
      </c>
      <c r="BE1208">
        <v>0</v>
      </c>
      <c r="BF1208">
        <v>0</v>
      </c>
      <c r="BG1208">
        <v>0</v>
      </c>
      <c r="BH1208">
        <v>3275</v>
      </c>
      <c r="BI1208">
        <v>0</v>
      </c>
      <c r="BJ1208">
        <v>0</v>
      </c>
      <c r="BK1208">
        <v>0</v>
      </c>
      <c r="BL1208">
        <v>0</v>
      </c>
      <c r="BO1208">
        <v>0</v>
      </c>
      <c r="BP1208">
        <v>0</v>
      </c>
      <c r="BW1208" t="str">
        <f>"18:42:18.321"</f>
        <v>18:42:18.321</v>
      </c>
      <c r="BZ1208">
        <v>0</v>
      </c>
      <c r="CA1208">
        <v>4096</v>
      </c>
      <c r="CB1208">
        <v>216</v>
      </c>
      <c r="CC1208">
        <v>403.59379999999999</v>
      </c>
      <c r="CD1208">
        <v>1</v>
      </c>
      <c r="CE1208">
        <v>1</v>
      </c>
      <c r="CF1208">
        <v>0</v>
      </c>
      <c r="CG1208">
        <v>1</v>
      </c>
      <c r="CH1208">
        <v>0</v>
      </c>
      <c r="CI1208">
        <v>1</v>
      </c>
      <c r="CJ1208">
        <v>0</v>
      </c>
      <c r="CK1208">
        <v>2</v>
      </c>
      <c r="CL1208">
        <v>0</v>
      </c>
      <c r="CM1208">
        <v>2</v>
      </c>
      <c r="CN1208">
        <v>0</v>
      </c>
      <c r="CO1208">
        <v>2</v>
      </c>
      <c r="CP1208" t="s">
        <v>119</v>
      </c>
      <c r="CQ1208">
        <v>145</v>
      </c>
      <c r="CR1208">
        <v>1</v>
      </c>
      <c r="CW1208">
        <v>9040028</v>
      </c>
      <c r="CY1208">
        <v>0</v>
      </c>
      <c r="CZ1208">
        <v>0</v>
      </c>
      <c r="DA1208">
        <v>1</v>
      </c>
      <c r="DB1208">
        <v>0</v>
      </c>
      <c r="DC1208">
        <v>0</v>
      </c>
      <c r="DD1208">
        <v>0</v>
      </c>
      <c r="DE1208">
        <v>0</v>
      </c>
      <c r="DF1208">
        <v>0</v>
      </c>
      <c r="DG1208">
        <v>0</v>
      </c>
      <c r="DH1208">
        <v>0</v>
      </c>
      <c r="DI1208">
        <v>0</v>
      </c>
    </row>
    <row r="1209" spans="1:113" x14ac:dyDescent="0.3">
      <c r="A1209" t="str">
        <f>"02/13/2022 18:42:18.580"</f>
        <v>02/13/2022 18:42:18.580</v>
      </c>
      <c r="C1209" t="str">
        <f t="shared" si="119"/>
        <v>FFDFD7C0</v>
      </c>
      <c r="D1209" t="s">
        <v>121</v>
      </c>
      <c r="E1209">
        <v>2</v>
      </c>
      <c r="H1209">
        <v>158</v>
      </c>
      <c r="I1209" t="s">
        <v>120</v>
      </c>
      <c r="J1209" t="s">
        <v>122</v>
      </c>
      <c r="K1209">
        <v>0</v>
      </c>
      <c r="L1209">
        <v>3</v>
      </c>
      <c r="M1209">
        <v>0</v>
      </c>
      <c r="N1209">
        <v>2</v>
      </c>
      <c r="O1209">
        <v>1</v>
      </c>
      <c r="P1209">
        <v>0</v>
      </c>
      <c r="Q1209">
        <v>0</v>
      </c>
      <c r="S1209" t="str">
        <f>"18:42:18.320"</f>
        <v>18:42:18.320</v>
      </c>
      <c r="T1209" t="str">
        <f>"18:42:17.520"</f>
        <v>18:42:17.520</v>
      </c>
      <c r="U1209" t="str">
        <f t="shared" si="118"/>
        <v>AAB6EE</v>
      </c>
      <c r="V1209">
        <v>0</v>
      </c>
      <c r="W1209">
        <v>0</v>
      </c>
      <c r="X1209">
        <v>4</v>
      </c>
      <c r="Z1209">
        <v>0</v>
      </c>
      <c r="AA1209">
        <v>8</v>
      </c>
      <c r="AB1209">
        <v>3</v>
      </c>
      <c r="AC1209">
        <v>0</v>
      </c>
      <c r="AD1209">
        <v>10</v>
      </c>
      <c r="AE1209">
        <v>0</v>
      </c>
      <c r="AF1209">
        <v>0</v>
      </c>
      <c r="AG1209">
        <v>1</v>
      </c>
      <c r="AH1209">
        <v>1</v>
      </c>
      <c r="AI1209" t="s">
        <v>927</v>
      </c>
      <c r="AJ1209">
        <v>35.250684999999997</v>
      </c>
      <c r="AK1209" t="s">
        <v>928</v>
      </c>
      <c r="AL1209">
        <v>-76.251532999999995</v>
      </c>
      <c r="AM1209">
        <v>25</v>
      </c>
      <c r="AN1209">
        <v>3425</v>
      </c>
      <c r="AO1209" t="s">
        <v>118</v>
      </c>
      <c r="AP1209">
        <v>-129</v>
      </c>
      <c r="AQ1209">
        <v>-180</v>
      </c>
      <c r="AR1209">
        <v>0</v>
      </c>
      <c r="AZ1209">
        <v>4516</v>
      </c>
      <c r="BA1209">
        <v>1</v>
      </c>
      <c r="BB1209" t="str">
        <f t="shared" si="120"/>
        <v xml:space="preserve">N79NX   </v>
      </c>
      <c r="BC1209">
        <v>1</v>
      </c>
      <c r="BE1209">
        <v>0</v>
      </c>
      <c r="BF1209">
        <v>0</v>
      </c>
      <c r="BG1209">
        <v>0</v>
      </c>
      <c r="BH1209">
        <v>3275</v>
      </c>
      <c r="BI1209">
        <v>0</v>
      </c>
      <c r="BJ1209">
        <v>0</v>
      </c>
      <c r="BK1209">
        <v>0</v>
      </c>
      <c r="BL1209">
        <v>0</v>
      </c>
      <c r="BO1209">
        <v>0</v>
      </c>
      <c r="BP1209">
        <v>0</v>
      </c>
      <c r="BW1209" t="str">
        <f>"18:42:18.321"</f>
        <v>18:42:18.321</v>
      </c>
      <c r="BZ1209">
        <v>0</v>
      </c>
      <c r="CA1209">
        <v>4096</v>
      </c>
      <c r="CB1209">
        <v>216</v>
      </c>
      <c r="CC1209">
        <v>403.59379999999999</v>
      </c>
      <c r="CD1209">
        <v>1</v>
      </c>
      <c r="CE1209">
        <v>1</v>
      </c>
      <c r="CF1209">
        <v>0</v>
      </c>
      <c r="CG1209">
        <v>1</v>
      </c>
      <c r="CH1209">
        <v>0</v>
      </c>
      <c r="CI1209">
        <v>1</v>
      </c>
      <c r="CJ1209">
        <v>0</v>
      </c>
      <c r="CK1209">
        <v>2</v>
      </c>
      <c r="CL1209">
        <v>0</v>
      </c>
      <c r="CM1209">
        <v>2</v>
      </c>
      <c r="CN1209">
        <v>0</v>
      </c>
      <c r="CO1209">
        <v>2</v>
      </c>
      <c r="CP1209" t="s">
        <v>119</v>
      </c>
      <c r="CQ1209">
        <v>145</v>
      </c>
      <c r="CR1209">
        <v>1</v>
      </c>
      <c r="CW1209">
        <v>9040028</v>
      </c>
      <c r="CY1209">
        <v>0</v>
      </c>
      <c r="CZ1209">
        <v>0</v>
      </c>
      <c r="DA1209">
        <v>1</v>
      </c>
      <c r="DB1209">
        <v>0</v>
      </c>
      <c r="DC1209">
        <v>0</v>
      </c>
      <c r="DD1209">
        <v>0</v>
      </c>
      <c r="DE1209">
        <v>0</v>
      </c>
      <c r="DF1209">
        <v>0</v>
      </c>
      <c r="DG1209">
        <v>0</v>
      </c>
      <c r="DH1209">
        <v>0</v>
      </c>
      <c r="DI1209">
        <v>0</v>
      </c>
    </row>
    <row r="1210" spans="1:113" x14ac:dyDescent="0.3">
      <c r="A1210" t="str">
        <f>"02/13/2022 18:42:19.503"</f>
        <v>02/13/2022 18:42:19.503</v>
      </c>
      <c r="C1210" t="str">
        <f t="shared" si="119"/>
        <v>FFDFD7C0</v>
      </c>
      <c r="D1210" t="s">
        <v>113</v>
      </c>
      <c r="E1210">
        <v>4</v>
      </c>
      <c r="F1210">
        <v>1004</v>
      </c>
      <c r="G1210" t="s">
        <v>120</v>
      </c>
      <c r="J1210" t="s">
        <v>115</v>
      </c>
      <c r="K1210">
        <v>0</v>
      </c>
      <c r="L1210">
        <v>3</v>
      </c>
      <c r="M1210">
        <v>0</v>
      </c>
      <c r="N1210">
        <v>2</v>
      </c>
      <c r="O1210">
        <v>1</v>
      </c>
      <c r="P1210">
        <v>0</v>
      </c>
      <c r="Q1210">
        <v>0</v>
      </c>
      <c r="S1210" t="str">
        <f>"18:42:19.250"</f>
        <v>18:42:19.250</v>
      </c>
      <c r="T1210" t="str">
        <f>"18:42:17.450"</f>
        <v>18:42:17.450</v>
      </c>
      <c r="U1210" t="str">
        <f t="shared" si="118"/>
        <v>AAB6EE</v>
      </c>
      <c r="V1210">
        <v>0</v>
      </c>
      <c r="W1210">
        <v>0</v>
      </c>
      <c r="X1210">
        <v>4</v>
      </c>
      <c r="Z1210">
        <v>0</v>
      </c>
      <c r="AA1210">
        <v>8</v>
      </c>
      <c r="AB1210">
        <v>3</v>
      </c>
      <c r="AC1210">
        <v>0</v>
      </c>
      <c r="AD1210">
        <v>10</v>
      </c>
      <c r="AE1210">
        <v>0</v>
      </c>
      <c r="AF1210">
        <v>0</v>
      </c>
      <c r="AG1210">
        <v>1</v>
      </c>
      <c r="AH1210">
        <v>1</v>
      </c>
      <c r="AI1210" t="s">
        <v>929</v>
      </c>
      <c r="AJ1210">
        <v>35.249955999999997</v>
      </c>
      <c r="AK1210" t="s">
        <v>930</v>
      </c>
      <c r="AL1210">
        <v>-76.252198000000007</v>
      </c>
      <c r="AM1210">
        <v>25</v>
      </c>
      <c r="AN1210">
        <v>3425</v>
      </c>
      <c r="AO1210" t="s">
        <v>118</v>
      </c>
      <c r="AP1210">
        <v>-129</v>
      </c>
      <c r="AQ1210">
        <v>-180</v>
      </c>
      <c r="AR1210">
        <v>0</v>
      </c>
      <c r="AZ1210">
        <v>4516</v>
      </c>
      <c r="BA1210">
        <v>1</v>
      </c>
      <c r="BB1210" t="str">
        <f t="shared" si="120"/>
        <v xml:space="preserve">N79NX   </v>
      </c>
      <c r="BC1210">
        <v>1</v>
      </c>
      <c r="BE1210">
        <v>0</v>
      </c>
      <c r="BF1210">
        <v>0</v>
      </c>
      <c r="BG1210">
        <v>0</v>
      </c>
      <c r="BH1210">
        <v>3275</v>
      </c>
      <c r="BI1210">
        <v>0</v>
      </c>
      <c r="BJ1210">
        <v>0</v>
      </c>
      <c r="BK1210">
        <v>0</v>
      </c>
      <c r="BL1210">
        <v>0</v>
      </c>
      <c r="BO1210">
        <v>0</v>
      </c>
      <c r="BP1210">
        <v>0</v>
      </c>
      <c r="BW1210" t="str">
        <f>"18:42:19.251"</f>
        <v>18:42:19.251</v>
      </c>
      <c r="BZ1210">
        <v>0</v>
      </c>
      <c r="CA1210">
        <v>4096</v>
      </c>
      <c r="CB1210">
        <v>216</v>
      </c>
      <c r="CC1210">
        <v>403.59379999999999</v>
      </c>
      <c r="CD1210">
        <v>1</v>
      </c>
      <c r="CE1210">
        <v>1</v>
      </c>
      <c r="CF1210">
        <v>0</v>
      </c>
      <c r="CG1210">
        <v>1</v>
      </c>
      <c r="CH1210">
        <v>0</v>
      </c>
      <c r="CI1210">
        <v>1</v>
      </c>
      <c r="CJ1210">
        <v>0</v>
      </c>
      <c r="CK1210">
        <v>2</v>
      </c>
      <c r="CL1210">
        <v>0</v>
      </c>
      <c r="CM1210">
        <v>2</v>
      </c>
      <c r="CN1210">
        <v>0</v>
      </c>
      <c r="CO1210">
        <v>2</v>
      </c>
      <c r="CP1210" t="s">
        <v>119</v>
      </c>
      <c r="CQ1210">
        <v>145</v>
      </c>
      <c r="CR1210">
        <v>1</v>
      </c>
      <c r="CW1210">
        <v>9040452</v>
      </c>
      <c r="CY1210">
        <v>0</v>
      </c>
      <c r="CZ1210">
        <v>0</v>
      </c>
      <c r="DA1210">
        <v>0</v>
      </c>
      <c r="DB1210">
        <v>0</v>
      </c>
      <c r="DC1210">
        <v>0</v>
      </c>
      <c r="DD1210">
        <v>0</v>
      </c>
      <c r="DE1210">
        <v>0</v>
      </c>
      <c r="DF1210">
        <v>0</v>
      </c>
      <c r="DG1210">
        <v>0</v>
      </c>
      <c r="DH1210">
        <v>0</v>
      </c>
      <c r="DI1210">
        <v>0</v>
      </c>
    </row>
    <row r="1211" spans="1:113" x14ac:dyDescent="0.3">
      <c r="A1211" t="str">
        <f>"02/13/2022 18:42:19.503"</f>
        <v>02/13/2022 18:42:19.503</v>
      </c>
      <c r="C1211" t="str">
        <f t="shared" si="119"/>
        <v>FFDFD7C0</v>
      </c>
      <c r="D1211" t="s">
        <v>113</v>
      </c>
      <c r="E1211">
        <v>3</v>
      </c>
      <c r="F1211">
        <v>1003</v>
      </c>
      <c r="G1211" t="s">
        <v>114</v>
      </c>
      <c r="J1211" t="s">
        <v>115</v>
      </c>
      <c r="K1211">
        <v>0</v>
      </c>
      <c r="L1211">
        <v>3</v>
      </c>
      <c r="M1211">
        <v>0</v>
      </c>
      <c r="N1211">
        <v>2</v>
      </c>
      <c r="O1211">
        <v>1</v>
      </c>
      <c r="P1211">
        <v>0</v>
      </c>
      <c r="Q1211">
        <v>0</v>
      </c>
      <c r="S1211" t="str">
        <f>"18:42:19.250"</f>
        <v>18:42:19.250</v>
      </c>
      <c r="T1211" t="str">
        <f>"18:42:17.450"</f>
        <v>18:42:17.450</v>
      </c>
      <c r="U1211" t="str">
        <f t="shared" si="118"/>
        <v>AAB6EE</v>
      </c>
      <c r="V1211">
        <v>0</v>
      </c>
      <c r="W1211">
        <v>0</v>
      </c>
      <c r="X1211">
        <v>4</v>
      </c>
      <c r="Z1211">
        <v>0</v>
      </c>
      <c r="AA1211">
        <v>8</v>
      </c>
      <c r="AB1211">
        <v>3</v>
      </c>
      <c r="AC1211">
        <v>0</v>
      </c>
      <c r="AD1211">
        <v>10</v>
      </c>
      <c r="AE1211">
        <v>0</v>
      </c>
      <c r="AF1211">
        <v>0</v>
      </c>
      <c r="AG1211">
        <v>1</v>
      </c>
      <c r="AH1211">
        <v>1</v>
      </c>
      <c r="AI1211" t="s">
        <v>929</v>
      </c>
      <c r="AJ1211">
        <v>35.249955999999997</v>
      </c>
      <c r="AK1211" t="s">
        <v>930</v>
      </c>
      <c r="AL1211">
        <v>-76.252198000000007</v>
      </c>
      <c r="AM1211">
        <v>25</v>
      </c>
      <c r="AN1211">
        <v>3425</v>
      </c>
      <c r="AO1211" t="s">
        <v>118</v>
      </c>
      <c r="AP1211">
        <v>-129</v>
      </c>
      <c r="AQ1211">
        <v>-180</v>
      </c>
      <c r="AR1211">
        <v>0</v>
      </c>
      <c r="AZ1211">
        <v>4516</v>
      </c>
      <c r="BA1211">
        <v>1</v>
      </c>
      <c r="BB1211" t="str">
        <f t="shared" si="120"/>
        <v xml:space="preserve">N79NX   </v>
      </c>
      <c r="BC1211">
        <v>1</v>
      </c>
      <c r="BE1211">
        <v>0</v>
      </c>
      <c r="BF1211">
        <v>0</v>
      </c>
      <c r="BG1211">
        <v>0</v>
      </c>
      <c r="BH1211">
        <v>3275</v>
      </c>
      <c r="BI1211">
        <v>0</v>
      </c>
      <c r="BJ1211">
        <v>0</v>
      </c>
      <c r="BK1211">
        <v>0</v>
      </c>
      <c r="BL1211">
        <v>0</v>
      </c>
      <c r="BO1211">
        <v>0</v>
      </c>
      <c r="BP1211">
        <v>0</v>
      </c>
      <c r="BW1211" t="str">
        <f>"18:42:19.251"</f>
        <v>18:42:19.251</v>
      </c>
      <c r="BZ1211">
        <v>0</v>
      </c>
      <c r="CA1211">
        <v>4096</v>
      </c>
      <c r="CB1211">
        <v>216</v>
      </c>
      <c r="CC1211">
        <v>403.59379999999999</v>
      </c>
      <c r="CD1211">
        <v>1</v>
      </c>
      <c r="CE1211">
        <v>1</v>
      </c>
      <c r="CF1211">
        <v>0</v>
      </c>
      <c r="CG1211">
        <v>1</v>
      </c>
      <c r="CH1211">
        <v>0</v>
      </c>
      <c r="CI1211">
        <v>1</v>
      </c>
      <c r="CJ1211">
        <v>0</v>
      </c>
      <c r="CK1211">
        <v>2</v>
      </c>
      <c r="CL1211">
        <v>0</v>
      </c>
      <c r="CM1211">
        <v>2</v>
      </c>
      <c r="CN1211">
        <v>0</v>
      </c>
      <c r="CO1211">
        <v>2</v>
      </c>
      <c r="CP1211" t="s">
        <v>119</v>
      </c>
      <c r="CQ1211">
        <v>145</v>
      </c>
      <c r="CR1211">
        <v>1</v>
      </c>
      <c r="CW1211">
        <v>9040452</v>
      </c>
      <c r="CY1211">
        <v>0</v>
      </c>
      <c r="CZ1211">
        <v>0</v>
      </c>
      <c r="DA1211">
        <v>1</v>
      </c>
      <c r="DB1211">
        <v>0</v>
      </c>
      <c r="DC1211">
        <v>0</v>
      </c>
      <c r="DD1211">
        <v>0</v>
      </c>
      <c r="DE1211">
        <v>0</v>
      </c>
      <c r="DF1211">
        <v>0</v>
      </c>
      <c r="DG1211">
        <v>0</v>
      </c>
      <c r="DH1211">
        <v>0</v>
      </c>
      <c r="DI1211">
        <v>0</v>
      </c>
    </row>
    <row r="1212" spans="1:113" x14ac:dyDescent="0.3">
      <c r="A1212" t="str">
        <f>"02/13/2022 18:42:19.503"</f>
        <v>02/13/2022 18:42:19.503</v>
      </c>
      <c r="C1212" t="str">
        <f t="shared" si="119"/>
        <v>FFDFD7C0</v>
      </c>
      <c r="D1212" t="s">
        <v>121</v>
      </c>
      <c r="E1212">
        <v>2</v>
      </c>
      <c r="H1212">
        <v>158</v>
      </c>
      <c r="I1212" t="s">
        <v>120</v>
      </c>
      <c r="J1212" t="s">
        <v>122</v>
      </c>
      <c r="K1212">
        <v>0</v>
      </c>
      <c r="L1212">
        <v>3</v>
      </c>
      <c r="M1212">
        <v>0</v>
      </c>
      <c r="N1212">
        <v>2</v>
      </c>
      <c r="O1212">
        <v>1</v>
      </c>
      <c r="P1212">
        <v>0</v>
      </c>
      <c r="Q1212">
        <v>0</v>
      </c>
      <c r="S1212" t="str">
        <f>"18:42:19.250"</f>
        <v>18:42:19.250</v>
      </c>
      <c r="T1212" t="str">
        <f>"18:42:17.450"</f>
        <v>18:42:17.450</v>
      </c>
      <c r="U1212" t="str">
        <f t="shared" si="118"/>
        <v>AAB6EE</v>
      </c>
      <c r="V1212">
        <v>0</v>
      </c>
      <c r="W1212">
        <v>0</v>
      </c>
      <c r="X1212">
        <v>4</v>
      </c>
      <c r="Z1212">
        <v>0</v>
      </c>
      <c r="AA1212">
        <v>8</v>
      </c>
      <c r="AB1212">
        <v>3</v>
      </c>
      <c r="AC1212">
        <v>0</v>
      </c>
      <c r="AD1212">
        <v>10</v>
      </c>
      <c r="AE1212">
        <v>0</v>
      </c>
      <c r="AF1212">
        <v>0</v>
      </c>
      <c r="AG1212">
        <v>1</v>
      </c>
      <c r="AH1212">
        <v>1</v>
      </c>
      <c r="AI1212" t="s">
        <v>929</v>
      </c>
      <c r="AJ1212">
        <v>35.249955999999997</v>
      </c>
      <c r="AK1212" t="s">
        <v>930</v>
      </c>
      <c r="AL1212">
        <v>-76.252198000000007</v>
      </c>
      <c r="AM1212">
        <v>25</v>
      </c>
      <c r="AN1212">
        <v>3425</v>
      </c>
      <c r="AO1212" t="s">
        <v>118</v>
      </c>
      <c r="AP1212">
        <v>-129</v>
      </c>
      <c r="AQ1212">
        <v>-180</v>
      </c>
      <c r="AR1212">
        <v>0</v>
      </c>
      <c r="AZ1212">
        <v>4516</v>
      </c>
      <c r="BA1212">
        <v>1</v>
      </c>
      <c r="BB1212" t="str">
        <f t="shared" si="120"/>
        <v xml:space="preserve">N79NX   </v>
      </c>
      <c r="BC1212">
        <v>1</v>
      </c>
      <c r="BE1212">
        <v>0</v>
      </c>
      <c r="BF1212">
        <v>0</v>
      </c>
      <c r="BG1212">
        <v>0</v>
      </c>
      <c r="BH1212">
        <v>3275</v>
      </c>
      <c r="BI1212">
        <v>0</v>
      </c>
      <c r="BJ1212">
        <v>0</v>
      </c>
      <c r="BK1212">
        <v>0</v>
      </c>
      <c r="BL1212">
        <v>0</v>
      </c>
      <c r="BO1212">
        <v>0</v>
      </c>
      <c r="BP1212">
        <v>0</v>
      </c>
      <c r="BW1212" t="str">
        <f>"18:42:19.251"</f>
        <v>18:42:19.251</v>
      </c>
      <c r="BZ1212">
        <v>0</v>
      </c>
      <c r="CA1212">
        <v>4096</v>
      </c>
      <c r="CB1212">
        <v>216</v>
      </c>
      <c r="CC1212">
        <v>403.59379999999999</v>
      </c>
      <c r="CD1212">
        <v>1</v>
      </c>
      <c r="CE1212">
        <v>1</v>
      </c>
      <c r="CF1212">
        <v>0</v>
      </c>
      <c r="CG1212">
        <v>1</v>
      </c>
      <c r="CH1212">
        <v>0</v>
      </c>
      <c r="CI1212">
        <v>1</v>
      </c>
      <c r="CJ1212">
        <v>0</v>
      </c>
      <c r="CK1212">
        <v>2</v>
      </c>
      <c r="CL1212">
        <v>0</v>
      </c>
      <c r="CM1212">
        <v>2</v>
      </c>
      <c r="CN1212">
        <v>0</v>
      </c>
      <c r="CO1212">
        <v>2</v>
      </c>
      <c r="CP1212" t="s">
        <v>119</v>
      </c>
      <c r="CQ1212">
        <v>145</v>
      </c>
      <c r="CR1212">
        <v>1</v>
      </c>
      <c r="CW1212">
        <v>9040452</v>
      </c>
      <c r="CY1212">
        <v>0</v>
      </c>
      <c r="CZ1212">
        <v>0</v>
      </c>
      <c r="DA1212">
        <v>1</v>
      </c>
      <c r="DB1212">
        <v>0</v>
      </c>
      <c r="DC1212">
        <v>0</v>
      </c>
      <c r="DD1212">
        <v>0</v>
      </c>
      <c r="DE1212">
        <v>0</v>
      </c>
      <c r="DF1212">
        <v>0</v>
      </c>
      <c r="DG1212">
        <v>0</v>
      </c>
      <c r="DH1212">
        <v>0</v>
      </c>
      <c r="DI1212">
        <v>0</v>
      </c>
    </row>
    <row r="1213" spans="1:113" x14ac:dyDescent="0.3">
      <c r="A1213" t="str">
        <f>"02/13/2022 18:42:22.522"</f>
        <v>02/13/2022 18:42:22.522</v>
      </c>
      <c r="C1213" t="str">
        <f t="shared" si="119"/>
        <v>FFDFD7C0</v>
      </c>
      <c r="D1213" t="s">
        <v>113</v>
      </c>
      <c r="E1213">
        <v>3</v>
      </c>
      <c r="F1213">
        <v>1003</v>
      </c>
      <c r="G1213" t="s">
        <v>114</v>
      </c>
      <c r="J1213" t="s">
        <v>115</v>
      </c>
      <c r="K1213">
        <v>0</v>
      </c>
      <c r="L1213">
        <v>3</v>
      </c>
      <c r="M1213">
        <v>0</v>
      </c>
      <c r="N1213">
        <v>2</v>
      </c>
      <c r="O1213">
        <v>1</v>
      </c>
      <c r="P1213">
        <v>0</v>
      </c>
      <c r="Q1213">
        <v>0</v>
      </c>
      <c r="S1213" t="str">
        <f>"18:42:22.320"</f>
        <v>18:42:22.320</v>
      </c>
      <c r="T1213" t="str">
        <f>"18:42:21.820"</f>
        <v>18:42:21.820</v>
      </c>
      <c r="U1213" t="str">
        <f t="shared" si="118"/>
        <v>AAB6EE</v>
      </c>
      <c r="V1213">
        <v>0</v>
      </c>
      <c r="W1213">
        <v>0</v>
      </c>
      <c r="X1213">
        <v>4</v>
      </c>
      <c r="Z1213">
        <v>0</v>
      </c>
      <c r="AA1213">
        <v>8</v>
      </c>
      <c r="AB1213">
        <v>3</v>
      </c>
      <c r="AC1213">
        <v>0</v>
      </c>
      <c r="AD1213">
        <v>10</v>
      </c>
      <c r="AE1213">
        <v>0</v>
      </c>
      <c r="AF1213">
        <v>0</v>
      </c>
      <c r="AG1213">
        <v>1</v>
      </c>
      <c r="AH1213">
        <v>1</v>
      </c>
      <c r="AI1213" t="s">
        <v>931</v>
      </c>
      <c r="AJ1213">
        <v>35.247337999999999</v>
      </c>
      <c r="AK1213" t="s">
        <v>932</v>
      </c>
      <c r="AL1213">
        <v>-76.254386999999994</v>
      </c>
      <c r="AM1213">
        <v>25</v>
      </c>
      <c r="AN1213">
        <v>3425</v>
      </c>
      <c r="AO1213" t="s">
        <v>118</v>
      </c>
      <c r="AP1213">
        <v>-125</v>
      </c>
      <c r="AQ1213">
        <v>-183</v>
      </c>
      <c r="AR1213">
        <v>64</v>
      </c>
      <c r="AZ1213">
        <v>4516</v>
      </c>
      <c r="BA1213">
        <v>1</v>
      </c>
      <c r="BB1213" t="str">
        <f t="shared" si="120"/>
        <v xml:space="preserve">N79NX   </v>
      </c>
      <c r="BC1213">
        <v>1</v>
      </c>
      <c r="BE1213">
        <v>0</v>
      </c>
      <c r="BF1213">
        <v>0</v>
      </c>
      <c r="BG1213">
        <v>0</v>
      </c>
      <c r="BH1213">
        <v>3275</v>
      </c>
      <c r="BI1213">
        <v>0</v>
      </c>
      <c r="BJ1213">
        <v>0</v>
      </c>
      <c r="BK1213">
        <v>0</v>
      </c>
      <c r="BL1213">
        <v>0</v>
      </c>
      <c r="BO1213">
        <v>0</v>
      </c>
      <c r="BP1213">
        <v>0</v>
      </c>
      <c r="BW1213" t="str">
        <f>"18:42:22.321"</f>
        <v>18:42:22.321</v>
      </c>
      <c r="BZ1213">
        <v>0</v>
      </c>
      <c r="CA1213">
        <v>4096</v>
      </c>
      <c r="CB1213">
        <v>216</v>
      </c>
      <c r="CC1213">
        <v>403.59379999999999</v>
      </c>
      <c r="CD1213">
        <v>1</v>
      </c>
      <c r="CE1213">
        <v>1</v>
      </c>
      <c r="CF1213">
        <v>0</v>
      </c>
      <c r="CG1213">
        <v>1</v>
      </c>
      <c r="CH1213">
        <v>0</v>
      </c>
      <c r="CI1213">
        <v>1</v>
      </c>
      <c r="CJ1213">
        <v>0</v>
      </c>
      <c r="CK1213">
        <v>2</v>
      </c>
      <c r="CL1213">
        <v>0</v>
      </c>
      <c r="CM1213">
        <v>2</v>
      </c>
      <c r="CN1213">
        <v>0</v>
      </c>
      <c r="CO1213">
        <v>2</v>
      </c>
      <c r="CP1213" t="s">
        <v>119</v>
      </c>
      <c r="CQ1213">
        <v>145</v>
      </c>
      <c r="CR1213">
        <v>1</v>
      </c>
      <c r="CW1213">
        <v>9041885</v>
      </c>
      <c r="CY1213">
        <v>0</v>
      </c>
      <c r="CZ1213">
        <v>0</v>
      </c>
      <c r="DA1213">
        <v>0</v>
      </c>
      <c r="DB1213">
        <v>0</v>
      </c>
      <c r="DC1213">
        <v>0</v>
      </c>
      <c r="DD1213">
        <v>0</v>
      </c>
      <c r="DE1213">
        <v>0</v>
      </c>
      <c r="DF1213">
        <v>0</v>
      </c>
      <c r="DG1213">
        <v>0</v>
      </c>
      <c r="DH1213">
        <v>0</v>
      </c>
      <c r="DI1213">
        <v>0</v>
      </c>
    </row>
    <row r="1214" spans="1:113" x14ac:dyDescent="0.3">
      <c r="A1214" t="str">
        <f>"02/13/2022 18:42:22.522"</f>
        <v>02/13/2022 18:42:22.522</v>
      </c>
      <c r="C1214" t="str">
        <f t="shared" si="119"/>
        <v>FFDFD7C0</v>
      </c>
      <c r="D1214" t="s">
        <v>113</v>
      </c>
      <c r="E1214">
        <v>4</v>
      </c>
      <c r="F1214">
        <v>1004</v>
      </c>
      <c r="G1214" t="s">
        <v>120</v>
      </c>
      <c r="J1214" t="s">
        <v>115</v>
      </c>
      <c r="K1214">
        <v>0</v>
      </c>
      <c r="L1214">
        <v>3</v>
      </c>
      <c r="M1214">
        <v>0</v>
      </c>
      <c r="N1214">
        <v>2</v>
      </c>
      <c r="O1214">
        <v>1</v>
      </c>
      <c r="P1214">
        <v>0</v>
      </c>
      <c r="Q1214">
        <v>0</v>
      </c>
      <c r="S1214" t="str">
        <f>"18:42:22.320"</f>
        <v>18:42:22.320</v>
      </c>
      <c r="T1214" t="str">
        <f>"18:42:21.820"</f>
        <v>18:42:21.820</v>
      </c>
      <c r="U1214" t="str">
        <f t="shared" si="118"/>
        <v>AAB6EE</v>
      </c>
      <c r="V1214">
        <v>0</v>
      </c>
      <c r="W1214">
        <v>0</v>
      </c>
      <c r="X1214">
        <v>4</v>
      </c>
      <c r="Z1214">
        <v>0</v>
      </c>
      <c r="AA1214">
        <v>8</v>
      </c>
      <c r="AB1214">
        <v>3</v>
      </c>
      <c r="AC1214">
        <v>0</v>
      </c>
      <c r="AD1214">
        <v>10</v>
      </c>
      <c r="AE1214">
        <v>0</v>
      </c>
      <c r="AF1214">
        <v>0</v>
      </c>
      <c r="AG1214">
        <v>1</v>
      </c>
      <c r="AH1214">
        <v>1</v>
      </c>
      <c r="AI1214" t="s">
        <v>931</v>
      </c>
      <c r="AJ1214">
        <v>35.247337999999999</v>
      </c>
      <c r="AK1214" t="s">
        <v>932</v>
      </c>
      <c r="AL1214">
        <v>-76.254386999999994</v>
      </c>
      <c r="AM1214">
        <v>25</v>
      </c>
      <c r="AN1214">
        <v>3425</v>
      </c>
      <c r="AO1214" t="s">
        <v>118</v>
      </c>
      <c r="AP1214">
        <v>-125</v>
      </c>
      <c r="AQ1214">
        <v>-183</v>
      </c>
      <c r="AR1214">
        <v>64</v>
      </c>
      <c r="AZ1214">
        <v>4516</v>
      </c>
      <c r="BA1214">
        <v>1</v>
      </c>
      <c r="BB1214" t="str">
        <f t="shared" si="120"/>
        <v xml:space="preserve">N79NX   </v>
      </c>
      <c r="BC1214">
        <v>1</v>
      </c>
      <c r="BE1214">
        <v>0</v>
      </c>
      <c r="BF1214">
        <v>0</v>
      </c>
      <c r="BG1214">
        <v>0</v>
      </c>
      <c r="BH1214">
        <v>3275</v>
      </c>
      <c r="BI1214">
        <v>0</v>
      </c>
      <c r="BJ1214">
        <v>0</v>
      </c>
      <c r="BK1214">
        <v>0</v>
      </c>
      <c r="BL1214">
        <v>0</v>
      </c>
      <c r="BO1214">
        <v>0</v>
      </c>
      <c r="BP1214">
        <v>0</v>
      </c>
      <c r="BW1214" t="str">
        <f>"18:42:22.321"</f>
        <v>18:42:22.321</v>
      </c>
      <c r="BZ1214">
        <v>0</v>
      </c>
      <c r="CA1214">
        <v>4096</v>
      </c>
      <c r="CB1214">
        <v>216</v>
      </c>
      <c r="CC1214">
        <v>403.59379999999999</v>
      </c>
      <c r="CD1214">
        <v>1</v>
      </c>
      <c r="CE1214">
        <v>1</v>
      </c>
      <c r="CF1214">
        <v>0</v>
      </c>
      <c r="CG1214">
        <v>1</v>
      </c>
      <c r="CH1214">
        <v>0</v>
      </c>
      <c r="CI1214">
        <v>1</v>
      </c>
      <c r="CJ1214">
        <v>0</v>
      </c>
      <c r="CK1214">
        <v>2</v>
      </c>
      <c r="CL1214">
        <v>0</v>
      </c>
      <c r="CM1214">
        <v>2</v>
      </c>
      <c r="CN1214">
        <v>0</v>
      </c>
      <c r="CO1214">
        <v>2</v>
      </c>
      <c r="CP1214" t="s">
        <v>119</v>
      </c>
      <c r="CQ1214">
        <v>145</v>
      </c>
      <c r="CR1214">
        <v>1</v>
      </c>
      <c r="CW1214">
        <v>9041885</v>
      </c>
      <c r="CY1214">
        <v>0</v>
      </c>
      <c r="CZ1214">
        <v>0</v>
      </c>
      <c r="DA1214">
        <v>1</v>
      </c>
      <c r="DB1214">
        <v>0</v>
      </c>
      <c r="DC1214">
        <v>0</v>
      </c>
      <c r="DD1214">
        <v>0</v>
      </c>
      <c r="DE1214">
        <v>0</v>
      </c>
      <c r="DF1214">
        <v>0</v>
      </c>
      <c r="DG1214">
        <v>0</v>
      </c>
      <c r="DH1214">
        <v>0</v>
      </c>
      <c r="DI1214">
        <v>0</v>
      </c>
    </row>
    <row r="1215" spans="1:113" x14ac:dyDescent="0.3">
      <c r="A1215" t="str">
        <f>"02/13/2022 18:42:22.616"</f>
        <v>02/13/2022 18:42:22.616</v>
      </c>
      <c r="C1215" t="str">
        <f t="shared" si="119"/>
        <v>FFDFD7C0</v>
      </c>
      <c r="D1215" t="s">
        <v>121</v>
      </c>
      <c r="E1215">
        <v>2</v>
      </c>
      <c r="H1215">
        <v>158</v>
      </c>
      <c r="I1215" t="s">
        <v>120</v>
      </c>
      <c r="J1215" t="s">
        <v>122</v>
      </c>
      <c r="K1215">
        <v>0</v>
      </c>
      <c r="L1215">
        <v>3</v>
      </c>
      <c r="M1215">
        <v>0</v>
      </c>
      <c r="N1215">
        <v>2</v>
      </c>
      <c r="O1215">
        <v>1</v>
      </c>
      <c r="P1215">
        <v>0</v>
      </c>
      <c r="Q1215">
        <v>0</v>
      </c>
      <c r="S1215" t="str">
        <f>"18:42:22.320"</f>
        <v>18:42:22.320</v>
      </c>
      <c r="T1215" t="str">
        <f>"18:42:21.820"</f>
        <v>18:42:21.820</v>
      </c>
      <c r="U1215" t="str">
        <f t="shared" si="118"/>
        <v>AAB6EE</v>
      </c>
      <c r="V1215">
        <v>0</v>
      </c>
      <c r="W1215">
        <v>0</v>
      </c>
      <c r="X1215">
        <v>4</v>
      </c>
      <c r="Z1215">
        <v>0</v>
      </c>
      <c r="AA1215">
        <v>8</v>
      </c>
      <c r="AB1215">
        <v>3</v>
      </c>
      <c r="AC1215">
        <v>0</v>
      </c>
      <c r="AD1215">
        <v>10</v>
      </c>
      <c r="AE1215">
        <v>0</v>
      </c>
      <c r="AF1215">
        <v>0</v>
      </c>
      <c r="AG1215">
        <v>1</v>
      </c>
      <c r="AH1215">
        <v>1</v>
      </c>
      <c r="AI1215" t="s">
        <v>931</v>
      </c>
      <c r="AJ1215">
        <v>35.247337999999999</v>
      </c>
      <c r="AK1215" t="s">
        <v>932</v>
      </c>
      <c r="AL1215">
        <v>-76.254386999999994</v>
      </c>
      <c r="AM1215">
        <v>25</v>
      </c>
      <c r="AN1215">
        <v>3425</v>
      </c>
      <c r="AO1215" t="s">
        <v>118</v>
      </c>
      <c r="AP1215">
        <v>-125</v>
      </c>
      <c r="AQ1215">
        <v>-183</v>
      </c>
      <c r="AR1215">
        <v>64</v>
      </c>
      <c r="AZ1215">
        <v>4516</v>
      </c>
      <c r="BA1215">
        <v>1</v>
      </c>
      <c r="BB1215" t="str">
        <f t="shared" si="120"/>
        <v xml:space="preserve">N79NX   </v>
      </c>
      <c r="BC1215">
        <v>1</v>
      </c>
      <c r="BE1215">
        <v>0</v>
      </c>
      <c r="BF1215">
        <v>0</v>
      </c>
      <c r="BG1215">
        <v>0</v>
      </c>
      <c r="BH1215">
        <v>3275</v>
      </c>
      <c r="BI1215">
        <v>0</v>
      </c>
      <c r="BJ1215">
        <v>0</v>
      </c>
      <c r="BK1215">
        <v>0</v>
      </c>
      <c r="BL1215">
        <v>0</v>
      </c>
      <c r="BO1215">
        <v>0</v>
      </c>
      <c r="BP1215">
        <v>0</v>
      </c>
      <c r="BW1215" t="str">
        <f>"18:42:22.321"</f>
        <v>18:42:22.321</v>
      </c>
      <c r="BZ1215">
        <v>0</v>
      </c>
      <c r="CA1215">
        <v>4096</v>
      </c>
      <c r="CB1215">
        <v>216</v>
      </c>
      <c r="CC1215">
        <v>403.59379999999999</v>
      </c>
      <c r="CD1215">
        <v>1</v>
      </c>
      <c r="CE1215">
        <v>1</v>
      </c>
      <c r="CF1215">
        <v>0</v>
      </c>
      <c r="CG1215">
        <v>1</v>
      </c>
      <c r="CH1215">
        <v>0</v>
      </c>
      <c r="CI1215">
        <v>1</v>
      </c>
      <c r="CJ1215">
        <v>0</v>
      </c>
      <c r="CK1215">
        <v>2</v>
      </c>
      <c r="CL1215">
        <v>0</v>
      </c>
      <c r="CM1215">
        <v>2</v>
      </c>
      <c r="CN1215">
        <v>0</v>
      </c>
      <c r="CO1215">
        <v>2</v>
      </c>
      <c r="CP1215" t="s">
        <v>119</v>
      </c>
      <c r="CQ1215">
        <v>145</v>
      </c>
      <c r="CR1215">
        <v>1</v>
      </c>
      <c r="CW1215">
        <v>9041885</v>
      </c>
      <c r="CY1215">
        <v>0</v>
      </c>
      <c r="CZ1215">
        <v>0</v>
      </c>
      <c r="DA1215">
        <v>1</v>
      </c>
      <c r="DB1215">
        <v>0</v>
      </c>
      <c r="DC1215">
        <v>0</v>
      </c>
      <c r="DD1215">
        <v>0</v>
      </c>
      <c r="DE1215">
        <v>0</v>
      </c>
      <c r="DF1215">
        <v>0</v>
      </c>
      <c r="DG1215">
        <v>0</v>
      </c>
      <c r="DH1215">
        <v>0</v>
      </c>
      <c r="DI1215">
        <v>0</v>
      </c>
    </row>
    <row r="1216" spans="1:113" x14ac:dyDescent="0.3">
      <c r="A1216" t="str">
        <f>"02/13/2022 18:42:23.725"</f>
        <v>02/13/2022 18:42:23.725</v>
      </c>
      <c r="C1216" t="str">
        <f t="shared" si="119"/>
        <v>FFDFD7C0</v>
      </c>
      <c r="D1216" t="s">
        <v>113</v>
      </c>
      <c r="E1216">
        <v>3</v>
      </c>
      <c r="F1216">
        <v>1003</v>
      </c>
      <c r="G1216" t="s">
        <v>114</v>
      </c>
      <c r="J1216" t="s">
        <v>115</v>
      </c>
      <c r="K1216">
        <v>0</v>
      </c>
      <c r="L1216">
        <v>3</v>
      </c>
      <c r="M1216">
        <v>0</v>
      </c>
      <c r="N1216">
        <v>2</v>
      </c>
      <c r="O1216">
        <v>1</v>
      </c>
      <c r="P1216">
        <v>0</v>
      </c>
      <c r="Q1216">
        <v>0</v>
      </c>
      <c r="S1216" t="str">
        <f>"18:42:23.477"</f>
        <v>18:42:23.477</v>
      </c>
      <c r="T1216" t="str">
        <f>"18:42:22.877"</f>
        <v>18:42:22.877</v>
      </c>
      <c r="U1216" t="str">
        <f t="shared" si="118"/>
        <v>AAB6EE</v>
      </c>
      <c r="V1216">
        <v>0</v>
      </c>
      <c r="W1216">
        <v>0</v>
      </c>
      <c r="X1216">
        <v>4</v>
      </c>
      <c r="Z1216">
        <v>0</v>
      </c>
      <c r="AA1216">
        <v>8</v>
      </c>
      <c r="AB1216">
        <v>3</v>
      </c>
      <c r="AC1216">
        <v>0</v>
      </c>
      <c r="AD1216">
        <v>10</v>
      </c>
      <c r="AE1216">
        <v>0</v>
      </c>
      <c r="AF1216">
        <v>0</v>
      </c>
      <c r="AG1216">
        <v>1</v>
      </c>
      <c r="AH1216">
        <v>1</v>
      </c>
      <c r="AI1216" t="s">
        <v>933</v>
      </c>
      <c r="AJ1216">
        <v>35.246372000000001</v>
      </c>
      <c r="AK1216" t="s">
        <v>934</v>
      </c>
      <c r="AL1216">
        <v>-76.255159000000006</v>
      </c>
      <c r="AM1216">
        <v>25</v>
      </c>
      <c r="AN1216">
        <v>3425</v>
      </c>
      <c r="AO1216" t="s">
        <v>118</v>
      </c>
      <c r="AP1216">
        <v>-124</v>
      </c>
      <c r="AQ1216">
        <v>-183</v>
      </c>
      <c r="AR1216">
        <v>0</v>
      </c>
      <c r="AZ1216">
        <v>4516</v>
      </c>
      <c r="BA1216">
        <v>1</v>
      </c>
      <c r="BB1216" t="str">
        <f t="shared" si="120"/>
        <v xml:space="preserve">N79NX   </v>
      </c>
      <c r="BC1216">
        <v>1</v>
      </c>
      <c r="BE1216">
        <v>0</v>
      </c>
      <c r="BF1216">
        <v>0</v>
      </c>
      <c r="BG1216">
        <v>0</v>
      </c>
      <c r="BH1216">
        <v>3275</v>
      </c>
      <c r="BI1216">
        <v>0</v>
      </c>
      <c r="BJ1216">
        <v>0</v>
      </c>
      <c r="BK1216">
        <v>0</v>
      </c>
      <c r="BL1216">
        <v>0</v>
      </c>
      <c r="BO1216">
        <v>0</v>
      </c>
      <c r="BP1216">
        <v>0</v>
      </c>
      <c r="BW1216" t="str">
        <f>"18:42:23.481"</f>
        <v>18:42:23.481</v>
      </c>
      <c r="BZ1216">
        <v>0</v>
      </c>
      <c r="CA1216">
        <v>4096</v>
      </c>
      <c r="CB1216">
        <v>216</v>
      </c>
      <c r="CC1216">
        <v>403.59379999999999</v>
      </c>
      <c r="CD1216">
        <v>1</v>
      </c>
      <c r="CE1216">
        <v>1</v>
      </c>
      <c r="CF1216">
        <v>0</v>
      </c>
      <c r="CG1216">
        <v>1</v>
      </c>
      <c r="CH1216">
        <v>0</v>
      </c>
      <c r="CI1216">
        <v>1</v>
      </c>
      <c r="CJ1216">
        <v>0</v>
      </c>
      <c r="CK1216">
        <v>2</v>
      </c>
      <c r="CL1216">
        <v>0</v>
      </c>
      <c r="CM1216">
        <v>2</v>
      </c>
      <c r="CN1216">
        <v>0</v>
      </c>
      <c r="CO1216">
        <v>2</v>
      </c>
      <c r="CP1216" t="s">
        <v>119</v>
      </c>
      <c r="CQ1216">
        <v>145</v>
      </c>
      <c r="CR1216">
        <v>1</v>
      </c>
      <c r="CW1216">
        <v>9042353</v>
      </c>
      <c r="CY1216">
        <v>0</v>
      </c>
      <c r="CZ1216">
        <v>0</v>
      </c>
      <c r="DA1216">
        <v>0</v>
      </c>
      <c r="DB1216">
        <v>0</v>
      </c>
      <c r="DC1216">
        <v>0</v>
      </c>
      <c r="DD1216">
        <v>0</v>
      </c>
      <c r="DE1216">
        <v>0</v>
      </c>
      <c r="DF1216">
        <v>0</v>
      </c>
      <c r="DG1216">
        <v>0</v>
      </c>
      <c r="DH1216">
        <v>0</v>
      </c>
      <c r="DI1216">
        <v>0</v>
      </c>
    </row>
    <row r="1217" spans="1:113" x14ac:dyDescent="0.3">
      <c r="A1217" t="str">
        <f>"02/13/2022 18:42:23.725"</f>
        <v>02/13/2022 18:42:23.725</v>
      </c>
      <c r="C1217" t="str">
        <f t="shared" si="119"/>
        <v>FFDFD7C0</v>
      </c>
      <c r="D1217" t="s">
        <v>113</v>
      </c>
      <c r="E1217">
        <v>4</v>
      </c>
      <c r="F1217">
        <v>1004</v>
      </c>
      <c r="G1217" t="s">
        <v>120</v>
      </c>
      <c r="J1217" t="s">
        <v>115</v>
      </c>
      <c r="K1217">
        <v>0</v>
      </c>
      <c r="L1217">
        <v>3</v>
      </c>
      <c r="M1217">
        <v>0</v>
      </c>
      <c r="N1217">
        <v>2</v>
      </c>
      <c r="O1217">
        <v>1</v>
      </c>
      <c r="P1217">
        <v>0</v>
      </c>
      <c r="Q1217">
        <v>0</v>
      </c>
      <c r="S1217" t="str">
        <f>"18:42:23.477"</f>
        <v>18:42:23.477</v>
      </c>
      <c r="T1217" t="str">
        <f>"18:42:22.877"</f>
        <v>18:42:22.877</v>
      </c>
      <c r="U1217" t="str">
        <f t="shared" si="118"/>
        <v>AAB6EE</v>
      </c>
      <c r="V1217">
        <v>0</v>
      </c>
      <c r="W1217">
        <v>0</v>
      </c>
      <c r="X1217">
        <v>4</v>
      </c>
      <c r="Z1217">
        <v>0</v>
      </c>
      <c r="AA1217">
        <v>8</v>
      </c>
      <c r="AB1217">
        <v>3</v>
      </c>
      <c r="AC1217">
        <v>0</v>
      </c>
      <c r="AD1217">
        <v>10</v>
      </c>
      <c r="AE1217">
        <v>0</v>
      </c>
      <c r="AF1217">
        <v>0</v>
      </c>
      <c r="AG1217">
        <v>1</v>
      </c>
      <c r="AH1217">
        <v>1</v>
      </c>
      <c r="AI1217" t="s">
        <v>933</v>
      </c>
      <c r="AJ1217">
        <v>35.246372000000001</v>
      </c>
      <c r="AK1217" t="s">
        <v>934</v>
      </c>
      <c r="AL1217">
        <v>-76.255159000000006</v>
      </c>
      <c r="AM1217">
        <v>25</v>
      </c>
      <c r="AN1217">
        <v>3425</v>
      </c>
      <c r="AO1217" t="s">
        <v>118</v>
      </c>
      <c r="AP1217">
        <v>-124</v>
      </c>
      <c r="AQ1217">
        <v>-183</v>
      </c>
      <c r="AR1217">
        <v>0</v>
      </c>
      <c r="AZ1217">
        <v>4516</v>
      </c>
      <c r="BA1217">
        <v>1</v>
      </c>
      <c r="BB1217" t="str">
        <f t="shared" si="120"/>
        <v xml:space="preserve">N79NX   </v>
      </c>
      <c r="BC1217">
        <v>1</v>
      </c>
      <c r="BE1217">
        <v>0</v>
      </c>
      <c r="BF1217">
        <v>0</v>
      </c>
      <c r="BG1217">
        <v>0</v>
      </c>
      <c r="BH1217">
        <v>3275</v>
      </c>
      <c r="BI1217">
        <v>0</v>
      </c>
      <c r="BJ1217">
        <v>0</v>
      </c>
      <c r="BK1217">
        <v>0</v>
      </c>
      <c r="BL1217">
        <v>0</v>
      </c>
      <c r="BO1217">
        <v>0</v>
      </c>
      <c r="BP1217">
        <v>0</v>
      </c>
      <c r="BW1217" t="str">
        <f>"18:42:23.481"</f>
        <v>18:42:23.481</v>
      </c>
      <c r="BZ1217">
        <v>0</v>
      </c>
      <c r="CA1217">
        <v>4096</v>
      </c>
      <c r="CB1217">
        <v>216</v>
      </c>
      <c r="CC1217">
        <v>403.59379999999999</v>
      </c>
      <c r="CD1217">
        <v>1</v>
      </c>
      <c r="CE1217">
        <v>1</v>
      </c>
      <c r="CF1217">
        <v>0</v>
      </c>
      <c r="CG1217">
        <v>1</v>
      </c>
      <c r="CH1217">
        <v>0</v>
      </c>
      <c r="CI1217">
        <v>1</v>
      </c>
      <c r="CJ1217">
        <v>0</v>
      </c>
      <c r="CK1217">
        <v>2</v>
      </c>
      <c r="CL1217">
        <v>0</v>
      </c>
      <c r="CM1217">
        <v>2</v>
      </c>
      <c r="CN1217">
        <v>0</v>
      </c>
      <c r="CO1217">
        <v>2</v>
      </c>
      <c r="CP1217" t="s">
        <v>119</v>
      </c>
      <c r="CQ1217">
        <v>145</v>
      </c>
      <c r="CR1217">
        <v>1</v>
      </c>
      <c r="CW1217">
        <v>9042353</v>
      </c>
      <c r="CY1217">
        <v>0</v>
      </c>
      <c r="CZ1217">
        <v>0</v>
      </c>
      <c r="DA1217">
        <v>1</v>
      </c>
      <c r="DB1217">
        <v>0</v>
      </c>
      <c r="DC1217">
        <v>0</v>
      </c>
      <c r="DD1217">
        <v>0</v>
      </c>
      <c r="DE1217">
        <v>0</v>
      </c>
      <c r="DF1217">
        <v>0</v>
      </c>
      <c r="DG1217">
        <v>0</v>
      </c>
      <c r="DH1217">
        <v>0</v>
      </c>
      <c r="DI1217">
        <v>0</v>
      </c>
    </row>
    <row r="1218" spans="1:113" x14ac:dyDescent="0.3">
      <c r="A1218" t="str">
        <f>"02/13/2022 18:42:23.725"</f>
        <v>02/13/2022 18:42:23.725</v>
      </c>
      <c r="C1218" t="str">
        <f t="shared" si="119"/>
        <v>FFDFD7C0</v>
      </c>
      <c r="D1218" t="s">
        <v>121</v>
      </c>
      <c r="E1218">
        <v>2</v>
      </c>
      <c r="H1218">
        <v>158</v>
      </c>
      <c r="I1218" t="s">
        <v>120</v>
      </c>
      <c r="J1218" t="s">
        <v>122</v>
      </c>
      <c r="K1218">
        <v>0</v>
      </c>
      <c r="L1218">
        <v>3</v>
      </c>
      <c r="M1218">
        <v>0</v>
      </c>
      <c r="N1218">
        <v>2</v>
      </c>
      <c r="O1218">
        <v>1</v>
      </c>
      <c r="P1218">
        <v>0</v>
      </c>
      <c r="Q1218">
        <v>0</v>
      </c>
      <c r="S1218" t="str">
        <f>"18:42:23.477"</f>
        <v>18:42:23.477</v>
      </c>
      <c r="T1218" t="str">
        <f>"18:42:22.877"</f>
        <v>18:42:22.877</v>
      </c>
      <c r="U1218" t="str">
        <f t="shared" ref="U1218:U1281" si="123">"AAB6EE"</f>
        <v>AAB6EE</v>
      </c>
      <c r="V1218">
        <v>0</v>
      </c>
      <c r="W1218">
        <v>0</v>
      </c>
      <c r="X1218">
        <v>4</v>
      </c>
      <c r="Z1218">
        <v>0</v>
      </c>
      <c r="AA1218">
        <v>8</v>
      </c>
      <c r="AB1218">
        <v>3</v>
      </c>
      <c r="AC1218">
        <v>0</v>
      </c>
      <c r="AD1218">
        <v>10</v>
      </c>
      <c r="AE1218">
        <v>0</v>
      </c>
      <c r="AF1218">
        <v>0</v>
      </c>
      <c r="AG1218">
        <v>1</v>
      </c>
      <c r="AH1218">
        <v>1</v>
      </c>
      <c r="AI1218" t="s">
        <v>933</v>
      </c>
      <c r="AJ1218">
        <v>35.246372000000001</v>
      </c>
      <c r="AK1218" t="s">
        <v>934</v>
      </c>
      <c r="AL1218">
        <v>-76.255159000000006</v>
      </c>
      <c r="AM1218">
        <v>25</v>
      </c>
      <c r="AN1218">
        <v>3425</v>
      </c>
      <c r="AO1218" t="s">
        <v>118</v>
      </c>
      <c r="AP1218">
        <v>-124</v>
      </c>
      <c r="AQ1218">
        <v>-183</v>
      </c>
      <c r="AR1218">
        <v>0</v>
      </c>
      <c r="AZ1218">
        <v>4516</v>
      </c>
      <c r="BA1218">
        <v>1</v>
      </c>
      <c r="BB1218" t="str">
        <f t="shared" si="120"/>
        <v xml:space="preserve">N79NX   </v>
      </c>
      <c r="BC1218">
        <v>1</v>
      </c>
      <c r="BE1218">
        <v>0</v>
      </c>
      <c r="BF1218">
        <v>0</v>
      </c>
      <c r="BG1218">
        <v>0</v>
      </c>
      <c r="BH1218">
        <v>3275</v>
      </c>
      <c r="BI1218">
        <v>0</v>
      </c>
      <c r="BJ1218">
        <v>0</v>
      </c>
      <c r="BK1218">
        <v>0</v>
      </c>
      <c r="BL1218">
        <v>0</v>
      </c>
      <c r="BO1218">
        <v>0</v>
      </c>
      <c r="BP1218">
        <v>0</v>
      </c>
      <c r="BW1218" t="str">
        <f>"18:42:23.481"</f>
        <v>18:42:23.481</v>
      </c>
      <c r="BZ1218">
        <v>0</v>
      </c>
      <c r="CA1218">
        <v>4096</v>
      </c>
      <c r="CB1218">
        <v>216</v>
      </c>
      <c r="CC1218">
        <v>403.59379999999999</v>
      </c>
      <c r="CD1218">
        <v>1</v>
      </c>
      <c r="CE1218">
        <v>1</v>
      </c>
      <c r="CF1218">
        <v>0</v>
      </c>
      <c r="CG1218">
        <v>1</v>
      </c>
      <c r="CH1218">
        <v>0</v>
      </c>
      <c r="CI1218">
        <v>1</v>
      </c>
      <c r="CJ1218">
        <v>0</v>
      </c>
      <c r="CK1218">
        <v>2</v>
      </c>
      <c r="CL1218">
        <v>0</v>
      </c>
      <c r="CM1218">
        <v>2</v>
      </c>
      <c r="CN1218">
        <v>0</v>
      </c>
      <c r="CO1218">
        <v>2</v>
      </c>
      <c r="CP1218" t="s">
        <v>119</v>
      </c>
      <c r="CQ1218">
        <v>145</v>
      </c>
      <c r="CR1218">
        <v>1</v>
      </c>
      <c r="CW1218">
        <v>9042353</v>
      </c>
      <c r="CY1218">
        <v>0</v>
      </c>
      <c r="CZ1218">
        <v>0</v>
      </c>
      <c r="DA1218">
        <v>1</v>
      </c>
      <c r="DB1218">
        <v>0</v>
      </c>
      <c r="DC1218">
        <v>0</v>
      </c>
      <c r="DD1218">
        <v>0</v>
      </c>
      <c r="DE1218">
        <v>0</v>
      </c>
      <c r="DF1218">
        <v>0</v>
      </c>
      <c r="DG1218">
        <v>0</v>
      </c>
      <c r="DH1218">
        <v>0</v>
      </c>
      <c r="DI1218">
        <v>0</v>
      </c>
    </row>
    <row r="1219" spans="1:113" x14ac:dyDescent="0.3">
      <c r="A1219" t="str">
        <f>"02/13/2022 18:42:25.714"</f>
        <v>02/13/2022 18:42:25.714</v>
      </c>
      <c r="C1219" t="str">
        <f t="shared" si="119"/>
        <v>FFDFD7C0</v>
      </c>
      <c r="D1219" t="s">
        <v>121</v>
      </c>
      <c r="E1219">
        <v>2</v>
      </c>
      <c r="H1219">
        <v>158</v>
      </c>
      <c r="I1219" t="s">
        <v>120</v>
      </c>
      <c r="J1219" t="s">
        <v>122</v>
      </c>
      <c r="K1219">
        <v>0</v>
      </c>
      <c r="L1219">
        <v>3</v>
      </c>
      <c r="M1219">
        <v>0</v>
      </c>
      <c r="N1219">
        <v>2</v>
      </c>
      <c r="O1219">
        <v>1</v>
      </c>
      <c r="P1219">
        <v>0</v>
      </c>
      <c r="Q1219">
        <v>0</v>
      </c>
      <c r="S1219" t="str">
        <f>"18:42:25.500"</f>
        <v>18:42:25.500</v>
      </c>
      <c r="T1219" t="str">
        <f>"18:42:23.800"</f>
        <v>18:42:23.800</v>
      </c>
      <c r="U1219" t="str">
        <f t="shared" si="123"/>
        <v>AAB6EE</v>
      </c>
      <c r="V1219">
        <v>0</v>
      </c>
      <c r="W1219">
        <v>0</v>
      </c>
      <c r="X1219">
        <v>4</v>
      </c>
      <c r="Z1219">
        <v>0</v>
      </c>
      <c r="AA1219">
        <v>8</v>
      </c>
      <c r="AB1219">
        <v>3</v>
      </c>
      <c r="AC1219">
        <v>0</v>
      </c>
      <c r="AD1219">
        <v>10</v>
      </c>
      <c r="AE1219">
        <v>0</v>
      </c>
      <c r="AF1219">
        <v>0</v>
      </c>
      <c r="AG1219">
        <v>1</v>
      </c>
      <c r="AH1219">
        <v>1</v>
      </c>
      <c r="AI1219" t="s">
        <v>935</v>
      </c>
      <c r="AJ1219">
        <v>35.244698999999997</v>
      </c>
      <c r="AK1219" t="s">
        <v>936</v>
      </c>
      <c r="AL1219">
        <v>-76.256511000000003</v>
      </c>
      <c r="AM1219">
        <v>25</v>
      </c>
      <c r="AN1219">
        <v>3425</v>
      </c>
      <c r="AO1219" t="s">
        <v>118</v>
      </c>
      <c r="AP1219">
        <v>-124</v>
      </c>
      <c r="AQ1219">
        <v>-183</v>
      </c>
      <c r="AR1219">
        <v>0</v>
      </c>
      <c r="AZ1219">
        <v>4516</v>
      </c>
      <c r="BA1219">
        <v>1</v>
      </c>
      <c r="BB1219" t="str">
        <f t="shared" si="120"/>
        <v xml:space="preserve">N79NX   </v>
      </c>
      <c r="BC1219">
        <v>1</v>
      </c>
      <c r="BE1219">
        <v>0</v>
      </c>
      <c r="BF1219">
        <v>0</v>
      </c>
      <c r="BG1219">
        <v>0</v>
      </c>
      <c r="BH1219">
        <v>3275</v>
      </c>
      <c r="BI1219">
        <v>0</v>
      </c>
      <c r="BJ1219">
        <v>0</v>
      </c>
      <c r="BK1219">
        <v>0</v>
      </c>
      <c r="BL1219">
        <v>0</v>
      </c>
      <c r="BO1219">
        <v>0</v>
      </c>
      <c r="BP1219">
        <v>0</v>
      </c>
      <c r="BW1219" t="str">
        <f>"18:42:25.501"</f>
        <v>18:42:25.501</v>
      </c>
      <c r="BZ1219">
        <v>0</v>
      </c>
      <c r="CA1219">
        <v>4096</v>
      </c>
      <c r="CB1219">
        <v>216</v>
      </c>
      <c r="CC1219">
        <v>403.59379999999999</v>
      </c>
      <c r="CD1219">
        <v>1</v>
      </c>
      <c r="CE1219">
        <v>1</v>
      </c>
      <c r="CF1219">
        <v>0</v>
      </c>
      <c r="CG1219">
        <v>1</v>
      </c>
      <c r="CH1219">
        <v>0</v>
      </c>
      <c r="CI1219">
        <v>0</v>
      </c>
      <c r="CJ1219">
        <v>0</v>
      </c>
      <c r="CK1219">
        <v>2</v>
      </c>
      <c r="CL1219">
        <v>0</v>
      </c>
      <c r="CM1219">
        <v>2</v>
      </c>
      <c r="CN1219">
        <v>0</v>
      </c>
      <c r="CO1219">
        <v>2</v>
      </c>
      <c r="CP1219" t="s">
        <v>119</v>
      </c>
      <c r="CQ1219">
        <v>145</v>
      </c>
      <c r="CR1219">
        <v>1</v>
      </c>
      <c r="CW1219">
        <v>9043361</v>
      </c>
      <c r="CY1219">
        <v>0</v>
      </c>
      <c r="CZ1219">
        <v>0</v>
      </c>
      <c r="DA1219">
        <v>0</v>
      </c>
      <c r="DB1219">
        <v>0</v>
      </c>
      <c r="DC1219">
        <v>0</v>
      </c>
      <c r="DD1219">
        <v>0</v>
      </c>
      <c r="DE1219">
        <v>0</v>
      </c>
      <c r="DF1219">
        <v>0</v>
      </c>
      <c r="DG1219">
        <v>0</v>
      </c>
      <c r="DH1219">
        <v>0</v>
      </c>
      <c r="DI1219">
        <v>0</v>
      </c>
    </row>
    <row r="1220" spans="1:113" x14ac:dyDescent="0.3">
      <c r="A1220" t="str">
        <f>"02/13/2022 18:42:25.714"</f>
        <v>02/13/2022 18:42:25.714</v>
      </c>
      <c r="C1220" t="str">
        <f t="shared" si="119"/>
        <v>FFDFD7C0</v>
      </c>
      <c r="D1220" t="s">
        <v>113</v>
      </c>
      <c r="E1220">
        <v>3</v>
      </c>
      <c r="F1220">
        <v>1003</v>
      </c>
      <c r="G1220" t="s">
        <v>114</v>
      </c>
      <c r="J1220" t="s">
        <v>115</v>
      </c>
      <c r="K1220">
        <v>0</v>
      </c>
      <c r="L1220">
        <v>3</v>
      </c>
      <c r="M1220">
        <v>0</v>
      </c>
      <c r="N1220">
        <v>2</v>
      </c>
      <c r="O1220">
        <v>1</v>
      </c>
      <c r="P1220">
        <v>0</v>
      </c>
      <c r="Q1220">
        <v>0</v>
      </c>
      <c r="S1220" t="str">
        <f>"18:42:25.500"</f>
        <v>18:42:25.500</v>
      </c>
      <c r="T1220" t="str">
        <f>"18:42:23.800"</f>
        <v>18:42:23.800</v>
      </c>
      <c r="U1220" t="str">
        <f t="shared" si="123"/>
        <v>AAB6EE</v>
      </c>
      <c r="V1220">
        <v>0</v>
      </c>
      <c r="W1220">
        <v>0</v>
      </c>
      <c r="X1220">
        <v>4</v>
      </c>
      <c r="Z1220">
        <v>0</v>
      </c>
      <c r="AA1220">
        <v>8</v>
      </c>
      <c r="AB1220">
        <v>3</v>
      </c>
      <c r="AC1220">
        <v>0</v>
      </c>
      <c r="AD1220">
        <v>10</v>
      </c>
      <c r="AE1220">
        <v>0</v>
      </c>
      <c r="AF1220">
        <v>0</v>
      </c>
      <c r="AG1220">
        <v>1</v>
      </c>
      <c r="AH1220">
        <v>1</v>
      </c>
      <c r="AI1220" t="s">
        <v>935</v>
      </c>
      <c r="AJ1220">
        <v>35.244698999999997</v>
      </c>
      <c r="AK1220" t="s">
        <v>936</v>
      </c>
      <c r="AL1220">
        <v>-76.256511000000003</v>
      </c>
      <c r="AM1220">
        <v>25</v>
      </c>
      <c r="AN1220">
        <v>3425</v>
      </c>
      <c r="AO1220" t="s">
        <v>118</v>
      </c>
      <c r="AP1220">
        <v>-124</v>
      </c>
      <c r="AQ1220">
        <v>-183</v>
      </c>
      <c r="AR1220">
        <v>0</v>
      </c>
      <c r="AZ1220">
        <v>4516</v>
      </c>
      <c r="BA1220">
        <v>1</v>
      </c>
      <c r="BB1220" t="str">
        <f t="shared" si="120"/>
        <v xml:space="preserve">N79NX   </v>
      </c>
      <c r="BC1220">
        <v>1</v>
      </c>
      <c r="BE1220">
        <v>0</v>
      </c>
      <c r="BF1220">
        <v>0</v>
      </c>
      <c r="BG1220">
        <v>0</v>
      </c>
      <c r="BH1220">
        <v>3275</v>
      </c>
      <c r="BI1220">
        <v>0</v>
      </c>
      <c r="BJ1220">
        <v>0</v>
      </c>
      <c r="BK1220">
        <v>0</v>
      </c>
      <c r="BL1220">
        <v>0</v>
      </c>
      <c r="BO1220">
        <v>0</v>
      </c>
      <c r="BP1220">
        <v>0</v>
      </c>
      <c r="BW1220" t="str">
        <f>"18:42:25.501"</f>
        <v>18:42:25.501</v>
      </c>
      <c r="BZ1220">
        <v>0</v>
      </c>
      <c r="CA1220">
        <v>4096</v>
      </c>
      <c r="CB1220">
        <v>216</v>
      </c>
      <c r="CC1220">
        <v>403.59379999999999</v>
      </c>
      <c r="CD1220">
        <v>1</v>
      </c>
      <c r="CE1220">
        <v>1</v>
      </c>
      <c r="CF1220">
        <v>0</v>
      </c>
      <c r="CG1220">
        <v>1</v>
      </c>
      <c r="CH1220">
        <v>0</v>
      </c>
      <c r="CI1220">
        <v>0</v>
      </c>
      <c r="CJ1220">
        <v>0</v>
      </c>
      <c r="CK1220">
        <v>2</v>
      </c>
      <c r="CL1220">
        <v>0</v>
      </c>
      <c r="CM1220">
        <v>2</v>
      </c>
      <c r="CN1220">
        <v>0</v>
      </c>
      <c r="CO1220">
        <v>2</v>
      </c>
      <c r="CP1220" t="s">
        <v>119</v>
      </c>
      <c r="CQ1220">
        <v>145</v>
      </c>
      <c r="CR1220">
        <v>1</v>
      </c>
      <c r="CW1220">
        <v>9043361</v>
      </c>
      <c r="CY1220">
        <v>0</v>
      </c>
      <c r="CZ1220">
        <v>0</v>
      </c>
      <c r="DA1220">
        <v>1</v>
      </c>
      <c r="DB1220">
        <v>0</v>
      </c>
      <c r="DC1220">
        <v>0</v>
      </c>
      <c r="DD1220">
        <v>0</v>
      </c>
      <c r="DE1220">
        <v>0</v>
      </c>
      <c r="DF1220">
        <v>0</v>
      </c>
      <c r="DG1220">
        <v>0</v>
      </c>
      <c r="DH1220">
        <v>0</v>
      </c>
      <c r="DI1220">
        <v>0</v>
      </c>
    </row>
    <row r="1221" spans="1:113" x14ac:dyDescent="0.3">
      <c r="A1221" t="str">
        <f>"02/13/2022 18:42:25.714"</f>
        <v>02/13/2022 18:42:25.714</v>
      </c>
      <c r="C1221" t="str">
        <f t="shared" ref="C1221:C1284" si="124">"FFDFD7C0"</f>
        <v>FFDFD7C0</v>
      </c>
      <c r="D1221" t="s">
        <v>113</v>
      </c>
      <c r="E1221">
        <v>4</v>
      </c>
      <c r="F1221">
        <v>1004</v>
      </c>
      <c r="G1221" t="s">
        <v>120</v>
      </c>
      <c r="J1221" t="s">
        <v>115</v>
      </c>
      <c r="K1221">
        <v>0</v>
      </c>
      <c r="L1221">
        <v>3</v>
      </c>
      <c r="M1221">
        <v>0</v>
      </c>
      <c r="N1221">
        <v>2</v>
      </c>
      <c r="O1221">
        <v>1</v>
      </c>
      <c r="P1221">
        <v>0</v>
      </c>
      <c r="Q1221">
        <v>0</v>
      </c>
      <c r="S1221" t="str">
        <f>"18:42:25.500"</f>
        <v>18:42:25.500</v>
      </c>
      <c r="T1221" t="str">
        <f>"18:42:23.800"</f>
        <v>18:42:23.800</v>
      </c>
      <c r="U1221" t="str">
        <f t="shared" si="123"/>
        <v>AAB6EE</v>
      </c>
      <c r="V1221">
        <v>0</v>
      </c>
      <c r="W1221">
        <v>0</v>
      </c>
      <c r="X1221">
        <v>4</v>
      </c>
      <c r="Z1221">
        <v>0</v>
      </c>
      <c r="AA1221">
        <v>8</v>
      </c>
      <c r="AB1221">
        <v>3</v>
      </c>
      <c r="AC1221">
        <v>0</v>
      </c>
      <c r="AD1221">
        <v>10</v>
      </c>
      <c r="AE1221">
        <v>0</v>
      </c>
      <c r="AF1221">
        <v>0</v>
      </c>
      <c r="AG1221">
        <v>1</v>
      </c>
      <c r="AH1221">
        <v>1</v>
      </c>
      <c r="AI1221" t="s">
        <v>935</v>
      </c>
      <c r="AJ1221">
        <v>35.244698999999997</v>
      </c>
      <c r="AK1221" t="s">
        <v>936</v>
      </c>
      <c r="AL1221">
        <v>-76.256511000000003</v>
      </c>
      <c r="AM1221">
        <v>25</v>
      </c>
      <c r="AN1221">
        <v>3425</v>
      </c>
      <c r="AO1221" t="s">
        <v>118</v>
      </c>
      <c r="AP1221">
        <v>-124</v>
      </c>
      <c r="AQ1221">
        <v>-183</v>
      </c>
      <c r="AR1221">
        <v>0</v>
      </c>
      <c r="AZ1221">
        <v>4516</v>
      </c>
      <c r="BA1221">
        <v>1</v>
      </c>
      <c r="BB1221" t="str">
        <f t="shared" ref="BB1221:BB1284" si="125">"N79NX   "</f>
        <v xml:space="preserve">N79NX   </v>
      </c>
      <c r="BC1221">
        <v>1</v>
      </c>
      <c r="BE1221">
        <v>0</v>
      </c>
      <c r="BF1221">
        <v>0</v>
      </c>
      <c r="BG1221">
        <v>0</v>
      </c>
      <c r="BH1221">
        <v>3275</v>
      </c>
      <c r="BI1221">
        <v>0</v>
      </c>
      <c r="BJ1221">
        <v>0</v>
      </c>
      <c r="BK1221">
        <v>0</v>
      </c>
      <c r="BL1221">
        <v>0</v>
      </c>
      <c r="BO1221">
        <v>0</v>
      </c>
      <c r="BP1221">
        <v>0</v>
      </c>
      <c r="BW1221" t="str">
        <f>"18:42:25.501"</f>
        <v>18:42:25.501</v>
      </c>
      <c r="BZ1221">
        <v>0</v>
      </c>
      <c r="CA1221">
        <v>4096</v>
      </c>
      <c r="CB1221">
        <v>216</v>
      </c>
      <c r="CC1221">
        <v>403.59379999999999</v>
      </c>
      <c r="CD1221">
        <v>1</v>
      </c>
      <c r="CE1221">
        <v>1</v>
      </c>
      <c r="CF1221">
        <v>0</v>
      </c>
      <c r="CG1221">
        <v>1</v>
      </c>
      <c r="CH1221">
        <v>0</v>
      </c>
      <c r="CI1221">
        <v>0</v>
      </c>
      <c r="CJ1221">
        <v>0</v>
      </c>
      <c r="CK1221">
        <v>2</v>
      </c>
      <c r="CL1221">
        <v>0</v>
      </c>
      <c r="CM1221">
        <v>2</v>
      </c>
      <c r="CN1221">
        <v>0</v>
      </c>
      <c r="CO1221">
        <v>2</v>
      </c>
      <c r="CP1221" t="s">
        <v>119</v>
      </c>
      <c r="CQ1221">
        <v>145</v>
      </c>
      <c r="CR1221">
        <v>1</v>
      </c>
      <c r="CW1221">
        <v>9043361</v>
      </c>
      <c r="CY1221">
        <v>0</v>
      </c>
      <c r="CZ1221">
        <v>0</v>
      </c>
      <c r="DA1221">
        <v>1</v>
      </c>
      <c r="DB1221">
        <v>0</v>
      </c>
      <c r="DC1221">
        <v>0</v>
      </c>
      <c r="DD1221">
        <v>0</v>
      </c>
      <c r="DE1221">
        <v>0</v>
      </c>
      <c r="DF1221">
        <v>0</v>
      </c>
      <c r="DG1221">
        <v>0</v>
      </c>
      <c r="DH1221">
        <v>0</v>
      </c>
      <c r="DI1221">
        <v>0</v>
      </c>
    </row>
    <row r="1222" spans="1:113" x14ac:dyDescent="0.3">
      <c r="A1222" t="str">
        <f>"02/13/2022 18:42:26.636"</f>
        <v>02/13/2022 18:42:26.636</v>
      </c>
      <c r="C1222" t="str">
        <f t="shared" si="124"/>
        <v>FFDFD7C0</v>
      </c>
      <c r="D1222" t="s">
        <v>121</v>
      </c>
      <c r="E1222">
        <v>2</v>
      </c>
      <c r="H1222">
        <v>158</v>
      </c>
      <c r="I1222" t="s">
        <v>120</v>
      </c>
      <c r="J1222" t="s">
        <v>122</v>
      </c>
      <c r="K1222">
        <v>0</v>
      </c>
      <c r="L1222">
        <v>3</v>
      </c>
      <c r="M1222">
        <v>0</v>
      </c>
      <c r="N1222">
        <v>2</v>
      </c>
      <c r="O1222">
        <v>1</v>
      </c>
      <c r="P1222">
        <v>0</v>
      </c>
      <c r="Q1222">
        <v>0</v>
      </c>
      <c r="S1222" t="str">
        <f>"18:42:26.406"</f>
        <v>18:42:26.406</v>
      </c>
      <c r="T1222" t="str">
        <f>"18:42:25.806"</f>
        <v>18:42:25.806</v>
      </c>
      <c r="U1222" t="str">
        <f t="shared" si="123"/>
        <v>AAB6EE</v>
      </c>
      <c r="V1222">
        <v>0</v>
      </c>
      <c r="W1222">
        <v>0</v>
      </c>
      <c r="X1222">
        <v>4</v>
      </c>
      <c r="Z1222">
        <v>0</v>
      </c>
      <c r="AA1222">
        <v>8</v>
      </c>
      <c r="AB1222">
        <v>3</v>
      </c>
      <c r="AC1222">
        <v>0</v>
      </c>
      <c r="AD1222">
        <v>10</v>
      </c>
      <c r="AE1222">
        <v>0</v>
      </c>
      <c r="AF1222">
        <v>0</v>
      </c>
      <c r="AG1222">
        <v>1</v>
      </c>
      <c r="AH1222">
        <v>1</v>
      </c>
      <c r="AI1222" t="s">
        <v>937</v>
      </c>
      <c r="AJ1222">
        <v>35.243862</v>
      </c>
      <c r="AK1222" t="s">
        <v>938</v>
      </c>
      <c r="AL1222">
        <v>-76.257261999999997</v>
      </c>
      <c r="AM1222">
        <v>25</v>
      </c>
      <c r="AN1222">
        <v>3425</v>
      </c>
      <c r="AO1222" t="s">
        <v>118</v>
      </c>
      <c r="AP1222">
        <v>-125</v>
      </c>
      <c r="AQ1222">
        <v>-183</v>
      </c>
      <c r="AR1222">
        <v>0</v>
      </c>
      <c r="AZ1222">
        <v>4516</v>
      </c>
      <c r="BA1222">
        <v>1</v>
      </c>
      <c r="BB1222" t="str">
        <f t="shared" si="125"/>
        <v xml:space="preserve">N79NX   </v>
      </c>
      <c r="BC1222">
        <v>1</v>
      </c>
      <c r="BE1222">
        <v>0</v>
      </c>
      <c r="BF1222">
        <v>0</v>
      </c>
      <c r="BG1222">
        <v>0</v>
      </c>
      <c r="BH1222">
        <v>3275</v>
      </c>
      <c r="BI1222">
        <v>0</v>
      </c>
      <c r="BJ1222">
        <v>0</v>
      </c>
      <c r="BK1222">
        <v>0</v>
      </c>
      <c r="BL1222">
        <v>0</v>
      </c>
      <c r="BO1222">
        <v>0</v>
      </c>
      <c r="BP1222">
        <v>0</v>
      </c>
      <c r="BW1222" t="str">
        <f>"18:42:26.411"</f>
        <v>18:42:26.411</v>
      </c>
      <c r="BZ1222">
        <v>0</v>
      </c>
      <c r="CA1222">
        <v>4096</v>
      </c>
      <c r="CB1222">
        <v>216</v>
      </c>
      <c r="CC1222">
        <v>403.59379999999999</v>
      </c>
      <c r="CD1222">
        <v>1</v>
      </c>
      <c r="CE1222">
        <v>1</v>
      </c>
      <c r="CF1222">
        <v>0</v>
      </c>
      <c r="CG1222">
        <v>1</v>
      </c>
      <c r="CH1222">
        <v>0</v>
      </c>
      <c r="CI1222">
        <v>0</v>
      </c>
      <c r="CJ1222">
        <v>0</v>
      </c>
      <c r="CK1222">
        <v>2</v>
      </c>
      <c r="CL1222">
        <v>0</v>
      </c>
      <c r="CM1222">
        <v>2</v>
      </c>
      <c r="CN1222">
        <v>0</v>
      </c>
      <c r="CO1222">
        <v>2</v>
      </c>
      <c r="CP1222" t="s">
        <v>119</v>
      </c>
      <c r="CQ1222">
        <v>145</v>
      </c>
      <c r="CR1222">
        <v>1</v>
      </c>
      <c r="CW1222">
        <v>9043734</v>
      </c>
      <c r="CY1222">
        <v>0</v>
      </c>
      <c r="CZ1222">
        <v>0</v>
      </c>
      <c r="DA1222">
        <v>0</v>
      </c>
      <c r="DB1222">
        <v>0</v>
      </c>
      <c r="DC1222">
        <v>0</v>
      </c>
      <c r="DD1222">
        <v>0</v>
      </c>
      <c r="DE1222">
        <v>0</v>
      </c>
      <c r="DF1222">
        <v>0</v>
      </c>
      <c r="DG1222">
        <v>0</v>
      </c>
      <c r="DH1222">
        <v>0</v>
      </c>
      <c r="DI1222">
        <v>0</v>
      </c>
    </row>
    <row r="1223" spans="1:113" x14ac:dyDescent="0.3">
      <c r="A1223" t="str">
        <f>"02/13/2022 18:42:26.652"</f>
        <v>02/13/2022 18:42:26.652</v>
      </c>
      <c r="C1223" t="str">
        <f t="shared" si="124"/>
        <v>FFDFD7C0</v>
      </c>
      <c r="D1223" t="s">
        <v>113</v>
      </c>
      <c r="E1223">
        <v>4</v>
      </c>
      <c r="F1223">
        <v>1004</v>
      </c>
      <c r="G1223" t="s">
        <v>120</v>
      </c>
      <c r="J1223" t="s">
        <v>115</v>
      </c>
      <c r="K1223">
        <v>0</v>
      </c>
      <c r="L1223">
        <v>3</v>
      </c>
      <c r="M1223">
        <v>0</v>
      </c>
      <c r="N1223">
        <v>2</v>
      </c>
      <c r="O1223">
        <v>1</v>
      </c>
      <c r="P1223">
        <v>0</v>
      </c>
      <c r="Q1223">
        <v>0</v>
      </c>
      <c r="S1223" t="str">
        <f>"18:42:26.406"</f>
        <v>18:42:26.406</v>
      </c>
      <c r="T1223" t="str">
        <f>"18:42:25.806"</f>
        <v>18:42:25.806</v>
      </c>
      <c r="U1223" t="str">
        <f t="shared" si="123"/>
        <v>AAB6EE</v>
      </c>
      <c r="V1223">
        <v>0</v>
      </c>
      <c r="W1223">
        <v>0</v>
      </c>
      <c r="X1223">
        <v>4</v>
      </c>
      <c r="Z1223">
        <v>0</v>
      </c>
      <c r="AA1223">
        <v>8</v>
      </c>
      <c r="AB1223">
        <v>3</v>
      </c>
      <c r="AC1223">
        <v>0</v>
      </c>
      <c r="AD1223">
        <v>10</v>
      </c>
      <c r="AE1223">
        <v>0</v>
      </c>
      <c r="AF1223">
        <v>0</v>
      </c>
      <c r="AG1223">
        <v>1</v>
      </c>
      <c r="AH1223">
        <v>1</v>
      </c>
      <c r="AI1223" t="s">
        <v>937</v>
      </c>
      <c r="AJ1223">
        <v>35.243862</v>
      </c>
      <c r="AK1223" t="s">
        <v>938</v>
      </c>
      <c r="AL1223">
        <v>-76.257261999999997</v>
      </c>
      <c r="AM1223">
        <v>25</v>
      </c>
      <c r="AN1223">
        <v>3425</v>
      </c>
      <c r="AO1223" t="s">
        <v>118</v>
      </c>
      <c r="AP1223">
        <v>-125</v>
      </c>
      <c r="AQ1223">
        <v>-183</v>
      </c>
      <c r="AR1223">
        <v>0</v>
      </c>
      <c r="AZ1223">
        <v>4516</v>
      </c>
      <c r="BA1223">
        <v>1</v>
      </c>
      <c r="BB1223" t="str">
        <f t="shared" si="125"/>
        <v xml:space="preserve">N79NX   </v>
      </c>
      <c r="BC1223">
        <v>1</v>
      </c>
      <c r="BE1223">
        <v>0</v>
      </c>
      <c r="BF1223">
        <v>0</v>
      </c>
      <c r="BG1223">
        <v>0</v>
      </c>
      <c r="BH1223">
        <v>3275</v>
      </c>
      <c r="BI1223">
        <v>0</v>
      </c>
      <c r="BJ1223">
        <v>0</v>
      </c>
      <c r="BK1223">
        <v>0</v>
      </c>
      <c r="BL1223">
        <v>0</v>
      </c>
      <c r="BO1223">
        <v>0</v>
      </c>
      <c r="BP1223">
        <v>0</v>
      </c>
      <c r="BW1223" t="str">
        <f>"18:42:26.411"</f>
        <v>18:42:26.411</v>
      </c>
      <c r="BZ1223">
        <v>0</v>
      </c>
      <c r="CA1223">
        <v>4096</v>
      </c>
      <c r="CB1223">
        <v>216</v>
      </c>
      <c r="CC1223">
        <v>403.59379999999999</v>
      </c>
      <c r="CD1223">
        <v>1</v>
      </c>
      <c r="CE1223">
        <v>1</v>
      </c>
      <c r="CF1223">
        <v>0</v>
      </c>
      <c r="CG1223">
        <v>1</v>
      </c>
      <c r="CH1223">
        <v>0</v>
      </c>
      <c r="CI1223">
        <v>0</v>
      </c>
      <c r="CJ1223">
        <v>0</v>
      </c>
      <c r="CK1223">
        <v>2</v>
      </c>
      <c r="CL1223">
        <v>0</v>
      </c>
      <c r="CM1223">
        <v>2</v>
      </c>
      <c r="CN1223">
        <v>0</v>
      </c>
      <c r="CO1223">
        <v>2</v>
      </c>
      <c r="CP1223" t="s">
        <v>119</v>
      </c>
      <c r="CQ1223">
        <v>145</v>
      </c>
      <c r="CR1223">
        <v>1</v>
      </c>
      <c r="CW1223">
        <v>9043734</v>
      </c>
      <c r="CY1223">
        <v>0</v>
      </c>
      <c r="CZ1223">
        <v>0</v>
      </c>
      <c r="DA1223">
        <v>1</v>
      </c>
      <c r="DB1223">
        <v>0</v>
      </c>
      <c r="DC1223">
        <v>0</v>
      </c>
      <c r="DD1223">
        <v>0</v>
      </c>
      <c r="DE1223">
        <v>0</v>
      </c>
      <c r="DF1223">
        <v>0</v>
      </c>
      <c r="DG1223">
        <v>0</v>
      </c>
      <c r="DH1223">
        <v>0</v>
      </c>
      <c r="DI1223">
        <v>0</v>
      </c>
    </row>
    <row r="1224" spans="1:113" x14ac:dyDescent="0.3">
      <c r="A1224" t="str">
        <f>"02/13/2022 18:42:26.652"</f>
        <v>02/13/2022 18:42:26.652</v>
      </c>
      <c r="C1224" t="str">
        <f t="shared" si="124"/>
        <v>FFDFD7C0</v>
      </c>
      <c r="D1224" t="s">
        <v>113</v>
      </c>
      <c r="E1224">
        <v>3</v>
      </c>
      <c r="F1224">
        <v>1003</v>
      </c>
      <c r="G1224" t="s">
        <v>114</v>
      </c>
      <c r="J1224" t="s">
        <v>115</v>
      </c>
      <c r="K1224">
        <v>0</v>
      </c>
      <c r="L1224">
        <v>3</v>
      </c>
      <c r="M1224">
        <v>0</v>
      </c>
      <c r="N1224">
        <v>2</v>
      </c>
      <c r="O1224">
        <v>1</v>
      </c>
      <c r="P1224">
        <v>0</v>
      </c>
      <c r="Q1224">
        <v>0</v>
      </c>
      <c r="S1224" t="str">
        <f>"18:42:26.406"</f>
        <v>18:42:26.406</v>
      </c>
      <c r="T1224" t="str">
        <f>"18:42:25.806"</f>
        <v>18:42:25.806</v>
      </c>
      <c r="U1224" t="str">
        <f t="shared" si="123"/>
        <v>AAB6EE</v>
      </c>
      <c r="V1224">
        <v>0</v>
      </c>
      <c r="W1224">
        <v>0</v>
      </c>
      <c r="X1224">
        <v>4</v>
      </c>
      <c r="Z1224">
        <v>0</v>
      </c>
      <c r="AA1224">
        <v>8</v>
      </c>
      <c r="AB1224">
        <v>3</v>
      </c>
      <c r="AC1224">
        <v>0</v>
      </c>
      <c r="AD1224">
        <v>10</v>
      </c>
      <c r="AE1224">
        <v>0</v>
      </c>
      <c r="AF1224">
        <v>0</v>
      </c>
      <c r="AG1224">
        <v>1</v>
      </c>
      <c r="AH1224">
        <v>1</v>
      </c>
      <c r="AI1224" t="s">
        <v>937</v>
      </c>
      <c r="AJ1224">
        <v>35.243862</v>
      </c>
      <c r="AK1224" t="s">
        <v>938</v>
      </c>
      <c r="AL1224">
        <v>-76.257261999999997</v>
      </c>
      <c r="AM1224">
        <v>25</v>
      </c>
      <c r="AN1224">
        <v>3425</v>
      </c>
      <c r="AO1224" t="s">
        <v>118</v>
      </c>
      <c r="AP1224">
        <v>-125</v>
      </c>
      <c r="AQ1224">
        <v>-183</v>
      </c>
      <c r="AR1224">
        <v>0</v>
      </c>
      <c r="AZ1224">
        <v>4516</v>
      </c>
      <c r="BA1224">
        <v>1</v>
      </c>
      <c r="BB1224" t="str">
        <f t="shared" si="125"/>
        <v xml:space="preserve">N79NX   </v>
      </c>
      <c r="BC1224">
        <v>1</v>
      </c>
      <c r="BE1224">
        <v>0</v>
      </c>
      <c r="BF1224">
        <v>0</v>
      </c>
      <c r="BG1224">
        <v>0</v>
      </c>
      <c r="BH1224">
        <v>3275</v>
      </c>
      <c r="BI1224">
        <v>0</v>
      </c>
      <c r="BJ1224">
        <v>0</v>
      </c>
      <c r="BK1224">
        <v>0</v>
      </c>
      <c r="BL1224">
        <v>0</v>
      </c>
      <c r="BO1224">
        <v>0</v>
      </c>
      <c r="BP1224">
        <v>0</v>
      </c>
      <c r="BW1224" t="str">
        <f>"18:42:26.411"</f>
        <v>18:42:26.411</v>
      </c>
      <c r="BZ1224">
        <v>0</v>
      </c>
      <c r="CA1224">
        <v>4096</v>
      </c>
      <c r="CB1224">
        <v>216</v>
      </c>
      <c r="CC1224">
        <v>403.59379999999999</v>
      </c>
      <c r="CD1224">
        <v>1</v>
      </c>
      <c r="CE1224">
        <v>1</v>
      </c>
      <c r="CF1224">
        <v>0</v>
      </c>
      <c r="CG1224">
        <v>1</v>
      </c>
      <c r="CH1224">
        <v>0</v>
      </c>
      <c r="CI1224">
        <v>0</v>
      </c>
      <c r="CJ1224">
        <v>0</v>
      </c>
      <c r="CK1224">
        <v>2</v>
      </c>
      <c r="CL1224">
        <v>0</v>
      </c>
      <c r="CM1224">
        <v>2</v>
      </c>
      <c r="CN1224">
        <v>0</v>
      </c>
      <c r="CO1224">
        <v>2</v>
      </c>
      <c r="CP1224" t="s">
        <v>119</v>
      </c>
      <c r="CQ1224">
        <v>145</v>
      </c>
      <c r="CR1224">
        <v>1</v>
      </c>
      <c r="CW1224">
        <v>9043734</v>
      </c>
      <c r="CY1224">
        <v>0</v>
      </c>
      <c r="CZ1224">
        <v>0</v>
      </c>
      <c r="DA1224">
        <v>1</v>
      </c>
      <c r="DB1224">
        <v>0</v>
      </c>
      <c r="DC1224">
        <v>0</v>
      </c>
      <c r="DD1224">
        <v>0</v>
      </c>
      <c r="DE1224">
        <v>0</v>
      </c>
      <c r="DF1224">
        <v>0</v>
      </c>
      <c r="DG1224">
        <v>0</v>
      </c>
      <c r="DH1224">
        <v>0</v>
      </c>
      <c r="DI1224">
        <v>0</v>
      </c>
    </row>
    <row r="1225" spans="1:113" x14ac:dyDescent="0.3">
      <c r="A1225" t="str">
        <f>"02/13/2022 18:42:27.683"</f>
        <v>02/13/2022 18:42:27.683</v>
      </c>
      <c r="C1225" t="str">
        <f t="shared" si="124"/>
        <v>FFDFD7C0</v>
      </c>
      <c r="D1225" t="s">
        <v>113</v>
      </c>
      <c r="E1225">
        <v>3</v>
      </c>
      <c r="F1225">
        <v>1003</v>
      </c>
      <c r="G1225" t="s">
        <v>114</v>
      </c>
      <c r="J1225" t="s">
        <v>115</v>
      </c>
      <c r="K1225">
        <v>0</v>
      </c>
      <c r="L1225">
        <v>3</v>
      </c>
      <c r="M1225">
        <v>0</v>
      </c>
      <c r="N1225">
        <v>2</v>
      </c>
      <c r="O1225">
        <v>1</v>
      </c>
      <c r="P1225">
        <v>0</v>
      </c>
      <c r="Q1225">
        <v>0</v>
      </c>
      <c r="S1225" t="str">
        <f>"18:42:27.461"</f>
        <v>18:42:27.461</v>
      </c>
      <c r="T1225" t="str">
        <f>"18:42:26.661"</f>
        <v>18:42:26.661</v>
      </c>
      <c r="U1225" t="str">
        <f t="shared" si="123"/>
        <v>AAB6EE</v>
      </c>
      <c r="V1225">
        <v>0</v>
      </c>
      <c r="W1225">
        <v>0</v>
      </c>
      <c r="X1225">
        <v>4</v>
      </c>
      <c r="Z1225">
        <v>0</v>
      </c>
      <c r="AA1225">
        <v>8</v>
      </c>
      <c r="AB1225">
        <v>3</v>
      </c>
      <c r="AC1225">
        <v>0</v>
      </c>
      <c r="AD1225">
        <v>10</v>
      </c>
      <c r="AE1225">
        <v>0</v>
      </c>
      <c r="AF1225">
        <v>0</v>
      </c>
      <c r="AG1225">
        <v>1</v>
      </c>
      <c r="AH1225">
        <v>1</v>
      </c>
      <c r="AI1225" t="s">
        <v>939</v>
      </c>
      <c r="AJ1225">
        <v>35.243025000000003</v>
      </c>
      <c r="AK1225" t="s">
        <v>940</v>
      </c>
      <c r="AL1225">
        <v>-76.25797</v>
      </c>
      <c r="AM1225">
        <v>25</v>
      </c>
      <c r="AN1225">
        <v>3425</v>
      </c>
      <c r="AO1225" t="s">
        <v>118</v>
      </c>
      <c r="AP1225">
        <v>-126</v>
      </c>
      <c r="AQ1225">
        <v>-182</v>
      </c>
      <c r="AR1225">
        <v>0</v>
      </c>
      <c r="AZ1225">
        <v>4516</v>
      </c>
      <c r="BA1225">
        <v>1</v>
      </c>
      <c r="BB1225" t="str">
        <f t="shared" si="125"/>
        <v xml:space="preserve">N79NX   </v>
      </c>
      <c r="BC1225">
        <v>1</v>
      </c>
      <c r="BE1225">
        <v>0</v>
      </c>
      <c r="BF1225">
        <v>0</v>
      </c>
      <c r="BG1225">
        <v>0</v>
      </c>
      <c r="BH1225">
        <v>3275</v>
      </c>
      <c r="BI1225">
        <v>0</v>
      </c>
      <c r="BJ1225">
        <v>0</v>
      </c>
      <c r="BK1225">
        <v>0</v>
      </c>
      <c r="BL1225">
        <v>0</v>
      </c>
      <c r="BO1225">
        <v>0</v>
      </c>
      <c r="BP1225">
        <v>0</v>
      </c>
      <c r="BW1225" t="str">
        <f>"18:42:27.461"</f>
        <v>18:42:27.461</v>
      </c>
      <c r="BZ1225">
        <v>0</v>
      </c>
      <c r="CA1225">
        <v>4096</v>
      </c>
      <c r="CB1225">
        <v>216</v>
      </c>
      <c r="CC1225">
        <v>500.625</v>
      </c>
      <c r="CD1225">
        <v>1</v>
      </c>
      <c r="CE1225">
        <v>1</v>
      </c>
      <c r="CF1225">
        <v>0</v>
      </c>
      <c r="CG1225">
        <v>1</v>
      </c>
      <c r="CH1225">
        <v>0</v>
      </c>
      <c r="CI1225">
        <v>0</v>
      </c>
      <c r="CJ1225">
        <v>0</v>
      </c>
      <c r="CK1225">
        <v>2</v>
      </c>
      <c r="CL1225">
        <v>0</v>
      </c>
      <c r="CM1225">
        <v>2</v>
      </c>
      <c r="CN1225">
        <v>0</v>
      </c>
      <c r="CO1225">
        <v>2</v>
      </c>
      <c r="CP1225" t="s">
        <v>119</v>
      </c>
      <c r="CQ1225">
        <v>145</v>
      </c>
      <c r="CR1225">
        <v>1</v>
      </c>
      <c r="CW1225">
        <v>9044121</v>
      </c>
      <c r="CY1225">
        <v>0</v>
      </c>
      <c r="CZ1225">
        <v>0</v>
      </c>
      <c r="DA1225">
        <v>0</v>
      </c>
      <c r="DB1225">
        <v>0</v>
      </c>
      <c r="DC1225">
        <v>0</v>
      </c>
      <c r="DD1225">
        <v>0</v>
      </c>
      <c r="DE1225">
        <v>0</v>
      </c>
      <c r="DF1225">
        <v>0</v>
      </c>
      <c r="DG1225">
        <v>0</v>
      </c>
      <c r="DH1225">
        <v>0</v>
      </c>
      <c r="DI1225">
        <v>0</v>
      </c>
    </row>
    <row r="1226" spans="1:113" x14ac:dyDescent="0.3">
      <c r="A1226" t="str">
        <f>"02/13/2022 18:42:27.683"</f>
        <v>02/13/2022 18:42:27.683</v>
      </c>
      <c r="C1226" t="str">
        <f t="shared" si="124"/>
        <v>FFDFD7C0</v>
      </c>
      <c r="D1226" t="s">
        <v>113</v>
      </c>
      <c r="E1226">
        <v>4</v>
      </c>
      <c r="F1226">
        <v>1004</v>
      </c>
      <c r="G1226" t="s">
        <v>120</v>
      </c>
      <c r="J1226" t="s">
        <v>115</v>
      </c>
      <c r="K1226">
        <v>0</v>
      </c>
      <c r="L1226">
        <v>3</v>
      </c>
      <c r="M1226">
        <v>0</v>
      </c>
      <c r="N1226">
        <v>2</v>
      </c>
      <c r="O1226">
        <v>1</v>
      </c>
      <c r="P1226">
        <v>0</v>
      </c>
      <c r="Q1226">
        <v>0</v>
      </c>
      <c r="S1226" t="str">
        <f>"18:42:27.461"</f>
        <v>18:42:27.461</v>
      </c>
      <c r="T1226" t="str">
        <f>"18:42:26.661"</f>
        <v>18:42:26.661</v>
      </c>
      <c r="U1226" t="str">
        <f t="shared" si="123"/>
        <v>AAB6EE</v>
      </c>
      <c r="V1226">
        <v>0</v>
      </c>
      <c r="W1226">
        <v>0</v>
      </c>
      <c r="X1226">
        <v>4</v>
      </c>
      <c r="Z1226">
        <v>0</v>
      </c>
      <c r="AA1226">
        <v>8</v>
      </c>
      <c r="AB1226">
        <v>3</v>
      </c>
      <c r="AC1226">
        <v>0</v>
      </c>
      <c r="AD1226">
        <v>10</v>
      </c>
      <c r="AE1226">
        <v>0</v>
      </c>
      <c r="AF1226">
        <v>0</v>
      </c>
      <c r="AG1226">
        <v>1</v>
      </c>
      <c r="AH1226">
        <v>1</v>
      </c>
      <c r="AI1226" t="s">
        <v>939</v>
      </c>
      <c r="AJ1226">
        <v>35.243025000000003</v>
      </c>
      <c r="AK1226" t="s">
        <v>940</v>
      </c>
      <c r="AL1226">
        <v>-76.25797</v>
      </c>
      <c r="AM1226">
        <v>25</v>
      </c>
      <c r="AN1226">
        <v>3425</v>
      </c>
      <c r="AO1226" t="s">
        <v>118</v>
      </c>
      <c r="AP1226">
        <v>-126</v>
      </c>
      <c r="AQ1226">
        <v>-182</v>
      </c>
      <c r="AR1226">
        <v>0</v>
      </c>
      <c r="AZ1226">
        <v>4516</v>
      </c>
      <c r="BA1226">
        <v>1</v>
      </c>
      <c r="BB1226" t="str">
        <f t="shared" si="125"/>
        <v xml:space="preserve">N79NX   </v>
      </c>
      <c r="BC1226">
        <v>1</v>
      </c>
      <c r="BE1226">
        <v>0</v>
      </c>
      <c r="BF1226">
        <v>0</v>
      </c>
      <c r="BG1226">
        <v>0</v>
      </c>
      <c r="BH1226">
        <v>3275</v>
      </c>
      <c r="BI1226">
        <v>0</v>
      </c>
      <c r="BJ1226">
        <v>0</v>
      </c>
      <c r="BK1226">
        <v>0</v>
      </c>
      <c r="BL1226">
        <v>0</v>
      </c>
      <c r="BO1226">
        <v>0</v>
      </c>
      <c r="BP1226">
        <v>0</v>
      </c>
      <c r="BW1226" t="str">
        <f>"18:42:27.461"</f>
        <v>18:42:27.461</v>
      </c>
      <c r="BZ1226">
        <v>0</v>
      </c>
      <c r="CA1226">
        <v>4096</v>
      </c>
      <c r="CB1226">
        <v>216</v>
      </c>
      <c r="CC1226">
        <v>500.625</v>
      </c>
      <c r="CD1226">
        <v>1</v>
      </c>
      <c r="CE1226">
        <v>1</v>
      </c>
      <c r="CF1226">
        <v>0</v>
      </c>
      <c r="CG1226">
        <v>1</v>
      </c>
      <c r="CH1226">
        <v>0</v>
      </c>
      <c r="CI1226">
        <v>0</v>
      </c>
      <c r="CJ1226">
        <v>0</v>
      </c>
      <c r="CK1226">
        <v>2</v>
      </c>
      <c r="CL1226">
        <v>0</v>
      </c>
      <c r="CM1226">
        <v>2</v>
      </c>
      <c r="CN1226">
        <v>0</v>
      </c>
      <c r="CO1226">
        <v>2</v>
      </c>
      <c r="CP1226" t="s">
        <v>119</v>
      </c>
      <c r="CQ1226">
        <v>145</v>
      </c>
      <c r="CR1226">
        <v>1</v>
      </c>
      <c r="CW1226">
        <v>9044121</v>
      </c>
      <c r="CY1226">
        <v>0</v>
      </c>
      <c r="CZ1226">
        <v>0</v>
      </c>
      <c r="DA1226">
        <v>1</v>
      </c>
      <c r="DB1226">
        <v>0</v>
      </c>
      <c r="DC1226">
        <v>0</v>
      </c>
      <c r="DD1226">
        <v>0</v>
      </c>
      <c r="DE1226">
        <v>0</v>
      </c>
      <c r="DF1226">
        <v>0</v>
      </c>
      <c r="DG1226">
        <v>0</v>
      </c>
      <c r="DH1226">
        <v>0</v>
      </c>
      <c r="DI1226">
        <v>0</v>
      </c>
    </row>
    <row r="1227" spans="1:113" x14ac:dyDescent="0.3">
      <c r="A1227" t="str">
        <f>"02/13/2022 18:42:27.683"</f>
        <v>02/13/2022 18:42:27.683</v>
      </c>
      <c r="C1227" t="str">
        <f t="shared" si="124"/>
        <v>FFDFD7C0</v>
      </c>
      <c r="D1227" t="s">
        <v>121</v>
      </c>
      <c r="E1227">
        <v>2</v>
      </c>
      <c r="H1227">
        <v>158</v>
      </c>
      <c r="I1227" t="s">
        <v>120</v>
      </c>
      <c r="J1227" t="s">
        <v>122</v>
      </c>
      <c r="K1227">
        <v>0</v>
      </c>
      <c r="L1227">
        <v>3</v>
      </c>
      <c r="M1227">
        <v>0</v>
      </c>
      <c r="N1227">
        <v>2</v>
      </c>
      <c r="O1227">
        <v>1</v>
      </c>
      <c r="P1227">
        <v>0</v>
      </c>
      <c r="Q1227">
        <v>0</v>
      </c>
      <c r="S1227" t="str">
        <f>"18:42:27.461"</f>
        <v>18:42:27.461</v>
      </c>
      <c r="T1227" t="str">
        <f>"18:42:26.661"</f>
        <v>18:42:26.661</v>
      </c>
      <c r="U1227" t="str">
        <f t="shared" si="123"/>
        <v>AAB6EE</v>
      </c>
      <c r="V1227">
        <v>0</v>
      </c>
      <c r="W1227">
        <v>0</v>
      </c>
      <c r="X1227">
        <v>4</v>
      </c>
      <c r="Z1227">
        <v>0</v>
      </c>
      <c r="AA1227">
        <v>8</v>
      </c>
      <c r="AB1227">
        <v>3</v>
      </c>
      <c r="AC1227">
        <v>0</v>
      </c>
      <c r="AD1227">
        <v>10</v>
      </c>
      <c r="AE1227">
        <v>0</v>
      </c>
      <c r="AF1227">
        <v>0</v>
      </c>
      <c r="AG1227">
        <v>1</v>
      </c>
      <c r="AH1227">
        <v>1</v>
      </c>
      <c r="AI1227" t="s">
        <v>939</v>
      </c>
      <c r="AJ1227">
        <v>35.243025000000003</v>
      </c>
      <c r="AK1227" t="s">
        <v>940</v>
      </c>
      <c r="AL1227">
        <v>-76.25797</v>
      </c>
      <c r="AM1227">
        <v>25</v>
      </c>
      <c r="AN1227">
        <v>3425</v>
      </c>
      <c r="AO1227" t="s">
        <v>118</v>
      </c>
      <c r="AP1227">
        <v>-126</v>
      </c>
      <c r="AQ1227">
        <v>-182</v>
      </c>
      <c r="AR1227">
        <v>0</v>
      </c>
      <c r="AZ1227">
        <v>4516</v>
      </c>
      <c r="BA1227">
        <v>1</v>
      </c>
      <c r="BB1227" t="str">
        <f t="shared" si="125"/>
        <v xml:space="preserve">N79NX   </v>
      </c>
      <c r="BC1227">
        <v>1</v>
      </c>
      <c r="BE1227">
        <v>0</v>
      </c>
      <c r="BF1227">
        <v>0</v>
      </c>
      <c r="BG1227">
        <v>0</v>
      </c>
      <c r="BH1227">
        <v>3275</v>
      </c>
      <c r="BI1227">
        <v>0</v>
      </c>
      <c r="BJ1227">
        <v>0</v>
      </c>
      <c r="BK1227">
        <v>0</v>
      </c>
      <c r="BL1227">
        <v>0</v>
      </c>
      <c r="BO1227">
        <v>0</v>
      </c>
      <c r="BP1227">
        <v>0</v>
      </c>
      <c r="BW1227" t="str">
        <f>"18:42:27.461"</f>
        <v>18:42:27.461</v>
      </c>
      <c r="BZ1227">
        <v>0</v>
      </c>
      <c r="CA1227">
        <v>4096</v>
      </c>
      <c r="CB1227">
        <v>216</v>
      </c>
      <c r="CC1227">
        <v>500.625</v>
      </c>
      <c r="CD1227">
        <v>1</v>
      </c>
      <c r="CE1227">
        <v>1</v>
      </c>
      <c r="CF1227">
        <v>0</v>
      </c>
      <c r="CG1227">
        <v>1</v>
      </c>
      <c r="CH1227">
        <v>0</v>
      </c>
      <c r="CI1227">
        <v>0</v>
      </c>
      <c r="CJ1227">
        <v>0</v>
      </c>
      <c r="CK1227">
        <v>2</v>
      </c>
      <c r="CL1227">
        <v>0</v>
      </c>
      <c r="CM1227">
        <v>2</v>
      </c>
      <c r="CN1227">
        <v>0</v>
      </c>
      <c r="CO1227">
        <v>2</v>
      </c>
      <c r="CP1227" t="s">
        <v>119</v>
      </c>
      <c r="CQ1227">
        <v>145</v>
      </c>
      <c r="CR1227">
        <v>1</v>
      </c>
      <c r="CW1227">
        <v>9044121</v>
      </c>
      <c r="CY1227">
        <v>0</v>
      </c>
      <c r="CZ1227">
        <v>0</v>
      </c>
      <c r="DA1227">
        <v>1</v>
      </c>
      <c r="DB1227">
        <v>0</v>
      </c>
      <c r="DC1227">
        <v>0</v>
      </c>
      <c r="DD1227">
        <v>0</v>
      </c>
      <c r="DE1227">
        <v>0</v>
      </c>
      <c r="DF1227">
        <v>0</v>
      </c>
      <c r="DG1227">
        <v>0</v>
      </c>
      <c r="DH1227">
        <v>0</v>
      </c>
      <c r="DI1227">
        <v>0</v>
      </c>
    </row>
    <row r="1228" spans="1:113" x14ac:dyDescent="0.3">
      <c r="A1228" t="str">
        <f>"02/13/2022 18:42:28.574"</f>
        <v>02/13/2022 18:42:28.574</v>
      </c>
      <c r="C1228" t="str">
        <f t="shared" si="124"/>
        <v>FFDFD7C0</v>
      </c>
      <c r="D1228" t="s">
        <v>121</v>
      </c>
      <c r="E1228">
        <v>2</v>
      </c>
      <c r="H1228">
        <v>158</v>
      </c>
      <c r="I1228" t="s">
        <v>120</v>
      </c>
      <c r="J1228" t="s">
        <v>122</v>
      </c>
      <c r="K1228">
        <v>0</v>
      </c>
      <c r="L1228">
        <v>3</v>
      </c>
      <c r="M1228">
        <v>0</v>
      </c>
      <c r="N1228">
        <v>2</v>
      </c>
      <c r="O1228">
        <v>1</v>
      </c>
      <c r="P1228">
        <v>0</v>
      </c>
      <c r="Q1228">
        <v>0</v>
      </c>
      <c r="S1228" t="str">
        <f>"18:42:28.391"</f>
        <v>18:42:28.391</v>
      </c>
      <c r="T1228" t="str">
        <f>"18:42:27.591"</f>
        <v>18:42:27.591</v>
      </c>
      <c r="U1228" t="str">
        <f t="shared" si="123"/>
        <v>AAB6EE</v>
      </c>
      <c r="V1228">
        <v>0</v>
      </c>
      <c r="W1228">
        <v>0</v>
      </c>
      <c r="X1228">
        <v>4</v>
      </c>
      <c r="Z1228">
        <v>0</v>
      </c>
      <c r="AA1228">
        <v>8</v>
      </c>
      <c r="AB1228">
        <v>3</v>
      </c>
      <c r="AC1228">
        <v>0</v>
      </c>
      <c r="AD1228">
        <v>10</v>
      </c>
      <c r="AE1228">
        <v>0</v>
      </c>
      <c r="AF1228">
        <v>0</v>
      </c>
      <c r="AG1228">
        <v>1</v>
      </c>
      <c r="AH1228">
        <v>1</v>
      </c>
      <c r="AI1228" t="s">
        <v>941</v>
      </c>
      <c r="AJ1228">
        <v>35.242274000000002</v>
      </c>
      <c r="AK1228" t="s">
        <v>942</v>
      </c>
      <c r="AL1228">
        <v>-76.258613999999994</v>
      </c>
      <c r="AM1228">
        <v>25</v>
      </c>
      <c r="AN1228">
        <v>3425</v>
      </c>
      <c r="AO1228" t="s">
        <v>118</v>
      </c>
      <c r="AP1228">
        <v>-128</v>
      </c>
      <c r="AQ1228">
        <v>-181</v>
      </c>
      <c r="AR1228">
        <v>0</v>
      </c>
      <c r="AZ1228">
        <v>4516</v>
      </c>
      <c r="BA1228">
        <v>1</v>
      </c>
      <c r="BB1228" t="str">
        <f t="shared" si="125"/>
        <v xml:space="preserve">N79NX   </v>
      </c>
      <c r="BC1228">
        <v>1</v>
      </c>
      <c r="BE1228">
        <v>0</v>
      </c>
      <c r="BF1228">
        <v>0</v>
      </c>
      <c r="BG1228">
        <v>0</v>
      </c>
      <c r="BH1228">
        <v>3275</v>
      </c>
      <c r="BI1228">
        <v>0</v>
      </c>
      <c r="BJ1228">
        <v>0</v>
      </c>
      <c r="BK1228">
        <v>0</v>
      </c>
      <c r="BL1228">
        <v>0</v>
      </c>
      <c r="BO1228">
        <v>0</v>
      </c>
      <c r="BP1228">
        <v>0</v>
      </c>
      <c r="BW1228" t="str">
        <f>"18:42:28.392"</f>
        <v>18:42:28.392</v>
      </c>
      <c r="BZ1228">
        <v>0</v>
      </c>
      <c r="CA1228">
        <v>4096</v>
      </c>
      <c r="CB1228">
        <v>216</v>
      </c>
      <c r="CC1228">
        <v>500.625</v>
      </c>
      <c r="CD1228">
        <v>1</v>
      </c>
      <c r="CE1228">
        <v>1</v>
      </c>
      <c r="CF1228">
        <v>0</v>
      </c>
      <c r="CG1228">
        <v>1</v>
      </c>
      <c r="CH1228">
        <v>0</v>
      </c>
      <c r="CI1228">
        <v>0</v>
      </c>
      <c r="CJ1228">
        <v>0</v>
      </c>
      <c r="CK1228">
        <v>2</v>
      </c>
      <c r="CL1228">
        <v>0</v>
      </c>
      <c r="CM1228">
        <v>2</v>
      </c>
      <c r="CN1228">
        <v>0</v>
      </c>
      <c r="CO1228">
        <v>2</v>
      </c>
      <c r="CP1228" t="s">
        <v>119</v>
      </c>
      <c r="CQ1228">
        <v>145</v>
      </c>
      <c r="CR1228">
        <v>1</v>
      </c>
      <c r="CW1228">
        <v>9044561</v>
      </c>
      <c r="CY1228">
        <v>0</v>
      </c>
      <c r="CZ1228">
        <v>0</v>
      </c>
      <c r="DA1228">
        <v>0</v>
      </c>
      <c r="DB1228">
        <v>0</v>
      </c>
      <c r="DC1228">
        <v>0</v>
      </c>
      <c r="DD1228">
        <v>0</v>
      </c>
      <c r="DE1228">
        <v>0</v>
      </c>
      <c r="DF1228">
        <v>0</v>
      </c>
      <c r="DG1228">
        <v>0</v>
      </c>
      <c r="DH1228">
        <v>0</v>
      </c>
      <c r="DI1228">
        <v>0</v>
      </c>
    </row>
    <row r="1229" spans="1:113" x14ac:dyDescent="0.3">
      <c r="A1229" t="str">
        <f>"02/13/2022 18:42:28.589"</f>
        <v>02/13/2022 18:42:28.589</v>
      </c>
      <c r="C1229" t="str">
        <f t="shared" si="124"/>
        <v>FFDFD7C0</v>
      </c>
      <c r="D1229" t="s">
        <v>113</v>
      </c>
      <c r="E1229">
        <v>3</v>
      </c>
      <c r="F1229">
        <v>1003</v>
      </c>
      <c r="G1229" t="s">
        <v>114</v>
      </c>
      <c r="J1229" t="s">
        <v>115</v>
      </c>
      <c r="K1229">
        <v>0</v>
      </c>
      <c r="L1229">
        <v>3</v>
      </c>
      <c r="M1229">
        <v>0</v>
      </c>
      <c r="N1229">
        <v>2</v>
      </c>
      <c r="O1229">
        <v>1</v>
      </c>
      <c r="P1229">
        <v>0</v>
      </c>
      <c r="Q1229">
        <v>0</v>
      </c>
      <c r="S1229" t="str">
        <f>"18:42:28.391"</f>
        <v>18:42:28.391</v>
      </c>
      <c r="T1229" t="str">
        <f>"18:42:27.591"</f>
        <v>18:42:27.591</v>
      </c>
      <c r="U1229" t="str">
        <f t="shared" si="123"/>
        <v>AAB6EE</v>
      </c>
      <c r="V1229">
        <v>0</v>
      </c>
      <c r="W1229">
        <v>0</v>
      </c>
      <c r="X1229">
        <v>4</v>
      </c>
      <c r="Z1229">
        <v>0</v>
      </c>
      <c r="AA1229">
        <v>8</v>
      </c>
      <c r="AB1229">
        <v>3</v>
      </c>
      <c r="AC1229">
        <v>0</v>
      </c>
      <c r="AD1229">
        <v>10</v>
      </c>
      <c r="AE1229">
        <v>0</v>
      </c>
      <c r="AF1229">
        <v>0</v>
      </c>
      <c r="AG1229">
        <v>1</v>
      </c>
      <c r="AH1229">
        <v>1</v>
      </c>
      <c r="AI1229" t="s">
        <v>941</v>
      </c>
      <c r="AJ1229">
        <v>35.242274000000002</v>
      </c>
      <c r="AK1229" t="s">
        <v>942</v>
      </c>
      <c r="AL1229">
        <v>-76.258613999999994</v>
      </c>
      <c r="AM1229">
        <v>25</v>
      </c>
      <c r="AN1229">
        <v>3425</v>
      </c>
      <c r="AO1229" t="s">
        <v>118</v>
      </c>
      <c r="AP1229">
        <v>-128</v>
      </c>
      <c r="AQ1229">
        <v>-181</v>
      </c>
      <c r="AR1229">
        <v>0</v>
      </c>
      <c r="AZ1229">
        <v>4516</v>
      </c>
      <c r="BA1229">
        <v>1</v>
      </c>
      <c r="BB1229" t="str">
        <f t="shared" si="125"/>
        <v xml:space="preserve">N79NX   </v>
      </c>
      <c r="BC1229">
        <v>1</v>
      </c>
      <c r="BE1229">
        <v>0</v>
      </c>
      <c r="BF1229">
        <v>0</v>
      </c>
      <c r="BG1229">
        <v>0</v>
      </c>
      <c r="BH1229">
        <v>3275</v>
      </c>
      <c r="BI1229">
        <v>0</v>
      </c>
      <c r="BJ1229">
        <v>0</v>
      </c>
      <c r="BK1229">
        <v>0</v>
      </c>
      <c r="BL1229">
        <v>0</v>
      </c>
      <c r="BO1229">
        <v>0</v>
      </c>
      <c r="BP1229">
        <v>0</v>
      </c>
      <c r="BW1229" t="str">
        <f>"18:42:28.392"</f>
        <v>18:42:28.392</v>
      </c>
      <c r="BZ1229">
        <v>0</v>
      </c>
      <c r="CA1229">
        <v>4096</v>
      </c>
      <c r="CB1229">
        <v>216</v>
      </c>
      <c r="CC1229">
        <v>500.625</v>
      </c>
      <c r="CD1229">
        <v>1</v>
      </c>
      <c r="CE1229">
        <v>1</v>
      </c>
      <c r="CF1229">
        <v>0</v>
      </c>
      <c r="CG1229">
        <v>1</v>
      </c>
      <c r="CH1229">
        <v>0</v>
      </c>
      <c r="CI1229">
        <v>0</v>
      </c>
      <c r="CJ1229">
        <v>0</v>
      </c>
      <c r="CK1229">
        <v>2</v>
      </c>
      <c r="CL1229">
        <v>0</v>
      </c>
      <c r="CM1229">
        <v>2</v>
      </c>
      <c r="CN1229">
        <v>0</v>
      </c>
      <c r="CO1229">
        <v>2</v>
      </c>
      <c r="CP1229" t="s">
        <v>119</v>
      </c>
      <c r="CQ1229">
        <v>145</v>
      </c>
      <c r="CR1229">
        <v>1</v>
      </c>
      <c r="CW1229">
        <v>9044561</v>
      </c>
      <c r="CY1229">
        <v>0</v>
      </c>
      <c r="CZ1229">
        <v>0</v>
      </c>
      <c r="DA1229">
        <v>1</v>
      </c>
      <c r="DB1229">
        <v>0</v>
      </c>
      <c r="DC1229">
        <v>0</v>
      </c>
      <c r="DD1229">
        <v>0</v>
      </c>
      <c r="DE1229">
        <v>0</v>
      </c>
      <c r="DF1229">
        <v>0</v>
      </c>
      <c r="DG1229">
        <v>0</v>
      </c>
      <c r="DH1229">
        <v>0</v>
      </c>
      <c r="DI1229">
        <v>0</v>
      </c>
    </row>
    <row r="1230" spans="1:113" x14ac:dyDescent="0.3">
      <c r="A1230" t="str">
        <f>"02/13/2022 18:42:28.589"</f>
        <v>02/13/2022 18:42:28.589</v>
      </c>
      <c r="C1230" t="str">
        <f t="shared" si="124"/>
        <v>FFDFD7C0</v>
      </c>
      <c r="D1230" t="s">
        <v>113</v>
      </c>
      <c r="E1230">
        <v>4</v>
      </c>
      <c r="F1230">
        <v>1004</v>
      </c>
      <c r="G1230" t="s">
        <v>120</v>
      </c>
      <c r="J1230" t="s">
        <v>115</v>
      </c>
      <c r="K1230">
        <v>0</v>
      </c>
      <c r="L1230">
        <v>3</v>
      </c>
      <c r="M1230">
        <v>0</v>
      </c>
      <c r="N1230">
        <v>2</v>
      </c>
      <c r="O1230">
        <v>1</v>
      </c>
      <c r="P1230">
        <v>0</v>
      </c>
      <c r="Q1230">
        <v>0</v>
      </c>
      <c r="S1230" t="str">
        <f>"18:42:28.391"</f>
        <v>18:42:28.391</v>
      </c>
      <c r="T1230" t="str">
        <f>"18:42:27.591"</f>
        <v>18:42:27.591</v>
      </c>
      <c r="U1230" t="str">
        <f t="shared" si="123"/>
        <v>AAB6EE</v>
      </c>
      <c r="V1230">
        <v>0</v>
      </c>
      <c r="W1230">
        <v>0</v>
      </c>
      <c r="X1230">
        <v>4</v>
      </c>
      <c r="Z1230">
        <v>0</v>
      </c>
      <c r="AA1230">
        <v>8</v>
      </c>
      <c r="AB1230">
        <v>3</v>
      </c>
      <c r="AC1230">
        <v>0</v>
      </c>
      <c r="AD1230">
        <v>10</v>
      </c>
      <c r="AE1230">
        <v>0</v>
      </c>
      <c r="AF1230">
        <v>0</v>
      </c>
      <c r="AG1230">
        <v>1</v>
      </c>
      <c r="AH1230">
        <v>1</v>
      </c>
      <c r="AI1230" t="s">
        <v>941</v>
      </c>
      <c r="AJ1230">
        <v>35.242274000000002</v>
      </c>
      <c r="AK1230" t="s">
        <v>942</v>
      </c>
      <c r="AL1230">
        <v>-76.258613999999994</v>
      </c>
      <c r="AM1230">
        <v>25</v>
      </c>
      <c r="AN1230">
        <v>3425</v>
      </c>
      <c r="AO1230" t="s">
        <v>118</v>
      </c>
      <c r="AP1230">
        <v>-128</v>
      </c>
      <c r="AQ1230">
        <v>-181</v>
      </c>
      <c r="AR1230">
        <v>0</v>
      </c>
      <c r="AZ1230">
        <v>4516</v>
      </c>
      <c r="BA1230">
        <v>1</v>
      </c>
      <c r="BB1230" t="str">
        <f t="shared" si="125"/>
        <v xml:space="preserve">N79NX   </v>
      </c>
      <c r="BC1230">
        <v>1</v>
      </c>
      <c r="BE1230">
        <v>0</v>
      </c>
      <c r="BF1230">
        <v>0</v>
      </c>
      <c r="BG1230">
        <v>0</v>
      </c>
      <c r="BH1230">
        <v>3275</v>
      </c>
      <c r="BI1230">
        <v>0</v>
      </c>
      <c r="BJ1230">
        <v>0</v>
      </c>
      <c r="BK1230">
        <v>0</v>
      </c>
      <c r="BL1230">
        <v>0</v>
      </c>
      <c r="BO1230">
        <v>0</v>
      </c>
      <c r="BP1230">
        <v>0</v>
      </c>
      <c r="BW1230" t="str">
        <f>"18:42:28.392"</f>
        <v>18:42:28.392</v>
      </c>
      <c r="BZ1230">
        <v>0</v>
      </c>
      <c r="CA1230">
        <v>4096</v>
      </c>
      <c r="CB1230">
        <v>216</v>
      </c>
      <c r="CC1230">
        <v>500.625</v>
      </c>
      <c r="CD1230">
        <v>1</v>
      </c>
      <c r="CE1230">
        <v>1</v>
      </c>
      <c r="CF1230">
        <v>0</v>
      </c>
      <c r="CG1230">
        <v>1</v>
      </c>
      <c r="CH1230">
        <v>0</v>
      </c>
      <c r="CI1230">
        <v>0</v>
      </c>
      <c r="CJ1230">
        <v>0</v>
      </c>
      <c r="CK1230">
        <v>2</v>
      </c>
      <c r="CL1230">
        <v>0</v>
      </c>
      <c r="CM1230">
        <v>2</v>
      </c>
      <c r="CN1230">
        <v>0</v>
      </c>
      <c r="CO1230">
        <v>2</v>
      </c>
      <c r="CP1230" t="s">
        <v>119</v>
      </c>
      <c r="CQ1230">
        <v>145</v>
      </c>
      <c r="CR1230">
        <v>1</v>
      </c>
      <c r="CW1230">
        <v>9044561</v>
      </c>
      <c r="CY1230">
        <v>0</v>
      </c>
      <c r="CZ1230">
        <v>0</v>
      </c>
      <c r="DA1230">
        <v>1</v>
      </c>
      <c r="DB1230">
        <v>0</v>
      </c>
      <c r="DC1230">
        <v>0</v>
      </c>
      <c r="DD1230">
        <v>0</v>
      </c>
      <c r="DE1230">
        <v>0</v>
      </c>
      <c r="DF1230">
        <v>0</v>
      </c>
      <c r="DG1230">
        <v>0</v>
      </c>
      <c r="DH1230">
        <v>0</v>
      </c>
      <c r="DI1230">
        <v>0</v>
      </c>
    </row>
    <row r="1231" spans="1:113" x14ac:dyDescent="0.3">
      <c r="A1231" t="str">
        <f>"02/13/2022 18:42:29.529"</f>
        <v>02/13/2022 18:42:29.529</v>
      </c>
      <c r="C1231" t="str">
        <f t="shared" si="124"/>
        <v>FFDFD7C0</v>
      </c>
      <c r="D1231" t="s">
        <v>113</v>
      </c>
      <c r="E1231">
        <v>3</v>
      </c>
      <c r="F1231">
        <v>1003</v>
      </c>
      <c r="G1231" t="s">
        <v>114</v>
      </c>
      <c r="J1231" t="s">
        <v>115</v>
      </c>
      <c r="K1231">
        <v>0</v>
      </c>
      <c r="L1231">
        <v>3</v>
      </c>
      <c r="M1231">
        <v>0</v>
      </c>
      <c r="N1231">
        <v>2</v>
      </c>
      <c r="O1231">
        <v>1</v>
      </c>
      <c r="P1231">
        <v>0</v>
      </c>
      <c r="Q1231">
        <v>0</v>
      </c>
      <c r="S1231" t="str">
        <f>"18:42:29.320"</f>
        <v>18:42:29.320</v>
      </c>
      <c r="T1231" t="str">
        <f>"18:42:28.420"</f>
        <v>18:42:28.420</v>
      </c>
      <c r="U1231" t="str">
        <f t="shared" si="123"/>
        <v>AAB6EE</v>
      </c>
      <c r="V1231">
        <v>0</v>
      </c>
      <c r="W1231">
        <v>0</v>
      </c>
      <c r="X1231">
        <v>4</v>
      </c>
      <c r="Z1231">
        <v>0</v>
      </c>
      <c r="AA1231">
        <v>8</v>
      </c>
      <c r="AB1231">
        <v>3</v>
      </c>
      <c r="AC1231">
        <v>0</v>
      </c>
      <c r="AD1231">
        <v>10</v>
      </c>
      <c r="AE1231">
        <v>0</v>
      </c>
      <c r="AF1231">
        <v>0</v>
      </c>
      <c r="AG1231">
        <v>1</v>
      </c>
      <c r="AH1231">
        <v>1</v>
      </c>
      <c r="AI1231" t="s">
        <v>943</v>
      </c>
      <c r="AJ1231">
        <v>35.241436999999998</v>
      </c>
      <c r="AK1231" t="s">
        <v>944</v>
      </c>
      <c r="AL1231">
        <v>-76.259365000000003</v>
      </c>
      <c r="AM1231">
        <v>25</v>
      </c>
      <c r="AN1231">
        <v>3425</v>
      </c>
      <c r="AO1231" t="s">
        <v>118</v>
      </c>
      <c r="AP1231">
        <v>-130</v>
      </c>
      <c r="AQ1231">
        <v>-179</v>
      </c>
      <c r="AR1231">
        <v>-64</v>
      </c>
      <c r="AZ1231">
        <v>4516</v>
      </c>
      <c r="BA1231">
        <v>1</v>
      </c>
      <c r="BB1231" t="str">
        <f t="shared" si="125"/>
        <v xml:space="preserve">N79NX   </v>
      </c>
      <c r="BC1231">
        <v>1</v>
      </c>
      <c r="BE1231">
        <v>0</v>
      </c>
      <c r="BF1231">
        <v>0</v>
      </c>
      <c r="BG1231">
        <v>0</v>
      </c>
      <c r="BH1231">
        <v>3275</v>
      </c>
      <c r="BI1231">
        <v>0</v>
      </c>
      <c r="BJ1231">
        <v>0</v>
      </c>
      <c r="BK1231">
        <v>0</v>
      </c>
      <c r="BL1231">
        <v>0</v>
      </c>
      <c r="BO1231">
        <v>0</v>
      </c>
      <c r="BP1231">
        <v>0</v>
      </c>
      <c r="BW1231" t="str">
        <f>"18:42:29.321"</f>
        <v>18:42:29.321</v>
      </c>
      <c r="BZ1231">
        <v>0</v>
      </c>
      <c r="CA1231">
        <v>4096</v>
      </c>
      <c r="CB1231">
        <v>216</v>
      </c>
      <c r="CC1231">
        <v>500.625</v>
      </c>
      <c r="CD1231">
        <v>1</v>
      </c>
      <c r="CE1231">
        <v>1</v>
      </c>
      <c r="CF1231">
        <v>0</v>
      </c>
      <c r="CG1231">
        <v>1</v>
      </c>
      <c r="CH1231">
        <v>0</v>
      </c>
      <c r="CI1231">
        <v>0</v>
      </c>
      <c r="CJ1231">
        <v>0</v>
      </c>
      <c r="CK1231">
        <v>2</v>
      </c>
      <c r="CL1231">
        <v>0</v>
      </c>
      <c r="CM1231">
        <v>2</v>
      </c>
      <c r="CN1231">
        <v>0</v>
      </c>
      <c r="CO1231">
        <v>2</v>
      </c>
      <c r="CP1231" t="s">
        <v>119</v>
      </c>
      <c r="CQ1231">
        <v>145</v>
      </c>
      <c r="CR1231">
        <v>1</v>
      </c>
      <c r="CW1231">
        <v>9045015</v>
      </c>
      <c r="CY1231">
        <v>0</v>
      </c>
      <c r="CZ1231">
        <v>0</v>
      </c>
      <c r="DA1231">
        <v>0</v>
      </c>
      <c r="DB1231">
        <v>0</v>
      </c>
      <c r="DC1231">
        <v>0</v>
      </c>
      <c r="DD1231">
        <v>0</v>
      </c>
      <c r="DE1231">
        <v>0</v>
      </c>
      <c r="DF1231">
        <v>0</v>
      </c>
      <c r="DG1231">
        <v>0</v>
      </c>
      <c r="DH1231">
        <v>0</v>
      </c>
      <c r="DI1231">
        <v>0</v>
      </c>
    </row>
    <row r="1232" spans="1:113" x14ac:dyDescent="0.3">
      <c r="A1232" t="str">
        <f>"02/13/2022 18:42:29.529"</f>
        <v>02/13/2022 18:42:29.529</v>
      </c>
      <c r="C1232" t="str">
        <f t="shared" si="124"/>
        <v>FFDFD7C0</v>
      </c>
      <c r="D1232" t="s">
        <v>113</v>
      </c>
      <c r="E1232">
        <v>4</v>
      </c>
      <c r="F1232">
        <v>1004</v>
      </c>
      <c r="G1232" t="s">
        <v>120</v>
      </c>
      <c r="J1232" t="s">
        <v>115</v>
      </c>
      <c r="K1232">
        <v>0</v>
      </c>
      <c r="L1232">
        <v>3</v>
      </c>
      <c r="M1232">
        <v>0</v>
      </c>
      <c r="N1232">
        <v>2</v>
      </c>
      <c r="O1232">
        <v>1</v>
      </c>
      <c r="P1232">
        <v>0</v>
      </c>
      <c r="Q1232">
        <v>0</v>
      </c>
      <c r="S1232" t="str">
        <f>"18:42:29.320"</f>
        <v>18:42:29.320</v>
      </c>
      <c r="T1232" t="str">
        <f>"18:42:28.420"</f>
        <v>18:42:28.420</v>
      </c>
      <c r="U1232" t="str">
        <f t="shared" si="123"/>
        <v>AAB6EE</v>
      </c>
      <c r="V1232">
        <v>0</v>
      </c>
      <c r="W1232">
        <v>0</v>
      </c>
      <c r="X1232">
        <v>4</v>
      </c>
      <c r="Z1232">
        <v>0</v>
      </c>
      <c r="AA1232">
        <v>8</v>
      </c>
      <c r="AB1232">
        <v>3</v>
      </c>
      <c r="AC1232">
        <v>0</v>
      </c>
      <c r="AD1232">
        <v>10</v>
      </c>
      <c r="AE1232">
        <v>0</v>
      </c>
      <c r="AF1232">
        <v>0</v>
      </c>
      <c r="AG1232">
        <v>1</v>
      </c>
      <c r="AH1232">
        <v>1</v>
      </c>
      <c r="AI1232" t="s">
        <v>943</v>
      </c>
      <c r="AJ1232">
        <v>35.241436999999998</v>
      </c>
      <c r="AK1232" t="s">
        <v>944</v>
      </c>
      <c r="AL1232">
        <v>-76.259365000000003</v>
      </c>
      <c r="AM1232">
        <v>25</v>
      </c>
      <c r="AN1232">
        <v>3425</v>
      </c>
      <c r="AO1232" t="s">
        <v>118</v>
      </c>
      <c r="AP1232">
        <v>-130</v>
      </c>
      <c r="AQ1232">
        <v>-179</v>
      </c>
      <c r="AR1232">
        <v>-64</v>
      </c>
      <c r="AZ1232">
        <v>4516</v>
      </c>
      <c r="BA1232">
        <v>1</v>
      </c>
      <c r="BB1232" t="str">
        <f t="shared" si="125"/>
        <v xml:space="preserve">N79NX   </v>
      </c>
      <c r="BC1232">
        <v>1</v>
      </c>
      <c r="BE1232">
        <v>0</v>
      </c>
      <c r="BF1232">
        <v>0</v>
      </c>
      <c r="BG1232">
        <v>0</v>
      </c>
      <c r="BH1232">
        <v>3275</v>
      </c>
      <c r="BI1232">
        <v>0</v>
      </c>
      <c r="BJ1232">
        <v>0</v>
      </c>
      <c r="BK1232">
        <v>0</v>
      </c>
      <c r="BL1232">
        <v>0</v>
      </c>
      <c r="BO1232">
        <v>0</v>
      </c>
      <c r="BP1232">
        <v>0</v>
      </c>
      <c r="BW1232" t="str">
        <f>"18:42:29.321"</f>
        <v>18:42:29.321</v>
      </c>
      <c r="BZ1232">
        <v>0</v>
      </c>
      <c r="CA1232">
        <v>4096</v>
      </c>
      <c r="CB1232">
        <v>216</v>
      </c>
      <c r="CC1232">
        <v>500.625</v>
      </c>
      <c r="CD1232">
        <v>1</v>
      </c>
      <c r="CE1232">
        <v>1</v>
      </c>
      <c r="CF1232">
        <v>0</v>
      </c>
      <c r="CG1232">
        <v>1</v>
      </c>
      <c r="CH1232">
        <v>0</v>
      </c>
      <c r="CI1232">
        <v>0</v>
      </c>
      <c r="CJ1232">
        <v>0</v>
      </c>
      <c r="CK1232">
        <v>2</v>
      </c>
      <c r="CL1232">
        <v>0</v>
      </c>
      <c r="CM1232">
        <v>2</v>
      </c>
      <c r="CN1232">
        <v>0</v>
      </c>
      <c r="CO1232">
        <v>2</v>
      </c>
      <c r="CP1232" t="s">
        <v>119</v>
      </c>
      <c r="CQ1232">
        <v>145</v>
      </c>
      <c r="CR1232">
        <v>1</v>
      </c>
      <c r="CW1232">
        <v>9045015</v>
      </c>
      <c r="CY1232">
        <v>0</v>
      </c>
      <c r="CZ1232">
        <v>0</v>
      </c>
      <c r="DA1232">
        <v>1</v>
      </c>
      <c r="DB1232">
        <v>0</v>
      </c>
      <c r="DC1232">
        <v>0</v>
      </c>
      <c r="DD1232">
        <v>0</v>
      </c>
      <c r="DE1232">
        <v>0</v>
      </c>
      <c r="DF1232">
        <v>0</v>
      </c>
      <c r="DG1232">
        <v>0</v>
      </c>
      <c r="DH1232">
        <v>0</v>
      </c>
      <c r="DI1232">
        <v>0</v>
      </c>
    </row>
    <row r="1233" spans="1:113" x14ac:dyDescent="0.3">
      <c r="A1233" t="str">
        <f>"02/13/2022 18:42:29.592"</f>
        <v>02/13/2022 18:42:29.592</v>
      </c>
      <c r="C1233" t="str">
        <f t="shared" si="124"/>
        <v>FFDFD7C0</v>
      </c>
      <c r="D1233" t="s">
        <v>121</v>
      </c>
      <c r="E1233">
        <v>2</v>
      </c>
      <c r="H1233">
        <v>158</v>
      </c>
      <c r="I1233" t="s">
        <v>120</v>
      </c>
      <c r="J1233" t="s">
        <v>122</v>
      </c>
      <c r="K1233">
        <v>0</v>
      </c>
      <c r="L1233">
        <v>3</v>
      </c>
      <c r="M1233">
        <v>0</v>
      </c>
      <c r="N1233">
        <v>2</v>
      </c>
      <c r="O1233">
        <v>1</v>
      </c>
      <c r="P1233">
        <v>0</v>
      </c>
      <c r="Q1233">
        <v>0</v>
      </c>
      <c r="S1233" t="str">
        <f>"18:42:29.320"</f>
        <v>18:42:29.320</v>
      </c>
      <c r="T1233" t="str">
        <f>"18:42:28.420"</f>
        <v>18:42:28.420</v>
      </c>
      <c r="U1233" t="str">
        <f t="shared" si="123"/>
        <v>AAB6EE</v>
      </c>
      <c r="V1233">
        <v>0</v>
      </c>
      <c r="W1233">
        <v>0</v>
      </c>
      <c r="X1233">
        <v>4</v>
      </c>
      <c r="Z1233">
        <v>0</v>
      </c>
      <c r="AA1233">
        <v>8</v>
      </c>
      <c r="AB1233">
        <v>3</v>
      </c>
      <c r="AC1233">
        <v>0</v>
      </c>
      <c r="AD1233">
        <v>10</v>
      </c>
      <c r="AE1233">
        <v>0</v>
      </c>
      <c r="AF1233">
        <v>0</v>
      </c>
      <c r="AG1233">
        <v>1</v>
      </c>
      <c r="AH1233">
        <v>1</v>
      </c>
      <c r="AI1233" t="s">
        <v>943</v>
      </c>
      <c r="AJ1233">
        <v>35.241436999999998</v>
      </c>
      <c r="AK1233" t="s">
        <v>944</v>
      </c>
      <c r="AL1233">
        <v>-76.259365000000003</v>
      </c>
      <c r="AM1233">
        <v>25</v>
      </c>
      <c r="AN1233">
        <v>3425</v>
      </c>
      <c r="AO1233" t="s">
        <v>118</v>
      </c>
      <c r="AP1233">
        <v>-130</v>
      </c>
      <c r="AQ1233">
        <v>-179</v>
      </c>
      <c r="AR1233">
        <v>-64</v>
      </c>
      <c r="AZ1233">
        <v>4516</v>
      </c>
      <c r="BA1233">
        <v>1</v>
      </c>
      <c r="BB1233" t="str">
        <f t="shared" si="125"/>
        <v xml:space="preserve">N79NX   </v>
      </c>
      <c r="BC1233">
        <v>1</v>
      </c>
      <c r="BE1233">
        <v>0</v>
      </c>
      <c r="BF1233">
        <v>0</v>
      </c>
      <c r="BG1233">
        <v>0</v>
      </c>
      <c r="BH1233">
        <v>3275</v>
      </c>
      <c r="BI1233">
        <v>0</v>
      </c>
      <c r="BJ1233">
        <v>0</v>
      </c>
      <c r="BK1233">
        <v>0</v>
      </c>
      <c r="BL1233">
        <v>0</v>
      </c>
      <c r="BO1233">
        <v>0</v>
      </c>
      <c r="BP1233">
        <v>0</v>
      </c>
      <c r="BW1233" t="str">
        <f>"18:42:29.321"</f>
        <v>18:42:29.321</v>
      </c>
      <c r="BZ1233">
        <v>0</v>
      </c>
      <c r="CA1233">
        <v>4096</v>
      </c>
      <c r="CB1233">
        <v>216</v>
      </c>
      <c r="CC1233">
        <v>500.625</v>
      </c>
      <c r="CD1233">
        <v>1</v>
      </c>
      <c r="CE1233">
        <v>1</v>
      </c>
      <c r="CF1233">
        <v>0</v>
      </c>
      <c r="CG1233">
        <v>1</v>
      </c>
      <c r="CH1233">
        <v>0</v>
      </c>
      <c r="CI1233">
        <v>0</v>
      </c>
      <c r="CJ1233">
        <v>0</v>
      </c>
      <c r="CK1233">
        <v>2</v>
      </c>
      <c r="CL1233">
        <v>0</v>
      </c>
      <c r="CM1233">
        <v>2</v>
      </c>
      <c r="CN1233">
        <v>0</v>
      </c>
      <c r="CO1233">
        <v>2</v>
      </c>
      <c r="CP1233" t="s">
        <v>119</v>
      </c>
      <c r="CQ1233">
        <v>145</v>
      </c>
      <c r="CR1233">
        <v>1</v>
      </c>
      <c r="CW1233">
        <v>9045015</v>
      </c>
      <c r="CY1233">
        <v>0</v>
      </c>
      <c r="CZ1233">
        <v>0</v>
      </c>
      <c r="DA1233">
        <v>1</v>
      </c>
      <c r="DB1233">
        <v>0</v>
      </c>
      <c r="DC1233">
        <v>0</v>
      </c>
      <c r="DD1233">
        <v>0</v>
      </c>
      <c r="DE1233">
        <v>0</v>
      </c>
      <c r="DF1233">
        <v>0</v>
      </c>
      <c r="DG1233">
        <v>0</v>
      </c>
      <c r="DH1233">
        <v>0</v>
      </c>
      <c r="DI1233">
        <v>0</v>
      </c>
    </row>
    <row r="1234" spans="1:113" x14ac:dyDescent="0.3">
      <c r="A1234" t="str">
        <f>"02/13/2022 18:42:30.724"</f>
        <v>02/13/2022 18:42:30.724</v>
      </c>
      <c r="C1234" t="str">
        <f t="shared" si="124"/>
        <v>FFDFD7C0</v>
      </c>
      <c r="D1234" t="s">
        <v>121</v>
      </c>
      <c r="E1234">
        <v>2</v>
      </c>
      <c r="H1234">
        <v>158</v>
      </c>
      <c r="I1234" t="s">
        <v>120</v>
      </c>
      <c r="J1234" t="s">
        <v>122</v>
      </c>
      <c r="K1234">
        <v>0</v>
      </c>
      <c r="L1234">
        <v>3</v>
      </c>
      <c r="M1234">
        <v>0</v>
      </c>
      <c r="N1234">
        <v>2</v>
      </c>
      <c r="O1234">
        <v>1</v>
      </c>
      <c r="P1234">
        <v>0</v>
      </c>
      <c r="Q1234">
        <v>0</v>
      </c>
      <c r="S1234" t="str">
        <f>"18:42:30.469"</f>
        <v>18:42:30.469</v>
      </c>
      <c r="T1234" t="str">
        <f>"18:42:29.669"</f>
        <v>18:42:29.669</v>
      </c>
      <c r="U1234" t="str">
        <f t="shared" si="123"/>
        <v>AAB6EE</v>
      </c>
      <c r="V1234">
        <v>0</v>
      </c>
      <c r="W1234">
        <v>0</v>
      </c>
      <c r="X1234">
        <v>4</v>
      </c>
      <c r="Z1234">
        <v>0</v>
      </c>
      <c r="AA1234">
        <v>8</v>
      </c>
      <c r="AB1234">
        <v>3</v>
      </c>
      <c r="AC1234">
        <v>0</v>
      </c>
      <c r="AD1234">
        <v>10</v>
      </c>
      <c r="AE1234">
        <v>0</v>
      </c>
      <c r="AF1234">
        <v>0</v>
      </c>
      <c r="AG1234">
        <v>1</v>
      </c>
      <c r="AH1234">
        <v>1</v>
      </c>
      <c r="AI1234" t="s">
        <v>945</v>
      </c>
      <c r="AJ1234">
        <v>35.240557000000003</v>
      </c>
      <c r="AK1234" t="s">
        <v>946</v>
      </c>
      <c r="AL1234">
        <v>-76.260202000000007</v>
      </c>
      <c r="AM1234">
        <v>25</v>
      </c>
      <c r="AN1234">
        <v>3425</v>
      </c>
      <c r="AO1234" t="s">
        <v>118</v>
      </c>
      <c r="AP1234">
        <v>-133</v>
      </c>
      <c r="AQ1234">
        <v>-177</v>
      </c>
      <c r="AR1234">
        <v>-64</v>
      </c>
      <c r="AZ1234">
        <v>4516</v>
      </c>
      <c r="BA1234">
        <v>1</v>
      </c>
      <c r="BB1234" t="str">
        <f t="shared" si="125"/>
        <v xml:space="preserve">N79NX   </v>
      </c>
      <c r="BC1234">
        <v>1</v>
      </c>
      <c r="BE1234">
        <v>0</v>
      </c>
      <c r="BF1234">
        <v>0</v>
      </c>
      <c r="BG1234">
        <v>0</v>
      </c>
      <c r="BH1234">
        <v>3300</v>
      </c>
      <c r="BI1234">
        <v>0</v>
      </c>
      <c r="BJ1234">
        <v>0</v>
      </c>
      <c r="BK1234">
        <v>0</v>
      </c>
      <c r="BL1234">
        <v>0</v>
      </c>
      <c r="BO1234">
        <v>0</v>
      </c>
      <c r="BP1234">
        <v>0</v>
      </c>
      <c r="BW1234" t="str">
        <f>"18:42:30.471"</f>
        <v>18:42:30.471</v>
      </c>
      <c r="BZ1234">
        <v>0</v>
      </c>
      <c r="CA1234">
        <v>4096</v>
      </c>
      <c r="CB1234">
        <v>216</v>
      </c>
      <c r="CC1234">
        <v>447.1875</v>
      </c>
      <c r="CD1234">
        <v>1</v>
      </c>
      <c r="CE1234">
        <v>1</v>
      </c>
      <c r="CF1234">
        <v>0</v>
      </c>
      <c r="CG1234">
        <v>1</v>
      </c>
      <c r="CH1234">
        <v>0</v>
      </c>
      <c r="CI1234">
        <v>0</v>
      </c>
      <c r="CJ1234">
        <v>0</v>
      </c>
      <c r="CK1234">
        <v>2</v>
      </c>
      <c r="CL1234">
        <v>0</v>
      </c>
      <c r="CM1234">
        <v>2</v>
      </c>
      <c r="CN1234">
        <v>0</v>
      </c>
      <c r="CO1234">
        <v>2</v>
      </c>
      <c r="CP1234" t="s">
        <v>119</v>
      </c>
      <c r="CQ1234">
        <v>145</v>
      </c>
      <c r="CR1234">
        <v>1</v>
      </c>
      <c r="CW1234">
        <v>9045601</v>
      </c>
      <c r="CY1234">
        <v>0</v>
      </c>
      <c r="CZ1234">
        <v>0</v>
      </c>
      <c r="DA1234">
        <v>0</v>
      </c>
      <c r="DB1234">
        <v>0</v>
      </c>
      <c r="DC1234">
        <v>0</v>
      </c>
      <c r="DD1234">
        <v>0</v>
      </c>
      <c r="DE1234">
        <v>0</v>
      </c>
      <c r="DF1234">
        <v>0</v>
      </c>
      <c r="DG1234">
        <v>0</v>
      </c>
      <c r="DH1234">
        <v>0</v>
      </c>
      <c r="DI1234">
        <v>0</v>
      </c>
    </row>
    <row r="1235" spans="1:113" x14ac:dyDescent="0.3">
      <c r="A1235" t="str">
        <f>"02/13/2022 18:42:30.724"</f>
        <v>02/13/2022 18:42:30.724</v>
      </c>
      <c r="C1235" t="str">
        <f t="shared" si="124"/>
        <v>FFDFD7C0</v>
      </c>
      <c r="D1235" t="s">
        <v>113</v>
      </c>
      <c r="E1235">
        <v>3</v>
      </c>
      <c r="F1235">
        <v>1003</v>
      </c>
      <c r="G1235" t="s">
        <v>114</v>
      </c>
      <c r="J1235" t="s">
        <v>115</v>
      </c>
      <c r="K1235">
        <v>0</v>
      </c>
      <c r="L1235">
        <v>3</v>
      </c>
      <c r="M1235">
        <v>0</v>
      </c>
      <c r="N1235">
        <v>2</v>
      </c>
      <c r="O1235">
        <v>1</v>
      </c>
      <c r="P1235">
        <v>0</v>
      </c>
      <c r="Q1235">
        <v>0</v>
      </c>
      <c r="S1235" t="str">
        <f>"18:42:30.469"</f>
        <v>18:42:30.469</v>
      </c>
      <c r="T1235" t="str">
        <f>"18:42:29.669"</f>
        <v>18:42:29.669</v>
      </c>
      <c r="U1235" t="str">
        <f t="shared" si="123"/>
        <v>AAB6EE</v>
      </c>
      <c r="V1235">
        <v>0</v>
      </c>
      <c r="W1235">
        <v>0</v>
      </c>
      <c r="X1235">
        <v>4</v>
      </c>
      <c r="Z1235">
        <v>0</v>
      </c>
      <c r="AA1235">
        <v>8</v>
      </c>
      <c r="AB1235">
        <v>3</v>
      </c>
      <c r="AC1235">
        <v>0</v>
      </c>
      <c r="AD1235">
        <v>10</v>
      </c>
      <c r="AE1235">
        <v>0</v>
      </c>
      <c r="AF1235">
        <v>0</v>
      </c>
      <c r="AG1235">
        <v>1</v>
      </c>
      <c r="AH1235">
        <v>1</v>
      </c>
      <c r="AI1235" t="s">
        <v>945</v>
      </c>
      <c r="AJ1235">
        <v>35.240557000000003</v>
      </c>
      <c r="AK1235" t="s">
        <v>946</v>
      </c>
      <c r="AL1235">
        <v>-76.260202000000007</v>
      </c>
      <c r="AM1235">
        <v>25</v>
      </c>
      <c r="AN1235">
        <v>3425</v>
      </c>
      <c r="AO1235" t="s">
        <v>118</v>
      </c>
      <c r="AP1235">
        <v>-133</v>
      </c>
      <c r="AQ1235">
        <v>-177</v>
      </c>
      <c r="AR1235">
        <v>-64</v>
      </c>
      <c r="AZ1235">
        <v>4516</v>
      </c>
      <c r="BA1235">
        <v>1</v>
      </c>
      <c r="BB1235" t="str">
        <f t="shared" si="125"/>
        <v xml:space="preserve">N79NX   </v>
      </c>
      <c r="BC1235">
        <v>1</v>
      </c>
      <c r="BE1235">
        <v>0</v>
      </c>
      <c r="BF1235">
        <v>0</v>
      </c>
      <c r="BG1235">
        <v>0</v>
      </c>
      <c r="BH1235">
        <v>3300</v>
      </c>
      <c r="BI1235">
        <v>0</v>
      </c>
      <c r="BJ1235">
        <v>0</v>
      </c>
      <c r="BK1235">
        <v>0</v>
      </c>
      <c r="BL1235">
        <v>0</v>
      </c>
      <c r="BO1235">
        <v>0</v>
      </c>
      <c r="BP1235">
        <v>0</v>
      </c>
      <c r="BW1235" t="str">
        <f>"18:42:30.471"</f>
        <v>18:42:30.471</v>
      </c>
      <c r="BZ1235">
        <v>0</v>
      </c>
      <c r="CA1235">
        <v>4096</v>
      </c>
      <c r="CB1235">
        <v>216</v>
      </c>
      <c r="CC1235">
        <v>447.1875</v>
      </c>
      <c r="CD1235">
        <v>1</v>
      </c>
      <c r="CE1235">
        <v>1</v>
      </c>
      <c r="CF1235">
        <v>0</v>
      </c>
      <c r="CG1235">
        <v>1</v>
      </c>
      <c r="CH1235">
        <v>0</v>
      </c>
      <c r="CI1235">
        <v>0</v>
      </c>
      <c r="CJ1235">
        <v>0</v>
      </c>
      <c r="CK1235">
        <v>2</v>
      </c>
      <c r="CL1235">
        <v>0</v>
      </c>
      <c r="CM1235">
        <v>2</v>
      </c>
      <c r="CN1235">
        <v>0</v>
      </c>
      <c r="CO1235">
        <v>2</v>
      </c>
      <c r="CP1235" t="s">
        <v>119</v>
      </c>
      <c r="CQ1235">
        <v>145</v>
      </c>
      <c r="CR1235">
        <v>1</v>
      </c>
      <c r="CW1235">
        <v>9045601</v>
      </c>
      <c r="CY1235">
        <v>0</v>
      </c>
      <c r="CZ1235">
        <v>0</v>
      </c>
      <c r="DA1235">
        <v>1</v>
      </c>
      <c r="DB1235">
        <v>0</v>
      </c>
      <c r="DC1235">
        <v>0</v>
      </c>
      <c r="DD1235">
        <v>0</v>
      </c>
      <c r="DE1235">
        <v>0</v>
      </c>
      <c r="DF1235">
        <v>0</v>
      </c>
      <c r="DG1235">
        <v>0</v>
      </c>
      <c r="DH1235">
        <v>0</v>
      </c>
      <c r="DI1235">
        <v>0</v>
      </c>
    </row>
    <row r="1236" spans="1:113" x14ac:dyDescent="0.3">
      <c r="A1236" t="str">
        <f>"02/13/2022 18:42:30.724"</f>
        <v>02/13/2022 18:42:30.724</v>
      </c>
      <c r="C1236" t="str">
        <f t="shared" si="124"/>
        <v>FFDFD7C0</v>
      </c>
      <c r="D1236" t="s">
        <v>113</v>
      </c>
      <c r="E1236">
        <v>4</v>
      </c>
      <c r="F1236">
        <v>1004</v>
      </c>
      <c r="G1236" t="s">
        <v>120</v>
      </c>
      <c r="J1236" t="s">
        <v>115</v>
      </c>
      <c r="K1236">
        <v>0</v>
      </c>
      <c r="L1236">
        <v>3</v>
      </c>
      <c r="M1236">
        <v>0</v>
      </c>
      <c r="N1236">
        <v>2</v>
      </c>
      <c r="O1236">
        <v>1</v>
      </c>
      <c r="P1236">
        <v>0</v>
      </c>
      <c r="Q1236">
        <v>0</v>
      </c>
      <c r="S1236" t="str">
        <f>"18:42:30.469"</f>
        <v>18:42:30.469</v>
      </c>
      <c r="T1236" t="str">
        <f>"18:42:29.669"</f>
        <v>18:42:29.669</v>
      </c>
      <c r="U1236" t="str">
        <f t="shared" si="123"/>
        <v>AAB6EE</v>
      </c>
      <c r="V1236">
        <v>0</v>
      </c>
      <c r="W1236">
        <v>0</v>
      </c>
      <c r="X1236">
        <v>4</v>
      </c>
      <c r="Z1236">
        <v>0</v>
      </c>
      <c r="AA1236">
        <v>8</v>
      </c>
      <c r="AB1236">
        <v>3</v>
      </c>
      <c r="AC1236">
        <v>0</v>
      </c>
      <c r="AD1236">
        <v>10</v>
      </c>
      <c r="AE1236">
        <v>0</v>
      </c>
      <c r="AF1236">
        <v>0</v>
      </c>
      <c r="AG1236">
        <v>1</v>
      </c>
      <c r="AH1236">
        <v>1</v>
      </c>
      <c r="AI1236" t="s">
        <v>945</v>
      </c>
      <c r="AJ1236">
        <v>35.240557000000003</v>
      </c>
      <c r="AK1236" t="s">
        <v>946</v>
      </c>
      <c r="AL1236">
        <v>-76.260202000000007</v>
      </c>
      <c r="AM1236">
        <v>25</v>
      </c>
      <c r="AN1236">
        <v>3425</v>
      </c>
      <c r="AO1236" t="s">
        <v>118</v>
      </c>
      <c r="AP1236">
        <v>-133</v>
      </c>
      <c r="AQ1236">
        <v>-177</v>
      </c>
      <c r="AR1236">
        <v>-64</v>
      </c>
      <c r="AZ1236">
        <v>4516</v>
      </c>
      <c r="BA1236">
        <v>1</v>
      </c>
      <c r="BB1236" t="str">
        <f t="shared" si="125"/>
        <v xml:space="preserve">N79NX   </v>
      </c>
      <c r="BC1236">
        <v>1</v>
      </c>
      <c r="BE1236">
        <v>0</v>
      </c>
      <c r="BF1236">
        <v>0</v>
      </c>
      <c r="BG1236">
        <v>0</v>
      </c>
      <c r="BH1236">
        <v>3300</v>
      </c>
      <c r="BI1236">
        <v>0</v>
      </c>
      <c r="BJ1236">
        <v>0</v>
      </c>
      <c r="BK1236">
        <v>0</v>
      </c>
      <c r="BL1236">
        <v>0</v>
      </c>
      <c r="BO1236">
        <v>0</v>
      </c>
      <c r="BP1236">
        <v>0</v>
      </c>
      <c r="BW1236" t="str">
        <f>"18:42:30.471"</f>
        <v>18:42:30.471</v>
      </c>
      <c r="BZ1236">
        <v>0</v>
      </c>
      <c r="CA1236">
        <v>4096</v>
      </c>
      <c r="CB1236">
        <v>216</v>
      </c>
      <c r="CC1236">
        <v>447.1875</v>
      </c>
      <c r="CD1236">
        <v>1</v>
      </c>
      <c r="CE1236">
        <v>1</v>
      </c>
      <c r="CF1236">
        <v>0</v>
      </c>
      <c r="CG1236">
        <v>1</v>
      </c>
      <c r="CH1236">
        <v>0</v>
      </c>
      <c r="CI1236">
        <v>0</v>
      </c>
      <c r="CJ1236">
        <v>0</v>
      </c>
      <c r="CK1236">
        <v>2</v>
      </c>
      <c r="CL1236">
        <v>0</v>
      </c>
      <c r="CM1236">
        <v>2</v>
      </c>
      <c r="CN1236">
        <v>0</v>
      </c>
      <c r="CO1236">
        <v>2</v>
      </c>
      <c r="CP1236" t="s">
        <v>119</v>
      </c>
      <c r="CQ1236">
        <v>145</v>
      </c>
      <c r="CR1236">
        <v>1</v>
      </c>
      <c r="CW1236">
        <v>9045601</v>
      </c>
      <c r="CY1236">
        <v>0</v>
      </c>
      <c r="CZ1236">
        <v>0</v>
      </c>
      <c r="DA1236">
        <v>1</v>
      </c>
      <c r="DB1236">
        <v>0</v>
      </c>
      <c r="DC1236">
        <v>0</v>
      </c>
      <c r="DD1236">
        <v>0</v>
      </c>
      <c r="DE1236">
        <v>0</v>
      </c>
      <c r="DF1236">
        <v>0</v>
      </c>
      <c r="DG1236">
        <v>0</v>
      </c>
      <c r="DH1236">
        <v>0</v>
      </c>
      <c r="DI1236">
        <v>0</v>
      </c>
    </row>
    <row r="1237" spans="1:113" x14ac:dyDescent="0.3">
      <c r="A1237" t="str">
        <f>"02/13/2022 18:42:31.677"</f>
        <v>02/13/2022 18:42:31.677</v>
      </c>
      <c r="C1237" t="str">
        <f t="shared" si="124"/>
        <v>FFDFD7C0</v>
      </c>
      <c r="D1237" t="s">
        <v>121</v>
      </c>
      <c r="E1237">
        <v>2</v>
      </c>
      <c r="H1237">
        <v>158</v>
      </c>
      <c r="I1237" t="s">
        <v>120</v>
      </c>
      <c r="J1237" t="s">
        <v>122</v>
      </c>
      <c r="K1237">
        <v>0</v>
      </c>
      <c r="L1237">
        <v>3</v>
      </c>
      <c r="M1237">
        <v>0</v>
      </c>
      <c r="N1237">
        <v>2</v>
      </c>
      <c r="O1237">
        <v>1</v>
      </c>
      <c r="P1237">
        <v>0</v>
      </c>
      <c r="Q1237">
        <v>0</v>
      </c>
      <c r="S1237" t="str">
        <f>"18:42:31.477"</f>
        <v>18:42:31.477</v>
      </c>
      <c r="T1237" t="str">
        <f>"18:42:29.577"</f>
        <v>18:42:29.577</v>
      </c>
      <c r="U1237" t="str">
        <f t="shared" si="123"/>
        <v>AAB6EE</v>
      </c>
      <c r="V1237">
        <v>0</v>
      </c>
      <c r="W1237">
        <v>0</v>
      </c>
      <c r="X1237">
        <v>4</v>
      </c>
      <c r="Z1237">
        <v>0</v>
      </c>
      <c r="AA1237">
        <v>8</v>
      </c>
      <c r="AB1237">
        <v>3</v>
      </c>
      <c r="AC1237">
        <v>0</v>
      </c>
      <c r="AD1237">
        <v>10</v>
      </c>
      <c r="AE1237">
        <v>0</v>
      </c>
      <c r="AF1237">
        <v>0</v>
      </c>
      <c r="AG1237">
        <v>1</v>
      </c>
      <c r="AH1237">
        <v>1</v>
      </c>
      <c r="AI1237" t="s">
        <v>947</v>
      </c>
      <c r="AJ1237">
        <v>35.239719999999998</v>
      </c>
      <c r="AK1237" t="s">
        <v>948</v>
      </c>
      <c r="AL1237">
        <v>-76.260953000000001</v>
      </c>
      <c r="AM1237">
        <v>25</v>
      </c>
      <c r="AN1237">
        <v>3425</v>
      </c>
      <c r="AO1237" t="s">
        <v>118</v>
      </c>
      <c r="AP1237">
        <v>-133</v>
      </c>
      <c r="AQ1237">
        <v>-177</v>
      </c>
      <c r="AR1237">
        <v>-64</v>
      </c>
      <c r="AZ1237">
        <v>4516</v>
      </c>
      <c r="BA1237">
        <v>1</v>
      </c>
      <c r="BB1237" t="str">
        <f t="shared" si="125"/>
        <v xml:space="preserve">N79NX   </v>
      </c>
      <c r="BC1237">
        <v>1</v>
      </c>
      <c r="BE1237">
        <v>0</v>
      </c>
      <c r="BF1237">
        <v>0</v>
      </c>
      <c r="BG1237">
        <v>0</v>
      </c>
      <c r="BH1237">
        <v>3300</v>
      </c>
      <c r="BI1237">
        <v>0</v>
      </c>
      <c r="BJ1237">
        <v>0</v>
      </c>
      <c r="BK1237">
        <v>0</v>
      </c>
      <c r="BL1237">
        <v>0</v>
      </c>
      <c r="BO1237">
        <v>0</v>
      </c>
      <c r="BP1237">
        <v>0</v>
      </c>
      <c r="BW1237" t="str">
        <f>"18:42:31.481"</f>
        <v>18:42:31.481</v>
      </c>
      <c r="BZ1237">
        <v>0</v>
      </c>
      <c r="CA1237">
        <v>4096</v>
      </c>
      <c r="CB1237">
        <v>216</v>
      </c>
      <c r="CC1237">
        <v>447.1875</v>
      </c>
      <c r="CD1237">
        <v>1</v>
      </c>
      <c r="CE1237">
        <v>1</v>
      </c>
      <c r="CF1237">
        <v>0</v>
      </c>
      <c r="CG1237">
        <v>1</v>
      </c>
      <c r="CH1237">
        <v>0</v>
      </c>
      <c r="CI1237">
        <v>0</v>
      </c>
      <c r="CJ1237">
        <v>0</v>
      </c>
      <c r="CK1237">
        <v>2</v>
      </c>
      <c r="CL1237">
        <v>0</v>
      </c>
      <c r="CM1237">
        <v>2</v>
      </c>
      <c r="CN1237">
        <v>0</v>
      </c>
      <c r="CO1237">
        <v>2</v>
      </c>
      <c r="CP1237" t="s">
        <v>119</v>
      </c>
      <c r="CQ1237">
        <v>145</v>
      </c>
      <c r="CR1237">
        <v>1</v>
      </c>
      <c r="CW1237">
        <v>9045995</v>
      </c>
      <c r="CY1237">
        <v>0</v>
      </c>
      <c r="CZ1237">
        <v>0</v>
      </c>
      <c r="DA1237">
        <v>0</v>
      </c>
      <c r="DB1237">
        <v>0</v>
      </c>
      <c r="DC1237">
        <v>0</v>
      </c>
      <c r="DD1237">
        <v>0</v>
      </c>
      <c r="DE1237">
        <v>0</v>
      </c>
      <c r="DF1237">
        <v>0</v>
      </c>
      <c r="DG1237">
        <v>0</v>
      </c>
      <c r="DH1237">
        <v>0</v>
      </c>
      <c r="DI1237">
        <v>0</v>
      </c>
    </row>
    <row r="1238" spans="1:113" x14ac:dyDescent="0.3">
      <c r="A1238" t="str">
        <f>"02/13/2022 18:42:31.677"</f>
        <v>02/13/2022 18:42:31.677</v>
      </c>
      <c r="C1238" t="str">
        <f t="shared" si="124"/>
        <v>FFDFD7C0</v>
      </c>
      <c r="D1238" t="s">
        <v>113</v>
      </c>
      <c r="E1238">
        <v>3</v>
      </c>
      <c r="F1238">
        <v>1003</v>
      </c>
      <c r="G1238" t="s">
        <v>114</v>
      </c>
      <c r="J1238" t="s">
        <v>115</v>
      </c>
      <c r="K1238">
        <v>0</v>
      </c>
      <c r="L1238">
        <v>3</v>
      </c>
      <c r="M1238">
        <v>0</v>
      </c>
      <c r="N1238">
        <v>2</v>
      </c>
      <c r="O1238">
        <v>1</v>
      </c>
      <c r="P1238">
        <v>0</v>
      </c>
      <c r="Q1238">
        <v>0</v>
      </c>
      <c r="S1238" t="str">
        <f>"18:42:31.477"</f>
        <v>18:42:31.477</v>
      </c>
      <c r="T1238" t="str">
        <f>"18:42:29.577"</f>
        <v>18:42:29.577</v>
      </c>
      <c r="U1238" t="str">
        <f t="shared" si="123"/>
        <v>AAB6EE</v>
      </c>
      <c r="V1238">
        <v>0</v>
      </c>
      <c r="W1238">
        <v>0</v>
      </c>
      <c r="X1238">
        <v>4</v>
      </c>
      <c r="Z1238">
        <v>0</v>
      </c>
      <c r="AA1238">
        <v>8</v>
      </c>
      <c r="AB1238">
        <v>3</v>
      </c>
      <c r="AC1238">
        <v>0</v>
      </c>
      <c r="AD1238">
        <v>10</v>
      </c>
      <c r="AE1238">
        <v>0</v>
      </c>
      <c r="AF1238">
        <v>0</v>
      </c>
      <c r="AG1238">
        <v>1</v>
      </c>
      <c r="AH1238">
        <v>1</v>
      </c>
      <c r="AI1238" t="s">
        <v>947</v>
      </c>
      <c r="AJ1238">
        <v>35.239719999999998</v>
      </c>
      <c r="AK1238" t="s">
        <v>948</v>
      </c>
      <c r="AL1238">
        <v>-76.260953000000001</v>
      </c>
      <c r="AM1238">
        <v>25</v>
      </c>
      <c r="AN1238">
        <v>3425</v>
      </c>
      <c r="AO1238" t="s">
        <v>118</v>
      </c>
      <c r="AP1238">
        <v>-133</v>
      </c>
      <c r="AQ1238">
        <v>-177</v>
      </c>
      <c r="AR1238">
        <v>-64</v>
      </c>
      <c r="AZ1238">
        <v>4516</v>
      </c>
      <c r="BA1238">
        <v>1</v>
      </c>
      <c r="BB1238" t="str">
        <f t="shared" si="125"/>
        <v xml:space="preserve">N79NX   </v>
      </c>
      <c r="BC1238">
        <v>1</v>
      </c>
      <c r="BE1238">
        <v>0</v>
      </c>
      <c r="BF1238">
        <v>0</v>
      </c>
      <c r="BG1238">
        <v>0</v>
      </c>
      <c r="BH1238">
        <v>3300</v>
      </c>
      <c r="BI1238">
        <v>0</v>
      </c>
      <c r="BJ1238">
        <v>0</v>
      </c>
      <c r="BK1238">
        <v>0</v>
      </c>
      <c r="BL1238">
        <v>0</v>
      </c>
      <c r="BO1238">
        <v>0</v>
      </c>
      <c r="BP1238">
        <v>0</v>
      </c>
      <c r="BW1238" t="str">
        <f>"18:42:31.481"</f>
        <v>18:42:31.481</v>
      </c>
      <c r="BZ1238">
        <v>0</v>
      </c>
      <c r="CA1238">
        <v>4096</v>
      </c>
      <c r="CB1238">
        <v>216</v>
      </c>
      <c r="CC1238">
        <v>447.1875</v>
      </c>
      <c r="CD1238">
        <v>1</v>
      </c>
      <c r="CE1238">
        <v>1</v>
      </c>
      <c r="CF1238">
        <v>0</v>
      </c>
      <c r="CG1238">
        <v>1</v>
      </c>
      <c r="CH1238">
        <v>0</v>
      </c>
      <c r="CI1238">
        <v>0</v>
      </c>
      <c r="CJ1238">
        <v>0</v>
      </c>
      <c r="CK1238">
        <v>2</v>
      </c>
      <c r="CL1238">
        <v>0</v>
      </c>
      <c r="CM1238">
        <v>2</v>
      </c>
      <c r="CN1238">
        <v>0</v>
      </c>
      <c r="CO1238">
        <v>2</v>
      </c>
      <c r="CP1238" t="s">
        <v>119</v>
      </c>
      <c r="CQ1238">
        <v>145</v>
      </c>
      <c r="CR1238">
        <v>1</v>
      </c>
      <c r="CW1238">
        <v>9045995</v>
      </c>
      <c r="CY1238">
        <v>0</v>
      </c>
      <c r="CZ1238">
        <v>0</v>
      </c>
      <c r="DA1238">
        <v>1</v>
      </c>
      <c r="DB1238">
        <v>0</v>
      </c>
      <c r="DC1238">
        <v>0</v>
      </c>
      <c r="DD1238">
        <v>0</v>
      </c>
      <c r="DE1238">
        <v>0</v>
      </c>
      <c r="DF1238">
        <v>0</v>
      </c>
      <c r="DG1238">
        <v>0</v>
      </c>
      <c r="DH1238">
        <v>0</v>
      </c>
      <c r="DI1238">
        <v>0</v>
      </c>
    </row>
    <row r="1239" spans="1:113" x14ac:dyDescent="0.3">
      <c r="A1239" t="str">
        <f>"02/13/2022 18:42:31.677"</f>
        <v>02/13/2022 18:42:31.677</v>
      </c>
      <c r="C1239" t="str">
        <f t="shared" si="124"/>
        <v>FFDFD7C0</v>
      </c>
      <c r="D1239" t="s">
        <v>113</v>
      </c>
      <c r="E1239">
        <v>4</v>
      </c>
      <c r="F1239">
        <v>1004</v>
      </c>
      <c r="G1239" t="s">
        <v>120</v>
      </c>
      <c r="J1239" t="s">
        <v>115</v>
      </c>
      <c r="K1239">
        <v>0</v>
      </c>
      <c r="L1239">
        <v>3</v>
      </c>
      <c r="M1239">
        <v>0</v>
      </c>
      <c r="N1239">
        <v>2</v>
      </c>
      <c r="O1239">
        <v>1</v>
      </c>
      <c r="P1239">
        <v>0</v>
      </c>
      <c r="Q1239">
        <v>0</v>
      </c>
      <c r="S1239" t="str">
        <f>"18:42:31.477"</f>
        <v>18:42:31.477</v>
      </c>
      <c r="T1239" t="str">
        <f>"18:42:29.577"</f>
        <v>18:42:29.577</v>
      </c>
      <c r="U1239" t="str">
        <f t="shared" si="123"/>
        <v>AAB6EE</v>
      </c>
      <c r="V1239">
        <v>0</v>
      </c>
      <c r="W1239">
        <v>0</v>
      </c>
      <c r="X1239">
        <v>4</v>
      </c>
      <c r="Z1239">
        <v>0</v>
      </c>
      <c r="AA1239">
        <v>8</v>
      </c>
      <c r="AB1239">
        <v>3</v>
      </c>
      <c r="AC1239">
        <v>0</v>
      </c>
      <c r="AD1239">
        <v>10</v>
      </c>
      <c r="AE1239">
        <v>0</v>
      </c>
      <c r="AF1239">
        <v>0</v>
      </c>
      <c r="AG1239">
        <v>1</v>
      </c>
      <c r="AH1239">
        <v>1</v>
      </c>
      <c r="AI1239" t="s">
        <v>947</v>
      </c>
      <c r="AJ1239">
        <v>35.239719999999998</v>
      </c>
      <c r="AK1239" t="s">
        <v>948</v>
      </c>
      <c r="AL1239">
        <v>-76.260953000000001</v>
      </c>
      <c r="AM1239">
        <v>25</v>
      </c>
      <c r="AN1239">
        <v>3425</v>
      </c>
      <c r="AO1239" t="s">
        <v>118</v>
      </c>
      <c r="AP1239">
        <v>-133</v>
      </c>
      <c r="AQ1239">
        <v>-177</v>
      </c>
      <c r="AR1239">
        <v>-64</v>
      </c>
      <c r="AZ1239">
        <v>4516</v>
      </c>
      <c r="BA1239">
        <v>1</v>
      </c>
      <c r="BB1239" t="str">
        <f t="shared" si="125"/>
        <v xml:space="preserve">N79NX   </v>
      </c>
      <c r="BC1239">
        <v>1</v>
      </c>
      <c r="BE1239">
        <v>0</v>
      </c>
      <c r="BF1239">
        <v>0</v>
      </c>
      <c r="BG1239">
        <v>0</v>
      </c>
      <c r="BH1239">
        <v>3300</v>
      </c>
      <c r="BI1239">
        <v>0</v>
      </c>
      <c r="BJ1239">
        <v>0</v>
      </c>
      <c r="BK1239">
        <v>0</v>
      </c>
      <c r="BL1239">
        <v>0</v>
      </c>
      <c r="BO1239">
        <v>0</v>
      </c>
      <c r="BP1239">
        <v>0</v>
      </c>
      <c r="BW1239" t="str">
        <f>"18:42:31.481"</f>
        <v>18:42:31.481</v>
      </c>
      <c r="BZ1239">
        <v>0</v>
      </c>
      <c r="CA1239">
        <v>4096</v>
      </c>
      <c r="CB1239">
        <v>216</v>
      </c>
      <c r="CC1239">
        <v>447.1875</v>
      </c>
      <c r="CD1239">
        <v>1</v>
      </c>
      <c r="CE1239">
        <v>1</v>
      </c>
      <c r="CF1239">
        <v>0</v>
      </c>
      <c r="CG1239">
        <v>1</v>
      </c>
      <c r="CH1239">
        <v>0</v>
      </c>
      <c r="CI1239">
        <v>0</v>
      </c>
      <c r="CJ1239">
        <v>0</v>
      </c>
      <c r="CK1239">
        <v>2</v>
      </c>
      <c r="CL1239">
        <v>0</v>
      </c>
      <c r="CM1239">
        <v>2</v>
      </c>
      <c r="CN1239">
        <v>0</v>
      </c>
      <c r="CO1239">
        <v>2</v>
      </c>
      <c r="CP1239" t="s">
        <v>119</v>
      </c>
      <c r="CQ1239">
        <v>145</v>
      </c>
      <c r="CR1239">
        <v>1</v>
      </c>
      <c r="CW1239">
        <v>9045995</v>
      </c>
      <c r="CY1239">
        <v>0</v>
      </c>
      <c r="CZ1239">
        <v>0</v>
      </c>
      <c r="DA1239">
        <v>1</v>
      </c>
      <c r="DB1239">
        <v>0</v>
      </c>
      <c r="DC1239">
        <v>0</v>
      </c>
      <c r="DD1239">
        <v>0</v>
      </c>
      <c r="DE1239">
        <v>0</v>
      </c>
      <c r="DF1239">
        <v>0</v>
      </c>
      <c r="DG1239">
        <v>0</v>
      </c>
      <c r="DH1239">
        <v>0</v>
      </c>
      <c r="DI1239">
        <v>0</v>
      </c>
    </row>
    <row r="1240" spans="1:113" x14ac:dyDescent="0.3">
      <c r="A1240" t="str">
        <f>"02/13/2022 18:42:32.911"</f>
        <v>02/13/2022 18:42:32.911</v>
      </c>
      <c r="C1240" t="str">
        <f t="shared" si="124"/>
        <v>FFDFD7C0</v>
      </c>
      <c r="D1240" t="s">
        <v>113</v>
      </c>
      <c r="E1240">
        <v>3</v>
      </c>
      <c r="F1240">
        <v>1003</v>
      </c>
      <c r="G1240" t="s">
        <v>114</v>
      </c>
      <c r="J1240" t="s">
        <v>115</v>
      </c>
      <c r="K1240">
        <v>0</v>
      </c>
      <c r="L1240">
        <v>3</v>
      </c>
      <c r="M1240">
        <v>0</v>
      </c>
      <c r="N1240">
        <v>2</v>
      </c>
      <c r="O1240">
        <v>1</v>
      </c>
      <c r="P1240">
        <v>0</v>
      </c>
      <c r="Q1240">
        <v>0</v>
      </c>
      <c r="S1240" t="str">
        <f>"18:42:32.641"</f>
        <v>18:42:32.641</v>
      </c>
      <c r="T1240" t="str">
        <f>"18:42:32.541"</f>
        <v>18:42:32.541</v>
      </c>
      <c r="U1240" t="str">
        <f t="shared" si="123"/>
        <v>AAB6EE</v>
      </c>
      <c r="V1240">
        <v>0</v>
      </c>
      <c r="W1240">
        <v>0</v>
      </c>
      <c r="X1240">
        <v>4</v>
      </c>
      <c r="Z1240">
        <v>0</v>
      </c>
      <c r="AA1240">
        <v>8</v>
      </c>
      <c r="AB1240">
        <v>3</v>
      </c>
      <c r="AC1240">
        <v>0</v>
      </c>
      <c r="AD1240">
        <v>10</v>
      </c>
      <c r="AE1240">
        <v>0</v>
      </c>
      <c r="AF1240">
        <v>0</v>
      </c>
      <c r="AG1240">
        <v>1</v>
      </c>
      <c r="AH1240">
        <v>1</v>
      </c>
      <c r="AI1240" t="s">
        <v>949</v>
      </c>
      <c r="AJ1240">
        <v>35.238733000000003</v>
      </c>
      <c r="AK1240" t="s">
        <v>950</v>
      </c>
      <c r="AL1240">
        <v>-76.261897000000005</v>
      </c>
      <c r="AM1240">
        <v>25</v>
      </c>
      <c r="AN1240">
        <v>3425</v>
      </c>
      <c r="AO1240" t="s">
        <v>118</v>
      </c>
      <c r="AP1240">
        <v>-136</v>
      </c>
      <c r="AQ1240">
        <v>-175</v>
      </c>
      <c r="AR1240">
        <v>64</v>
      </c>
      <c r="AZ1240">
        <v>4516</v>
      </c>
      <c r="BA1240">
        <v>1</v>
      </c>
      <c r="BB1240" t="str">
        <f t="shared" si="125"/>
        <v xml:space="preserve">N79NX   </v>
      </c>
      <c r="BC1240">
        <v>1</v>
      </c>
      <c r="BE1240">
        <v>0</v>
      </c>
      <c r="BF1240">
        <v>0</v>
      </c>
      <c r="BG1240">
        <v>0</v>
      </c>
      <c r="BH1240">
        <v>3300</v>
      </c>
      <c r="BI1240">
        <v>0</v>
      </c>
      <c r="BJ1240">
        <v>0</v>
      </c>
      <c r="BK1240">
        <v>0</v>
      </c>
      <c r="BL1240">
        <v>0</v>
      </c>
      <c r="BO1240">
        <v>0</v>
      </c>
      <c r="BP1240">
        <v>0</v>
      </c>
      <c r="BW1240" t="str">
        <f>"18:42:32.641"</f>
        <v>18:42:32.641</v>
      </c>
      <c r="BZ1240">
        <v>0</v>
      </c>
      <c r="CA1240">
        <v>4096</v>
      </c>
      <c r="CB1240">
        <v>216</v>
      </c>
      <c r="CC1240">
        <v>442.96879999999999</v>
      </c>
      <c r="CD1240">
        <v>1</v>
      </c>
      <c r="CE1240">
        <v>1</v>
      </c>
      <c r="CF1240">
        <v>0</v>
      </c>
      <c r="CG1240">
        <v>1</v>
      </c>
      <c r="CH1240">
        <v>0</v>
      </c>
      <c r="CI1240">
        <v>0</v>
      </c>
      <c r="CJ1240">
        <v>0</v>
      </c>
      <c r="CK1240">
        <v>2</v>
      </c>
      <c r="CL1240">
        <v>0</v>
      </c>
      <c r="CM1240">
        <v>2</v>
      </c>
      <c r="CN1240">
        <v>0</v>
      </c>
      <c r="CO1240">
        <v>2</v>
      </c>
      <c r="CP1240" t="s">
        <v>119</v>
      </c>
      <c r="CQ1240">
        <v>145</v>
      </c>
      <c r="CR1240">
        <v>1</v>
      </c>
      <c r="CW1240">
        <v>9046491</v>
      </c>
      <c r="CY1240">
        <v>0</v>
      </c>
      <c r="CZ1240">
        <v>0</v>
      </c>
      <c r="DA1240">
        <v>0</v>
      </c>
      <c r="DB1240">
        <v>0</v>
      </c>
      <c r="DC1240">
        <v>0</v>
      </c>
      <c r="DD1240">
        <v>0</v>
      </c>
      <c r="DE1240">
        <v>0</v>
      </c>
      <c r="DF1240">
        <v>0</v>
      </c>
      <c r="DG1240">
        <v>0</v>
      </c>
      <c r="DH1240">
        <v>0</v>
      </c>
      <c r="DI1240">
        <v>0</v>
      </c>
    </row>
    <row r="1241" spans="1:113" x14ac:dyDescent="0.3">
      <c r="A1241" t="str">
        <f>"02/13/2022 18:42:32.911"</f>
        <v>02/13/2022 18:42:32.911</v>
      </c>
      <c r="C1241" t="str">
        <f t="shared" si="124"/>
        <v>FFDFD7C0</v>
      </c>
      <c r="D1241" t="s">
        <v>121</v>
      </c>
      <c r="E1241">
        <v>2</v>
      </c>
      <c r="H1241">
        <v>158</v>
      </c>
      <c r="I1241" t="s">
        <v>120</v>
      </c>
      <c r="J1241" t="s">
        <v>122</v>
      </c>
      <c r="K1241">
        <v>0</v>
      </c>
      <c r="L1241">
        <v>3</v>
      </c>
      <c r="M1241">
        <v>0</v>
      </c>
      <c r="N1241">
        <v>2</v>
      </c>
      <c r="O1241">
        <v>1</v>
      </c>
      <c r="P1241">
        <v>0</v>
      </c>
      <c r="Q1241">
        <v>0</v>
      </c>
      <c r="S1241" t="str">
        <f>"18:42:32.641"</f>
        <v>18:42:32.641</v>
      </c>
      <c r="T1241" t="str">
        <f>"18:42:32.541"</f>
        <v>18:42:32.541</v>
      </c>
      <c r="U1241" t="str">
        <f t="shared" si="123"/>
        <v>AAB6EE</v>
      </c>
      <c r="V1241">
        <v>0</v>
      </c>
      <c r="W1241">
        <v>0</v>
      </c>
      <c r="X1241">
        <v>4</v>
      </c>
      <c r="Z1241">
        <v>0</v>
      </c>
      <c r="AA1241">
        <v>8</v>
      </c>
      <c r="AB1241">
        <v>3</v>
      </c>
      <c r="AC1241">
        <v>0</v>
      </c>
      <c r="AD1241">
        <v>10</v>
      </c>
      <c r="AE1241">
        <v>0</v>
      </c>
      <c r="AF1241">
        <v>0</v>
      </c>
      <c r="AG1241">
        <v>1</v>
      </c>
      <c r="AH1241">
        <v>1</v>
      </c>
      <c r="AI1241" t="s">
        <v>949</v>
      </c>
      <c r="AJ1241">
        <v>35.238733000000003</v>
      </c>
      <c r="AK1241" t="s">
        <v>950</v>
      </c>
      <c r="AL1241">
        <v>-76.261897000000005</v>
      </c>
      <c r="AM1241">
        <v>25</v>
      </c>
      <c r="AN1241">
        <v>3425</v>
      </c>
      <c r="AO1241" t="s">
        <v>118</v>
      </c>
      <c r="AP1241">
        <v>-136</v>
      </c>
      <c r="AQ1241">
        <v>-175</v>
      </c>
      <c r="AR1241">
        <v>64</v>
      </c>
      <c r="AZ1241">
        <v>4516</v>
      </c>
      <c r="BA1241">
        <v>1</v>
      </c>
      <c r="BB1241" t="str">
        <f t="shared" si="125"/>
        <v xml:space="preserve">N79NX   </v>
      </c>
      <c r="BC1241">
        <v>1</v>
      </c>
      <c r="BE1241">
        <v>0</v>
      </c>
      <c r="BF1241">
        <v>0</v>
      </c>
      <c r="BG1241">
        <v>0</v>
      </c>
      <c r="BH1241">
        <v>3300</v>
      </c>
      <c r="BI1241">
        <v>0</v>
      </c>
      <c r="BJ1241">
        <v>0</v>
      </c>
      <c r="BK1241">
        <v>0</v>
      </c>
      <c r="BL1241">
        <v>0</v>
      </c>
      <c r="BO1241">
        <v>0</v>
      </c>
      <c r="BP1241">
        <v>0</v>
      </c>
      <c r="BW1241" t="str">
        <f>"18:42:32.641"</f>
        <v>18:42:32.641</v>
      </c>
      <c r="BZ1241">
        <v>0</v>
      </c>
      <c r="CA1241">
        <v>4096</v>
      </c>
      <c r="CB1241">
        <v>216</v>
      </c>
      <c r="CC1241">
        <v>442.96879999999999</v>
      </c>
      <c r="CD1241">
        <v>1</v>
      </c>
      <c r="CE1241">
        <v>1</v>
      </c>
      <c r="CF1241">
        <v>0</v>
      </c>
      <c r="CG1241">
        <v>1</v>
      </c>
      <c r="CH1241">
        <v>0</v>
      </c>
      <c r="CI1241">
        <v>0</v>
      </c>
      <c r="CJ1241">
        <v>0</v>
      </c>
      <c r="CK1241">
        <v>2</v>
      </c>
      <c r="CL1241">
        <v>0</v>
      </c>
      <c r="CM1241">
        <v>2</v>
      </c>
      <c r="CN1241">
        <v>0</v>
      </c>
      <c r="CO1241">
        <v>2</v>
      </c>
      <c r="CP1241" t="s">
        <v>119</v>
      </c>
      <c r="CQ1241">
        <v>145</v>
      </c>
      <c r="CR1241">
        <v>1</v>
      </c>
      <c r="CW1241">
        <v>9046491</v>
      </c>
      <c r="CY1241">
        <v>0</v>
      </c>
      <c r="CZ1241">
        <v>0</v>
      </c>
      <c r="DA1241">
        <v>1</v>
      </c>
      <c r="DB1241">
        <v>0</v>
      </c>
      <c r="DC1241">
        <v>0</v>
      </c>
      <c r="DD1241">
        <v>0</v>
      </c>
      <c r="DE1241">
        <v>0</v>
      </c>
      <c r="DF1241">
        <v>0</v>
      </c>
      <c r="DG1241">
        <v>0</v>
      </c>
      <c r="DH1241">
        <v>0</v>
      </c>
      <c r="DI1241">
        <v>0</v>
      </c>
    </row>
    <row r="1242" spans="1:113" x14ac:dyDescent="0.3">
      <c r="A1242" t="str">
        <f>"02/13/2022 18:42:32.911"</f>
        <v>02/13/2022 18:42:32.911</v>
      </c>
      <c r="C1242" t="str">
        <f t="shared" si="124"/>
        <v>FFDFD7C0</v>
      </c>
      <c r="D1242" t="s">
        <v>113</v>
      </c>
      <c r="E1242">
        <v>4</v>
      </c>
      <c r="F1242">
        <v>1004</v>
      </c>
      <c r="G1242" t="s">
        <v>120</v>
      </c>
      <c r="J1242" t="s">
        <v>115</v>
      </c>
      <c r="K1242">
        <v>0</v>
      </c>
      <c r="L1242">
        <v>3</v>
      </c>
      <c r="M1242">
        <v>0</v>
      </c>
      <c r="N1242">
        <v>2</v>
      </c>
      <c r="O1242">
        <v>1</v>
      </c>
      <c r="P1242">
        <v>0</v>
      </c>
      <c r="Q1242">
        <v>0</v>
      </c>
      <c r="S1242" t="str">
        <f>"18:42:32.641"</f>
        <v>18:42:32.641</v>
      </c>
      <c r="T1242" t="str">
        <f>"18:42:32.541"</f>
        <v>18:42:32.541</v>
      </c>
      <c r="U1242" t="str">
        <f t="shared" si="123"/>
        <v>AAB6EE</v>
      </c>
      <c r="V1242">
        <v>0</v>
      </c>
      <c r="W1242">
        <v>0</v>
      </c>
      <c r="X1242">
        <v>4</v>
      </c>
      <c r="Z1242">
        <v>0</v>
      </c>
      <c r="AA1242">
        <v>8</v>
      </c>
      <c r="AB1242">
        <v>3</v>
      </c>
      <c r="AC1242">
        <v>0</v>
      </c>
      <c r="AD1242">
        <v>10</v>
      </c>
      <c r="AE1242">
        <v>0</v>
      </c>
      <c r="AF1242">
        <v>0</v>
      </c>
      <c r="AG1242">
        <v>1</v>
      </c>
      <c r="AH1242">
        <v>1</v>
      </c>
      <c r="AI1242" t="s">
        <v>949</v>
      </c>
      <c r="AJ1242">
        <v>35.238733000000003</v>
      </c>
      <c r="AK1242" t="s">
        <v>950</v>
      </c>
      <c r="AL1242">
        <v>-76.261897000000005</v>
      </c>
      <c r="AM1242">
        <v>25</v>
      </c>
      <c r="AN1242">
        <v>3425</v>
      </c>
      <c r="AO1242" t="s">
        <v>118</v>
      </c>
      <c r="AP1242">
        <v>-136</v>
      </c>
      <c r="AQ1242">
        <v>-175</v>
      </c>
      <c r="AR1242">
        <v>64</v>
      </c>
      <c r="AZ1242">
        <v>4516</v>
      </c>
      <c r="BA1242">
        <v>1</v>
      </c>
      <c r="BB1242" t="str">
        <f t="shared" si="125"/>
        <v xml:space="preserve">N79NX   </v>
      </c>
      <c r="BC1242">
        <v>1</v>
      </c>
      <c r="BE1242">
        <v>0</v>
      </c>
      <c r="BF1242">
        <v>0</v>
      </c>
      <c r="BG1242">
        <v>0</v>
      </c>
      <c r="BH1242">
        <v>3300</v>
      </c>
      <c r="BI1242">
        <v>0</v>
      </c>
      <c r="BJ1242">
        <v>0</v>
      </c>
      <c r="BK1242">
        <v>0</v>
      </c>
      <c r="BL1242">
        <v>0</v>
      </c>
      <c r="BO1242">
        <v>0</v>
      </c>
      <c r="BP1242">
        <v>0</v>
      </c>
      <c r="BW1242" t="str">
        <f>"18:42:32.641"</f>
        <v>18:42:32.641</v>
      </c>
      <c r="BZ1242">
        <v>0</v>
      </c>
      <c r="CA1242">
        <v>4096</v>
      </c>
      <c r="CB1242">
        <v>216</v>
      </c>
      <c r="CC1242">
        <v>442.96879999999999</v>
      </c>
      <c r="CD1242">
        <v>1</v>
      </c>
      <c r="CE1242">
        <v>1</v>
      </c>
      <c r="CF1242">
        <v>0</v>
      </c>
      <c r="CG1242">
        <v>1</v>
      </c>
      <c r="CH1242">
        <v>0</v>
      </c>
      <c r="CI1242">
        <v>0</v>
      </c>
      <c r="CJ1242">
        <v>0</v>
      </c>
      <c r="CK1242">
        <v>2</v>
      </c>
      <c r="CL1242">
        <v>0</v>
      </c>
      <c r="CM1242">
        <v>2</v>
      </c>
      <c r="CN1242">
        <v>0</v>
      </c>
      <c r="CO1242">
        <v>2</v>
      </c>
      <c r="CP1242" t="s">
        <v>119</v>
      </c>
      <c r="CQ1242">
        <v>145</v>
      </c>
      <c r="CR1242">
        <v>1</v>
      </c>
      <c r="CW1242">
        <v>9046491</v>
      </c>
      <c r="CY1242">
        <v>0</v>
      </c>
      <c r="CZ1242">
        <v>0</v>
      </c>
      <c r="DA1242">
        <v>1</v>
      </c>
      <c r="DB1242">
        <v>0</v>
      </c>
      <c r="DC1242">
        <v>0</v>
      </c>
      <c r="DD1242">
        <v>0</v>
      </c>
      <c r="DE1242">
        <v>0</v>
      </c>
      <c r="DF1242">
        <v>0</v>
      </c>
      <c r="DG1242">
        <v>0</v>
      </c>
      <c r="DH1242">
        <v>0</v>
      </c>
      <c r="DI1242">
        <v>0</v>
      </c>
    </row>
    <row r="1243" spans="1:113" x14ac:dyDescent="0.3">
      <c r="A1243" t="str">
        <f>"02/13/2022 18:42:33.974"</f>
        <v>02/13/2022 18:42:33.974</v>
      </c>
      <c r="C1243" t="str">
        <f t="shared" si="124"/>
        <v>FFDFD7C0</v>
      </c>
      <c r="D1243" t="s">
        <v>113</v>
      </c>
      <c r="E1243">
        <v>3</v>
      </c>
      <c r="F1243">
        <v>1003</v>
      </c>
      <c r="G1243" t="s">
        <v>114</v>
      </c>
      <c r="J1243" t="s">
        <v>115</v>
      </c>
      <c r="K1243">
        <v>0</v>
      </c>
      <c r="L1243">
        <v>3</v>
      </c>
      <c r="M1243">
        <v>0</v>
      </c>
      <c r="N1243">
        <v>2</v>
      </c>
      <c r="O1243">
        <v>1</v>
      </c>
      <c r="P1243">
        <v>0</v>
      </c>
      <c r="Q1243">
        <v>0</v>
      </c>
      <c r="S1243" t="str">
        <f>"18:42:33.719"</f>
        <v>18:42:33.719</v>
      </c>
      <c r="T1243" t="str">
        <f>"18:42:33.019"</f>
        <v>18:42:33.019</v>
      </c>
      <c r="U1243" t="str">
        <f t="shared" si="123"/>
        <v>AAB6EE</v>
      </c>
      <c r="V1243">
        <v>0</v>
      </c>
      <c r="W1243">
        <v>0</v>
      </c>
      <c r="X1243">
        <v>4</v>
      </c>
      <c r="Z1243">
        <v>0</v>
      </c>
      <c r="AA1243">
        <v>8</v>
      </c>
      <c r="AB1243">
        <v>3</v>
      </c>
      <c r="AC1243">
        <v>0</v>
      </c>
      <c r="AD1243">
        <v>10</v>
      </c>
      <c r="AE1243">
        <v>0</v>
      </c>
      <c r="AF1243">
        <v>0</v>
      </c>
      <c r="AG1243">
        <v>1</v>
      </c>
      <c r="AH1243">
        <v>1</v>
      </c>
      <c r="AI1243" t="s">
        <v>951</v>
      </c>
      <c r="AJ1243">
        <v>35.237875000000003</v>
      </c>
      <c r="AK1243" t="s">
        <v>952</v>
      </c>
      <c r="AL1243">
        <v>-76.262733999999995</v>
      </c>
      <c r="AM1243">
        <v>25</v>
      </c>
      <c r="AN1243">
        <v>3425</v>
      </c>
      <c r="AO1243" t="s">
        <v>118</v>
      </c>
      <c r="AP1243">
        <v>-135</v>
      </c>
      <c r="AQ1243">
        <v>-175</v>
      </c>
      <c r="AR1243">
        <v>0</v>
      </c>
      <c r="AZ1243">
        <v>4516</v>
      </c>
      <c r="BA1243">
        <v>1</v>
      </c>
      <c r="BB1243" t="str">
        <f t="shared" si="125"/>
        <v xml:space="preserve">N79NX   </v>
      </c>
      <c r="BC1243">
        <v>1</v>
      </c>
      <c r="BE1243">
        <v>0</v>
      </c>
      <c r="BF1243">
        <v>0</v>
      </c>
      <c r="BG1243">
        <v>0</v>
      </c>
      <c r="BH1243">
        <v>3275</v>
      </c>
      <c r="BI1243">
        <v>0</v>
      </c>
      <c r="BJ1243">
        <v>0</v>
      </c>
      <c r="BK1243">
        <v>0</v>
      </c>
      <c r="BL1243">
        <v>0</v>
      </c>
      <c r="BO1243">
        <v>0</v>
      </c>
      <c r="BP1243">
        <v>0</v>
      </c>
      <c r="BW1243" t="str">
        <f>"18:42:33.721"</f>
        <v>18:42:33.721</v>
      </c>
      <c r="BZ1243">
        <v>0</v>
      </c>
      <c r="CA1243">
        <v>4096</v>
      </c>
      <c r="CB1243">
        <v>216</v>
      </c>
      <c r="CC1243">
        <v>442.96879999999999</v>
      </c>
      <c r="CD1243">
        <v>1</v>
      </c>
      <c r="CE1243">
        <v>1</v>
      </c>
      <c r="CF1243">
        <v>0</v>
      </c>
      <c r="CG1243">
        <v>1</v>
      </c>
      <c r="CH1243">
        <v>0</v>
      </c>
      <c r="CI1243">
        <v>0</v>
      </c>
      <c r="CJ1243">
        <v>0</v>
      </c>
      <c r="CK1243">
        <v>2</v>
      </c>
      <c r="CL1243">
        <v>0</v>
      </c>
      <c r="CM1243">
        <v>2</v>
      </c>
      <c r="CN1243">
        <v>0</v>
      </c>
      <c r="CO1243">
        <v>1</v>
      </c>
      <c r="CP1243" t="s">
        <v>119</v>
      </c>
      <c r="CQ1243">
        <v>145</v>
      </c>
      <c r="CR1243">
        <v>1</v>
      </c>
      <c r="CW1243">
        <v>9047020</v>
      </c>
      <c r="CY1243">
        <v>0</v>
      </c>
      <c r="CZ1243">
        <v>0</v>
      </c>
      <c r="DA1243">
        <v>0</v>
      </c>
      <c r="DB1243">
        <v>0</v>
      </c>
      <c r="DC1243">
        <v>0</v>
      </c>
      <c r="DD1243">
        <v>0</v>
      </c>
      <c r="DE1243">
        <v>0</v>
      </c>
      <c r="DF1243">
        <v>0</v>
      </c>
      <c r="DG1243">
        <v>0</v>
      </c>
      <c r="DH1243">
        <v>0</v>
      </c>
      <c r="DI1243">
        <v>0</v>
      </c>
    </row>
    <row r="1244" spans="1:113" x14ac:dyDescent="0.3">
      <c r="A1244" t="str">
        <f>"02/13/2022 18:42:33.974"</f>
        <v>02/13/2022 18:42:33.974</v>
      </c>
      <c r="C1244" t="str">
        <f t="shared" si="124"/>
        <v>FFDFD7C0</v>
      </c>
      <c r="D1244" t="s">
        <v>113</v>
      </c>
      <c r="E1244">
        <v>4</v>
      </c>
      <c r="F1244">
        <v>1004</v>
      </c>
      <c r="G1244" t="s">
        <v>120</v>
      </c>
      <c r="J1244" t="s">
        <v>115</v>
      </c>
      <c r="K1244">
        <v>0</v>
      </c>
      <c r="L1244">
        <v>3</v>
      </c>
      <c r="M1244">
        <v>0</v>
      </c>
      <c r="N1244">
        <v>2</v>
      </c>
      <c r="O1244">
        <v>1</v>
      </c>
      <c r="P1244">
        <v>0</v>
      </c>
      <c r="Q1244">
        <v>0</v>
      </c>
      <c r="S1244" t="str">
        <f>"18:42:33.719"</f>
        <v>18:42:33.719</v>
      </c>
      <c r="T1244" t="str">
        <f>"18:42:33.019"</f>
        <v>18:42:33.019</v>
      </c>
      <c r="U1244" t="str">
        <f t="shared" si="123"/>
        <v>AAB6EE</v>
      </c>
      <c r="V1244">
        <v>0</v>
      </c>
      <c r="W1244">
        <v>0</v>
      </c>
      <c r="X1244">
        <v>4</v>
      </c>
      <c r="Z1244">
        <v>0</v>
      </c>
      <c r="AA1244">
        <v>8</v>
      </c>
      <c r="AB1244">
        <v>3</v>
      </c>
      <c r="AC1244">
        <v>0</v>
      </c>
      <c r="AD1244">
        <v>10</v>
      </c>
      <c r="AE1244">
        <v>0</v>
      </c>
      <c r="AF1244">
        <v>0</v>
      </c>
      <c r="AG1244">
        <v>1</v>
      </c>
      <c r="AH1244">
        <v>1</v>
      </c>
      <c r="AI1244" t="s">
        <v>951</v>
      </c>
      <c r="AJ1244">
        <v>35.237875000000003</v>
      </c>
      <c r="AK1244" t="s">
        <v>952</v>
      </c>
      <c r="AL1244">
        <v>-76.262733999999995</v>
      </c>
      <c r="AM1244">
        <v>25</v>
      </c>
      <c r="AN1244">
        <v>3425</v>
      </c>
      <c r="AO1244" t="s">
        <v>118</v>
      </c>
      <c r="AP1244">
        <v>-135</v>
      </c>
      <c r="AQ1244">
        <v>-175</v>
      </c>
      <c r="AR1244">
        <v>0</v>
      </c>
      <c r="AZ1244">
        <v>4516</v>
      </c>
      <c r="BA1244">
        <v>1</v>
      </c>
      <c r="BB1244" t="str">
        <f t="shared" si="125"/>
        <v xml:space="preserve">N79NX   </v>
      </c>
      <c r="BC1244">
        <v>1</v>
      </c>
      <c r="BE1244">
        <v>0</v>
      </c>
      <c r="BF1244">
        <v>0</v>
      </c>
      <c r="BG1244">
        <v>0</v>
      </c>
      <c r="BH1244">
        <v>3275</v>
      </c>
      <c r="BI1244">
        <v>0</v>
      </c>
      <c r="BJ1244">
        <v>0</v>
      </c>
      <c r="BK1244">
        <v>0</v>
      </c>
      <c r="BL1244">
        <v>0</v>
      </c>
      <c r="BO1244">
        <v>0</v>
      </c>
      <c r="BP1244">
        <v>0</v>
      </c>
      <c r="BW1244" t="str">
        <f>"18:42:33.721"</f>
        <v>18:42:33.721</v>
      </c>
      <c r="BZ1244">
        <v>0</v>
      </c>
      <c r="CA1244">
        <v>4096</v>
      </c>
      <c r="CB1244">
        <v>216</v>
      </c>
      <c r="CC1244">
        <v>442.96879999999999</v>
      </c>
      <c r="CD1244">
        <v>1</v>
      </c>
      <c r="CE1244">
        <v>1</v>
      </c>
      <c r="CF1244">
        <v>0</v>
      </c>
      <c r="CG1244">
        <v>1</v>
      </c>
      <c r="CH1244">
        <v>0</v>
      </c>
      <c r="CI1244">
        <v>0</v>
      </c>
      <c r="CJ1244">
        <v>0</v>
      </c>
      <c r="CK1244">
        <v>2</v>
      </c>
      <c r="CL1244">
        <v>0</v>
      </c>
      <c r="CM1244">
        <v>2</v>
      </c>
      <c r="CN1244">
        <v>0</v>
      </c>
      <c r="CO1244">
        <v>1</v>
      </c>
      <c r="CP1244" t="s">
        <v>119</v>
      </c>
      <c r="CQ1244">
        <v>145</v>
      </c>
      <c r="CR1244">
        <v>1</v>
      </c>
      <c r="CW1244">
        <v>9047020</v>
      </c>
      <c r="CY1244">
        <v>0</v>
      </c>
      <c r="CZ1244">
        <v>0</v>
      </c>
      <c r="DA1244">
        <v>1</v>
      </c>
      <c r="DB1244">
        <v>0</v>
      </c>
      <c r="DC1244">
        <v>0</v>
      </c>
      <c r="DD1244">
        <v>0</v>
      </c>
      <c r="DE1244">
        <v>0</v>
      </c>
      <c r="DF1244">
        <v>0</v>
      </c>
      <c r="DG1244">
        <v>0</v>
      </c>
      <c r="DH1244">
        <v>0</v>
      </c>
      <c r="DI1244">
        <v>0</v>
      </c>
    </row>
    <row r="1245" spans="1:113" x14ac:dyDescent="0.3">
      <c r="A1245" t="str">
        <f>"02/13/2022 18:42:33.974"</f>
        <v>02/13/2022 18:42:33.974</v>
      </c>
      <c r="C1245" t="str">
        <f t="shared" si="124"/>
        <v>FFDFD7C0</v>
      </c>
      <c r="D1245" t="s">
        <v>121</v>
      </c>
      <c r="E1245">
        <v>2</v>
      </c>
      <c r="H1245">
        <v>158</v>
      </c>
      <c r="I1245" t="s">
        <v>120</v>
      </c>
      <c r="J1245" t="s">
        <v>122</v>
      </c>
      <c r="K1245">
        <v>0</v>
      </c>
      <c r="L1245">
        <v>3</v>
      </c>
      <c r="M1245">
        <v>0</v>
      </c>
      <c r="N1245">
        <v>2</v>
      </c>
      <c r="O1245">
        <v>1</v>
      </c>
      <c r="P1245">
        <v>0</v>
      </c>
      <c r="Q1245">
        <v>0</v>
      </c>
      <c r="S1245" t="str">
        <f>"18:42:33.719"</f>
        <v>18:42:33.719</v>
      </c>
      <c r="T1245" t="str">
        <f>"18:42:33.019"</f>
        <v>18:42:33.019</v>
      </c>
      <c r="U1245" t="str">
        <f t="shared" si="123"/>
        <v>AAB6EE</v>
      </c>
      <c r="V1245">
        <v>0</v>
      </c>
      <c r="W1245">
        <v>0</v>
      </c>
      <c r="X1245">
        <v>4</v>
      </c>
      <c r="Z1245">
        <v>0</v>
      </c>
      <c r="AA1245">
        <v>8</v>
      </c>
      <c r="AB1245">
        <v>3</v>
      </c>
      <c r="AC1245">
        <v>0</v>
      </c>
      <c r="AD1245">
        <v>10</v>
      </c>
      <c r="AE1245">
        <v>0</v>
      </c>
      <c r="AF1245">
        <v>0</v>
      </c>
      <c r="AG1245">
        <v>1</v>
      </c>
      <c r="AH1245">
        <v>1</v>
      </c>
      <c r="AI1245" t="s">
        <v>951</v>
      </c>
      <c r="AJ1245">
        <v>35.237875000000003</v>
      </c>
      <c r="AK1245" t="s">
        <v>952</v>
      </c>
      <c r="AL1245">
        <v>-76.262733999999995</v>
      </c>
      <c r="AM1245">
        <v>25</v>
      </c>
      <c r="AN1245">
        <v>3425</v>
      </c>
      <c r="AO1245" t="s">
        <v>118</v>
      </c>
      <c r="AP1245">
        <v>-135</v>
      </c>
      <c r="AQ1245">
        <v>-175</v>
      </c>
      <c r="AR1245">
        <v>0</v>
      </c>
      <c r="AZ1245">
        <v>4516</v>
      </c>
      <c r="BA1245">
        <v>1</v>
      </c>
      <c r="BB1245" t="str">
        <f t="shared" si="125"/>
        <v xml:space="preserve">N79NX   </v>
      </c>
      <c r="BC1245">
        <v>1</v>
      </c>
      <c r="BE1245">
        <v>0</v>
      </c>
      <c r="BF1245">
        <v>0</v>
      </c>
      <c r="BG1245">
        <v>0</v>
      </c>
      <c r="BH1245">
        <v>3275</v>
      </c>
      <c r="BI1245">
        <v>0</v>
      </c>
      <c r="BJ1245">
        <v>0</v>
      </c>
      <c r="BK1245">
        <v>0</v>
      </c>
      <c r="BL1245">
        <v>0</v>
      </c>
      <c r="BO1245">
        <v>0</v>
      </c>
      <c r="BP1245">
        <v>0</v>
      </c>
      <c r="BW1245" t="str">
        <f>"18:42:33.721"</f>
        <v>18:42:33.721</v>
      </c>
      <c r="BZ1245">
        <v>0</v>
      </c>
      <c r="CA1245">
        <v>4096</v>
      </c>
      <c r="CB1245">
        <v>216</v>
      </c>
      <c r="CC1245">
        <v>442.96879999999999</v>
      </c>
      <c r="CD1245">
        <v>1</v>
      </c>
      <c r="CE1245">
        <v>1</v>
      </c>
      <c r="CF1245">
        <v>0</v>
      </c>
      <c r="CG1245">
        <v>1</v>
      </c>
      <c r="CH1245">
        <v>0</v>
      </c>
      <c r="CI1245">
        <v>0</v>
      </c>
      <c r="CJ1245">
        <v>0</v>
      </c>
      <c r="CK1245">
        <v>2</v>
      </c>
      <c r="CL1245">
        <v>0</v>
      </c>
      <c r="CM1245">
        <v>2</v>
      </c>
      <c r="CN1245">
        <v>0</v>
      </c>
      <c r="CO1245">
        <v>1</v>
      </c>
      <c r="CP1245" t="s">
        <v>119</v>
      </c>
      <c r="CQ1245">
        <v>145</v>
      </c>
      <c r="CR1245">
        <v>1</v>
      </c>
      <c r="CW1245">
        <v>9047020</v>
      </c>
      <c r="CY1245">
        <v>0</v>
      </c>
      <c r="CZ1245">
        <v>0</v>
      </c>
      <c r="DA1245">
        <v>1</v>
      </c>
      <c r="DB1245">
        <v>0</v>
      </c>
      <c r="DC1245">
        <v>0</v>
      </c>
      <c r="DD1245">
        <v>0</v>
      </c>
      <c r="DE1245">
        <v>0</v>
      </c>
      <c r="DF1245">
        <v>0</v>
      </c>
      <c r="DG1245">
        <v>0</v>
      </c>
      <c r="DH1245">
        <v>0</v>
      </c>
      <c r="DI1245">
        <v>0</v>
      </c>
    </row>
    <row r="1246" spans="1:113" x14ac:dyDescent="0.3">
      <c r="A1246" t="str">
        <f>"02/13/2022 18:42:35.805"</f>
        <v>02/13/2022 18:42:35.805</v>
      </c>
      <c r="C1246" t="str">
        <f t="shared" si="124"/>
        <v>FFDFD7C0</v>
      </c>
      <c r="D1246" t="s">
        <v>113</v>
      </c>
      <c r="E1246">
        <v>3</v>
      </c>
      <c r="F1246">
        <v>1003</v>
      </c>
      <c r="G1246" t="s">
        <v>114</v>
      </c>
      <c r="J1246" t="s">
        <v>115</v>
      </c>
      <c r="K1246">
        <v>0</v>
      </c>
      <c r="L1246">
        <v>3</v>
      </c>
      <c r="M1246">
        <v>0</v>
      </c>
      <c r="N1246">
        <v>2</v>
      </c>
      <c r="O1246">
        <v>1</v>
      </c>
      <c r="P1246">
        <v>0</v>
      </c>
      <c r="Q1246">
        <v>0</v>
      </c>
      <c r="S1246" t="str">
        <f>"18:42:35.570"</f>
        <v>18:42:35.570</v>
      </c>
      <c r="T1246" t="str">
        <f>"18:42:34.570"</f>
        <v>18:42:34.570</v>
      </c>
      <c r="U1246" t="str">
        <f t="shared" si="123"/>
        <v>AAB6EE</v>
      </c>
      <c r="V1246">
        <v>0</v>
      </c>
      <c r="W1246">
        <v>0</v>
      </c>
      <c r="X1246">
        <v>4</v>
      </c>
      <c r="Z1246">
        <v>0</v>
      </c>
      <c r="AA1246">
        <v>8</v>
      </c>
      <c r="AB1246">
        <v>3</v>
      </c>
      <c r="AC1246">
        <v>0</v>
      </c>
      <c r="AD1246">
        <v>10</v>
      </c>
      <c r="AE1246">
        <v>0</v>
      </c>
      <c r="AF1246">
        <v>0</v>
      </c>
      <c r="AG1246">
        <v>1</v>
      </c>
      <c r="AH1246">
        <v>1</v>
      </c>
      <c r="AI1246" t="s">
        <v>953</v>
      </c>
      <c r="AJ1246">
        <v>35.236350999999999</v>
      </c>
      <c r="AK1246" t="s">
        <v>954</v>
      </c>
      <c r="AL1246">
        <v>-76.264064000000005</v>
      </c>
      <c r="AM1246">
        <v>25</v>
      </c>
      <c r="AN1246">
        <v>3425</v>
      </c>
      <c r="AO1246" t="s">
        <v>118</v>
      </c>
      <c r="AP1246">
        <v>-132</v>
      </c>
      <c r="AQ1246">
        <v>-177</v>
      </c>
      <c r="AR1246">
        <v>0</v>
      </c>
      <c r="AZ1246">
        <v>4516</v>
      </c>
      <c r="BA1246">
        <v>1</v>
      </c>
      <c r="BB1246" t="str">
        <f t="shared" si="125"/>
        <v xml:space="preserve">N79NX   </v>
      </c>
      <c r="BC1246">
        <v>1</v>
      </c>
      <c r="BE1246">
        <v>0</v>
      </c>
      <c r="BF1246">
        <v>0</v>
      </c>
      <c r="BG1246">
        <v>0</v>
      </c>
      <c r="BH1246">
        <v>3275</v>
      </c>
      <c r="BI1246">
        <v>0</v>
      </c>
      <c r="BJ1246">
        <v>0</v>
      </c>
      <c r="BK1246">
        <v>0</v>
      </c>
      <c r="BL1246">
        <v>0</v>
      </c>
      <c r="BO1246">
        <v>0</v>
      </c>
      <c r="BP1246">
        <v>0</v>
      </c>
      <c r="BW1246" t="str">
        <f>"18:42:35.571"</f>
        <v>18:42:35.571</v>
      </c>
      <c r="BZ1246">
        <v>0</v>
      </c>
      <c r="CA1246">
        <v>4096</v>
      </c>
      <c r="CB1246">
        <v>216</v>
      </c>
      <c r="CC1246">
        <v>442.96879999999999</v>
      </c>
      <c r="CD1246">
        <v>1</v>
      </c>
      <c r="CE1246">
        <v>1</v>
      </c>
      <c r="CF1246">
        <v>0</v>
      </c>
      <c r="CG1246">
        <v>1</v>
      </c>
      <c r="CH1246">
        <v>0</v>
      </c>
      <c r="CI1246">
        <v>0</v>
      </c>
      <c r="CJ1246">
        <v>0</v>
      </c>
      <c r="CK1246">
        <v>2</v>
      </c>
      <c r="CL1246">
        <v>0</v>
      </c>
      <c r="CM1246">
        <v>2</v>
      </c>
      <c r="CN1246">
        <v>0</v>
      </c>
      <c r="CO1246">
        <v>2</v>
      </c>
      <c r="CP1246" t="s">
        <v>119</v>
      </c>
      <c r="CQ1246">
        <v>145</v>
      </c>
      <c r="CR1246">
        <v>1</v>
      </c>
      <c r="CW1246">
        <v>9047894</v>
      </c>
      <c r="CY1246">
        <v>0</v>
      </c>
      <c r="CZ1246">
        <v>0</v>
      </c>
      <c r="DA1246">
        <v>0</v>
      </c>
      <c r="DB1246">
        <v>0</v>
      </c>
      <c r="DC1246">
        <v>0</v>
      </c>
      <c r="DD1246">
        <v>0</v>
      </c>
      <c r="DE1246">
        <v>0</v>
      </c>
      <c r="DF1246">
        <v>0</v>
      </c>
      <c r="DG1246">
        <v>0</v>
      </c>
      <c r="DH1246">
        <v>0</v>
      </c>
      <c r="DI1246">
        <v>0</v>
      </c>
    </row>
    <row r="1247" spans="1:113" x14ac:dyDescent="0.3">
      <c r="A1247" t="str">
        <f>"02/13/2022 18:42:35.805"</f>
        <v>02/13/2022 18:42:35.805</v>
      </c>
      <c r="C1247" t="str">
        <f t="shared" si="124"/>
        <v>FFDFD7C0</v>
      </c>
      <c r="D1247" t="s">
        <v>113</v>
      </c>
      <c r="E1247">
        <v>4</v>
      </c>
      <c r="F1247">
        <v>1004</v>
      </c>
      <c r="G1247" t="s">
        <v>120</v>
      </c>
      <c r="J1247" t="s">
        <v>115</v>
      </c>
      <c r="K1247">
        <v>0</v>
      </c>
      <c r="L1247">
        <v>3</v>
      </c>
      <c r="M1247">
        <v>0</v>
      </c>
      <c r="N1247">
        <v>2</v>
      </c>
      <c r="O1247">
        <v>1</v>
      </c>
      <c r="P1247">
        <v>0</v>
      </c>
      <c r="Q1247">
        <v>0</v>
      </c>
      <c r="S1247" t="str">
        <f>"18:42:35.570"</f>
        <v>18:42:35.570</v>
      </c>
      <c r="T1247" t="str">
        <f>"18:42:34.570"</f>
        <v>18:42:34.570</v>
      </c>
      <c r="U1247" t="str">
        <f t="shared" si="123"/>
        <v>AAB6EE</v>
      </c>
      <c r="V1247">
        <v>0</v>
      </c>
      <c r="W1247">
        <v>0</v>
      </c>
      <c r="X1247">
        <v>4</v>
      </c>
      <c r="Z1247">
        <v>0</v>
      </c>
      <c r="AA1247">
        <v>8</v>
      </c>
      <c r="AB1247">
        <v>3</v>
      </c>
      <c r="AC1247">
        <v>0</v>
      </c>
      <c r="AD1247">
        <v>10</v>
      </c>
      <c r="AE1247">
        <v>0</v>
      </c>
      <c r="AF1247">
        <v>0</v>
      </c>
      <c r="AG1247">
        <v>1</v>
      </c>
      <c r="AH1247">
        <v>1</v>
      </c>
      <c r="AI1247" t="s">
        <v>953</v>
      </c>
      <c r="AJ1247">
        <v>35.236350999999999</v>
      </c>
      <c r="AK1247" t="s">
        <v>954</v>
      </c>
      <c r="AL1247">
        <v>-76.264064000000005</v>
      </c>
      <c r="AM1247">
        <v>25</v>
      </c>
      <c r="AN1247">
        <v>3425</v>
      </c>
      <c r="AO1247" t="s">
        <v>118</v>
      </c>
      <c r="AP1247">
        <v>-132</v>
      </c>
      <c r="AQ1247">
        <v>-177</v>
      </c>
      <c r="AR1247">
        <v>0</v>
      </c>
      <c r="AZ1247">
        <v>4516</v>
      </c>
      <c r="BA1247">
        <v>1</v>
      </c>
      <c r="BB1247" t="str">
        <f t="shared" si="125"/>
        <v xml:space="preserve">N79NX   </v>
      </c>
      <c r="BC1247">
        <v>1</v>
      </c>
      <c r="BE1247">
        <v>0</v>
      </c>
      <c r="BF1247">
        <v>0</v>
      </c>
      <c r="BG1247">
        <v>0</v>
      </c>
      <c r="BH1247">
        <v>3275</v>
      </c>
      <c r="BI1247">
        <v>0</v>
      </c>
      <c r="BJ1247">
        <v>0</v>
      </c>
      <c r="BK1247">
        <v>0</v>
      </c>
      <c r="BL1247">
        <v>0</v>
      </c>
      <c r="BO1247">
        <v>0</v>
      </c>
      <c r="BP1247">
        <v>0</v>
      </c>
      <c r="BW1247" t="str">
        <f>"18:42:35.571"</f>
        <v>18:42:35.571</v>
      </c>
      <c r="BZ1247">
        <v>0</v>
      </c>
      <c r="CA1247">
        <v>4096</v>
      </c>
      <c r="CB1247">
        <v>216</v>
      </c>
      <c r="CC1247">
        <v>442.96879999999999</v>
      </c>
      <c r="CD1247">
        <v>1</v>
      </c>
      <c r="CE1247">
        <v>1</v>
      </c>
      <c r="CF1247">
        <v>0</v>
      </c>
      <c r="CG1247">
        <v>1</v>
      </c>
      <c r="CH1247">
        <v>0</v>
      </c>
      <c r="CI1247">
        <v>0</v>
      </c>
      <c r="CJ1247">
        <v>0</v>
      </c>
      <c r="CK1247">
        <v>2</v>
      </c>
      <c r="CL1247">
        <v>0</v>
      </c>
      <c r="CM1247">
        <v>2</v>
      </c>
      <c r="CN1247">
        <v>0</v>
      </c>
      <c r="CO1247">
        <v>2</v>
      </c>
      <c r="CP1247" t="s">
        <v>119</v>
      </c>
      <c r="CQ1247">
        <v>145</v>
      </c>
      <c r="CR1247">
        <v>1</v>
      </c>
      <c r="CW1247">
        <v>9047894</v>
      </c>
      <c r="CY1247">
        <v>0</v>
      </c>
      <c r="CZ1247">
        <v>0</v>
      </c>
      <c r="DA1247">
        <v>1</v>
      </c>
      <c r="DB1247">
        <v>0</v>
      </c>
      <c r="DC1247">
        <v>0</v>
      </c>
      <c r="DD1247">
        <v>0</v>
      </c>
      <c r="DE1247">
        <v>0</v>
      </c>
      <c r="DF1247">
        <v>0</v>
      </c>
      <c r="DG1247">
        <v>0</v>
      </c>
      <c r="DH1247">
        <v>0</v>
      </c>
      <c r="DI1247">
        <v>0</v>
      </c>
    </row>
    <row r="1248" spans="1:113" x14ac:dyDescent="0.3">
      <c r="A1248" t="str">
        <f>"02/13/2022 18:42:35.805"</f>
        <v>02/13/2022 18:42:35.805</v>
      </c>
      <c r="C1248" t="str">
        <f t="shared" si="124"/>
        <v>FFDFD7C0</v>
      </c>
      <c r="D1248" t="s">
        <v>121</v>
      </c>
      <c r="E1248">
        <v>2</v>
      </c>
      <c r="H1248">
        <v>158</v>
      </c>
      <c r="I1248" t="s">
        <v>120</v>
      </c>
      <c r="J1248" t="s">
        <v>122</v>
      </c>
      <c r="K1248">
        <v>0</v>
      </c>
      <c r="L1248">
        <v>3</v>
      </c>
      <c r="M1248">
        <v>0</v>
      </c>
      <c r="N1248">
        <v>2</v>
      </c>
      <c r="O1248">
        <v>1</v>
      </c>
      <c r="P1248">
        <v>0</v>
      </c>
      <c r="Q1248">
        <v>0</v>
      </c>
      <c r="S1248" t="str">
        <f>"18:42:35.570"</f>
        <v>18:42:35.570</v>
      </c>
      <c r="T1248" t="str">
        <f>"18:42:34.570"</f>
        <v>18:42:34.570</v>
      </c>
      <c r="U1248" t="str">
        <f t="shared" si="123"/>
        <v>AAB6EE</v>
      </c>
      <c r="V1248">
        <v>0</v>
      </c>
      <c r="W1248">
        <v>0</v>
      </c>
      <c r="X1248">
        <v>4</v>
      </c>
      <c r="Z1248">
        <v>0</v>
      </c>
      <c r="AA1248">
        <v>8</v>
      </c>
      <c r="AB1248">
        <v>3</v>
      </c>
      <c r="AC1248">
        <v>0</v>
      </c>
      <c r="AD1248">
        <v>10</v>
      </c>
      <c r="AE1248">
        <v>0</v>
      </c>
      <c r="AF1248">
        <v>0</v>
      </c>
      <c r="AG1248">
        <v>1</v>
      </c>
      <c r="AH1248">
        <v>1</v>
      </c>
      <c r="AI1248" t="s">
        <v>953</v>
      </c>
      <c r="AJ1248">
        <v>35.236350999999999</v>
      </c>
      <c r="AK1248" t="s">
        <v>954</v>
      </c>
      <c r="AL1248">
        <v>-76.264064000000005</v>
      </c>
      <c r="AM1248">
        <v>25</v>
      </c>
      <c r="AN1248">
        <v>3425</v>
      </c>
      <c r="AO1248" t="s">
        <v>118</v>
      </c>
      <c r="AP1248">
        <v>-132</v>
      </c>
      <c r="AQ1248">
        <v>-177</v>
      </c>
      <c r="AR1248">
        <v>0</v>
      </c>
      <c r="AZ1248">
        <v>4516</v>
      </c>
      <c r="BA1248">
        <v>1</v>
      </c>
      <c r="BB1248" t="str">
        <f t="shared" si="125"/>
        <v xml:space="preserve">N79NX   </v>
      </c>
      <c r="BC1248">
        <v>1</v>
      </c>
      <c r="BE1248">
        <v>0</v>
      </c>
      <c r="BF1248">
        <v>0</v>
      </c>
      <c r="BG1248">
        <v>0</v>
      </c>
      <c r="BH1248">
        <v>3275</v>
      </c>
      <c r="BI1248">
        <v>0</v>
      </c>
      <c r="BJ1248">
        <v>0</v>
      </c>
      <c r="BK1248">
        <v>0</v>
      </c>
      <c r="BL1248">
        <v>0</v>
      </c>
      <c r="BO1248">
        <v>0</v>
      </c>
      <c r="BP1248">
        <v>0</v>
      </c>
      <c r="BW1248" t="str">
        <f>"18:42:35.571"</f>
        <v>18:42:35.571</v>
      </c>
      <c r="BZ1248">
        <v>0</v>
      </c>
      <c r="CA1248">
        <v>4096</v>
      </c>
      <c r="CB1248">
        <v>216</v>
      </c>
      <c r="CC1248">
        <v>442.96879999999999</v>
      </c>
      <c r="CD1248">
        <v>1</v>
      </c>
      <c r="CE1248">
        <v>1</v>
      </c>
      <c r="CF1248">
        <v>0</v>
      </c>
      <c r="CG1248">
        <v>1</v>
      </c>
      <c r="CH1248">
        <v>0</v>
      </c>
      <c r="CI1248">
        <v>0</v>
      </c>
      <c r="CJ1248">
        <v>0</v>
      </c>
      <c r="CK1248">
        <v>2</v>
      </c>
      <c r="CL1248">
        <v>0</v>
      </c>
      <c r="CM1248">
        <v>2</v>
      </c>
      <c r="CN1248">
        <v>0</v>
      </c>
      <c r="CO1248">
        <v>2</v>
      </c>
      <c r="CP1248" t="s">
        <v>119</v>
      </c>
      <c r="CQ1248">
        <v>145</v>
      </c>
      <c r="CR1248">
        <v>1</v>
      </c>
      <c r="CW1248">
        <v>9047894</v>
      </c>
      <c r="CY1248">
        <v>0</v>
      </c>
      <c r="CZ1248">
        <v>0</v>
      </c>
      <c r="DA1248">
        <v>1</v>
      </c>
      <c r="DB1248">
        <v>0</v>
      </c>
      <c r="DC1248">
        <v>0</v>
      </c>
      <c r="DD1248">
        <v>0</v>
      </c>
      <c r="DE1248">
        <v>0</v>
      </c>
      <c r="DF1248">
        <v>0</v>
      </c>
      <c r="DG1248">
        <v>0</v>
      </c>
      <c r="DH1248">
        <v>0</v>
      </c>
      <c r="DI1248">
        <v>0</v>
      </c>
    </row>
    <row r="1249" spans="1:113" x14ac:dyDescent="0.3">
      <c r="A1249" t="str">
        <f>"02/13/2022 18:42:36.946"</f>
        <v>02/13/2022 18:42:36.946</v>
      </c>
      <c r="C1249" t="str">
        <f t="shared" si="124"/>
        <v>FFDFD7C0</v>
      </c>
      <c r="D1249" t="s">
        <v>113</v>
      </c>
      <c r="E1249">
        <v>3</v>
      </c>
      <c r="F1249">
        <v>1003</v>
      </c>
      <c r="G1249" t="s">
        <v>114</v>
      </c>
      <c r="J1249" t="s">
        <v>115</v>
      </c>
      <c r="K1249">
        <v>0</v>
      </c>
      <c r="L1249">
        <v>3</v>
      </c>
      <c r="M1249">
        <v>0</v>
      </c>
      <c r="N1249">
        <v>2</v>
      </c>
      <c r="O1249">
        <v>1</v>
      </c>
      <c r="P1249">
        <v>0</v>
      </c>
      <c r="Q1249">
        <v>0</v>
      </c>
      <c r="S1249" t="str">
        <f>"18:42:36.617"</f>
        <v>18:42:36.617</v>
      </c>
      <c r="T1249" t="str">
        <f>"18:42:36.317"</f>
        <v>18:42:36.317</v>
      </c>
      <c r="U1249" t="str">
        <f t="shared" si="123"/>
        <v>AAB6EE</v>
      </c>
      <c r="V1249">
        <v>0</v>
      </c>
      <c r="W1249">
        <v>0</v>
      </c>
      <c r="X1249">
        <v>4</v>
      </c>
      <c r="Z1249">
        <v>0</v>
      </c>
      <c r="AA1249">
        <v>8</v>
      </c>
      <c r="AB1249">
        <v>3</v>
      </c>
      <c r="AC1249">
        <v>0</v>
      </c>
      <c r="AD1249">
        <v>10</v>
      </c>
      <c r="AE1249">
        <v>0</v>
      </c>
      <c r="AF1249">
        <v>0</v>
      </c>
      <c r="AG1249">
        <v>1</v>
      </c>
      <c r="AH1249">
        <v>1</v>
      </c>
      <c r="AI1249" t="s">
        <v>955</v>
      </c>
      <c r="AJ1249">
        <v>35.235429000000003</v>
      </c>
      <c r="AK1249" t="s">
        <v>956</v>
      </c>
      <c r="AL1249">
        <v>-76.264814999999999</v>
      </c>
      <c r="AM1249">
        <v>25</v>
      </c>
      <c r="AN1249">
        <v>3425</v>
      </c>
      <c r="AO1249" t="s">
        <v>118</v>
      </c>
      <c r="AP1249">
        <v>-125</v>
      </c>
      <c r="AQ1249">
        <v>-182</v>
      </c>
      <c r="AR1249">
        <v>-64</v>
      </c>
      <c r="AZ1249">
        <v>4516</v>
      </c>
      <c r="BA1249">
        <v>1</v>
      </c>
      <c r="BB1249" t="str">
        <f t="shared" si="125"/>
        <v xml:space="preserve">N79NX   </v>
      </c>
      <c r="BC1249">
        <v>1</v>
      </c>
      <c r="BE1249">
        <v>0</v>
      </c>
      <c r="BF1249">
        <v>0</v>
      </c>
      <c r="BG1249">
        <v>0</v>
      </c>
      <c r="BH1249">
        <v>3275</v>
      </c>
      <c r="BI1249">
        <v>0</v>
      </c>
      <c r="BJ1249">
        <v>0</v>
      </c>
      <c r="BK1249">
        <v>0</v>
      </c>
      <c r="BL1249">
        <v>0</v>
      </c>
      <c r="BO1249">
        <v>0</v>
      </c>
      <c r="BP1249">
        <v>0</v>
      </c>
      <c r="BW1249" t="str">
        <f>"18:42:36.621"</f>
        <v>18:42:36.621</v>
      </c>
      <c r="BZ1249">
        <v>0</v>
      </c>
      <c r="CA1249">
        <v>4096</v>
      </c>
      <c r="CB1249">
        <v>216</v>
      </c>
      <c r="CC1249">
        <v>442.96879999999999</v>
      </c>
      <c r="CD1249">
        <v>1</v>
      </c>
      <c r="CE1249">
        <v>1</v>
      </c>
      <c r="CF1249">
        <v>0</v>
      </c>
      <c r="CG1249">
        <v>1</v>
      </c>
      <c r="CH1249">
        <v>0</v>
      </c>
      <c r="CI1249">
        <v>0</v>
      </c>
      <c r="CJ1249">
        <v>0</v>
      </c>
      <c r="CK1249">
        <v>2</v>
      </c>
      <c r="CL1249">
        <v>0</v>
      </c>
      <c r="CM1249">
        <v>2</v>
      </c>
      <c r="CN1249">
        <v>0</v>
      </c>
      <c r="CO1249">
        <v>1</v>
      </c>
      <c r="CP1249" t="s">
        <v>119</v>
      </c>
      <c r="CQ1249">
        <v>145</v>
      </c>
      <c r="CR1249">
        <v>1</v>
      </c>
      <c r="CW1249">
        <v>9048315</v>
      </c>
      <c r="CY1249">
        <v>0</v>
      </c>
      <c r="CZ1249">
        <v>0</v>
      </c>
      <c r="DA1249">
        <v>0</v>
      </c>
      <c r="DB1249">
        <v>0</v>
      </c>
      <c r="DC1249">
        <v>0</v>
      </c>
      <c r="DD1249">
        <v>0</v>
      </c>
      <c r="DE1249">
        <v>0</v>
      </c>
      <c r="DF1249">
        <v>0</v>
      </c>
      <c r="DG1249">
        <v>0</v>
      </c>
      <c r="DH1249">
        <v>0</v>
      </c>
      <c r="DI1249">
        <v>0</v>
      </c>
    </row>
    <row r="1250" spans="1:113" x14ac:dyDescent="0.3">
      <c r="A1250" t="str">
        <f>"02/13/2022 18:42:36.946"</f>
        <v>02/13/2022 18:42:36.946</v>
      </c>
      <c r="C1250" t="str">
        <f t="shared" si="124"/>
        <v>FFDFD7C0</v>
      </c>
      <c r="D1250" t="s">
        <v>113</v>
      </c>
      <c r="E1250">
        <v>4</v>
      </c>
      <c r="F1250">
        <v>1004</v>
      </c>
      <c r="G1250" t="s">
        <v>120</v>
      </c>
      <c r="J1250" t="s">
        <v>115</v>
      </c>
      <c r="K1250">
        <v>0</v>
      </c>
      <c r="L1250">
        <v>3</v>
      </c>
      <c r="M1250">
        <v>0</v>
      </c>
      <c r="N1250">
        <v>2</v>
      </c>
      <c r="O1250">
        <v>1</v>
      </c>
      <c r="P1250">
        <v>0</v>
      </c>
      <c r="Q1250">
        <v>0</v>
      </c>
      <c r="S1250" t="str">
        <f>"18:42:36.617"</f>
        <v>18:42:36.617</v>
      </c>
      <c r="T1250" t="str">
        <f>"18:42:36.317"</f>
        <v>18:42:36.317</v>
      </c>
      <c r="U1250" t="str">
        <f t="shared" si="123"/>
        <v>AAB6EE</v>
      </c>
      <c r="V1250">
        <v>0</v>
      </c>
      <c r="W1250">
        <v>0</v>
      </c>
      <c r="X1250">
        <v>4</v>
      </c>
      <c r="Z1250">
        <v>0</v>
      </c>
      <c r="AA1250">
        <v>8</v>
      </c>
      <c r="AB1250">
        <v>3</v>
      </c>
      <c r="AC1250">
        <v>0</v>
      </c>
      <c r="AD1250">
        <v>10</v>
      </c>
      <c r="AE1250">
        <v>0</v>
      </c>
      <c r="AF1250">
        <v>0</v>
      </c>
      <c r="AG1250">
        <v>1</v>
      </c>
      <c r="AH1250">
        <v>1</v>
      </c>
      <c r="AI1250" t="s">
        <v>955</v>
      </c>
      <c r="AJ1250">
        <v>35.235429000000003</v>
      </c>
      <c r="AK1250" t="s">
        <v>956</v>
      </c>
      <c r="AL1250">
        <v>-76.264814999999999</v>
      </c>
      <c r="AM1250">
        <v>25</v>
      </c>
      <c r="AN1250">
        <v>3425</v>
      </c>
      <c r="AO1250" t="s">
        <v>118</v>
      </c>
      <c r="AP1250">
        <v>-125</v>
      </c>
      <c r="AQ1250">
        <v>-182</v>
      </c>
      <c r="AR1250">
        <v>-64</v>
      </c>
      <c r="AZ1250">
        <v>4516</v>
      </c>
      <c r="BA1250">
        <v>1</v>
      </c>
      <c r="BB1250" t="str">
        <f t="shared" si="125"/>
        <v xml:space="preserve">N79NX   </v>
      </c>
      <c r="BC1250">
        <v>1</v>
      </c>
      <c r="BE1250">
        <v>0</v>
      </c>
      <c r="BF1250">
        <v>0</v>
      </c>
      <c r="BG1250">
        <v>0</v>
      </c>
      <c r="BH1250">
        <v>3275</v>
      </c>
      <c r="BI1250">
        <v>0</v>
      </c>
      <c r="BJ1250">
        <v>0</v>
      </c>
      <c r="BK1250">
        <v>0</v>
      </c>
      <c r="BL1250">
        <v>0</v>
      </c>
      <c r="BO1250">
        <v>0</v>
      </c>
      <c r="BP1250">
        <v>0</v>
      </c>
      <c r="BW1250" t="str">
        <f>"18:42:36.621"</f>
        <v>18:42:36.621</v>
      </c>
      <c r="BZ1250">
        <v>0</v>
      </c>
      <c r="CA1250">
        <v>4096</v>
      </c>
      <c r="CB1250">
        <v>216</v>
      </c>
      <c r="CC1250">
        <v>442.96879999999999</v>
      </c>
      <c r="CD1250">
        <v>1</v>
      </c>
      <c r="CE1250">
        <v>1</v>
      </c>
      <c r="CF1250">
        <v>0</v>
      </c>
      <c r="CG1250">
        <v>1</v>
      </c>
      <c r="CH1250">
        <v>0</v>
      </c>
      <c r="CI1250">
        <v>0</v>
      </c>
      <c r="CJ1250">
        <v>0</v>
      </c>
      <c r="CK1250">
        <v>2</v>
      </c>
      <c r="CL1250">
        <v>0</v>
      </c>
      <c r="CM1250">
        <v>2</v>
      </c>
      <c r="CN1250">
        <v>0</v>
      </c>
      <c r="CO1250">
        <v>1</v>
      </c>
      <c r="CP1250" t="s">
        <v>119</v>
      </c>
      <c r="CQ1250">
        <v>145</v>
      </c>
      <c r="CR1250">
        <v>1</v>
      </c>
      <c r="CW1250">
        <v>9048315</v>
      </c>
      <c r="CY1250">
        <v>0</v>
      </c>
      <c r="CZ1250">
        <v>0</v>
      </c>
      <c r="DA1250">
        <v>1</v>
      </c>
      <c r="DB1250">
        <v>0</v>
      </c>
      <c r="DC1250">
        <v>0</v>
      </c>
      <c r="DD1250">
        <v>0</v>
      </c>
      <c r="DE1250">
        <v>0</v>
      </c>
      <c r="DF1250">
        <v>0</v>
      </c>
      <c r="DG1250">
        <v>0</v>
      </c>
      <c r="DH1250">
        <v>0</v>
      </c>
      <c r="DI1250">
        <v>0</v>
      </c>
    </row>
    <row r="1251" spans="1:113" x14ac:dyDescent="0.3">
      <c r="A1251" t="str">
        <f>"02/13/2022 18:42:36.946"</f>
        <v>02/13/2022 18:42:36.946</v>
      </c>
      <c r="C1251" t="str">
        <f t="shared" si="124"/>
        <v>FFDFD7C0</v>
      </c>
      <c r="D1251" t="s">
        <v>121</v>
      </c>
      <c r="E1251">
        <v>2</v>
      </c>
      <c r="H1251">
        <v>158</v>
      </c>
      <c r="I1251" t="s">
        <v>120</v>
      </c>
      <c r="J1251" t="s">
        <v>122</v>
      </c>
      <c r="K1251">
        <v>0</v>
      </c>
      <c r="L1251">
        <v>3</v>
      </c>
      <c r="M1251">
        <v>0</v>
      </c>
      <c r="N1251">
        <v>2</v>
      </c>
      <c r="O1251">
        <v>1</v>
      </c>
      <c r="P1251">
        <v>0</v>
      </c>
      <c r="Q1251">
        <v>0</v>
      </c>
      <c r="S1251" t="str">
        <f>"18:42:36.617"</f>
        <v>18:42:36.617</v>
      </c>
      <c r="T1251" t="str">
        <f>"18:42:36.317"</f>
        <v>18:42:36.317</v>
      </c>
      <c r="U1251" t="str">
        <f t="shared" si="123"/>
        <v>AAB6EE</v>
      </c>
      <c r="V1251">
        <v>0</v>
      </c>
      <c r="W1251">
        <v>0</v>
      </c>
      <c r="X1251">
        <v>4</v>
      </c>
      <c r="Z1251">
        <v>0</v>
      </c>
      <c r="AA1251">
        <v>8</v>
      </c>
      <c r="AB1251">
        <v>3</v>
      </c>
      <c r="AC1251">
        <v>0</v>
      </c>
      <c r="AD1251">
        <v>10</v>
      </c>
      <c r="AE1251">
        <v>0</v>
      </c>
      <c r="AF1251">
        <v>0</v>
      </c>
      <c r="AG1251">
        <v>1</v>
      </c>
      <c r="AH1251">
        <v>1</v>
      </c>
      <c r="AI1251" t="s">
        <v>955</v>
      </c>
      <c r="AJ1251">
        <v>35.235429000000003</v>
      </c>
      <c r="AK1251" t="s">
        <v>956</v>
      </c>
      <c r="AL1251">
        <v>-76.264814999999999</v>
      </c>
      <c r="AM1251">
        <v>25</v>
      </c>
      <c r="AN1251">
        <v>3425</v>
      </c>
      <c r="AO1251" t="s">
        <v>118</v>
      </c>
      <c r="AP1251">
        <v>-125</v>
      </c>
      <c r="AQ1251">
        <v>-182</v>
      </c>
      <c r="AR1251">
        <v>-64</v>
      </c>
      <c r="AZ1251">
        <v>4516</v>
      </c>
      <c r="BA1251">
        <v>1</v>
      </c>
      <c r="BB1251" t="str">
        <f t="shared" si="125"/>
        <v xml:space="preserve">N79NX   </v>
      </c>
      <c r="BC1251">
        <v>1</v>
      </c>
      <c r="BE1251">
        <v>0</v>
      </c>
      <c r="BF1251">
        <v>0</v>
      </c>
      <c r="BG1251">
        <v>0</v>
      </c>
      <c r="BH1251">
        <v>3275</v>
      </c>
      <c r="BI1251">
        <v>0</v>
      </c>
      <c r="BJ1251">
        <v>0</v>
      </c>
      <c r="BK1251">
        <v>0</v>
      </c>
      <c r="BL1251">
        <v>0</v>
      </c>
      <c r="BO1251">
        <v>0</v>
      </c>
      <c r="BP1251">
        <v>0</v>
      </c>
      <c r="BW1251" t="str">
        <f>"18:42:36.621"</f>
        <v>18:42:36.621</v>
      </c>
      <c r="BZ1251">
        <v>0</v>
      </c>
      <c r="CA1251">
        <v>4096</v>
      </c>
      <c r="CB1251">
        <v>216</v>
      </c>
      <c r="CC1251">
        <v>442.96879999999999</v>
      </c>
      <c r="CD1251">
        <v>1</v>
      </c>
      <c r="CE1251">
        <v>1</v>
      </c>
      <c r="CF1251">
        <v>0</v>
      </c>
      <c r="CG1251">
        <v>1</v>
      </c>
      <c r="CH1251">
        <v>0</v>
      </c>
      <c r="CI1251">
        <v>0</v>
      </c>
      <c r="CJ1251">
        <v>0</v>
      </c>
      <c r="CK1251">
        <v>2</v>
      </c>
      <c r="CL1251">
        <v>0</v>
      </c>
      <c r="CM1251">
        <v>2</v>
      </c>
      <c r="CN1251">
        <v>0</v>
      </c>
      <c r="CO1251">
        <v>1</v>
      </c>
      <c r="CP1251" t="s">
        <v>119</v>
      </c>
      <c r="CQ1251">
        <v>145</v>
      </c>
      <c r="CR1251">
        <v>1</v>
      </c>
      <c r="CW1251">
        <v>9048315</v>
      </c>
      <c r="CY1251">
        <v>0</v>
      </c>
      <c r="CZ1251">
        <v>0</v>
      </c>
      <c r="DA1251">
        <v>1</v>
      </c>
      <c r="DB1251">
        <v>0</v>
      </c>
      <c r="DC1251">
        <v>0</v>
      </c>
      <c r="DD1251">
        <v>0</v>
      </c>
      <c r="DE1251">
        <v>0</v>
      </c>
      <c r="DF1251">
        <v>0</v>
      </c>
      <c r="DG1251">
        <v>0</v>
      </c>
      <c r="DH1251">
        <v>0</v>
      </c>
      <c r="DI1251">
        <v>0</v>
      </c>
    </row>
    <row r="1252" spans="1:113" x14ac:dyDescent="0.3">
      <c r="A1252" t="str">
        <f>"02/13/2022 18:42:40.951"</f>
        <v>02/13/2022 18:42:40.951</v>
      </c>
      <c r="C1252" t="str">
        <f t="shared" si="124"/>
        <v>FFDFD7C0</v>
      </c>
      <c r="D1252" t="s">
        <v>121</v>
      </c>
      <c r="E1252">
        <v>2</v>
      </c>
      <c r="H1252">
        <v>158</v>
      </c>
      <c r="I1252" t="s">
        <v>120</v>
      </c>
      <c r="J1252" t="s">
        <v>122</v>
      </c>
      <c r="K1252">
        <v>0</v>
      </c>
      <c r="L1252">
        <v>3</v>
      </c>
      <c r="M1252">
        <v>0</v>
      </c>
      <c r="N1252">
        <v>2</v>
      </c>
      <c r="O1252">
        <v>1</v>
      </c>
      <c r="P1252">
        <v>0</v>
      </c>
      <c r="Q1252">
        <v>0</v>
      </c>
      <c r="S1252" t="str">
        <f>"18:42:40.766"</f>
        <v>18:42:40.766</v>
      </c>
      <c r="T1252" t="str">
        <f>"18:42:37.966"</f>
        <v>18:42:37.966</v>
      </c>
      <c r="U1252" t="str">
        <f t="shared" si="123"/>
        <v>AAB6EE</v>
      </c>
      <c r="V1252">
        <v>0</v>
      </c>
      <c r="W1252">
        <v>0</v>
      </c>
      <c r="X1252">
        <v>4</v>
      </c>
      <c r="Z1252">
        <v>0</v>
      </c>
      <c r="AA1252">
        <v>8</v>
      </c>
      <c r="AB1252">
        <v>3</v>
      </c>
      <c r="AC1252">
        <v>0</v>
      </c>
      <c r="AD1252">
        <v>10</v>
      </c>
      <c r="AE1252">
        <v>0</v>
      </c>
      <c r="AF1252">
        <v>0</v>
      </c>
      <c r="AG1252">
        <v>1</v>
      </c>
      <c r="AH1252">
        <v>1</v>
      </c>
      <c r="AI1252" t="s">
        <v>957</v>
      </c>
      <c r="AJ1252">
        <v>35.231780999999998</v>
      </c>
      <c r="AK1252" t="s">
        <v>958</v>
      </c>
      <c r="AL1252">
        <v>-76.267325999999997</v>
      </c>
      <c r="AM1252">
        <v>25</v>
      </c>
      <c r="AN1252">
        <v>3450</v>
      </c>
      <c r="AO1252" t="s">
        <v>118</v>
      </c>
      <c r="AP1252">
        <v>-116</v>
      </c>
      <c r="AQ1252">
        <v>-189</v>
      </c>
      <c r="AR1252">
        <v>0</v>
      </c>
      <c r="AZ1252">
        <v>4516</v>
      </c>
      <c r="BA1252">
        <v>1</v>
      </c>
      <c r="BB1252" t="str">
        <f t="shared" si="125"/>
        <v xml:space="preserve">N79NX   </v>
      </c>
      <c r="BC1252">
        <v>1</v>
      </c>
      <c r="BE1252">
        <v>0</v>
      </c>
      <c r="BF1252">
        <v>0</v>
      </c>
      <c r="BG1252">
        <v>0</v>
      </c>
      <c r="BH1252">
        <v>3300</v>
      </c>
      <c r="BI1252">
        <v>0</v>
      </c>
      <c r="BJ1252">
        <v>0</v>
      </c>
      <c r="BK1252">
        <v>0</v>
      </c>
      <c r="BL1252">
        <v>0</v>
      </c>
      <c r="BO1252">
        <v>0</v>
      </c>
      <c r="BP1252">
        <v>0</v>
      </c>
      <c r="BW1252" t="str">
        <f>"18:42:40.771"</f>
        <v>18:42:40.771</v>
      </c>
      <c r="BZ1252">
        <v>0</v>
      </c>
      <c r="CA1252">
        <v>4096</v>
      </c>
      <c r="CB1252">
        <v>216</v>
      </c>
      <c r="CC1252">
        <v>442.96879999999999</v>
      </c>
      <c r="CD1252">
        <v>1</v>
      </c>
      <c r="CE1252">
        <v>1</v>
      </c>
      <c r="CF1252">
        <v>0</v>
      </c>
      <c r="CG1252">
        <v>1</v>
      </c>
      <c r="CH1252">
        <v>0</v>
      </c>
      <c r="CI1252">
        <v>0</v>
      </c>
      <c r="CJ1252">
        <v>0</v>
      </c>
      <c r="CK1252">
        <v>2</v>
      </c>
      <c r="CL1252">
        <v>0</v>
      </c>
      <c r="CM1252">
        <v>2</v>
      </c>
      <c r="CN1252">
        <v>0</v>
      </c>
      <c r="CO1252">
        <v>2</v>
      </c>
      <c r="CP1252" t="s">
        <v>119</v>
      </c>
      <c r="CQ1252">
        <v>145</v>
      </c>
      <c r="CR1252">
        <v>1</v>
      </c>
      <c r="CW1252">
        <v>9050224</v>
      </c>
      <c r="CY1252">
        <v>0</v>
      </c>
      <c r="CZ1252">
        <v>0</v>
      </c>
      <c r="DA1252">
        <v>0</v>
      </c>
      <c r="DB1252">
        <v>0</v>
      </c>
      <c r="DC1252">
        <v>0</v>
      </c>
      <c r="DD1252">
        <v>0</v>
      </c>
      <c r="DE1252">
        <v>0</v>
      </c>
      <c r="DF1252">
        <v>0</v>
      </c>
      <c r="DG1252">
        <v>0</v>
      </c>
      <c r="DH1252">
        <v>0</v>
      </c>
      <c r="DI1252">
        <v>0</v>
      </c>
    </row>
    <row r="1253" spans="1:113" x14ac:dyDescent="0.3">
      <c r="A1253" t="str">
        <f>"02/13/2022 18:42:40.998"</f>
        <v>02/13/2022 18:42:40.998</v>
      </c>
      <c r="C1253" t="str">
        <f t="shared" si="124"/>
        <v>FFDFD7C0</v>
      </c>
      <c r="D1253" t="s">
        <v>113</v>
      </c>
      <c r="E1253">
        <v>3</v>
      </c>
      <c r="F1253">
        <v>1003</v>
      </c>
      <c r="G1253" t="s">
        <v>114</v>
      </c>
      <c r="J1253" t="s">
        <v>115</v>
      </c>
      <c r="K1253">
        <v>0</v>
      </c>
      <c r="L1253">
        <v>3</v>
      </c>
      <c r="M1253">
        <v>0</v>
      </c>
      <c r="N1253">
        <v>2</v>
      </c>
      <c r="O1253">
        <v>1</v>
      </c>
      <c r="P1253">
        <v>0</v>
      </c>
      <c r="Q1253">
        <v>0</v>
      </c>
      <c r="S1253" t="str">
        <f>"18:42:40.766"</f>
        <v>18:42:40.766</v>
      </c>
      <c r="T1253" t="str">
        <f>"18:42:37.966"</f>
        <v>18:42:37.966</v>
      </c>
      <c r="U1253" t="str">
        <f t="shared" si="123"/>
        <v>AAB6EE</v>
      </c>
      <c r="V1253">
        <v>0</v>
      </c>
      <c r="W1253">
        <v>0</v>
      </c>
      <c r="X1253">
        <v>4</v>
      </c>
      <c r="Z1253">
        <v>0</v>
      </c>
      <c r="AA1253">
        <v>8</v>
      </c>
      <c r="AB1253">
        <v>3</v>
      </c>
      <c r="AC1253">
        <v>0</v>
      </c>
      <c r="AD1253">
        <v>10</v>
      </c>
      <c r="AE1253">
        <v>0</v>
      </c>
      <c r="AF1253">
        <v>0</v>
      </c>
      <c r="AG1253">
        <v>1</v>
      </c>
      <c r="AH1253">
        <v>1</v>
      </c>
      <c r="AI1253" t="s">
        <v>957</v>
      </c>
      <c r="AJ1253">
        <v>35.231780999999998</v>
      </c>
      <c r="AK1253" t="s">
        <v>958</v>
      </c>
      <c r="AL1253">
        <v>-76.267325999999997</v>
      </c>
      <c r="AM1253">
        <v>25</v>
      </c>
      <c r="AN1253">
        <v>3450</v>
      </c>
      <c r="AO1253" t="s">
        <v>118</v>
      </c>
      <c r="AP1253">
        <v>-116</v>
      </c>
      <c r="AQ1253">
        <v>-189</v>
      </c>
      <c r="AR1253">
        <v>0</v>
      </c>
      <c r="AZ1253">
        <v>4516</v>
      </c>
      <c r="BA1253">
        <v>1</v>
      </c>
      <c r="BB1253" t="str">
        <f t="shared" si="125"/>
        <v xml:space="preserve">N79NX   </v>
      </c>
      <c r="BC1253">
        <v>1</v>
      </c>
      <c r="BE1253">
        <v>0</v>
      </c>
      <c r="BF1253">
        <v>0</v>
      </c>
      <c r="BG1253">
        <v>0</v>
      </c>
      <c r="BH1253">
        <v>3300</v>
      </c>
      <c r="BI1253">
        <v>0</v>
      </c>
      <c r="BJ1253">
        <v>0</v>
      </c>
      <c r="BK1253">
        <v>0</v>
      </c>
      <c r="BL1253">
        <v>0</v>
      </c>
      <c r="BO1253">
        <v>0</v>
      </c>
      <c r="BP1253">
        <v>0</v>
      </c>
      <c r="BW1253" t="str">
        <f>"18:42:40.771"</f>
        <v>18:42:40.771</v>
      </c>
      <c r="BZ1253">
        <v>0</v>
      </c>
      <c r="CA1253">
        <v>4096</v>
      </c>
      <c r="CB1253">
        <v>216</v>
      </c>
      <c r="CC1253">
        <v>442.96879999999999</v>
      </c>
      <c r="CD1253">
        <v>1</v>
      </c>
      <c r="CE1253">
        <v>1</v>
      </c>
      <c r="CF1253">
        <v>0</v>
      </c>
      <c r="CG1253">
        <v>1</v>
      </c>
      <c r="CH1253">
        <v>0</v>
      </c>
      <c r="CI1253">
        <v>0</v>
      </c>
      <c r="CJ1253">
        <v>0</v>
      </c>
      <c r="CK1253">
        <v>2</v>
      </c>
      <c r="CL1253">
        <v>0</v>
      </c>
      <c r="CM1253">
        <v>2</v>
      </c>
      <c r="CN1253">
        <v>0</v>
      </c>
      <c r="CO1253">
        <v>2</v>
      </c>
      <c r="CP1253" t="s">
        <v>119</v>
      </c>
      <c r="CQ1253">
        <v>145</v>
      </c>
      <c r="CR1253">
        <v>1</v>
      </c>
      <c r="CW1253">
        <v>9050224</v>
      </c>
      <c r="CY1253">
        <v>0</v>
      </c>
      <c r="CZ1253">
        <v>0</v>
      </c>
      <c r="DA1253">
        <v>1</v>
      </c>
      <c r="DB1253">
        <v>0</v>
      </c>
      <c r="DC1253">
        <v>0</v>
      </c>
      <c r="DD1253">
        <v>0</v>
      </c>
      <c r="DE1253">
        <v>0</v>
      </c>
      <c r="DF1253">
        <v>0</v>
      </c>
      <c r="DG1253">
        <v>0</v>
      </c>
      <c r="DH1253">
        <v>0</v>
      </c>
      <c r="DI1253">
        <v>0</v>
      </c>
    </row>
    <row r="1254" spans="1:113" x14ac:dyDescent="0.3">
      <c r="A1254" t="str">
        <f>"02/13/2022 18:42:40.998"</f>
        <v>02/13/2022 18:42:40.998</v>
      </c>
      <c r="C1254" t="str">
        <f t="shared" si="124"/>
        <v>FFDFD7C0</v>
      </c>
      <c r="D1254" t="s">
        <v>113</v>
      </c>
      <c r="E1254">
        <v>4</v>
      </c>
      <c r="F1254">
        <v>1004</v>
      </c>
      <c r="G1254" t="s">
        <v>120</v>
      </c>
      <c r="J1254" t="s">
        <v>115</v>
      </c>
      <c r="K1254">
        <v>0</v>
      </c>
      <c r="L1254">
        <v>3</v>
      </c>
      <c r="M1254">
        <v>0</v>
      </c>
      <c r="N1254">
        <v>2</v>
      </c>
      <c r="O1254">
        <v>1</v>
      </c>
      <c r="P1254">
        <v>0</v>
      </c>
      <c r="Q1254">
        <v>0</v>
      </c>
      <c r="S1254" t="str">
        <f>"18:42:40.766"</f>
        <v>18:42:40.766</v>
      </c>
      <c r="T1254" t="str">
        <f>"18:42:37.966"</f>
        <v>18:42:37.966</v>
      </c>
      <c r="U1254" t="str">
        <f t="shared" si="123"/>
        <v>AAB6EE</v>
      </c>
      <c r="V1254">
        <v>0</v>
      </c>
      <c r="W1254">
        <v>0</v>
      </c>
      <c r="X1254">
        <v>4</v>
      </c>
      <c r="Z1254">
        <v>0</v>
      </c>
      <c r="AA1254">
        <v>8</v>
      </c>
      <c r="AB1254">
        <v>3</v>
      </c>
      <c r="AC1254">
        <v>0</v>
      </c>
      <c r="AD1254">
        <v>10</v>
      </c>
      <c r="AE1254">
        <v>0</v>
      </c>
      <c r="AF1254">
        <v>0</v>
      </c>
      <c r="AG1254">
        <v>1</v>
      </c>
      <c r="AH1254">
        <v>1</v>
      </c>
      <c r="AI1254" t="s">
        <v>957</v>
      </c>
      <c r="AJ1254">
        <v>35.231780999999998</v>
      </c>
      <c r="AK1254" t="s">
        <v>958</v>
      </c>
      <c r="AL1254">
        <v>-76.267325999999997</v>
      </c>
      <c r="AM1254">
        <v>25</v>
      </c>
      <c r="AN1254">
        <v>3450</v>
      </c>
      <c r="AO1254" t="s">
        <v>118</v>
      </c>
      <c r="AP1254">
        <v>-116</v>
      </c>
      <c r="AQ1254">
        <v>-189</v>
      </c>
      <c r="AR1254">
        <v>0</v>
      </c>
      <c r="AZ1254">
        <v>4516</v>
      </c>
      <c r="BA1254">
        <v>1</v>
      </c>
      <c r="BB1254" t="str">
        <f t="shared" si="125"/>
        <v xml:space="preserve">N79NX   </v>
      </c>
      <c r="BC1254">
        <v>1</v>
      </c>
      <c r="BE1254">
        <v>0</v>
      </c>
      <c r="BF1254">
        <v>0</v>
      </c>
      <c r="BG1254">
        <v>0</v>
      </c>
      <c r="BH1254">
        <v>3300</v>
      </c>
      <c r="BI1254">
        <v>0</v>
      </c>
      <c r="BJ1254">
        <v>0</v>
      </c>
      <c r="BK1254">
        <v>0</v>
      </c>
      <c r="BL1254">
        <v>0</v>
      </c>
      <c r="BO1254">
        <v>0</v>
      </c>
      <c r="BP1254">
        <v>0</v>
      </c>
      <c r="BW1254" t="str">
        <f>"18:42:40.771"</f>
        <v>18:42:40.771</v>
      </c>
      <c r="BZ1254">
        <v>0</v>
      </c>
      <c r="CA1254">
        <v>4096</v>
      </c>
      <c r="CB1254">
        <v>216</v>
      </c>
      <c r="CC1254">
        <v>442.96879999999999</v>
      </c>
      <c r="CD1254">
        <v>1</v>
      </c>
      <c r="CE1254">
        <v>1</v>
      </c>
      <c r="CF1254">
        <v>0</v>
      </c>
      <c r="CG1254">
        <v>1</v>
      </c>
      <c r="CH1254">
        <v>0</v>
      </c>
      <c r="CI1254">
        <v>0</v>
      </c>
      <c r="CJ1254">
        <v>0</v>
      </c>
      <c r="CK1254">
        <v>2</v>
      </c>
      <c r="CL1254">
        <v>0</v>
      </c>
      <c r="CM1254">
        <v>2</v>
      </c>
      <c r="CN1254">
        <v>0</v>
      </c>
      <c r="CO1254">
        <v>2</v>
      </c>
      <c r="CP1254" t="s">
        <v>119</v>
      </c>
      <c r="CQ1254">
        <v>145</v>
      </c>
      <c r="CR1254">
        <v>1</v>
      </c>
      <c r="CW1254">
        <v>9050224</v>
      </c>
      <c r="CY1254">
        <v>0</v>
      </c>
      <c r="CZ1254">
        <v>0</v>
      </c>
      <c r="DA1254">
        <v>1</v>
      </c>
      <c r="DB1254">
        <v>0</v>
      </c>
      <c r="DC1254">
        <v>0</v>
      </c>
      <c r="DD1254">
        <v>0</v>
      </c>
      <c r="DE1254">
        <v>0</v>
      </c>
      <c r="DF1254">
        <v>0</v>
      </c>
      <c r="DG1254">
        <v>0</v>
      </c>
      <c r="DH1254">
        <v>0</v>
      </c>
      <c r="DI1254">
        <v>0</v>
      </c>
    </row>
    <row r="1255" spans="1:113" x14ac:dyDescent="0.3">
      <c r="A1255" t="str">
        <f>"02/13/2022 18:42:42.060"</f>
        <v>02/13/2022 18:42:42.060</v>
      </c>
      <c r="C1255" t="str">
        <f t="shared" si="124"/>
        <v>FFDFD7C0</v>
      </c>
      <c r="D1255" t="s">
        <v>113</v>
      </c>
      <c r="E1255">
        <v>3</v>
      </c>
      <c r="F1255">
        <v>1003</v>
      </c>
      <c r="G1255" t="s">
        <v>114</v>
      </c>
      <c r="J1255" t="s">
        <v>115</v>
      </c>
      <c r="K1255">
        <v>0</v>
      </c>
      <c r="L1255">
        <v>3</v>
      </c>
      <c r="M1255">
        <v>0</v>
      </c>
      <c r="N1255">
        <v>2</v>
      </c>
      <c r="O1255">
        <v>1</v>
      </c>
      <c r="P1255">
        <v>0</v>
      </c>
      <c r="Q1255">
        <v>0</v>
      </c>
      <c r="S1255" t="str">
        <f>"18:42:41.820"</f>
        <v>18:42:41.820</v>
      </c>
      <c r="T1255" t="str">
        <f>"18:42:37.920"</f>
        <v>18:42:37.920</v>
      </c>
      <c r="U1255" t="str">
        <f t="shared" si="123"/>
        <v>AAB6EE</v>
      </c>
      <c r="V1255">
        <v>0</v>
      </c>
      <c r="W1255">
        <v>0</v>
      </c>
      <c r="X1255">
        <v>4</v>
      </c>
      <c r="Z1255">
        <v>0</v>
      </c>
      <c r="AA1255">
        <v>8</v>
      </c>
      <c r="AB1255">
        <v>3</v>
      </c>
      <c r="AC1255">
        <v>0</v>
      </c>
      <c r="AD1255">
        <v>10</v>
      </c>
      <c r="AE1255">
        <v>0</v>
      </c>
      <c r="AF1255">
        <v>0</v>
      </c>
      <c r="AG1255">
        <v>1</v>
      </c>
      <c r="AH1255">
        <v>1</v>
      </c>
      <c r="AI1255" t="s">
        <v>959</v>
      </c>
      <c r="AJ1255">
        <v>35.230730000000001</v>
      </c>
      <c r="AK1255" t="s">
        <v>960</v>
      </c>
      <c r="AL1255">
        <v>-76.267841000000004</v>
      </c>
      <c r="AM1255">
        <v>25</v>
      </c>
      <c r="AN1255">
        <v>3450</v>
      </c>
      <c r="AO1255" t="s">
        <v>118</v>
      </c>
      <c r="AP1255">
        <v>-116</v>
      </c>
      <c r="AQ1255">
        <v>-189</v>
      </c>
      <c r="AR1255">
        <v>0</v>
      </c>
      <c r="AZ1255">
        <v>4516</v>
      </c>
      <c r="BA1255">
        <v>1</v>
      </c>
      <c r="BB1255" t="str">
        <f t="shared" si="125"/>
        <v xml:space="preserve">N79NX   </v>
      </c>
      <c r="BC1255">
        <v>1</v>
      </c>
      <c r="BE1255">
        <v>0</v>
      </c>
      <c r="BF1255">
        <v>0</v>
      </c>
      <c r="BG1255">
        <v>0</v>
      </c>
      <c r="BH1255">
        <v>3300</v>
      </c>
      <c r="BI1255">
        <v>0</v>
      </c>
      <c r="BJ1255">
        <v>0</v>
      </c>
      <c r="BK1255">
        <v>0</v>
      </c>
      <c r="BL1255">
        <v>0</v>
      </c>
      <c r="BO1255">
        <v>0</v>
      </c>
      <c r="BP1255">
        <v>0</v>
      </c>
      <c r="BW1255" t="str">
        <f>"18:42:41.822"</f>
        <v>18:42:41.822</v>
      </c>
      <c r="BZ1255">
        <v>0</v>
      </c>
      <c r="CA1255">
        <v>4096</v>
      </c>
      <c r="CB1255">
        <v>216</v>
      </c>
      <c r="CC1255">
        <v>442.96879999999999</v>
      </c>
      <c r="CD1255">
        <v>1</v>
      </c>
      <c r="CE1255">
        <v>1</v>
      </c>
      <c r="CF1255">
        <v>0</v>
      </c>
      <c r="CG1255">
        <v>1</v>
      </c>
      <c r="CH1255">
        <v>0</v>
      </c>
      <c r="CI1255">
        <v>0</v>
      </c>
      <c r="CJ1255">
        <v>0</v>
      </c>
      <c r="CK1255">
        <v>2</v>
      </c>
      <c r="CL1255">
        <v>0</v>
      </c>
      <c r="CM1255">
        <v>2</v>
      </c>
      <c r="CN1255">
        <v>0</v>
      </c>
      <c r="CO1255">
        <v>1</v>
      </c>
      <c r="CP1255" t="s">
        <v>119</v>
      </c>
      <c r="CQ1255">
        <v>145</v>
      </c>
      <c r="CR1255">
        <v>1</v>
      </c>
      <c r="CW1255">
        <v>9050672</v>
      </c>
      <c r="CY1255">
        <v>0</v>
      </c>
      <c r="CZ1255">
        <v>0</v>
      </c>
      <c r="DA1255">
        <v>0</v>
      </c>
      <c r="DB1255">
        <v>0</v>
      </c>
      <c r="DC1255">
        <v>0</v>
      </c>
      <c r="DD1255">
        <v>0</v>
      </c>
      <c r="DE1255">
        <v>0</v>
      </c>
      <c r="DF1255">
        <v>0</v>
      </c>
      <c r="DG1255">
        <v>0</v>
      </c>
      <c r="DH1255">
        <v>0</v>
      </c>
      <c r="DI1255">
        <v>0</v>
      </c>
    </row>
    <row r="1256" spans="1:113" x14ac:dyDescent="0.3">
      <c r="A1256" t="str">
        <f>"02/13/2022 18:42:42.060"</f>
        <v>02/13/2022 18:42:42.060</v>
      </c>
      <c r="C1256" t="str">
        <f t="shared" si="124"/>
        <v>FFDFD7C0</v>
      </c>
      <c r="D1256" t="s">
        <v>113</v>
      </c>
      <c r="E1256">
        <v>4</v>
      </c>
      <c r="F1256">
        <v>1004</v>
      </c>
      <c r="G1256" t="s">
        <v>120</v>
      </c>
      <c r="J1256" t="s">
        <v>115</v>
      </c>
      <c r="K1256">
        <v>0</v>
      </c>
      <c r="L1256">
        <v>3</v>
      </c>
      <c r="M1256">
        <v>0</v>
      </c>
      <c r="N1256">
        <v>2</v>
      </c>
      <c r="O1256">
        <v>1</v>
      </c>
      <c r="P1256">
        <v>0</v>
      </c>
      <c r="Q1256">
        <v>0</v>
      </c>
      <c r="S1256" t="str">
        <f>"18:42:41.820"</f>
        <v>18:42:41.820</v>
      </c>
      <c r="T1256" t="str">
        <f>"18:42:37.920"</f>
        <v>18:42:37.920</v>
      </c>
      <c r="U1256" t="str">
        <f t="shared" si="123"/>
        <v>AAB6EE</v>
      </c>
      <c r="V1256">
        <v>0</v>
      </c>
      <c r="W1256">
        <v>0</v>
      </c>
      <c r="X1256">
        <v>4</v>
      </c>
      <c r="Z1256">
        <v>0</v>
      </c>
      <c r="AA1256">
        <v>8</v>
      </c>
      <c r="AB1256">
        <v>3</v>
      </c>
      <c r="AC1256">
        <v>0</v>
      </c>
      <c r="AD1256">
        <v>10</v>
      </c>
      <c r="AE1256">
        <v>0</v>
      </c>
      <c r="AF1256">
        <v>0</v>
      </c>
      <c r="AG1256">
        <v>1</v>
      </c>
      <c r="AH1256">
        <v>1</v>
      </c>
      <c r="AI1256" t="s">
        <v>959</v>
      </c>
      <c r="AJ1256">
        <v>35.230730000000001</v>
      </c>
      <c r="AK1256" t="s">
        <v>960</v>
      </c>
      <c r="AL1256">
        <v>-76.267841000000004</v>
      </c>
      <c r="AM1256">
        <v>25</v>
      </c>
      <c r="AN1256">
        <v>3450</v>
      </c>
      <c r="AO1256" t="s">
        <v>118</v>
      </c>
      <c r="AP1256">
        <v>-116</v>
      </c>
      <c r="AQ1256">
        <v>-189</v>
      </c>
      <c r="AR1256">
        <v>0</v>
      </c>
      <c r="AZ1256">
        <v>4516</v>
      </c>
      <c r="BA1256">
        <v>1</v>
      </c>
      <c r="BB1256" t="str">
        <f t="shared" si="125"/>
        <v xml:space="preserve">N79NX   </v>
      </c>
      <c r="BC1256">
        <v>1</v>
      </c>
      <c r="BE1256">
        <v>0</v>
      </c>
      <c r="BF1256">
        <v>0</v>
      </c>
      <c r="BG1256">
        <v>0</v>
      </c>
      <c r="BH1256">
        <v>3300</v>
      </c>
      <c r="BI1256">
        <v>0</v>
      </c>
      <c r="BJ1256">
        <v>0</v>
      </c>
      <c r="BK1256">
        <v>0</v>
      </c>
      <c r="BL1256">
        <v>0</v>
      </c>
      <c r="BO1256">
        <v>0</v>
      </c>
      <c r="BP1256">
        <v>0</v>
      </c>
      <c r="BW1256" t="str">
        <f>"18:42:41.822"</f>
        <v>18:42:41.822</v>
      </c>
      <c r="BZ1256">
        <v>0</v>
      </c>
      <c r="CA1256">
        <v>4096</v>
      </c>
      <c r="CB1256">
        <v>216</v>
      </c>
      <c r="CC1256">
        <v>442.96879999999999</v>
      </c>
      <c r="CD1256">
        <v>1</v>
      </c>
      <c r="CE1256">
        <v>1</v>
      </c>
      <c r="CF1256">
        <v>0</v>
      </c>
      <c r="CG1256">
        <v>1</v>
      </c>
      <c r="CH1256">
        <v>0</v>
      </c>
      <c r="CI1256">
        <v>0</v>
      </c>
      <c r="CJ1256">
        <v>0</v>
      </c>
      <c r="CK1256">
        <v>2</v>
      </c>
      <c r="CL1256">
        <v>0</v>
      </c>
      <c r="CM1256">
        <v>2</v>
      </c>
      <c r="CN1256">
        <v>0</v>
      </c>
      <c r="CO1256">
        <v>1</v>
      </c>
      <c r="CP1256" t="s">
        <v>119</v>
      </c>
      <c r="CQ1256">
        <v>145</v>
      </c>
      <c r="CR1256">
        <v>1</v>
      </c>
      <c r="CW1256">
        <v>9050672</v>
      </c>
      <c r="CY1256">
        <v>0</v>
      </c>
      <c r="CZ1256">
        <v>0</v>
      </c>
      <c r="DA1256">
        <v>1</v>
      </c>
      <c r="DB1256">
        <v>0</v>
      </c>
      <c r="DC1256">
        <v>0</v>
      </c>
      <c r="DD1256">
        <v>0</v>
      </c>
      <c r="DE1256">
        <v>0</v>
      </c>
      <c r="DF1256">
        <v>0</v>
      </c>
      <c r="DG1256">
        <v>0</v>
      </c>
      <c r="DH1256">
        <v>0</v>
      </c>
      <c r="DI1256">
        <v>0</v>
      </c>
    </row>
    <row r="1257" spans="1:113" x14ac:dyDescent="0.3">
      <c r="A1257" t="str">
        <f>"02/13/2022 18:42:42.060"</f>
        <v>02/13/2022 18:42:42.060</v>
      </c>
      <c r="C1257" t="str">
        <f t="shared" si="124"/>
        <v>FFDFD7C0</v>
      </c>
      <c r="D1257" t="s">
        <v>121</v>
      </c>
      <c r="E1257">
        <v>2</v>
      </c>
      <c r="H1257">
        <v>158</v>
      </c>
      <c r="I1257" t="s">
        <v>120</v>
      </c>
      <c r="J1257" t="s">
        <v>122</v>
      </c>
      <c r="K1257">
        <v>0</v>
      </c>
      <c r="L1257">
        <v>3</v>
      </c>
      <c r="M1257">
        <v>0</v>
      </c>
      <c r="N1257">
        <v>2</v>
      </c>
      <c r="O1257">
        <v>1</v>
      </c>
      <c r="P1257">
        <v>0</v>
      </c>
      <c r="Q1257">
        <v>0</v>
      </c>
      <c r="S1257" t="str">
        <f>"18:42:41.820"</f>
        <v>18:42:41.820</v>
      </c>
      <c r="T1257" t="str">
        <f>"18:42:37.920"</f>
        <v>18:42:37.920</v>
      </c>
      <c r="U1257" t="str">
        <f t="shared" si="123"/>
        <v>AAB6EE</v>
      </c>
      <c r="V1257">
        <v>0</v>
      </c>
      <c r="W1257">
        <v>0</v>
      </c>
      <c r="X1257">
        <v>4</v>
      </c>
      <c r="Z1257">
        <v>0</v>
      </c>
      <c r="AA1257">
        <v>8</v>
      </c>
      <c r="AB1257">
        <v>3</v>
      </c>
      <c r="AC1257">
        <v>0</v>
      </c>
      <c r="AD1257">
        <v>10</v>
      </c>
      <c r="AE1257">
        <v>0</v>
      </c>
      <c r="AF1257">
        <v>0</v>
      </c>
      <c r="AG1257">
        <v>1</v>
      </c>
      <c r="AH1257">
        <v>1</v>
      </c>
      <c r="AI1257" t="s">
        <v>959</v>
      </c>
      <c r="AJ1257">
        <v>35.230730000000001</v>
      </c>
      <c r="AK1257" t="s">
        <v>960</v>
      </c>
      <c r="AL1257">
        <v>-76.267841000000004</v>
      </c>
      <c r="AM1257">
        <v>25</v>
      </c>
      <c r="AN1257">
        <v>3450</v>
      </c>
      <c r="AO1257" t="s">
        <v>118</v>
      </c>
      <c r="AP1257">
        <v>-116</v>
      </c>
      <c r="AQ1257">
        <v>-189</v>
      </c>
      <c r="AR1257">
        <v>0</v>
      </c>
      <c r="AZ1257">
        <v>4516</v>
      </c>
      <c r="BA1257">
        <v>1</v>
      </c>
      <c r="BB1257" t="str">
        <f t="shared" si="125"/>
        <v xml:space="preserve">N79NX   </v>
      </c>
      <c r="BC1257">
        <v>1</v>
      </c>
      <c r="BE1257">
        <v>0</v>
      </c>
      <c r="BF1257">
        <v>0</v>
      </c>
      <c r="BG1257">
        <v>0</v>
      </c>
      <c r="BH1257">
        <v>3300</v>
      </c>
      <c r="BI1257">
        <v>0</v>
      </c>
      <c r="BJ1257">
        <v>0</v>
      </c>
      <c r="BK1257">
        <v>0</v>
      </c>
      <c r="BL1257">
        <v>0</v>
      </c>
      <c r="BO1257">
        <v>0</v>
      </c>
      <c r="BP1257">
        <v>0</v>
      </c>
      <c r="BW1257" t="str">
        <f>"18:42:41.822"</f>
        <v>18:42:41.822</v>
      </c>
      <c r="BZ1257">
        <v>0</v>
      </c>
      <c r="CA1257">
        <v>4096</v>
      </c>
      <c r="CB1257">
        <v>216</v>
      </c>
      <c r="CC1257">
        <v>442.96879999999999</v>
      </c>
      <c r="CD1257">
        <v>1</v>
      </c>
      <c r="CE1257">
        <v>1</v>
      </c>
      <c r="CF1257">
        <v>0</v>
      </c>
      <c r="CG1257">
        <v>1</v>
      </c>
      <c r="CH1257">
        <v>0</v>
      </c>
      <c r="CI1257">
        <v>0</v>
      </c>
      <c r="CJ1257">
        <v>0</v>
      </c>
      <c r="CK1257">
        <v>2</v>
      </c>
      <c r="CL1257">
        <v>0</v>
      </c>
      <c r="CM1257">
        <v>2</v>
      </c>
      <c r="CN1257">
        <v>0</v>
      </c>
      <c r="CO1257">
        <v>1</v>
      </c>
      <c r="CP1257" t="s">
        <v>119</v>
      </c>
      <c r="CQ1257">
        <v>145</v>
      </c>
      <c r="CR1257">
        <v>1</v>
      </c>
      <c r="CW1257">
        <v>9050672</v>
      </c>
      <c r="CY1257">
        <v>0</v>
      </c>
      <c r="CZ1257">
        <v>0</v>
      </c>
      <c r="DA1257">
        <v>1</v>
      </c>
      <c r="DB1257">
        <v>0</v>
      </c>
      <c r="DC1257">
        <v>0</v>
      </c>
      <c r="DD1257">
        <v>0</v>
      </c>
      <c r="DE1257">
        <v>0</v>
      </c>
      <c r="DF1257">
        <v>0</v>
      </c>
      <c r="DG1257">
        <v>0</v>
      </c>
      <c r="DH1257">
        <v>0</v>
      </c>
      <c r="DI1257">
        <v>0</v>
      </c>
    </row>
    <row r="1258" spans="1:113" x14ac:dyDescent="0.3">
      <c r="A1258" t="str">
        <f>"02/13/2022 18:42:44.374"</f>
        <v>02/13/2022 18:42:44.374</v>
      </c>
      <c r="C1258" t="str">
        <f t="shared" si="124"/>
        <v>FFDFD7C0</v>
      </c>
      <c r="D1258" t="s">
        <v>121</v>
      </c>
      <c r="E1258">
        <v>2</v>
      </c>
      <c r="H1258">
        <v>158</v>
      </c>
      <c r="I1258" t="s">
        <v>120</v>
      </c>
      <c r="J1258" t="s">
        <v>122</v>
      </c>
      <c r="K1258">
        <v>0</v>
      </c>
      <c r="L1258">
        <v>3</v>
      </c>
      <c r="M1258">
        <v>0</v>
      </c>
      <c r="N1258">
        <v>2</v>
      </c>
      <c r="O1258">
        <v>1</v>
      </c>
      <c r="P1258">
        <v>0</v>
      </c>
      <c r="Q1258">
        <v>0</v>
      </c>
      <c r="S1258" t="str">
        <f>"18:42:44.109"</f>
        <v>18:42:44.109</v>
      </c>
      <c r="T1258" t="str">
        <f>"18:42:42.009"</f>
        <v>18:42:42.009</v>
      </c>
      <c r="U1258" t="str">
        <f t="shared" si="123"/>
        <v>AAB6EE</v>
      </c>
      <c r="V1258">
        <v>0</v>
      </c>
      <c r="W1258">
        <v>0</v>
      </c>
      <c r="X1258">
        <v>4</v>
      </c>
      <c r="Z1258">
        <v>0</v>
      </c>
      <c r="AA1258">
        <v>8</v>
      </c>
      <c r="AB1258">
        <v>3</v>
      </c>
      <c r="AC1258">
        <v>0</v>
      </c>
      <c r="AD1258">
        <v>10</v>
      </c>
      <c r="AE1258">
        <v>0</v>
      </c>
      <c r="AF1258">
        <v>0</v>
      </c>
      <c r="AG1258">
        <v>1</v>
      </c>
      <c r="AH1258">
        <v>1</v>
      </c>
      <c r="AI1258" t="s">
        <v>961</v>
      </c>
      <c r="AJ1258">
        <v>35.228476999999998</v>
      </c>
      <c r="AK1258" t="s">
        <v>962</v>
      </c>
      <c r="AL1258">
        <v>-76.268720999999999</v>
      </c>
      <c r="AM1258">
        <v>25</v>
      </c>
      <c r="AN1258">
        <v>3450</v>
      </c>
      <c r="AO1258" t="s">
        <v>118</v>
      </c>
      <c r="AP1258">
        <v>-81</v>
      </c>
      <c r="AQ1258">
        <v>-206</v>
      </c>
      <c r="AR1258">
        <v>64</v>
      </c>
      <c r="AZ1258">
        <v>4516</v>
      </c>
      <c r="BA1258">
        <v>1</v>
      </c>
      <c r="BB1258" t="str">
        <f t="shared" si="125"/>
        <v xml:space="preserve">N79NX   </v>
      </c>
      <c r="BC1258">
        <v>1</v>
      </c>
      <c r="BE1258">
        <v>0</v>
      </c>
      <c r="BF1258">
        <v>0</v>
      </c>
      <c r="BG1258">
        <v>0</v>
      </c>
      <c r="BH1258">
        <v>3300</v>
      </c>
      <c r="BI1258">
        <v>0</v>
      </c>
      <c r="BJ1258">
        <v>0</v>
      </c>
      <c r="BK1258">
        <v>0</v>
      </c>
      <c r="BL1258">
        <v>0</v>
      </c>
      <c r="BO1258">
        <v>0</v>
      </c>
      <c r="BP1258">
        <v>0</v>
      </c>
      <c r="BW1258" t="str">
        <f>"18:42:44.112"</f>
        <v>18:42:44.112</v>
      </c>
      <c r="BZ1258">
        <v>0</v>
      </c>
      <c r="CA1258">
        <v>4096</v>
      </c>
      <c r="CB1258">
        <v>216</v>
      </c>
      <c r="CC1258">
        <v>442.96879999999999</v>
      </c>
      <c r="CD1258">
        <v>1</v>
      </c>
      <c r="CE1258">
        <v>1</v>
      </c>
      <c r="CF1258">
        <v>0</v>
      </c>
      <c r="CG1258">
        <v>1</v>
      </c>
      <c r="CH1258">
        <v>0</v>
      </c>
      <c r="CI1258">
        <v>0</v>
      </c>
      <c r="CJ1258">
        <v>0</v>
      </c>
      <c r="CK1258">
        <v>2</v>
      </c>
      <c r="CL1258">
        <v>0</v>
      </c>
      <c r="CM1258">
        <v>2</v>
      </c>
      <c r="CN1258">
        <v>0</v>
      </c>
      <c r="CO1258">
        <v>1</v>
      </c>
      <c r="CP1258" t="s">
        <v>119</v>
      </c>
      <c r="CQ1258">
        <v>145</v>
      </c>
      <c r="CR1258">
        <v>1</v>
      </c>
      <c r="CW1258">
        <v>9051799</v>
      </c>
      <c r="CY1258">
        <v>0</v>
      </c>
      <c r="CZ1258">
        <v>0</v>
      </c>
      <c r="DA1258">
        <v>0</v>
      </c>
      <c r="DB1258">
        <v>0</v>
      </c>
      <c r="DC1258">
        <v>0</v>
      </c>
      <c r="DD1258">
        <v>0</v>
      </c>
      <c r="DE1258">
        <v>0</v>
      </c>
      <c r="DF1258">
        <v>0</v>
      </c>
      <c r="DG1258">
        <v>0</v>
      </c>
      <c r="DH1258">
        <v>0</v>
      </c>
      <c r="DI1258">
        <v>0</v>
      </c>
    </row>
    <row r="1259" spans="1:113" x14ac:dyDescent="0.3">
      <c r="A1259" t="str">
        <f>"02/13/2022 18:42:44.405"</f>
        <v>02/13/2022 18:42:44.405</v>
      </c>
      <c r="C1259" t="str">
        <f t="shared" si="124"/>
        <v>FFDFD7C0</v>
      </c>
      <c r="D1259" t="s">
        <v>113</v>
      </c>
      <c r="E1259">
        <v>3</v>
      </c>
      <c r="F1259">
        <v>1003</v>
      </c>
      <c r="G1259" t="s">
        <v>114</v>
      </c>
      <c r="J1259" t="s">
        <v>115</v>
      </c>
      <c r="K1259">
        <v>0</v>
      </c>
      <c r="L1259">
        <v>3</v>
      </c>
      <c r="M1259">
        <v>0</v>
      </c>
      <c r="N1259">
        <v>2</v>
      </c>
      <c r="O1259">
        <v>1</v>
      </c>
      <c r="P1259">
        <v>0</v>
      </c>
      <c r="Q1259">
        <v>0</v>
      </c>
      <c r="S1259" t="str">
        <f>"18:42:44.109"</f>
        <v>18:42:44.109</v>
      </c>
      <c r="T1259" t="str">
        <f>"18:42:42.009"</f>
        <v>18:42:42.009</v>
      </c>
      <c r="U1259" t="str">
        <f t="shared" si="123"/>
        <v>AAB6EE</v>
      </c>
      <c r="V1259">
        <v>0</v>
      </c>
      <c r="W1259">
        <v>0</v>
      </c>
      <c r="X1259">
        <v>4</v>
      </c>
      <c r="Z1259">
        <v>0</v>
      </c>
      <c r="AA1259">
        <v>8</v>
      </c>
      <c r="AB1259">
        <v>3</v>
      </c>
      <c r="AC1259">
        <v>0</v>
      </c>
      <c r="AD1259">
        <v>10</v>
      </c>
      <c r="AE1259">
        <v>0</v>
      </c>
      <c r="AF1259">
        <v>0</v>
      </c>
      <c r="AG1259">
        <v>1</v>
      </c>
      <c r="AH1259">
        <v>1</v>
      </c>
      <c r="AI1259" t="s">
        <v>961</v>
      </c>
      <c r="AJ1259">
        <v>35.228476999999998</v>
      </c>
      <c r="AK1259" t="s">
        <v>962</v>
      </c>
      <c r="AL1259">
        <v>-76.268720999999999</v>
      </c>
      <c r="AM1259">
        <v>25</v>
      </c>
      <c r="AN1259">
        <v>3450</v>
      </c>
      <c r="AO1259" t="s">
        <v>118</v>
      </c>
      <c r="AP1259">
        <v>-81</v>
      </c>
      <c r="AQ1259">
        <v>-206</v>
      </c>
      <c r="AR1259">
        <v>64</v>
      </c>
      <c r="AZ1259">
        <v>4516</v>
      </c>
      <c r="BA1259">
        <v>1</v>
      </c>
      <c r="BB1259" t="str">
        <f t="shared" si="125"/>
        <v xml:space="preserve">N79NX   </v>
      </c>
      <c r="BC1259">
        <v>1</v>
      </c>
      <c r="BE1259">
        <v>0</v>
      </c>
      <c r="BF1259">
        <v>0</v>
      </c>
      <c r="BG1259">
        <v>0</v>
      </c>
      <c r="BH1259">
        <v>3300</v>
      </c>
      <c r="BI1259">
        <v>0</v>
      </c>
      <c r="BJ1259">
        <v>0</v>
      </c>
      <c r="BK1259">
        <v>0</v>
      </c>
      <c r="BL1259">
        <v>0</v>
      </c>
      <c r="BO1259">
        <v>0</v>
      </c>
      <c r="BP1259">
        <v>0</v>
      </c>
      <c r="BW1259" t="str">
        <f>"18:42:44.112"</f>
        <v>18:42:44.112</v>
      </c>
      <c r="BZ1259">
        <v>0</v>
      </c>
      <c r="CA1259">
        <v>4096</v>
      </c>
      <c r="CB1259">
        <v>216</v>
      </c>
      <c r="CC1259">
        <v>442.96879999999999</v>
      </c>
      <c r="CD1259">
        <v>1</v>
      </c>
      <c r="CE1259">
        <v>1</v>
      </c>
      <c r="CF1259">
        <v>0</v>
      </c>
      <c r="CG1259">
        <v>1</v>
      </c>
      <c r="CH1259">
        <v>0</v>
      </c>
      <c r="CI1259">
        <v>0</v>
      </c>
      <c r="CJ1259">
        <v>0</v>
      </c>
      <c r="CK1259">
        <v>2</v>
      </c>
      <c r="CL1259">
        <v>0</v>
      </c>
      <c r="CM1259">
        <v>2</v>
      </c>
      <c r="CN1259">
        <v>0</v>
      </c>
      <c r="CO1259">
        <v>1</v>
      </c>
      <c r="CP1259" t="s">
        <v>119</v>
      </c>
      <c r="CQ1259">
        <v>145</v>
      </c>
      <c r="CR1259">
        <v>1</v>
      </c>
      <c r="CW1259">
        <v>9051799</v>
      </c>
      <c r="CY1259">
        <v>0</v>
      </c>
      <c r="CZ1259">
        <v>0</v>
      </c>
      <c r="DA1259">
        <v>1</v>
      </c>
      <c r="DB1259">
        <v>0</v>
      </c>
      <c r="DC1259">
        <v>0</v>
      </c>
      <c r="DD1259">
        <v>0</v>
      </c>
      <c r="DE1259">
        <v>0</v>
      </c>
      <c r="DF1259">
        <v>0</v>
      </c>
      <c r="DG1259">
        <v>0</v>
      </c>
      <c r="DH1259">
        <v>0</v>
      </c>
      <c r="DI1259">
        <v>0</v>
      </c>
    </row>
    <row r="1260" spans="1:113" x14ac:dyDescent="0.3">
      <c r="A1260" t="str">
        <f>"02/13/2022 18:42:44.405"</f>
        <v>02/13/2022 18:42:44.405</v>
      </c>
      <c r="C1260" t="str">
        <f t="shared" si="124"/>
        <v>FFDFD7C0</v>
      </c>
      <c r="D1260" t="s">
        <v>113</v>
      </c>
      <c r="E1260">
        <v>4</v>
      </c>
      <c r="F1260">
        <v>1004</v>
      </c>
      <c r="G1260" t="s">
        <v>120</v>
      </c>
      <c r="J1260" t="s">
        <v>115</v>
      </c>
      <c r="K1260">
        <v>0</v>
      </c>
      <c r="L1260">
        <v>3</v>
      </c>
      <c r="M1260">
        <v>0</v>
      </c>
      <c r="N1260">
        <v>2</v>
      </c>
      <c r="O1260">
        <v>1</v>
      </c>
      <c r="P1260">
        <v>0</v>
      </c>
      <c r="Q1260">
        <v>0</v>
      </c>
      <c r="S1260" t="str">
        <f>"18:42:44.109"</f>
        <v>18:42:44.109</v>
      </c>
      <c r="T1260" t="str">
        <f>"18:42:42.009"</f>
        <v>18:42:42.009</v>
      </c>
      <c r="U1260" t="str">
        <f t="shared" si="123"/>
        <v>AAB6EE</v>
      </c>
      <c r="V1260">
        <v>0</v>
      </c>
      <c r="W1260">
        <v>0</v>
      </c>
      <c r="X1260">
        <v>4</v>
      </c>
      <c r="Z1260">
        <v>0</v>
      </c>
      <c r="AA1260">
        <v>8</v>
      </c>
      <c r="AB1260">
        <v>3</v>
      </c>
      <c r="AC1260">
        <v>0</v>
      </c>
      <c r="AD1260">
        <v>10</v>
      </c>
      <c r="AE1260">
        <v>0</v>
      </c>
      <c r="AF1260">
        <v>0</v>
      </c>
      <c r="AG1260">
        <v>1</v>
      </c>
      <c r="AH1260">
        <v>1</v>
      </c>
      <c r="AI1260" t="s">
        <v>961</v>
      </c>
      <c r="AJ1260">
        <v>35.228476999999998</v>
      </c>
      <c r="AK1260" t="s">
        <v>962</v>
      </c>
      <c r="AL1260">
        <v>-76.268720999999999</v>
      </c>
      <c r="AM1260">
        <v>25</v>
      </c>
      <c r="AN1260">
        <v>3450</v>
      </c>
      <c r="AO1260" t="s">
        <v>118</v>
      </c>
      <c r="AP1260">
        <v>-81</v>
      </c>
      <c r="AQ1260">
        <v>-206</v>
      </c>
      <c r="AR1260">
        <v>64</v>
      </c>
      <c r="AZ1260">
        <v>4516</v>
      </c>
      <c r="BA1260">
        <v>1</v>
      </c>
      <c r="BB1260" t="str">
        <f t="shared" si="125"/>
        <v xml:space="preserve">N79NX   </v>
      </c>
      <c r="BC1260">
        <v>1</v>
      </c>
      <c r="BE1260">
        <v>0</v>
      </c>
      <c r="BF1260">
        <v>0</v>
      </c>
      <c r="BG1260">
        <v>0</v>
      </c>
      <c r="BH1260">
        <v>3300</v>
      </c>
      <c r="BI1260">
        <v>0</v>
      </c>
      <c r="BJ1260">
        <v>0</v>
      </c>
      <c r="BK1260">
        <v>0</v>
      </c>
      <c r="BL1260">
        <v>0</v>
      </c>
      <c r="BO1260">
        <v>0</v>
      </c>
      <c r="BP1260">
        <v>0</v>
      </c>
      <c r="BW1260" t="str">
        <f>"18:42:44.112"</f>
        <v>18:42:44.112</v>
      </c>
      <c r="BZ1260">
        <v>0</v>
      </c>
      <c r="CA1260">
        <v>4096</v>
      </c>
      <c r="CB1260">
        <v>216</v>
      </c>
      <c r="CC1260">
        <v>442.96879999999999</v>
      </c>
      <c r="CD1260">
        <v>1</v>
      </c>
      <c r="CE1260">
        <v>1</v>
      </c>
      <c r="CF1260">
        <v>0</v>
      </c>
      <c r="CG1260">
        <v>1</v>
      </c>
      <c r="CH1260">
        <v>0</v>
      </c>
      <c r="CI1260">
        <v>0</v>
      </c>
      <c r="CJ1260">
        <v>0</v>
      </c>
      <c r="CK1260">
        <v>2</v>
      </c>
      <c r="CL1260">
        <v>0</v>
      </c>
      <c r="CM1260">
        <v>2</v>
      </c>
      <c r="CN1260">
        <v>0</v>
      </c>
      <c r="CO1260">
        <v>1</v>
      </c>
      <c r="CP1260" t="s">
        <v>119</v>
      </c>
      <c r="CQ1260">
        <v>145</v>
      </c>
      <c r="CR1260">
        <v>1</v>
      </c>
      <c r="CW1260">
        <v>9051799</v>
      </c>
      <c r="CY1260">
        <v>0</v>
      </c>
      <c r="CZ1260">
        <v>0</v>
      </c>
      <c r="DA1260">
        <v>1</v>
      </c>
      <c r="DB1260">
        <v>0</v>
      </c>
      <c r="DC1260">
        <v>0</v>
      </c>
      <c r="DD1260">
        <v>0</v>
      </c>
      <c r="DE1260">
        <v>0</v>
      </c>
      <c r="DF1260">
        <v>0</v>
      </c>
      <c r="DG1260">
        <v>0</v>
      </c>
      <c r="DH1260">
        <v>0</v>
      </c>
      <c r="DI1260">
        <v>0</v>
      </c>
    </row>
    <row r="1261" spans="1:113" x14ac:dyDescent="0.3">
      <c r="A1261" t="str">
        <f>"02/13/2022 18:42:52.755"</f>
        <v>02/13/2022 18:42:52.755</v>
      </c>
      <c r="C1261" t="str">
        <f t="shared" si="124"/>
        <v>FFDFD7C0</v>
      </c>
      <c r="D1261" t="s">
        <v>121</v>
      </c>
      <c r="E1261">
        <v>2</v>
      </c>
      <c r="H1261">
        <v>158</v>
      </c>
      <c r="I1261" t="s">
        <v>120</v>
      </c>
      <c r="J1261" t="s">
        <v>122</v>
      </c>
      <c r="K1261">
        <v>0</v>
      </c>
      <c r="L1261">
        <v>3</v>
      </c>
      <c r="M1261">
        <v>0</v>
      </c>
      <c r="N1261">
        <v>2</v>
      </c>
      <c r="O1261">
        <v>1</v>
      </c>
      <c r="P1261">
        <v>0</v>
      </c>
      <c r="Q1261">
        <v>0</v>
      </c>
      <c r="S1261" t="str">
        <f t="shared" ref="S1261:T1263" si="126">"18:42:52.469"</f>
        <v>18:42:52.469</v>
      </c>
      <c r="T1261" t="str">
        <f t="shared" si="126"/>
        <v>18:42:52.469</v>
      </c>
      <c r="U1261" t="str">
        <f t="shared" si="123"/>
        <v>AAB6EE</v>
      </c>
      <c r="V1261">
        <v>0</v>
      </c>
      <c r="W1261">
        <v>0</v>
      </c>
      <c r="X1261">
        <v>4</v>
      </c>
      <c r="Z1261">
        <v>0</v>
      </c>
      <c r="AA1261">
        <v>8</v>
      </c>
      <c r="AB1261">
        <v>3</v>
      </c>
      <c r="AC1261">
        <v>0</v>
      </c>
      <c r="AD1261">
        <v>10</v>
      </c>
      <c r="AE1261">
        <v>0</v>
      </c>
      <c r="AF1261">
        <v>0</v>
      </c>
      <c r="AG1261">
        <v>2</v>
      </c>
      <c r="AH1261">
        <v>1</v>
      </c>
      <c r="AI1261" t="s">
        <v>963</v>
      </c>
      <c r="AJ1261">
        <v>35.219935999999997</v>
      </c>
      <c r="AK1261" t="s">
        <v>964</v>
      </c>
      <c r="AL1261">
        <v>-76.269728999999998</v>
      </c>
      <c r="AM1261">
        <v>25</v>
      </c>
      <c r="AN1261">
        <v>3450</v>
      </c>
      <c r="AO1261" t="s">
        <v>118</v>
      </c>
      <c r="AP1261">
        <v>13</v>
      </c>
      <c r="AQ1261">
        <v>-225</v>
      </c>
      <c r="AR1261">
        <v>-64</v>
      </c>
      <c r="AZ1261">
        <v>4516</v>
      </c>
      <c r="BA1261">
        <v>1</v>
      </c>
      <c r="BB1261" t="str">
        <f t="shared" si="125"/>
        <v xml:space="preserve">N79NX   </v>
      </c>
      <c r="BC1261">
        <v>1</v>
      </c>
      <c r="BE1261">
        <v>0</v>
      </c>
      <c r="BF1261">
        <v>0</v>
      </c>
      <c r="BG1261">
        <v>0</v>
      </c>
      <c r="BH1261">
        <v>3325</v>
      </c>
      <c r="BI1261">
        <v>0</v>
      </c>
      <c r="BJ1261">
        <v>0</v>
      </c>
      <c r="BK1261">
        <v>0</v>
      </c>
      <c r="BL1261">
        <v>0</v>
      </c>
      <c r="BO1261">
        <v>0</v>
      </c>
      <c r="BP1261">
        <v>0</v>
      </c>
      <c r="BW1261" t="str">
        <f>"18:42:52.472"</f>
        <v>18:42:52.472</v>
      </c>
      <c r="BZ1261">
        <v>0</v>
      </c>
      <c r="CA1261">
        <v>3104</v>
      </c>
      <c r="CB1261">
        <v>216</v>
      </c>
      <c r="CC1261">
        <v>462.65629999999999</v>
      </c>
      <c r="CD1261">
        <v>1</v>
      </c>
      <c r="CE1261">
        <v>1</v>
      </c>
      <c r="CF1261">
        <v>0</v>
      </c>
      <c r="CG1261">
        <v>1</v>
      </c>
      <c r="CH1261">
        <v>0</v>
      </c>
      <c r="CI1261">
        <v>0</v>
      </c>
      <c r="CJ1261">
        <v>0</v>
      </c>
      <c r="CK1261">
        <v>2</v>
      </c>
      <c r="CL1261">
        <v>0</v>
      </c>
      <c r="CM1261">
        <v>2</v>
      </c>
      <c r="CN1261">
        <v>0</v>
      </c>
      <c r="CO1261">
        <v>2</v>
      </c>
      <c r="CP1261" t="s">
        <v>119</v>
      </c>
      <c r="CQ1261">
        <v>145</v>
      </c>
      <c r="CR1261">
        <v>1</v>
      </c>
      <c r="CW1261">
        <v>9055525</v>
      </c>
      <c r="CY1261">
        <v>0</v>
      </c>
      <c r="CZ1261">
        <v>0</v>
      </c>
      <c r="DA1261">
        <v>0</v>
      </c>
      <c r="DB1261">
        <v>0</v>
      </c>
      <c r="DC1261">
        <v>0</v>
      </c>
      <c r="DD1261">
        <v>0</v>
      </c>
      <c r="DE1261">
        <v>0</v>
      </c>
      <c r="DF1261">
        <v>0</v>
      </c>
      <c r="DG1261">
        <v>0</v>
      </c>
      <c r="DH1261">
        <v>0</v>
      </c>
      <c r="DI1261">
        <v>0</v>
      </c>
    </row>
    <row r="1262" spans="1:113" x14ac:dyDescent="0.3">
      <c r="A1262" t="str">
        <f>"02/13/2022 18:42:52.755"</f>
        <v>02/13/2022 18:42:52.755</v>
      </c>
      <c r="C1262" t="str">
        <f t="shared" si="124"/>
        <v>FFDFD7C0</v>
      </c>
      <c r="D1262" t="s">
        <v>113</v>
      </c>
      <c r="E1262">
        <v>3</v>
      </c>
      <c r="F1262">
        <v>1003</v>
      </c>
      <c r="G1262" t="s">
        <v>114</v>
      </c>
      <c r="J1262" t="s">
        <v>115</v>
      </c>
      <c r="K1262">
        <v>0</v>
      </c>
      <c r="L1262">
        <v>3</v>
      </c>
      <c r="M1262">
        <v>0</v>
      </c>
      <c r="N1262">
        <v>2</v>
      </c>
      <c r="O1262">
        <v>1</v>
      </c>
      <c r="P1262">
        <v>0</v>
      </c>
      <c r="Q1262">
        <v>0</v>
      </c>
      <c r="S1262" t="str">
        <f t="shared" si="126"/>
        <v>18:42:52.469</v>
      </c>
      <c r="T1262" t="str">
        <f t="shared" si="126"/>
        <v>18:42:52.469</v>
      </c>
      <c r="U1262" t="str">
        <f t="shared" si="123"/>
        <v>AAB6EE</v>
      </c>
      <c r="V1262">
        <v>0</v>
      </c>
      <c r="W1262">
        <v>0</v>
      </c>
      <c r="X1262">
        <v>4</v>
      </c>
      <c r="Z1262">
        <v>0</v>
      </c>
      <c r="AA1262">
        <v>8</v>
      </c>
      <c r="AB1262">
        <v>3</v>
      </c>
      <c r="AC1262">
        <v>0</v>
      </c>
      <c r="AD1262">
        <v>10</v>
      </c>
      <c r="AE1262">
        <v>0</v>
      </c>
      <c r="AF1262">
        <v>0</v>
      </c>
      <c r="AG1262">
        <v>2</v>
      </c>
      <c r="AH1262">
        <v>1</v>
      </c>
      <c r="AI1262" t="s">
        <v>963</v>
      </c>
      <c r="AJ1262">
        <v>35.219935999999997</v>
      </c>
      <c r="AK1262" t="s">
        <v>964</v>
      </c>
      <c r="AL1262">
        <v>-76.269728999999998</v>
      </c>
      <c r="AM1262">
        <v>25</v>
      </c>
      <c r="AN1262">
        <v>3450</v>
      </c>
      <c r="AO1262" t="s">
        <v>118</v>
      </c>
      <c r="AP1262">
        <v>13</v>
      </c>
      <c r="AQ1262">
        <v>-225</v>
      </c>
      <c r="AR1262">
        <v>-64</v>
      </c>
      <c r="AZ1262">
        <v>4516</v>
      </c>
      <c r="BA1262">
        <v>1</v>
      </c>
      <c r="BB1262" t="str">
        <f t="shared" si="125"/>
        <v xml:space="preserve">N79NX   </v>
      </c>
      <c r="BC1262">
        <v>1</v>
      </c>
      <c r="BE1262">
        <v>0</v>
      </c>
      <c r="BF1262">
        <v>0</v>
      </c>
      <c r="BG1262">
        <v>0</v>
      </c>
      <c r="BH1262">
        <v>3325</v>
      </c>
      <c r="BI1262">
        <v>0</v>
      </c>
      <c r="BJ1262">
        <v>0</v>
      </c>
      <c r="BK1262">
        <v>0</v>
      </c>
      <c r="BL1262">
        <v>0</v>
      </c>
      <c r="BO1262">
        <v>0</v>
      </c>
      <c r="BP1262">
        <v>0</v>
      </c>
      <c r="BW1262" t="str">
        <f>"18:42:52.472"</f>
        <v>18:42:52.472</v>
      </c>
      <c r="BZ1262">
        <v>0</v>
      </c>
      <c r="CA1262">
        <v>3104</v>
      </c>
      <c r="CB1262">
        <v>216</v>
      </c>
      <c r="CC1262">
        <v>462.65629999999999</v>
      </c>
      <c r="CD1262">
        <v>1</v>
      </c>
      <c r="CE1262">
        <v>1</v>
      </c>
      <c r="CF1262">
        <v>0</v>
      </c>
      <c r="CG1262">
        <v>1</v>
      </c>
      <c r="CH1262">
        <v>0</v>
      </c>
      <c r="CI1262">
        <v>0</v>
      </c>
      <c r="CJ1262">
        <v>0</v>
      </c>
      <c r="CK1262">
        <v>2</v>
      </c>
      <c r="CL1262">
        <v>0</v>
      </c>
      <c r="CM1262">
        <v>2</v>
      </c>
      <c r="CN1262">
        <v>0</v>
      </c>
      <c r="CO1262">
        <v>2</v>
      </c>
      <c r="CP1262" t="s">
        <v>119</v>
      </c>
      <c r="CQ1262">
        <v>145</v>
      </c>
      <c r="CR1262">
        <v>1</v>
      </c>
      <c r="CW1262">
        <v>9055525</v>
      </c>
      <c r="CY1262">
        <v>0</v>
      </c>
      <c r="CZ1262">
        <v>0</v>
      </c>
      <c r="DA1262">
        <v>1</v>
      </c>
      <c r="DB1262">
        <v>0</v>
      </c>
      <c r="DC1262">
        <v>0</v>
      </c>
      <c r="DD1262">
        <v>0</v>
      </c>
      <c r="DE1262">
        <v>0</v>
      </c>
      <c r="DF1262">
        <v>0</v>
      </c>
      <c r="DG1262">
        <v>0</v>
      </c>
      <c r="DH1262">
        <v>0</v>
      </c>
      <c r="DI1262">
        <v>0</v>
      </c>
    </row>
    <row r="1263" spans="1:113" x14ac:dyDescent="0.3">
      <c r="A1263" t="str">
        <f>"02/13/2022 18:42:52.755"</f>
        <v>02/13/2022 18:42:52.755</v>
      </c>
      <c r="C1263" t="str">
        <f t="shared" si="124"/>
        <v>FFDFD7C0</v>
      </c>
      <c r="D1263" t="s">
        <v>113</v>
      </c>
      <c r="E1263">
        <v>4</v>
      </c>
      <c r="F1263">
        <v>1004</v>
      </c>
      <c r="G1263" t="s">
        <v>120</v>
      </c>
      <c r="J1263" t="s">
        <v>115</v>
      </c>
      <c r="K1263">
        <v>0</v>
      </c>
      <c r="L1263">
        <v>3</v>
      </c>
      <c r="M1263">
        <v>0</v>
      </c>
      <c r="N1263">
        <v>2</v>
      </c>
      <c r="O1263">
        <v>1</v>
      </c>
      <c r="P1263">
        <v>0</v>
      </c>
      <c r="Q1263">
        <v>0</v>
      </c>
      <c r="S1263" t="str">
        <f t="shared" si="126"/>
        <v>18:42:52.469</v>
      </c>
      <c r="T1263" t="str">
        <f t="shared" si="126"/>
        <v>18:42:52.469</v>
      </c>
      <c r="U1263" t="str">
        <f t="shared" si="123"/>
        <v>AAB6EE</v>
      </c>
      <c r="V1263">
        <v>0</v>
      </c>
      <c r="W1263">
        <v>0</v>
      </c>
      <c r="X1263">
        <v>4</v>
      </c>
      <c r="Z1263">
        <v>0</v>
      </c>
      <c r="AA1263">
        <v>8</v>
      </c>
      <c r="AB1263">
        <v>3</v>
      </c>
      <c r="AC1263">
        <v>0</v>
      </c>
      <c r="AD1263">
        <v>10</v>
      </c>
      <c r="AE1263">
        <v>0</v>
      </c>
      <c r="AF1263">
        <v>0</v>
      </c>
      <c r="AG1263">
        <v>2</v>
      </c>
      <c r="AH1263">
        <v>1</v>
      </c>
      <c r="AI1263" t="s">
        <v>963</v>
      </c>
      <c r="AJ1263">
        <v>35.219935999999997</v>
      </c>
      <c r="AK1263" t="s">
        <v>964</v>
      </c>
      <c r="AL1263">
        <v>-76.269728999999998</v>
      </c>
      <c r="AM1263">
        <v>25</v>
      </c>
      <c r="AN1263">
        <v>3450</v>
      </c>
      <c r="AO1263" t="s">
        <v>118</v>
      </c>
      <c r="AP1263">
        <v>13</v>
      </c>
      <c r="AQ1263">
        <v>-225</v>
      </c>
      <c r="AR1263">
        <v>-64</v>
      </c>
      <c r="AZ1263">
        <v>4516</v>
      </c>
      <c r="BA1263">
        <v>1</v>
      </c>
      <c r="BB1263" t="str">
        <f t="shared" si="125"/>
        <v xml:space="preserve">N79NX   </v>
      </c>
      <c r="BC1263">
        <v>1</v>
      </c>
      <c r="BE1263">
        <v>0</v>
      </c>
      <c r="BF1263">
        <v>0</v>
      </c>
      <c r="BG1263">
        <v>0</v>
      </c>
      <c r="BH1263">
        <v>3325</v>
      </c>
      <c r="BI1263">
        <v>0</v>
      </c>
      <c r="BJ1263">
        <v>0</v>
      </c>
      <c r="BK1263">
        <v>0</v>
      </c>
      <c r="BL1263">
        <v>0</v>
      </c>
      <c r="BO1263">
        <v>0</v>
      </c>
      <c r="BP1263">
        <v>0</v>
      </c>
      <c r="BW1263" t="str">
        <f>"18:42:52.472"</f>
        <v>18:42:52.472</v>
      </c>
      <c r="BZ1263">
        <v>0</v>
      </c>
      <c r="CA1263">
        <v>3104</v>
      </c>
      <c r="CB1263">
        <v>216</v>
      </c>
      <c r="CC1263">
        <v>462.65629999999999</v>
      </c>
      <c r="CD1263">
        <v>1</v>
      </c>
      <c r="CE1263">
        <v>1</v>
      </c>
      <c r="CF1263">
        <v>0</v>
      </c>
      <c r="CG1263">
        <v>1</v>
      </c>
      <c r="CH1263">
        <v>0</v>
      </c>
      <c r="CI1263">
        <v>0</v>
      </c>
      <c r="CJ1263">
        <v>0</v>
      </c>
      <c r="CK1263">
        <v>2</v>
      </c>
      <c r="CL1263">
        <v>0</v>
      </c>
      <c r="CM1263">
        <v>2</v>
      </c>
      <c r="CN1263">
        <v>0</v>
      </c>
      <c r="CO1263">
        <v>2</v>
      </c>
      <c r="CP1263" t="s">
        <v>119</v>
      </c>
      <c r="CQ1263">
        <v>145</v>
      </c>
      <c r="CR1263">
        <v>1</v>
      </c>
      <c r="CW1263">
        <v>9055525</v>
      </c>
      <c r="CY1263">
        <v>0</v>
      </c>
      <c r="CZ1263">
        <v>0</v>
      </c>
      <c r="DA1263">
        <v>1</v>
      </c>
      <c r="DB1263">
        <v>0</v>
      </c>
      <c r="DC1263">
        <v>0</v>
      </c>
      <c r="DD1263">
        <v>0</v>
      </c>
      <c r="DE1263">
        <v>0</v>
      </c>
      <c r="DF1263">
        <v>0</v>
      </c>
      <c r="DG1263">
        <v>0</v>
      </c>
      <c r="DH1263">
        <v>0</v>
      </c>
      <c r="DI1263">
        <v>0</v>
      </c>
    </row>
    <row r="1264" spans="1:113" x14ac:dyDescent="0.3">
      <c r="A1264" t="str">
        <f>"02/13/2022 18:42:53.693"</f>
        <v>02/13/2022 18:42:53.693</v>
      </c>
      <c r="C1264" t="str">
        <f t="shared" si="124"/>
        <v>FFDFD7C0</v>
      </c>
      <c r="D1264" t="s">
        <v>121</v>
      </c>
      <c r="E1264">
        <v>2</v>
      </c>
      <c r="H1264">
        <v>158</v>
      </c>
      <c r="I1264" t="s">
        <v>120</v>
      </c>
      <c r="J1264" t="s">
        <v>122</v>
      </c>
      <c r="K1264">
        <v>0</v>
      </c>
      <c r="L1264">
        <v>3</v>
      </c>
      <c r="M1264">
        <v>0</v>
      </c>
      <c r="N1264">
        <v>2</v>
      </c>
      <c r="O1264">
        <v>1</v>
      </c>
      <c r="P1264">
        <v>0</v>
      </c>
      <c r="Q1264">
        <v>0</v>
      </c>
      <c r="S1264" t="str">
        <f>"18:42:53.461"</f>
        <v>18:42:53.461</v>
      </c>
      <c r="T1264" t="str">
        <f>"18:42:52.461"</f>
        <v>18:42:52.461</v>
      </c>
      <c r="U1264" t="str">
        <f t="shared" si="123"/>
        <v>AAB6EE</v>
      </c>
      <c r="V1264">
        <v>0</v>
      </c>
      <c r="W1264">
        <v>0</v>
      </c>
      <c r="X1264">
        <v>4</v>
      </c>
      <c r="Z1264">
        <v>0</v>
      </c>
      <c r="AA1264">
        <v>8</v>
      </c>
      <c r="AB1264">
        <v>3</v>
      </c>
      <c r="AC1264">
        <v>0</v>
      </c>
      <c r="AD1264">
        <v>10</v>
      </c>
      <c r="AE1264">
        <v>0</v>
      </c>
      <c r="AF1264">
        <v>0</v>
      </c>
      <c r="AG1264">
        <v>2</v>
      </c>
      <c r="AH1264">
        <v>1</v>
      </c>
      <c r="AI1264" t="s">
        <v>965</v>
      </c>
      <c r="AJ1264">
        <v>35.218905999999997</v>
      </c>
      <c r="AK1264" t="s">
        <v>966</v>
      </c>
      <c r="AL1264">
        <v>-76.269599999999997</v>
      </c>
      <c r="AM1264">
        <v>25</v>
      </c>
      <c r="AN1264">
        <v>3450</v>
      </c>
      <c r="AO1264" t="s">
        <v>118</v>
      </c>
      <c r="AP1264">
        <v>13</v>
      </c>
      <c r="AQ1264">
        <v>-225</v>
      </c>
      <c r="AR1264">
        <v>-64</v>
      </c>
      <c r="AZ1264">
        <v>4516</v>
      </c>
      <c r="BA1264">
        <v>1</v>
      </c>
      <c r="BB1264" t="str">
        <f t="shared" si="125"/>
        <v xml:space="preserve">N79NX   </v>
      </c>
      <c r="BC1264">
        <v>1</v>
      </c>
      <c r="BE1264">
        <v>0</v>
      </c>
      <c r="BF1264">
        <v>0</v>
      </c>
      <c r="BG1264">
        <v>0</v>
      </c>
      <c r="BH1264">
        <v>3325</v>
      </c>
      <c r="BI1264">
        <v>0</v>
      </c>
      <c r="BJ1264">
        <v>0</v>
      </c>
      <c r="BK1264">
        <v>0</v>
      </c>
      <c r="BL1264">
        <v>0</v>
      </c>
      <c r="BO1264">
        <v>0</v>
      </c>
      <c r="BP1264">
        <v>0</v>
      </c>
      <c r="BW1264" t="str">
        <f>"18:42:53.462"</f>
        <v>18:42:53.462</v>
      </c>
      <c r="BZ1264">
        <v>0</v>
      </c>
      <c r="CA1264">
        <v>3104</v>
      </c>
      <c r="CB1264">
        <v>216</v>
      </c>
      <c r="CC1264">
        <v>462.65629999999999</v>
      </c>
      <c r="CD1264">
        <v>1</v>
      </c>
      <c r="CE1264">
        <v>1</v>
      </c>
      <c r="CF1264">
        <v>0</v>
      </c>
      <c r="CG1264">
        <v>1</v>
      </c>
      <c r="CH1264">
        <v>0</v>
      </c>
      <c r="CI1264">
        <v>0</v>
      </c>
      <c r="CJ1264">
        <v>0</v>
      </c>
      <c r="CK1264">
        <v>2</v>
      </c>
      <c r="CL1264">
        <v>0</v>
      </c>
      <c r="CM1264">
        <v>2</v>
      </c>
      <c r="CN1264">
        <v>0</v>
      </c>
      <c r="CO1264">
        <v>1</v>
      </c>
      <c r="CP1264" t="s">
        <v>119</v>
      </c>
      <c r="CQ1264">
        <v>145</v>
      </c>
      <c r="CR1264">
        <v>1</v>
      </c>
      <c r="CW1264">
        <v>9056003</v>
      </c>
      <c r="CY1264">
        <v>0</v>
      </c>
      <c r="CZ1264">
        <v>0</v>
      </c>
      <c r="DA1264">
        <v>0</v>
      </c>
      <c r="DB1264">
        <v>0</v>
      </c>
      <c r="DC1264">
        <v>0</v>
      </c>
      <c r="DD1264">
        <v>0</v>
      </c>
      <c r="DE1264">
        <v>0</v>
      </c>
      <c r="DF1264">
        <v>0</v>
      </c>
      <c r="DG1264">
        <v>0</v>
      </c>
      <c r="DH1264">
        <v>0</v>
      </c>
      <c r="DI1264">
        <v>0</v>
      </c>
    </row>
    <row r="1265" spans="1:113" x14ac:dyDescent="0.3">
      <c r="A1265" t="str">
        <f>"02/13/2022 18:42:53.693"</f>
        <v>02/13/2022 18:42:53.693</v>
      </c>
      <c r="C1265" t="str">
        <f t="shared" si="124"/>
        <v>FFDFD7C0</v>
      </c>
      <c r="D1265" t="s">
        <v>113</v>
      </c>
      <c r="E1265">
        <v>3</v>
      </c>
      <c r="F1265">
        <v>1003</v>
      </c>
      <c r="G1265" t="s">
        <v>114</v>
      </c>
      <c r="J1265" t="s">
        <v>115</v>
      </c>
      <c r="K1265">
        <v>0</v>
      </c>
      <c r="L1265">
        <v>3</v>
      </c>
      <c r="M1265">
        <v>0</v>
      </c>
      <c r="N1265">
        <v>2</v>
      </c>
      <c r="O1265">
        <v>1</v>
      </c>
      <c r="P1265">
        <v>0</v>
      </c>
      <c r="Q1265">
        <v>0</v>
      </c>
      <c r="S1265" t="str">
        <f>"18:42:53.461"</f>
        <v>18:42:53.461</v>
      </c>
      <c r="T1265" t="str">
        <f>"18:42:52.461"</f>
        <v>18:42:52.461</v>
      </c>
      <c r="U1265" t="str">
        <f t="shared" si="123"/>
        <v>AAB6EE</v>
      </c>
      <c r="V1265">
        <v>0</v>
      </c>
      <c r="W1265">
        <v>0</v>
      </c>
      <c r="X1265">
        <v>4</v>
      </c>
      <c r="Z1265">
        <v>0</v>
      </c>
      <c r="AA1265">
        <v>8</v>
      </c>
      <c r="AB1265">
        <v>3</v>
      </c>
      <c r="AC1265">
        <v>0</v>
      </c>
      <c r="AD1265">
        <v>10</v>
      </c>
      <c r="AE1265">
        <v>0</v>
      </c>
      <c r="AF1265">
        <v>0</v>
      </c>
      <c r="AG1265">
        <v>2</v>
      </c>
      <c r="AH1265">
        <v>1</v>
      </c>
      <c r="AI1265" t="s">
        <v>965</v>
      </c>
      <c r="AJ1265">
        <v>35.218905999999997</v>
      </c>
      <c r="AK1265" t="s">
        <v>966</v>
      </c>
      <c r="AL1265">
        <v>-76.269599999999997</v>
      </c>
      <c r="AM1265">
        <v>25</v>
      </c>
      <c r="AN1265">
        <v>3450</v>
      </c>
      <c r="AO1265" t="s">
        <v>118</v>
      </c>
      <c r="AP1265">
        <v>13</v>
      </c>
      <c r="AQ1265">
        <v>-225</v>
      </c>
      <c r="AR1265">
        <v>-64</v>
      </c>
      <c r="AZ1265">
        <v>4516</v>
      </c>
      <c r="BA1265">
        <v>1</v>
      </c>
      <c r="BB1265" t="str">
        <f t="shared" si="125"/>
        <v xml:space="preserve">N79NX   </v>
      </c>
      <c r="BC1265">
        <v>1</v>
      </c>
      <c r="BE1265">
        <v>0</v>
      </c>
      <c r="BF1265">
        <v>0</v>
      </c>
      <c r="BG1265">
        <v>0</v>
      </c>
      <c r="BH1265">
        <v>3325</v>
      </c>
      <c r="BI1265">
        <v>0</v>
      </c>
      <c r="BJ1265">
        <v>0</v>
      </c>
      <c r="BK1265">
        <v>0</v>
      </c>
      <c r="BL1265">
        <v>0</v>
      </c>
      <c r="BO1265">
        <v>0</v>
      </c>
      <c r="BP1265">
        <v>0</v>
      </c>
      <c r="BW1265" t="str">
        <f>"18:42:53.462"</f>
        <v>18:42:53.462</v>
      </c>
      <c r="BZ1265">
        <v>0</v>
      </c>
      <c r="CA1265">
        <v>3104</v>
      </c>
      <c r="CB1265">
        <v>216</v>
      </c>
      <c r="CC1265">
        <v>462.65629999999999</v>
      </c>
      <c r="CD1265">
        <v>1</v>
      </c>
      <c r="CE1265">
        <v>1</v>
      </c>
      <c r="CF1265">
        <v>0</v>
      </c>
      <c r="CG1265">
        <v>1</v>
      </c>
      <c r="CH1265">
        <v>0</v>
      </c>
      <c r="CI1265">
        <v>0</v>
      </c>
      <c r="CJ1265">
        <v>0</v>
      </c>
      <c r="CK1265">
        <v>2</v>
      </c>
      <c r="CL1265">
        <v>0</v>
      </c>
      <c r="CM1265">
        <v>2</v>
      </c>
      <c r="CN1265">
        <v>0</v>
      </c>
      <c r="CO1265">
        <v>1</v>
      </c>
      <c r="CP1265" t="s">
        <v>119</v>
      </c>
      <c r="CQ1265">
        <v>145</v>
      </c>
      <c r="CR1265">
        <v>1</v>
      </c>
      <c r="CW1265">
        <v>9056003</v>
      </c>
      <c r="CY1265">
        <v>0</v>
      </c>
      <c r="CZ1265">
        <v>0</v>
      </c>
      <c r="DA1265">
        <v>1</v>
      </c>
      <c r="DB1265">
        <v>0</v>
      </c>
      <c r="DC1265">
        <v>0</v>
      </c>
      <c r="DD1265">
        <v>0</v>
      </c>
      <c r="DE1265">
        <v>0</v>
      </c>
      <c r="DF1265">
        <v>0</v>
      </c>
      <c r="DG1265">
        <v>0</v>
      </c>
      <c r="DH1265">
        <v>0</v>
      </c>
      <c r="DI1265">
        <v>0</v>
      </c>
    </row>
    <row r="1266" spans="1:113" x14ac:dyDescent="0.3">
      <c r="A1266" t="str">
        <f>"02/13/2022 18:42:53.708"</f>
        <v>02/13/2022 18:42:53.708</v>
      </c>
      <c r="C1266" t="str">
        <f t="shared" si="124"/>
        <v>FFDFD7C0</v>
      </c>
      <c r="D1266" t="s">
        <v>113</v>
      </c>
      <c r="E1266">
        <v>4</v>
      </c>
      <c r="F1266">
        <v>1004</v>
      </c>
      <c r="G1266" t="s">
        <v>120</v>
      </c>
      <c r="J1266" t="s">
        <v>115</v>
      </c>
      <c r="K1266">
        <v>0</v>
      </c>
      <c r="L1266">
        <v>3</v>
      </c>
      <c r="M1266">
        <v>0</v>
      </c>
      <c r="N1266">
        <v>2</v>
      </c>
      <c r="O1266">
        <v>1</v>
      </c>
      <c r="P1266">
        <v>0</v>
      </c>
      <c r="Q1266">
        <v>0</v>
      </c>
      <c r="S1266" t="str">
        <f>"18:42:53.461"</f>
        <v>18:42:53.461</v>
      </c>
      <c r="T1266" t="str">
        <f>"18:42:52.461"</f>
        <v>18:42:52.461</v>
      </c>
      <c r="U1266" t="str">
        <f t="shared" si="123"/>
        <v>AAB6EE</v>
      </c>
      <c r="V1266">
        <v>0</v>
      </c>
      <c r="W1266">
        <v>0</v>
      </c>
      <c r="X1266">
        <v>4</v>
      </c>
      <c r="Z1266">
        <v>0</v>
      </c>
      <c r="AA1266">
        <v>8</v>
      </c>
      <c r="AB1266">
        <v>3</v>
      </c>
      <c r="AC1266">
        <v>0</v>
      </c>
      <c r="AD1266">
        <v>10</v>
      </c>
      <c r="AE1266">
        <v>0</v>
      </c>
      <c r="AF1266">
        <v>0</v>
      </c>
      <c r="AG1266">
        <v>2</v>
      </c>
      <c r="AH1266">
        <v>1</v>
      </c>
      <c r="AI1266" t="s">
        <v>965</v>
      </c>
      <c r="AJ1266">
        <v>35.218905999999997</v>
      </c>
      <c r="AK1266" t="s">
        <v>966</v>
      </c>
      <c r="AL1266">
        <v>-76.269599999999997</v>
      </c>
      <c r="AM1266">
        <v>25</v>
      </c>
      <c r="AN1266">
        <v>3450</v>
      </c>
      <c r="AO1266" t="s">
        <v>118</v>
      </c>
      <c r="AP1266">
        <v>13</v>
      </c>
      <c r="AQ1266">
        <v>-225</v>
      </c>
      <c r="AR1266">
        <v>-64</v>
      </c>
      <c r="AZ1266">
        <v>4516</v>
      </c>
      <c r="BA1266">
        <v>1</v>
      </c>
      <c r="BB1266" t="str">
        <f t="shared" si="125"/>
        <v xml:space="preserve">N79NX   </v>
      </c>
      <c r="BC1266">
        <v>1</v>
      </c>
      <c r="BE1266">
        <v>0</v>
      </c>
      <c r="BF1266">
        <v>0</v>
      </c>
      <c r="BG1266">
        <v>0</v>
      </c>
      <c r="BH1266">
        <v>3325</v>
      </c>
      <c r="BI1266">
        <v>0</v>
      </c>
      <c r="BJ1266">
        <v>0</v>
      </c>
      <c r="BK1266">
        <v>0</v>
      </c>
      <c r="BL1266">
        <v>0</v>
      </c>
      <c r="BO1266">
        <v>0</v>
      </c>
      <c r="BP1266">
        <v>0</v>
      </c>
      <c r="BW1266" t="str">
        <f>"18:42:53.462"</f>
        <v>18:42:53.462</v>
      </c>
      <c r="BZ1266">
        <v>0</v>
      </c>
      <c r="CA1266">
        <v>3104</v>
      </c>
      <c r="CB1266">
        <v>216</v>
      </c>
      <c r="CC1266">
        <v>462.65629999999999</v>
      </c>
      <c r="CD1266">
        <v>1</v>
      </c>
      <c r="CE1266">
        <v>1</v>
      </c>
      <c r="CF1266">
        <v>0</v>
      </c>
      <c r="CG1266">
        <v>1</v>
      </c>
      <c r="CH1266">
        <v>0</v>
      </c>
      <c r="CI1266">
        <v>0</v>
      </c>
      <c r="CJ1266">
        <v>0</v>
      </c>
      <c r="CK1266">
        <v>2</v>
      </c>
      <c r="CL1266">
        <v>0</v>
      </c>
      <c r="CM1266">
        <v>2</v>
      </c>
      <c r="CN1266">
        <v>0</v>
      </c>
      <c r="CO1266">
        <v>1</v>
      </c>
      <c r="CP1266" t="s">
        <v>119</v>
      </c>
      <c r="CQ1266">
        <v>145</v>
      </c>
      <c r="CR1266">
        <v>1</v>
      </c>
      <c r="CW1266">
        <v>9056003</v>
      </c>
      <c r="CY1266">
        <v>0</v>
      </c>
      <c r="CZ1266">
        <v>0</v>
      </c>
      <c r="DA1266">
        <v>1</v>
      </c>
      <c r="DB1266">
        <v>0</v>
      </c>
      <c r="DC1266">
        <v>0</v>
      </c>
      <c r="DD1266">
        <v>0</v>
      </c>
      <c r="DE1266">
        <v>0</v>
      </c>
      <c r="DF1266">
        <v>0</v>
      </c>
      <c r="DG1266">
        <v>0</v>
      </c>
      <c r="DH1266">
        <v>0</v>
      </c>
      <c r="DI1266">
        <v>0</v>
      </c>
    </row>
    <row r="1267" spans="1:113" x14ac:dyDescent="0.3">
      <c r="A1267" t="str">
        <f>"02/13/2022 18:42:54.679"</f>
        <v>02/13/2022 18:42:54.679</v>
      </c>
      <c r="C1267" t="str">
        <f t="shared" si="124"/>
        <v>FFDFD7C0</v>
      </c>
      <c r="D1267" t="s">
        <v>121</v>
      </c>
      <c r="E1267">
        <v>2</v>
      </c>
      <c r="H1267">
        <v>158</v>
      </c>
      <c r="I1267" t="s">
        <v>120</v>
      </c>
      <c r="J1267" t="s">
        <v>122</v>
      </c>
      <c r="K1267">
        <v>0</v>
      </c>
      <c r="L1267">
        <v>3</v>
      </c>
      <c r="M1267">
        <v>0</v>
      </c>
      <c r="N1267">
        <v>2</v>
      </c>
      <c r="O1267">
        <v>1</v>
      </c>
      <c r="P1267">
        <v>0</v>
      </c>
      <c r="Q1267">
        <v>0</v>
      </c>
      <c r="S1267" t="str">
        <f>"18:42:54.391"</f>
        <v>18:42:54.391</v>
      </c>
      <c r="T1267" t="str">
        <f>"18:42:53.591"</f>
        <v>18:42:53.591</v>
      </c>
      <c r="U1267" t="str">
        <f t="shared" si="123"/>
        <v>AAB6EE</v>
      </c>
      <c r="V1267">
        <v>0</v>
      </c>
      <c r="W1267">
        <v>0</v>
      </c>
      <c r="X1267">
        <v>4</v>
      </c>
      <c r="Z1267">
        <v>0</v>
      </c>
      <c r="AA1267">
        <v>8</v>
      </c>
      <c r="AB1267">
        <v>3</v>
      </c>
      <c r="AC1267">
        <v>0</v>
      </c>
      <c r="AD1267">
        <v>10</v>
      </c>
      <c r="AE1267">
        <v>0</v>
      </c>
      <c r="AF1267">
        <v>0</v>
      </c>
      <c r="AG1267">
        <v>2</v>
      </c>
      <c r="AH1267">
        <v>1</v>
      </c>
      <c r="AI1267" t="s">
        <v>967</v>
      </c>
      <c r="AJ1267">
        <v>35.217962</v>
      </c>
      <c r="AK1267" t="s">
        <v>968</v>
      </c>
      <c r="AL1267">
        <v>-76.269450000000006</v>
      </c>
      <c r="AM1267">
        <v>25</v>
      </c>
      <c r="AN1267">
        <v>3450</v>
      </c>
      <c r="AO1267" t="s">
        <v>118</v>
      </c>
      <c r="AP1267">
        <v>25</v>
      </c>
      <c r="AQ1267">
        <v>-224</v>
      </c>
      <c r="AR1267">
        <v>-64</v>
      </c>
      <c r="AZ1267">
        <v>4516</v>
      </c>
      <c r="BA1267">
        <v>1</v>
      </c>
      <c r="BB1267" t="str">
        <f t="shared" si="125"/>
        <v xml:space="preserve">N79NX   </v>
      </c>
      <c r="BC1267">
        <v>1</v>
      </c>
      <c r="BE1267">
        <v>0</v>
      </c>
      <c r="BF1267">
        <v>0</v>
      </c>
      <c r="BG1267">
        <v>0</v>
      </c>
      <c r="BH1267">
        <v>3300</v>
      </c>
      <c r="BI1267">
        <v>0</v>
      </c>
      <c r="BJ1267">
        <v>0</v>
      </c>
      <c r="BK1267">
        <v>0</v>
      </c>
      <c r="BL1267">
        <v>0</v>
      </c>
      <c r="BO1267">
        <v>0</v>
      </c>
      <c r="BP1267">
        <v>0</v>
      </c>
      <c r="BW1267" t="str">
        <f>"18:42:54.392"</f>
        <v>18:42:54.392</v>
      </c>
      <c r="BZ1267">
        <v>0</v>
      </c>
      <c r="CA1267">
        <v>3104</v>
      </c>
      <c r="CB1267">
        <v>216</v>
      </c>
      <c r="CC1267">
        <v>462.65629999999999</v>
      </c>
      <c r="CD1267">
        <v>1</v>
      </c>
      <c r="CE1267">
        <v>1</v>
      </c>
      <c r="CF1267">
        <v>0</v>
      </c>
      <c r="CG1267">
        <v>1</v>
      </c>
      <c r="CH1267">
        <v>0</v>
      </c>
      <c r="CI1267">
        <v>0</v>
      </c>
      <c r="CJ1267">
        <v>0</v>
      </c>
      <c r="CK1267">
        <v>2</v>
      </c>
      <c r="CL1267">
        <v>0</v>
      </c>
      <c r="CM1267">
        <v>2</v>
      </c>
      <c r="CN1267">
        <v>0</v>
      </c>
      <c r="CO1267">
        <v>1</v>
      </c>
      <c r="CP1267" t="s">
        <v>119</v>
      </c>
      <c r="CQ1267">
        <v>145</v>
      </c>
      <c r="CR1267">
        <v>1</v>
      </c>
      <c r="CW1267">
        <v>9056365</v>
      </c>
      <c r="CY1267">
        <v>0</v>
      </c>
      <c r="CZ1267">
        <v>0</v>
      </c>
      <c r="DA1267">
        <v>0</v>
      </c>
      <c r="DB1267">
        <v>0</v>
      </c>
      <c r="DC1267">
        <v>0</v>
      </c>
      <c r="DD1267">
        <v>0</v>
      </c>
      <c r="DE1267">
        <v>0</v>
      </c>
      <c r="DF1267">
        <v>0</v>
      </c>
      <c r="DG1267">
        <v>0</v>
      </c>
      <c r="DH1267">
        <v>0</v>
      </c>
      <c r="DI1267">
        <v>0</v>
      </c>
    </row>
    <row r="1268" spans="1:113" x14ac:dyDescent="0.3">
      <c r="A1268" t="str">
        <f>"02/13/2022 18:42:54.679"</f>
        <v>02/13/2022 18:42:54.679</v>
      </c>
      <c r="C1268" t="str">
        <f t="shared" si="124"/>
        <v>FFDFD7C0</v>
      </c>
      <c r="D1268" t="s">
        <v>113</v>
      </c>
      <c r="E1268">
        <v>3</v>
      </c>
      <c r="F1268">
        <v>1003</v>
      </c>
      <c r="G1268" t="s">
        <v>114</v>
      </c>
      <c r="J1268" t="s">
        <v>115</v>
      </c>
      <c r="K1268">
        <v>0</v>
      </c>
      <c r="L1268">
        <v>3</v>
      </c>
      <c r="M1268">
        <v>0</v>
      </c>
      <c r="N1268">
        <v>2</v>
      </c>
      <c r="O1268">
        <v>1</v>
      </c>
      <c r="P1268">
        <v>0</v>
      </c>
      <c r="Q1268">
        <v>0</v>
      </c>
      <c r="S1268" t="str">
        <f>"18:42:54.391"</f>
        <v>18:42:54.391</v>
      </c>
      <c r="T1268" t="str">
        <f>"18:42:53.591"</f>
        <v>18:42:53.591</v>
      </c>
      <c r="U1268" t="str">
        <f t="shared" si="123"/>
        <v>AAB6EE</v>
      </c>
      <c r="V1268">
        <v>0</v>
      </c>
      <c r="W1268">
        <v>0</v>
      </c>
      <c r="X1268">
        <v>4</v>
      </c>
      <c r="Z1268">
        <v>0</v>
      </c>
      <c r="AA1268">
        <v>8</v>
      </c>
      <c r="AB1268">
        <v>3</v>
      </c>
      <c r="AC1268">
        <v>0</v>
      </c>
      <c r="AD1268">
        <v>10</v>
      </c>
      <c r="AE1268">
        <v>0</v>
      </c>
      <c r="AF1268">
        <v>0</v>
      </c>
      <c r="AG1268">
        <v>2</v>
      </c>
      <c r="AH1268">
        <v>1</v>
      </c>
      <c r="AI1268" t="s">
        <v>967</v>
      </c>
      <c r="AJ1268">
        <v>35.217962</v>
      </c>
      <c r="AK1268" t="s">
        <v>968</v>
      </c>
      <c r="AL1268">
        <v>-76.269450000000006</v>
      </c>
      <c r="AM1268">
        <v>25</v>
      </c>
      <c r="AN1268">
        <v>3450</v>
      </c>
      <c r="AO1268" t="s">
        <v>118</v>
      </c>
      <c r="AP1268">
        <v>25</v>
      </c>
      <c r="AQ1268">
        <v>-224</v>
      </c>
      <c r="AR1268">
        <v>-64</v>
      </c>
      <c r="AZ1268">
        <v>4516</v>
      </c>
      <c r="BA1268">
        <v>1</v>
      </c>
      <c r="BB1268" t="str">
        <f t="shared" si="125"/>
        <v xml:space="preserve">N79NX   </v>
      </c>
      <c r="BC1268">
        <v>1</v>
      </c>
      <c r="BE1268">
        <v>0</v>
      </c>
      <c r="BF1268">
        <v>0</v>
      </c>
      <c r="BG1268">
        <v>0</v>
      </c>
      <c r="BH1268">
        <v>3300</v>
      </c>
      <c r="BI1268">
        <v>0</v>
      </c>
      <c r="BJ1268">
        <v>0</v>
      </c>
      <c r="BK1268">
        <v>0</v>
      </c>
      <c r="BL1268">
        <v>0</v>
      </c>
      <c r="BO1268">
        <v>0</v>
      </c>
      <c r="BP1268">
        <v>0</v>
      </c>
      <c r="BW1268" t="str">
        <f>"18:42:54.392"</f>
        <v>18:42:54.392</v>
      </c>
      <c r="BZ1268">
        <v>0</v>
      </c>
      <c r="CA1268">
        <v>3104</v>
      </c>
      <c r="CB1268">
        <v>216</v>
      </c>
      <c r="CC1268">
        <v>462.65629999999999</v>
      </c>
      <c r="CD1268">
        <v>1</v>
      </c>
      <c r="CE1268">
        <v>1</v>
      </c>
      <c r="CF1268">
        <v>0</v>
      </c>
      <c r="CG1268">
        <v>1</v>
      </c>
      <c r="CH1268">
        <v>0</v>
      </c>
      <c r="CI1268">
        <v>0</v>
      </c>
      <c r="CJ1268">
        <v>0</v>
      </c>
      <c r="CK1268">
        <v>2</v>
      </c>
      <c r="CL1268">
        <v>0</v>
      </c>
      <c r="CM1268">
        <v>2</v>
      </c>
      <c r="CN1268">
        <v>0</v>
      </c>
      <c r="CO1268">
        <v>1</v>
      </c>
      <c r="CP1268" t="s">
        <v>119</v>
      </c>
      <c r="CQ1268">
        <v>145</v>
      </c>
      <c r="CR1268">
        <v>1</v>
      </c>
      <c r="CW1268">
        <v>9056365</v>
      </c>
      <c r="CY1268">
        <v>0</v>
      </c>
      <c r="CZ1268">
        <v>0</v>
      </c>
      <c r="DA1268">
        <v>1</v>
      </c>
      <c r="DB1268">
        <v>0</v>
      </c>
      <c r="DC1268">
        <v>0</v>
      </c>
      <c r="DD1268">
        <v>0</v>
      </c>
      <c r="DE1268">
        <v>0</v>
      </c>
      <c r="DF1268">
        <v>0</v>
      </c>
      <c r="DG1268">
        <v>0</v>
      </c>
      <c r="DH1268">
        <v>0</v>
      </c>
      <c r="DI1268">
        <v>0</v>
      </c>
    </row>
    <row r="1269" spans="1:113" x14ac:dyDescent="0.3">
      <c r="A1269" t="str">
        <f>"02/13/2022 18:42:54.679"</f>
        <v>02/13/2022 18:42:54.679</v>
      </c>
      <c r="C1269" t="str">
        <f t="shared" si="124"/>
        <v>FFDFD7C0</v>
      </c>
      <c r="D1269" t="s">
        <v>113</v>
      </c>
      <c r="E1269">
        <v>4</v>
      </c>
      <c r="F1269">
        <v>1004</v>
      </c>
      <c r="G1269" t="s">
        <v>120</v>
      </c>
      <c r="J1269" t="s">
        <v>115</v>
      </c>
      <c r="K1269">
        <v>0</v>
      </c>
      <c r="L1269">
        <v>3</v>
      </c>
      <c r="M1269">
        <v>0</v>
      </c>
      <c r="N1269">
        <v>2</v>
      </c>
      <c r="O1269">
        <v>1</v>
      </c>
      <c r="P1269">
        <v>0</v>
      </c>
      <c r="Q1269">
        <v>0</v>
      </c>
      <c r="S1269" t="str">
        <f>"18:42:54.391"</f>
        <v>18:42:54.391</v>
      </c>
      <c r="T1269" t="str">
        <f>"18:42:53.591"</f>
        <v>18:42:53.591</v>
      </c>
      <c r="U1269" t="str">
        <f t="shared" si="123"/>
        <v>AAB6EE</v>
      </c>
      <c r="V1269">
        <v>0</v>
      </c>
      <c r="W1269">
        <v>0</v>
      </c>
      <c r="X1269">
        <v>4</v>
      </c>
      <c r="Z1269">
        <v>0</v>
      </c>
      <c r="AA1269">
        <v>8</v>
      </c>
      <c r="AB1269">
        <v>3</v>
      </c>
      <c r="AC1269">
        <v>0</v>
      </c>
      <c r="AD1269">
        <v>10</v>
      </c>
      <c r="AE1269">
        <v>0</v>
      </c>
      <c r="AF1269">
        <v>0</v>
      </c>
      <c r="AG1269">
        <v>2</v>
      </c>
      <c r="AH1269">
        <v>1</v>
      </c>
      <c r="AI1269" t="s">
        <v>967</v>
      </c>
      <c r="AJ1269">
        <v>35.217962</v>
      </c>
      <c r="AK1269" t="s">
        <v>968</v>
      </c>
      <c r="AL1269">
        <v>-76.269450000000006</v>
      </c>
      <c r="AM1269">
        <v>25</v>
      </c>
      <c r="AN1269">
        <v>3450</v>
      </c>
      <c r="AO1269" t="s">
        <v>118</v>
      </c>
      <c r="AP1269">
        <v>25</v>
      </c>
      <c r="AQ1269">
        <v>-224</v>
      </c>
      <c r="AR1269">
        <v>-64</v>
      </c>
      <c r="AZ1269">
        <v>4516</v>
      </c>
      <c r="BA1269">
        <v>1</v>
      </c>
      <c r="BB1269" t="str">
        <f t="shared" si="125"/>
        <v xml:space="preserve">N79NX   </v>
      </c>
      <c r="BC1269">
        <v>1</v>
      </c>
      <c r="BE1269">
        <v>0</v>
      </c>
      <c r="BF1269">
        <v>0</v>
      </c>
      <c r="BG1269">
        <v>0</v>
      </c>
      <c r="BH1269">
        <v>3300</v>
      </c>
      <c r="BI1269">
        <v>0</v>
      </c>
      <c r="BJ1269">
        <v>0</v>
      </c>
      <c r="BK1269">
        <v>0</v>
      </c>
      <c r="BL1269">
        <v>0</v>
      </c>
      <c r="BO1269">
        <v>0</v>
      </c>
      <c r="BP1269">
        <v>0</v>
      </c>
      <c r="BW1269" t="str">
        <f>"18:42:54.392"</f>
        <v>18:42:54.392</v>
      </c>
      <c r="BZ1269">
        <v>0</v>
      </c>
      <c r="CA1269">
        <v>3104</v>
      </c>
      <c r="CB1269">
        <v>216</v>
      </c>
      <c r="CC1269">
        <v>462.65629999999999</v>
      </c>
      <c r="CD1269">
        <v>1</v>
      </c>
      <c r="CE1269">
        <v>1</v>
      </c>
      <c r="CF1269">
        <v>0</v>
      </c>
      <c r="CG1269">
        <v>1</v>
      </c>
      <c r="CH1269">
        <v>0</v>
      </c>
      <c r="CI1269">
        <v>0</v>
      </c>
      <c r="CJ1269">
        <v>0</v>
      </c>
      <c r="CK1269">
        <v>2</v>
      </c>
      <c r="CL1269">
        <v>0</v>
      </c>
      <c r="CM1269">
        <v>2</v>
      </c>
      <c r="CN1269">
        <v>0</v>
      </c>
      <c r="CO1269">
        <v>1</v>
      </c>
      <c r="CP1269" t="s">
        <v>119</v>
      </c>
      <c r="CQ1269">
        <v>145</v>
      </c>
      <c r="CR1269">
        <v>1</v>
      </c>
      <c r="CW1269">
        <v>9056365</v>
      </c>
      <c r="CY1269">
        <v>0</v>
      </c>
      <c r="CZ1269">
        <v>0</v>
      </c>
      <c r="DA1269">
        <v>1</v>
      </c>
      <c r="DB1269">
        <v>0</v>
      </c>
      <c r="DC1269">
        <v>0</v>
      </c>
      <c r="DD1269">
        <v>0</v>
      </c>
      <c r="DE1269">
        <v>0</v>
      </c>
      <c r="DF1269">
        <v>0</v>
      </c>
      <c r="DG1269">
        <v>0</v>
      </c>
      <c r="DH1269">
        <v>0</v>
      </c>
      <c r="DI1269">
        <v>0</v>
      </c>
    </row>
    <row r="1270" spans="1:113" x14ac:dyDescent="0.3">
      <c r="A1270" t="str">
        <f>"02/13/2022 18:42:55.664"</f>
        <v>02/13/2022 18:42:55.664</v>
      </c>
      <c r="C1270" t="str">
        <f t="shared" si="124"/>
        <v>FFDFD7C0</v>
      </c>
      <c r="D1270" t="s">
        <v>121</v>
      </c>
      <c r="E1270">
        <v>2</v>
      </c>
      <c r="H1270">
        <v>158</v>
      </c>
      <c r="I1270" t="s">
        <v>120</v>
      </c>
      <c r="J1270" t="s">
        <v>122</v>
      </c>
      <c r="K1270">
        <v>0</v>
      </c>
      <c r="L1270">
        <v>3</v>
      </c>
      <c r="M1270">
        <v>0</v>
      </c>
      <c r="N1270">
        <v>2</v>
      </c>
      <c r="O1270">
        <v>1</v>
      </c>
      <c r="P1270">
        <v>0</v>
      </c>
      <c r="Q1270">
        <v>0</v>
      </c>
      <c r="S1270" t="str">
        <f>"18:42:55.461"</f>
        <v>18:42:55.461</v>
      </c>
      <c r="T1270" t="str">
        <f>"18:42:53.561"</f>
        <v>18:42:53.561</v>
      </c>
      <c r="U1270" t="str">
        <f t="shared" si="123"/>
        <v>AAB6EE</v>
      </c>
      <c r="V1270">
        <v>0</v>
      </c>
      <c r="W1270">
        <v>0</v>
      </c>
      <c r="X1270">
        <v>4</v>
      </c>
      <c r="Z1270">
        <v>0</v>
      </c>
      <c r="AA1270">
        <v>8</v>
      </c>
      <c r="AB1270">
        <v>3</v>
      </c>
      <c r="AC1270">
        <v>0</v>
      </c>
      <c r="AD1270">
        <v>10</v>
      </c>
      <c r="AE1270">
        <v>0</v>
      </c>
      <c r="AF1270">
        <v>0</v>
      </c>
      <c r="AG1270">
        <v>2</v>
      </c>
      <c r="AH1270">
        <v>1</v>
      </c>
      <c r="AI1270" t="s">
        <v>969</v>
      </c>
      <c r="AJ1270">
        <v>35.216867999999998</v>
      </c>
      <c r="AK1270" t="s">
        <v>970</v>
      </c>
      <c r="AL1270">
        <v>-76.269214000000005</v>
      </c>
      <c r="AM1270">
        <v>25</v>
      </c>
      <c r="AN1270">
        <v>3450</v>
      </c>
      <c r="AO1270" t="s">
        <v>118</v>
      </c>
      <c r="AP1270">
        <v>25</v>
      </c>
      <c r="AQ1270">
        <v>-224</v>
      </c>
      <c r="AR1270">
        <v>-64</v>
      </c>
      <c r="AZ1270">
        <v>4516</v>
      </c>
      <c r="BA1270">
        <v>1</v>
      </c>
      <c r="BB1270" t="str">
        <f t="shared" si="125"/>
        <v xml:space="preserve">N79NX   </v>
      </c>
      <c r="BC1270">
        <v>1</v>
      </c>
      <c r="BE1270">
        <v>0</v>
      </c>
      <c r="BF1270">
        <v>0</v>
      </c>
      <c r="BG1270">
        <v>0</v>
      </c>
      <c r="BH1270">
        <v>3300</v>
      </c>
      <c r="BI1270">
        <v>0</v>
      </c>
      <c r="BJ1270">
        <v>0</v>
      </c>
      <c r="BK1270">
        <v>0</v>
      </c>
      <c r="BL1270">
        <v>0</v>
      </c>
      <c r="BO1270">
        <v>0</v>
      </c>
      <c r="BP1270">
        <v>0</v>
      </c>
      <c r="BW1270" t="str">
        <f>"18:42:55.462"</f>
        <v>18:42:55.462</v>
      </c>
      <c r="BZ1270">
        <v>0</v>
      </c>
      <c r="CA1270">
        <v>3104</v>
      </c>
      <c r="CB1270">
        <v>216</v>
      </c>
      <c r="CC1270">
        <v>462.65629999999999</v>
      </c>
      <c r="CD1270">
        <v>1</v>
      </c>
      <c r="CE1270">
        <v>1</v>
      </c>
      <c r="CF1270">
        <v>0</v>
      </c>
      <c r="CG1270">
        <v>1</v>
      </c>
      <c r="CH1270">
        <v>0</v>
      </c>
      <c r="CI1270">
        <v>0</v>
      </c>
      <c r="CJ1270">
        <v>0</v>
      </c>
      <c r="CK1270">
        <v>2</v>
      </c>
      <c r="CL1270">
        <v>0</v>
      </c>
      <c r="CM1270">
        <v>2</v>
      </c>
      <c r="CN1270">
        <v>0</v>
      </c>
      <c r="CO1270">
        <v>1</v>
      </c>
      <c r="CP1270" t="s">
        <v>119</v>
      </c>
      <c r="CQ1270">
        <v>145</v>
      </c>
      <c r="CR1270">
        <v>1</v>
      </c>
      <c r="CW1270">
        <v>9056788</v>
      </c>
      <c r="CY1270">
        <v>0</v>
      </c>
      <c r="CZ1270">
        <v>0</v>
      </c>
      <c r="DA1270">
        <v>0</v>
      </c>
      <c r="DB1270">
        <v>0</v>
      </c>
      <c r="DC1270">
        <v>0</v>
      </c>
      <c r="DD1270">
        <v>0</v>
      </c>
      <c r="DE1270">
        <v>0</v>
      </c>
      <c r="DF1270">
        <v>0</v>
      </c>
      <c r="DG1270">
        <v>0</v>
      </c>
      <c r="DH1270">
        <v>0</v>
      </c>
      <c r="DI1270">
        <v>0</v>
      </c>
    </row>
    <row r="1271" spans="1:113" x14ac:dyDescent="0.3">
      <c r="A1271" t="str">
        <f>"02/13/2022 18:42:55.664"</f>
        <v>02/13/2022 18:42:55.664</v>
      </c>
      <c r="C1271" t="str">
        <f t="shared" si="124"/>
        <v>FFDFD7C0</v>
      </c>
      <c r="D1271" t="s">
        <v>113</v>
      </c>
      <c r="E1271">
        <v>3</v>
      </c>
      <c r="F1271">
        <v>1003</v>
      </c>
      <c r="G1271" t="s">
        <v>114</v>
      </c>
      <c r="J1271" t="s">
        <v>115</v>
      </c>
      <c r="K1271">
        <v>0</v>
      </c>
      <c r="L1271">
        <v>3</v>
      </c>
      <c r="M1271">
        <v>0</v>
      </c>
      <c r="N1271">
        <v>2</v>
      </c>
      <c r="O1271">
        <v>1</v>
      </c>
      <c r="P1271">
        <v>0</v>
      </c>
      <c r="Q1271">
        <v>0</v>
      </c>
      <c r="S1271" t="str">
        <f>"18:42:55.461"</f>
        <v>18:42:55.461</v>
      </c>
      <c r="T1271" t="str">
        <f>"18:42:53.561"</f>
        <v>18:42:53.561</v>
      </c>
      <c r="U1271" t="str">
        <f t="shared" si="123"/>
        <v>AAB6EE</v>
      </c>
      <c r="V1271">
        <v>0</v>
      </c>
      <c r="W1271">
        <v>0</v>
      </c>
      <c r="X1271">
        <v>4</v>
      </c>
      <c r="Z1271">
        <v>0</v>
      </c>
      <c r="AA1271">
        <v>8</v>
      </c>
      <c r="AB1271">
        <v>3</v>
      </c>
      <c r="AC1271">
        <v>0</v>
      </c>
      <c r="AD1271">
        <v>10</v>
      </c>
      <c r="AE1271">
        <v>0</v>
      </c>
      <c r="AF1271">
        <v>0</v>
      </c>
      <c r="AG1271">
        <v>2</v>
      </c>
      <c r="AH1271">
        <v>1</v>
      </c>
      <c r="AI1271" t="s">
        <v>969</v>
      </c>
      <c r="AJ1271">
        <v>35.216867999999998</v>
      </c>
      <c r="AK1271" t="s">
        <v>970</v>
      </c>
      <c r="AL1271">
        <v>-76.269214000000005</v>
      </c>
      <c r="AM1271">
        <v>25</v>
      </c>
      <c r="AN1271">
        <v>3450</v>
      </c>
      <c r="AO1271" t="s">
        <v>118</v>
      </c>
      <c r="AP1271">
        <v>25</v>
      </c>
      <c r="AQ1271">
        <v>-224</v>
      </c>
      <c r="AR1271">
        <v>-64</v>
      </c>
      <c r="AZ1271">
        <v>4516</v>
      </c>
      <c r="BA1271">
        <v>1</v>
      </c>
      <c r="BB1271" t="str">
        <f t="shared" si="125"/>
        <v xml:space="preserve">N79NX   </v>
      </c>
      <c r="BC1271">
        <v>1</v>
      </c>
      <c r="BE1271">
        <v>0</v>
      </c>
      <c r="BF1271">
        <v>0</v>
      </c>
      <c r="BG1271">
        <v>0</v>
      </c>
      <c r="BH1271">
        <v>3300</v>
      </c>
      <c r="BI1271">
        <v>0</v>
      </c>
      <c r="BJ1271">
        <v>0</v>
      </c>
      <c r="BK1271">
        <v>0</v>
      </c>
      <c r="BL1271">
        <v>0</v>
      </c>
      <c r="BO1271">
        <v>0</v>
      </c>
      <c r="BP1271">
        <v>0</v>
      </c>
      <c r="BW1271" t="str">
        <f>"18:42:55.462"</f>
        <v>18:42:55.462</v>
      </c>
      <c r="BZ1271">
        <v>0</v>
      </c>
      <c r="CA1271">
        <v>3104</v>
      </c>
      <c r="CB1271">
        <v>216</v>
      </c>
      <c r="CC1271">
        <v>462.65629999999999</v>
      </c>
      <c r="CD1271">
        <v>1</v>
      </c>
      <c r="CE1271">
        <v>1</v>
      </c>
      <c r="CF1271">
        <v>0</v>
      </c>
      <c r="CG1271">
        <v>1</v>
      </c>
      <c r="CH1271">
        <v>0</v>
      </c>
      <c r="CI1271">
        <v>0</v>
      </c>
      <c r="CJ1271">
        <v>0</v>
      </c>
      <c r="CK1271">
        <v>2</v>
      </c>
      <c r="CL1271">
        <v>0</v>
      </c>
      <c r="CM1271">
        <v>2</v>
      </c>
      <c r="CN1271">
        <v>0</v>
      </c>
      <c r="CO1271">
        <v>1</v>
      </c>
      <c r="CP1271" t="s">
        <v>119</v>
      </c>
      <c r="CQ1271">
        <v>145</v>
      </c>
      <c r="CR1271">
        <v>1</v>
      </c>
      <c r="CW1271">
        <v>9056788</v>
      </c>
      <c r="CY1271">
        <v>0</v>
      </c>
      <c r="CZ1271">
        <v>0</v>
      </c>
      <c r="DA1271">
        <v>1</v>
      </c>
      <c r="DB1271">
        <v>0</v>
      </c>
      <c r="DC1271">
        <v>0</v>
      </c>
      <c r="DD1271">
        <v>0</v>
      </c>
      <c r="DE1271">
        <v>0</v>
      </c>
      <c r="DF1271">
        <v>0</v>
      </c>
      <c r="DG1271">
        <v>0</v>
      </c>
      <c r="DH1271">
        <v>0</v>
      </c>
      <c r="DI1271">
        <v>0</v>
      </c>
    </row>
    <row r="1272" spans="1:113" x14ac:dyDescent="0.3">
      <c r="A1272" t="str">
        <f>"02/13/2022 18:42:55.664"</f>
        <v>02/13/2022 18:42:55.664</v>
      </c>
      <c r="C1272" t="str">
        <f t="shared" si="124"/>
        <v>FFDFD7C0</v>
      </c>
      <c r="D1272" t="s">
        <v>113</v>
      </c>
      <c r="E1272">
        <v>4</v>
      </c>
      <c r="F1272">
        <v>1004</v>
      </c>
      <c r="G1272" t="s">
        <v>120</v>
      </c>
      <c r="J1272" t="s">
        <v>115</v>
      </c>
      <c r="K1272">
        <v>0</v>
      </c>
      <c r="L1272">
        <v>3</v>
      </c>
      <c r="M1272">
        <v>0</v>
      </c>
      <c r="N1272">
        <v>2</v>
      </c>
      <c r="O1272">
        <v>1</v>
      </c>
      <c r="P1272">
        <v>0</v>
      </c>
      <c r="Q1272">
        <v>0</v>
      </c>
      <c r="S1272" t="str">
        <f>"18:42:55.461"</f>
        <v>18:42:55.461</v>
      </c>
      <c r="T1272" t="str">
        <f>"18:42:53.561"</f>
        <v>18:42:53.561</v>
      </c>
      <c r="U1272" t="str">
        <f t="shared" si="123"/>
        <v>AAB6EE</v>
      </c>
      <c r="V1272">
        <v>0</v>
      </c>
      <c r="W1272">
        <v>0</v>
      </c>
      <c r="X1272">
        <v>4</v>
      </c>
      <c r="Z1272">
        <v>0</v>
      </c>
      <c r="AA1272">
        <v>8</v>
      </c>
      <c r="AB1272">
        <v>3</v>
      </c>
      <c r="AC1272">
        <v>0</v>
      </c>
      <c r="AD1272">
        <v>10</v>
      </c>
      <c r="AE1272">
        <v>0</v>
      </c>
      <c r="AF1272">
        <v>0</v>
      </c>
      <c r="AG1272">
        <v>2</v>
      </c>
      <c r="AH1272">
        <v>1</v>
      </c>
      <c r="AI1272" t="s">
        <v>969</v>
      </c>
      <c r="AJ1272">
        <v>35.216867999999998</v>
      </c>
      <c r="AK1272" t="s">
        <v>970</v>
      </c>
      <c r="AL1272">
        <v>-76.269214000000005</v>
      </c>
      <c r="AM1272">
        <v>25</v>
      </c>
      <c r="AN1272">
        <v>3450</v>
      </c>
      <c r="AO1272" t="s">
        <v>118</v>
      </c>
      <c r="AP1272">
        <v>25</v>
      </c>
      <c r="AQ1272">
        <v>-224</v>
      </c>
      <c r="AR1272">
        <v>-64</v>
      </c>
      <c r="AZ1272">
        <v>4516</v>
      </c>
      <c r="BA1272">
        <v>1</v>
      </c>
      <c r="BB1272" t="str">
        <f t="shared" si="125"/>
        <v xml:space="preserve">N79NX   </v>
      </c>
      <c r="BC1272">
        <v>1</v>
      </c>
      <c r="BE1272">
        <v>0</v>
      </c>
      <c r="BF1272">
        <v>0</v>
      </c>
      <c r="BG1272">
        <v>0</v>
      </c>
      <c r="BH1272">
        <v>3300</v>
      </c>
      <c r="BI1272">
        <v>0</v>
      </c>
      <c r="BJ1272">
        <v>0</v>
      </c>
      <c r="BK1272">
        <v>0</v>
      </c>
      <c r="BL1272">
        <v>0</v>
      </c>
      <c r="BO1272">
        <v>0</v>
      </c>
      <c r="BP1272">
        <v>0</v>
      </c>
      <c r="BW1272" t="str">
        <f>"18:42:55.462"</f>
        <v>18:42:55.462</v>
      </c>
      <c r="BZ1272">
        <v>0</v>
      </c>
      <c r="CA1272">
        <v>3104</v>
      </c>
      <c r="CB1272">
        <v>216</v>
      </c>
      <c r="CC1272">
        <v>462.65629999999999</v>
      </c>
      <c r="CD1272">
        <v>1</v>
      </c>
      <c r="CE1272">
        <v>1</v>
      </c>
      <c r="CF1272">
        <v>0</v>
      </c>
      <c r="CG1272">
        <v>1</v>
      </c>
      <c r="CH1272">
        <v>0</v>
      </c>
      <c r="CI1272">
        <v>0</v>
      </c>
      <c r="CJ1272">
        <v>0</v>
      </c>
      <c r="CK1272">
        <v>2</v>
      </c>
      <c r="CL1272">
        <v>0</v>
      </c>
      <c r="CM1272">
        <v>2</v>
      </c>
      <c r="CN1272">
        <v>0</v>
      </c>
      <c r="CO1272">
        <v>1</v>
      </c>
      <c r="CP1272" t="s">
        <v>119</v>
      </c>
      <c r="CQ1272">
        <v>145</v>
      </c>
      <c r="CR1272">
        <v>1</v>
      </c>
      <c r="CW1272">
        <v>9056788</v>
      </c>
      <c r="CY1272">
        <v>0</v>
      </c>
      <c r="CZ1272">
        <v>0</v>
      </c>
      <c r="DA1272">
        <v>1</v>
      </c>
      <c r="DB1272">
        <v>0</v>
      </c>
      <c r="DC1272">
        <v>0</v>
      </c>
      <c r="DD1272">
        <v>0</v>
      </c>
      <c r="DE1272">
        <v>0</v>
      </c>
      <c r="DF1272">
        <v>0</v>
      </c>
      <c r="DG1272">
        <v>0</v>
      </c>
      <c r="DH1272">
        <v>0</v>
      </c>
      <c r="DI1272">
        <v>0</v>
      </c>
    </row>
    <row r="1273" spans="1:113" x14ac:dyDescent="0.3">
      <c r="A1273" t="str">
        <f>"02/13/2022 18:42:56.634"</f>
        <v>02/13/2022 18:42:56.634</v>
      </c>
      <c r="C1273" t="str">
        <f t="shared" si="124"/>
        <v>FFDFD7C0</v>
      </c>
      <c r="D1273" t="s">
        <v>121</v>
      </c>
      <c r="E1273">
        <v>2</v>
      </c>
      <c r="H1273">
        <v>158</v>
      </c>
      <c r="I1273" t="s">
        <v>120</v>
      </c>
      <c r="J1273" t="s">
        <v>122</v>
      </c>
      <c r="K1273">
        <v>0</v>
      </c>
      <c r="L1273">
        <v>3</v>
      </c>
      <c r="M1273">
        <v>0</v>
      </c>
      <c r="N1273">
        <v>2</v>
      </c>
      <c r="O1273">
        <v>1</v>
      </c>
      <c r="P1273">
        <v>0</v>
      </c>
      <c r="Q1273">
        <v>0</v>
      </c>
      <c r="S1273" t="str">
        <f>"18:42:56.328"</f>
        <v>18:42:56.328</v>
      </c>
      <c r="T1273" t="str">
        <f>"18:42:55.628"</f>
        <v>18:42:55.628</v>
      </c>
      <c r="U1273" t="str">
        <f t="shared" si="123"/>
        <v>AAB6EE</v>
      </c>
      <c r="V1273">
        <v>0</v>
      </c>
      <c r="W1273">
        <v>0</v>
      </c>
      <c r="X1273">
        <v>4</v>
      </c>
      <c r="Z1273">
        <v>0</v>
      </c>
      <c r="AA1273">
        <v>8</v>
      </c>
      <c r="AB1273">
        <v>3</v>
      </c>
      <c r="AC1273">
        <v>0</v>
      </c>
      <c r="AD1273">
        <v>10</v>
      </c>
      <c r="AE1273">
        <v>0</v>
      </c>
      <c r="AF1273">
        <v>0</v>
      </c>
      <c r="AG1273">
        <v>2</v>
      </c>
      <c r="AH1273">
        <v>1</v>
      </c>
      <c r="AI1273" t="s">
        <v>971</v>
      </c>
      <c r="AJ1273">
        <v>35.215902</v>
      </c>
      <c r="AK1273" t="s">
        <v>972</v>
      </c>
      <c r="AL1273">
        <v>-76.268934999999999</v>
      </c>
      <c r="AM1273">
        <v>25</v>
      </c>
      <c r="AN1273">
        <v>3450</v>
      </c>
      <c r="AO1273" t="s">
        <v>118</v>
      </c>
      <c r="AP1273">
        <v>45</v>
      </c>
      <c r="AQ1273">
        <v>-222</v>
      </c>
      <c r="AR1273">
        <v>-64</v>
      </c>
      <c r="AZ1273">
        <v>4516</v>
      </c>
      <c r="BA1273">
        <v>1</v>
      </c>
      <c r="BB1273" t="str">
        <f t="shared" si="125"/>
        <v xml:space="preserve">N79NX   </v>
      </c>
      <c r="BC1273">
        <v>1</v>
      </c>
      <c r="BE1273">
        <v>0</v>
      </c>
      <c r="BF1273">
        <v>0</v>
      </c>
      <c r="BG1273">
        <v>0</v>
      </c>
      <c r="BH1273">
        <v>3325</v>
      </c>
      <c r="BI1273">
        <v>0</v>
      </c>
      <c r="BJ1273">
        <v>0</v>
      </c>
      <c r="BK1273">
        <v>0</v>
      </c>
      <c r="BL1273">
        <v>0</v>
      </c>
      <c r="BO1273">
        <v>0</v>
      </c>
      <c r="BP1273">
        <v>0</v>
      </c>
      <c r="BW1273" t="str">
        <f>"18:42:56.332"</f>
        <v>18:42:56.332</v>
      </c>
      <c r="BZ1273">
        <v>0</v>
      </c>
      <c r="CA1273">
        <v>3104</v>
      </c>
      <c r="CB1273">
        <v>216</v>
      </c>
      <c r="CC1273">
        <v>462.65629999999999</v>
      </c>
      <c r="CD1273">
        <v>1</v>
      </c>
      <c r="CE1273">
        <v>1</v>
      </c>
      <c r="CF1273">
        <v>0</v>
      </c>
      <c r="CG1273">
        <v>1</v>
      </c>
      <c r="CH1273">
        <v>0</v>
      </c>
      <c r="CI1273">
        <v>0</v>
      </c>
      <c r="CJ1273">
        <v>0</v>
      </c>
      <c r="CK1273">
        <v>2</v>
      </c>
      <c r="CL1273">
        <v>0</v>
      </c>
      <c r="CM1273">
        <v>2</v>
      </c>
      <c r="CN1273">
        <v>0</v>
      </c>
      <c r="CO1273">
        <v>2</v>
      </c>
      <c r="CP1273" t="s">
        <v>119</v>
      </c>
      <c r="CQ1273">
        <v>145</v>
      </c>
      <c r="CR1273">
        <v>1</v>
      </c>
      <c r="CW1273">
        <v>9057171</v>
      </c>
      <c r="CY1273">
        <v>0</v>
      </c>
      <c r="CZ1273">
        <v>0</v>
      </c>
      <c r="DA1273">
        <v>0</v>
      </c>
      <c r="DB1273">
        <v>0</v>
      </c>
      <c r="DC1273">
        <v>0</v>
      </c>
      <c r="DD1273">
        <v>0</v>
      </c>
      <c r="DE1273">
        <v>0</v>
      </c>
      <c r="DF1273">
        <v>0</v>
      </c>
      <c r="DG1273">
        <v>0</v>
      </c>
      <c r="DH1273">
        <v>0</v>
      </c>
      <c r="DI1273">
        <v>0</v>
      </c>
    </row>
    <row r="1274" spans="1:113" x14ac:dyDescent="0.3">
      <c r="A1274" t="str">
        <f>"02/13/2022 18:42:56.634"</f>
        <v>02/13/2022 18:42:56.634</v>
      </c>
      <c r="C1274" t="str">
        <f t="shared" si="124"/>
        <v>FFDFD7C0</v>
      </c>
      <c r="D1274" t="s">
        <v>113</v>
      </c>
      <c r="E1274">
        <v>3</v>
      </c>
      <c r="F1274">
        <v>1003</v>
      </c>
      <c r="G1274" t="s">
        <v>114</v>
      </c>
      <c r="J1274" t="s">
        <v>115</v>
      </c>
      <c r="K1274">
        <v>0</v>
      </c>
      <c r="L1274">
        <v>3</v>
      </c>
      <c r="M1274">
        <v>0</v>
      </c>
      <c r="N1274">
        <v>2</v>
      </c>
      <c r="O1274">
        <v>1</v>
      </c>
      <c r="P1274">
        <v>0</v>
      </c>
      <c r="Q1274">
        <v>0</v>
      </c>
      <c r="S1274" t="str">
        <f>"18:42:56.328"</f>
        <v>18:42:56.328</v>
      </c>
      <c r="T1274" t="str">
        <f>"18:42:55.628"</f>
        <v>18:42:55.628</v>
      </c>
      <c r="U1274" t="str">
        <f t="shared" si="123"/>
        <v>AAB6EE</v>
      </c>
      <c r="V1274">
        <v>0</v>
      </c>
      <c r="W1274">
        <v>0</v>
      </c>
      <c r="X1274">
        <v>4</v>
      </c>
      <c r="Z1274">
        <v>0</v>
      </c>
      <c r="AA1274">
        <v>8</v>
      </c>
      <c r="AB1274">
        <v>3</v>
      </c>
      <c r="AC1274">
        <v>0</v>
      </c>
      <c r="AD1274">
        <v>10</v>
      </c>
      <c r="AE1274">
        <v>0</v>
      </c>
      <c r="AF1274">
        <v>0</v>
      </c>
      <c r="AG1274">
        <v>2</v>
      </c>
      <c r="AH1274">
        <v>1</v>
      </c>
      <c r="AI1274" t="s">
        <v>971</v>
      </c>
      <c r="AJ1274">
        <v>35.215902</v>
      </c>
      <c r="AK1274" t="s">
        <v>972</v>
      </c>
      <c r="AL1274">
        <v>-76.268934999999999</v>
      </c>
      <c r="AM1274">
        <v>25</v>
      </c>
      <c r="AN1274">
        <v>3450</v>
      </c>
      <c r="AO1274" t="s">
        <v>118</v>
      </c>
      <c r="AP1274">
        <v>45</v>
      </c>
      <c r="AQ1274">
        <v>-222</v>
      </c>
      <c r="AR1274">
        <v>-64</v>
      </c>
      <c r="AZ1274">
        <v>4516</v>
      </c>
      <c r="BA1274">
        <v>1</v>
      </c>
      <c r="BB1274" t="str">
        <f t="shared" si="125"/>
        <v xml:space="preserve">N79NX   </v>
      </c>
      <c r="BC1274">
        <v>1</v>
      </c>
      <c r="BE1274">
        <v>0</v>
      </c>
      <c r="BF1274">
        <v>0</v>
      </c>
      <c r="BG1274">
        <v>0</v>
      </c>
      <c r="BH1274">
        <v>3325</v>
      </c>
      <c r="BI1274">
        <v>0</v>
      </c>
      <c r="BJ1274">
        <v>0</v>
      </c>
      <c r="BK1274">
        <v>0</v>
      </c>
      <c r="BL1274">
        <v>0</v>
      </c>
      <c r="BO1274">
        <v>0</v>
      </c>
      <c r="BP1274">
        <v>0</v>
      </c>
      <c r="BW1274" t="str">
        <f>"18:42:56.332"</f>
        <v>18:42:56.332</v>
      </c>
      <c r="BZ1274">
        <v>0</v>
      </c>
      <c r="CA1274">
        <v>3104</v>
      </c>
      <c r="CB1274">
        <v>216</v>
      </c>
      <c r="CC1274">
        <v>462.65629999999999</v>
      </c>
      <c r="CD1274">
        <v>1</v>
      </c>
      <c r="CE1274">
        <v>1</v>
      </c>
      <c r="CF1274">
        <v>0</v>
      </c>
      <c r="CG1274">
        <v>1</v>
      </c>
      <c r="CH1274">
        <v>0</v>
      </c>
      <c r="CI1274">
        <v>0</v>
      </c>
      <c r="CJ1274">
        <v>0</v>
      </c>
      <c r="CK1274">
        <v>2</v>
      </c>
      <c r="CL1274">
        <v>0</v>
      </c>
      <c r="CM1274">
        <v>2</v>
      </c>
      <c r="CN1274">
        <v>0</v>
      </c>
      <c r="CO1274">
        <v>2</v>
      </c>
      <c r="CP1274" t="s">
        <v>119</v>
      </c>
      <c r="CQ1274">
        <v>145</v>
      </c>
      <c r="CR1274">
        <v>1</v>
      </c>
      <c r="CW1274">
        <v>9057171</v>
      </c>
      <c r="CY1274">
        <v>0</v>
      </c>
      <c r="CZ1274">
        <v>0</v>
      </c>
      <c r="DA1274">
        <v>1</v>
      </c>
      <c r="DB1274">
        <v>0</v>
      </c>
      <c r="DC1274">
        <v>0</v>
      </c>
      <c r="DD1274">
        <v>0</v>
      </c>
      <c r="DE1274">
        <v>0</v>
      </c>
      <c r="DF1274">
        <v>0</v>
      </c>
      <c r="DG1274">
        <v>0</v>
      </c>
      <c r="DH1274">
        <v>0</v>
      </c>
      <c r="DI1274">
        <v>0</v>
      </c>
    </row>
    <row r="1275" spans="1:113" x14ac:dyDescent="0.3">
      <c r="A1275" t="str">
        <f>"02/13/2022 18:42:56.634"</f>
        <v>02/13/2022 18:42:56.634</v>
      </c>
      <c r="C1275" t="str">
        <f t="shared" si="124"/>
        <v>FFDFD7C0</v>
      </c>
      <c r="D1275" t="s">
        <v>113</v>
      </c>
      <c r="E1275">
        <v>4</v>
      </c>
      <c r="F1275">
        <v>1004</v>
      </c>
      <c r="G1275" t="s">
        <v>120</v>
      </c>
      <c r="J1275" t="s">
        <v>115</v>
      </c>
      <c r="K1275">
        <v>0</v>
      </c>
      <c r="L1275">
        <v>3</v>
      </c>
      <c r="M1275">
        <v>0</v>
      </c>
      <c r="N1275">
        <v>2</v>
      </c>
      <c r="O1275">
        <v>1</v>
      </c>
      <c r="P1275">
        <v>0</v>
      </c>
      <c r="Q1275">
        <v>0</v>
      </c>
      <c r="S1275" t="str">
        <f>"18:42:56.328"</f>
        <v>18:42:56.328</v>
      </c>
      <c r="T1275" t="str">
        <f>"18:42:55.628"</f>
        <v>18:42:55.628</v>
      </c>
      <c r="U1275" t="str">
        <f t="shared" si="123"/>
        <v>AAB6EE</v>
      </c>
      <c r="V1275">
        <v>0</v>
      </c>
      <c r="W1275">
        <v>0</v>
      </c>
      <c r="X1275">
        <v>4</v>
      </c>
      <c r="Z1275">
        <v>0</v>
      </c>
      <c r="AA1275">
        <v>8</v>
      </c>
      <c r="AB1275">
        <v>3</v>
      </c>
      <c r="AC1275">
        <v>0</v>
      </c>
      <c r="AD1275">
        <v>10</v>
      </c>
      <c r="AE1275">
        <v>0</v>
      </c>
      <c r="AF1275">
        <v>0</v>
      </c>
      <c r="AG1275">
        <v>2</v>
      </c>
      <c r="AH1275">
        <v>1</v>
      </c>
      <c r="AI1275" t="s">
        <v>971</v>
      </c>
      <c r="AJ1275">
        <v>35.215902</v>
      </c>
      <c r="AK1275" t="s">
        <v>972</v>
      </c>
      <c r="AL1275">
        <v>-76.268934999999999</v>
      </c>
      <c r="AM1275">
        <v>25</v>
      </c>
      <c r="AN1275">
        <v>3450</v>
      </c>
      <c r="AO1275" t="s">
        <v>118</v>
      </c>
      <c r="AP1275">
        <v>45</v>
      </c>
      <c r="AQ1275">
        <v>-222</v>
      </c>
      <c r="AR1275">
        <v>-64</v>
      </c>
      <c r="AZ1275">
        <v>4516</v>
      </c>
      <c r="BA1275">
        <v>1</v>
      </c>
      <c r="BB1275" t="str">
        <f t="shared" si="125"/>
        <v xml:space="preserve">N79NX   </v>
      </c>
      <c r="BC1275">
        <v>1</v>
      </c>
      <c r="BE1275">
        <v>0</v>
      </c>
      <c r="BF1275">
        <v>0</v>
      </c>
      <c r="BG1275">
        <v>0</v>
      </c>
      <c r="BH1275">
        <v>3325</v>
      </c>
      <c r="BI1275">
        <v>0</v>
      </c>
      <c r="BJ1275">
        <v>0</v>
      </c>
      <c r="BK1275">
        <v>0</v>
      </c>
      <c r="BL1275">
        <v>0</v>
      </c>
      <c r="BO1275">
        <v>0</v>
      </c>
      <c r="BP1275">
        <v>0</v>
      </c>
      <c r="BW1275" t="str">
        <f>"18:42:56.332"</f>
        <v>18:42:56.332</v>
      </c>
      <c r="BZ1275">
        <v>0</v>
      </c>
      <c r="CA1275">
        <v>3104</v>
      </c>
      <c r="CB1275">
        <v>216</v>
      </c>
      <c r="CC1275">
        <v>462.65629999999999</v>
      </c>
      <c r="CD1275">
        <v>1</v>
      </c>
      <c r="CE1275">
        <v>1</v>
      </c>
      <c r="CF1275">
        <v>0</v>
      </c>
      <c r="CG1275">
        <v>1</v>
      </c>
      <c r="CH1275">
        <v>0</v>
      </c>
      <c r="CI1275">
        <v>0</v>
      </c>
      <c r="CJ1275">
        <v>0</v>
      </c>
      <c r="CK1275">
        <v>2</v>
      </c>
      <c r="CL1275">
        <v>0</v>
      </c>
      <c r="CM1275">
        <v>2</v>
      </c>
      <c r="CN1275">
        <v>0</v>
      </c>
      <c r="CO1275">
        <v>2</v>
      </c>
      <c r="CP1275" t="s">
        <v>119</v>
      </c>
      <c r="CQ1275">
        <v>145</v>
      </c>
      <c r="CR1275">
        <v>1</v>
      </c>
      <c r="CW1275">
        <v>9057171</v>
      </c>
      <c r="CY1275">
        <v>0</v>
      </c>
      <c r="CZ1275">
        <v>0</v>
      </c>
      <c r="DA1275">
        <v>1</v>
      </c>
      <c r="DB1275">
        <v>0</v>
      </c>
      <c r="DC1275">
        <v>0</v>
      </c>
      <c r="DD1275">
        <v>0</v>
      </c>
      <c r="DE1275">
        <v>0</v>
      </c>
      <c r="DF1275">
        <v>0</v>
      </c>
      <c r="DG1275">
        <v>0</v>
      </c>
      <c r="DH1275">
        <v>0</v>
      </c>
      <c r="DI1275">
        <v>0</v>
      </c>
    </row>
    <row r="1276" spans="1:113" x14ac:dyDescent="0.3">
      <c r="A1276" t="str">
        <f>"02/13/2022 18:42:57.493"</f>
        <v>02/13/2022 18:42:57.493</v>
      </c>
      <c r="C1276" t="str">
        <f t="shared" si="124"/>
        <v>FFDFD7C0</v>
      </c>
      <c r="D1276" t="s">
        <v>121</v>
      </c>
      <c r="E1276">
        <v>2</v>
      </c>
      <c r="H1276">
        <v>158</v>
      </c>
      <c r="I1276" t="s">
        <v>120</v>
      </c>
      <c r="J1276" t="s">
        <v>122</v>
      </c>
      <c r="K1276">
        <v>0</v>
      </c>
      <c r="L1276">
        <v>3</v>
      </c>
      <c r="M1276">
        <v>0</v>
      </c>
      <c r="N1276">
        <v>2</v>
      </c>
      <c r="O1276">
        <v>1</v>
      </c>
      <c r="P1276">
        <v>0</v>
      </c>
      <c r="Q1276">
        <v>0</v>
      </c>
      <c r="S1276" t="str">
        <f>"18:42:57.258"</f>
        <v>18:42:57.258</v>
      </c>
      <c r="T1276" t="str">
        <f>"18:42:56.558"</f>
        <v>18:42:56.558</v>
      </c>
      <c r="U1276" t="str">
        <f t="shared" si="123"/>
        <v>AAB6EE</v>
      </c>
      <c r="V1276">
        <v>0</v>
      </c>
      <c r="W1276">
        <v>0</v>
      </c>
      <c r="X1276">
        <v>4</v>
      </c>
      <c r="Z1276">
        <v>0</v>
      </c>
      <c r="AA1276">
        <v>8</v>
      </c>
      <c r="AB1276">
        <v>3</v>
      </c>
      <c r="AC1276">
        <v>0</v>
      </c>
      <c r="AD1276">
        <v>10</v>
      </c>
      <c r="AE1276">
        <v>0</v>
      </c>
      <c r="AF1276">
        <v>0</v>
      </c>
      <c r="AG1276">
        <v>2</v>
      </c>
      <c r="AH1276">
        <v>1</v>
      </c>
      <c r="AI1276" t="s">
        <v>973</v>
      </c>
      <c r="AJ1276">
        <v>35.215001000000001</v>
      </c>
      <c r="AK1276" t="s">
        <v>974</v>
      </c>
      <c r="AL1276">
        <v>-76.268635000000003</v>
      </c>
      <c r="AM1276">
        <v>25</v>
      </c>
      <c r="AN1276">
        <v>3450</v>
      </c>
      <c r="AO1276" t="s">
        <v>118</v>
      </c>
      <c r="AP1276">
        <v>54</v>
      </c>
      <c r="AQ1276">
        <v>-221</v>
      </c>
      <c r="AR1276">
        <v>-64</v>
      </c>
      <c r="AZ1276">
        <v>4516</v>
      </c>
      <c r="BA1276">
        <v>1</v>
      </c>
      <c r="BB1276" t="str">
        <f t="shared" si="125"/>
        <v xml:space="preserve">N79NX   </v>
      </c>
      <c r="BC1276">
        <v>1</v>
      </c>
      <c r="BE1276">
        <v>0</v>
      </c>
      <c r="BF1276">
        <v>0</v>
      </c>
      <c r="BG1276">
        <v>0</v>
      </c>
      <c r="BH1276">
        <v>3300</v>
      </c>
      <c r="BI1276">
        <v>0</v>
      </c>
      <c r="BJ1276">
        <v>0</v>
      </c>
      <c r="BK1276">
        <v>0</v>
      </c>
      <c r="BL1276">
        <v>0</v>
      </c>
      <c r="BO1276">
        <v>0</v>
      </c>
      <c r="BP1276">
        <v>0</v>
      </c>
      <c r="BW1276" t="str">
        <f>"18:42:57.262"</f>
        <v>18:42:57.262</v>
      </c>
      <c r="BZ1276">
        <v>0</v>
      </c>
      <c r="CA1276">
        <v>3104</v>
      </c>
      <c r="CB1276">
        <v>216</v>
      </c>
      <c r="CC1276">
        <v>462.65629999999999</v>
      </c>
      <c r="CD1276">
        <v>1</v>
      </c>
      <c r="CE1276">
        <v>1</v>
      </c>
      <c r="CF1276">
        <v>0</v>
      </c>
      <c r="CG1276">
        <v>1</v>
      </c>
      <c r="CH1276">
        <v>0</v>
      </c>
      <c r="CI1276">
        <v>0</v>
      </c>
      <c r="CJ1276">
        <v>0</v>
      </c>
      <c r="CK1276">
        <v>2</v>
      </c>
      <c r="CL1276">
        <v>0</v>
      </c>
      <c r="CM1276">
        <v>2</v>
      </c>
      <c r="CN1276">
        <v>0</v>
      </c>
      <c r="CO1276">
        <v>2</v>
      </c>
      <c r="CP1276" t="s">
        <v>119</v>
      </c>
      <c r="CQ1276">
        <v>145</v>
      </c>
      <c r="CR1276">
        <v>1</v>
      </c>
      <c r="CW1276">
        <v>9057616</v>
      </c>
      <c r="CY1276">
        <v>0</v>
      </c>
      <c r="CZ1276">
        <v>0</v>
      </c>
      <c r="DA1276">
        <v>0</v>
      </c>
      <c r="DB1276">
        <v>0</v>
      </c>
      <c r="DC1276">
        <v>0</v>
      </c>
      <c r="DD1276">
        <v>0</v>
      </c>
      <c r="DE1276">
        <v>0</v>
      </c>
      <c r="DF1276">
        <v>0</v>
      </c>
      <c r="DG1276">
        <v>0</v>
      </c>
      <c r="DH1276">
        <v>0</v>
      </c>
      <c r="DI1276">
        <v>0</v>
      </c>
    </row>
    <row r="1277" spans="1:113" x14ac:dyDescent="0.3">
      <c r="A1277" t="str">
        <f>"02/13/2022 18:42:57.493"</f>
        <v>02/13/2022 18:42:57.493</v>
      </c>
      <c r="C1277" t="str">
        <f t="shared" si="124"/>
        <v>FFDFD7C0</v>
      </c>
      <c r="D1277" t="s">
        <v>113</v>
      </c>
      <c r="E1277">
        <v>3</v>
      </c>
      <c r="F1277">
        <v>1003</v>
      </c>
      <c r="G1277" t="s">
        <v>114</v>
      </c>
      <c r="J1277" t="s">
        <v>115</v>
      </c>
      <c r="K1277">
        <v>0</v>
      </c>
      <c r="L1277">
        <v>3</v>
      </c>
      <c r="M1277">
        <v>0</v>
      </c>
      <c r="N1277">
        <v>2</v>
      </c>
      <c r="O1277">
        <v>1</v>
      </c>
      <c r="P1277">
        <v>0</v>
      </c>
      <c r="Q1277">
        <v>0</v>
      </c>
      <c r="S1277" t="str">
        <f>"18:42:57.258"</f>
        <v>18:42:57.258</v>
      </c>
      <c r="T1277" t="str">
        <f>"18:42:56.558"</f>
        <v>18:42:56.558</v>
      </c>
      <c r="U1277" t="str">
        <f t="shared" si="123"/>
        <v>AAB6EE</v>
      </c>
      <c r="V1277">
        <v>0</v>
      </c>
      <c r="W1277">
        <v>0</v>
      </c>
      <c r="X1277">
        <v>4</v>
      </c>
      <c r="Z1277">
        <v>0</v>
      </c>
      <c r="AA1277">
        <v>8</v>
      </c>
      <c r="AB1277">
        <v>3</v>
      </c>
      <c r="AC1277">
        <v>0</v>
      </c>
      <c r="AD1277">
        <v>10</v>
      </c>
      <c r="AE1277">
        <v>0</v>
      </c>
      <c r="AF1277">
        <v>0</v>
      </c>
      <c r="AG1277">
        <v>2</v>
      </c>
      <c r="AH1277">
        <v>1</v>
      </c>
      <c r="AI1277" t="s">
        <v>973</v>
      </c>
      <c r="AJ1277">
        <v>35.215001000000001</v>
      </c>
      <c r="AK1277" t="s">
        <v>974</v>
      </c>
      <c r="AL1277">
        <v>-76.268635000000003</v>
      </c>
      <c r="AM1277">
        <v>25</v>
      </c>
      <c r="AN1277">
        <v>3450</v>
      </c>
      <c r="AO1277" t="s">
        <v>118</v>
      </c>
      <c r="AP1277">
        <v>54</v>
      </c>
      <c r="AQ1277">
        <v>-221</v>
      </c>
      <c r="AR1277">
        <v>-64</v>
      </c>
      <c r="AZ1277">
        <v>4516</v>
      </c>
      <c r="BA1277">
        <v>1</v>
      </c>
      <c r="BB1277" t="str">
        <f t="shared" si="125"/>
        <v xml:space="preserve">N79NX   </v>
      </c>
      <c r="BC1277">
        <v>1</v>
      </c>
      <c r="BE1277">
        <v>0</v>
      </c>
      <c r="BF1277">
        <v>0</v>
      </c>
      <c r="BG1277">
        <v>0</v>
      </c>
      <c r="BH1277">
        <v>3300</v>
      </c>
      <c r="BI1277">
        <v>0</v>
      </c>
      <c r="BJ1277">
        <v>0</v>
      </c>
      <c r="BK1277">
        <v>0</v>
      </c>
      <c r="BL1277">
        <v>0</v>
      </c>
      <c r="BO1277">
        <v>0</v>
      </c>
      <c r="BP1277">
        <v>0</v>
      </c>
      <c r="BW1277" t="str">
        <f>"18:42:57.262"</f>
        <v>18:42:57.262</v>
      </c>
      <c r="BZ1277">
        <v>0</v>
      </c>
      <c r="CA1277">
        <v>3104</v>
      </c>
      <c r="CB1277">
        <v>216</v>
      </c>
      <c r="CC1277">
        <v>462.65629999999999</v>
      </c>
      <c r="CD1277">
        <v>1</v>
      </c>
      <c r="CE1277">
        <v>1</v>
      </c>
      <c r="CF1277">
        <v>0</v>
      </c>
      <c r="CG1277">
        <v>1</v>
      </c>
      <c r="CH1277">
        <v>0</v>
      </c>
      <c r="CI1277">
        <v>0</v>
      </c>
      <c r="CJ1277">
        <v>0</v>
      </c>
      <c r="CK1277">
        <v>2</v>
      </c>
      <c r="CL1277">
        <v>0</v>
      </c>
      <c r="CM1277">
        <v>2</v>
      </c>
      <c r="CN1277">
        <v>0</v>
      </c>
      <c r="CO1277">
        <v>2</v>
      </c>
      <c r="CP1277" t="s">
        <v>119</v>
      </c>
      <c r="CQ1277">
        <v>145</v>
      </c>
      <c r="CR1277">
        <v>1</v>
      </c>
      <c r="CW1277">
        <v>9057616</v>
      </c>
      <c r="CY1277">
        <v>0</v>
      </c>
      <c r="CZ1277">
        <v>0</v>
      </c>
      <c r="DA1277">
        <v>1</v>
      </c>
      <c r="DB1277">
        <v>0</v>
      </c>
      <c r="DC1277">
        <v>0</v>
      </c>
      <c r="DD1277">
        <v>0</v>
      </c>
      <c r="DE1277">
        <v>0</v>
      </c>
      <c r="DF1277">
        <v>0</v>
      </c>
      <c r="DG1277">
        <v>0</v>
      </c>
      <c r="DH1277">
        <v>0</v>
      </c>
      <c r="DI1277">
        <v>0</v>
      </c>
    </row>
    <row r="1278" spans="1:113" x14ac:dyDescent="0.3">
      <c r="A1278" t="str">
        <f>"02/13/2022 18:42:57.493"</f>
        <v>02/13/2022 18:42:57.493</v>
      </c>
      <c r="C1278" t="str">
        <f t="shared" si="124"/>
        <v>FFDFD7C0</v>
      </c>
      <c r="D1278" t="s">
        <v>113</v>
      </c>
      <c r="E1278">
        <v>4</v>
      </c>
      <c r="F1278">
        <v>1004</v>
      </c>
      <c r="G1278" t="s">
        <v>120</v>
      </c>
      <c r="J1278" t="s">
        <v>115</v>
      </c>
      <c r="K1278">
        <v>0</v>
      </c>
      <c r="L1278">
        <v>3</v>
      </c>
      <c r="M1278">
        <v>0</v>
      </c>
      <c r="N1278">
        <v>2</v>
      </c>
      <c r="O1278">
        <v>1</v>
      </c>
      <c r="P1278">
        <v>0</v>
      </c>
      <c r="Q1278">
        <v>0</v>
      </c>
      <c r="S1278" t="str">
        <f>"18:42:57.258"</f>
        <v>18:42:57.258</v>
      </c>
      <c r="T1278" t="str">
        <f>"18:42:56.558"</f>
        <v>18:42:56.558</v>
      </c>
      <c r="U1278" t="str">
        <f t="shared" si="123"/>
        <v>AAB6EE</v>
      </c>
      <c r="V1278">
        <v>0</v>
      </c>
      <c r="W1278">
        <v>0</v>
      </c>
      <c r="X1278">
        <v>4</v>
      </c>
      <c r="Z1278">
        <v>0</v>
      </c>
      <c r="AA1278">
        <v>8</v>
      </c>
      <c r="AB1278">
        <v>3</v>
      </c>
      <c r="AC1278">
        <v>0</v>
      </c>
      <c r="AD1278">
        <v>10</v>
      </c>
      <c r="AE1278">
        <v>0</v>
      </c>
      <c r="AF1278">
        <v>0</v>
      </c>
      <c r="AG1278">
        <v>2</v>
      </c>
      <c r="AH1278">
        <v>1</v>
      </c>
      <c r="AI1278" t="s">
        <v>973</v>
      </c>
      <c r="AJ1278">
        <v>35.215001000000001</v>
      </c>
      <c r="AK1278" t="s">
        <v>974</v>
      </c>
      <c r="AL1278">
        <v>-76.268635000000003</v>
      </c>
      <c r="AM1278">
        <v>25</v>
      </c>
      <c r="AN1278">
        <v>3450</v>
      </c>
      <c r="AO1278" t="s">
        <v>118</v>
      </c>
      <c r="AP1278">
        <v>54</v>
      </c>
      <c r="AQ1278">
        <v>-221</v>
      </c>
      <c r="AR1278">
        <v>-64</v>
      </c>
      <c r="AZ1278">
        <v>4516</v>
      </c>
      <c r="BA1278">
        <v>1</v>
      </c>
      <c r="BB1278" t="str">
        <f t="shared" si="125"/>
        <v xml:space="preserve">N79NX   </v>
      </c>
      <c r="BC1278">
        <v>1</v>
      </c>
      <c r="BE1278">
        <v>0</v>
      </c>
      <c r="BF1278">
        <v>0</v>
      </c>
      <c r="BG1278">
        <v>0</v>
      </c>
      <c r="BH1278">
        <v>3300</v>
      </c>
      <c r="BI1278">
        <v>0</v>
      </c>
      <c r="BJ1278">
        <v>0</v>
      </c>
      <c r="BK1278">
        <v>0</v>
      </c>
      <c r="BL1278">
        <v>0</v>
      </c>
      <c r="BO1278">
        <v>0</v>
      </c>
      <c r="BP1278">
        <v>0</v>
      </c>
      <c r="BW1278" t="str">
        <f>"18:42:57.262"</f>
        <v>18:42:57.262</v>
      </c>
      <c r="BZ1278">
        <v>0</v>
      </c>
      <c r="CA1278">
        <v>3104</v>
      </c>
      <c r="CB1278">
        <v>216</v>
      </c>
      <c r="CC1278">
        <v>462.65629999999999</v>
      </c>
      <c r="CD1278">
        <v>1</v>
      </c>
      <c r="CE1278">
        <v>1</v>
      </c>
      <c r="CF1278">
        <v>0</v>
      </c>
      <c r="CG1278">
        <v>1</v>
      </c>
      <c r="CH1278">
        <v>0</v>
      </c>
      <c r="CI1278">
        <v>0</v>
      </c>
      <c r="CJ1278">
        <v>0</v>
      </c>
      <c r="CK1278">
        <v>2</v>
      </c>
      <c r="CL1278">
        <v>0</v>
      </c>
      <c r="CM1278">
        <v>2</v>
      </c>
      <c r="CN1278">
        <v>0</v>
      </c>
      <c r="CO1278">
        <v>2</v>
      </c>
      <c r="CP1278" t="s">
        <v>119</v>
      </c>
      <c r="CQ1278">
        <v>145</v>
      </c>
      <c r="CR1278">
        <v>1</v>
      </c>
      <c r="CW1278">
        <v>9057616</v>
      </c>
      <c r="CY1278">
        <v>0</v>
      </c>
      <c r="CZ1278">
        <v>0</v>
      </c>
      <c r="DA1278">
        <v>1</v>
      </c>
      <c r="DB1278">
        <v>0</v>
      </c>
      <c r="DC1278">
        <v>0</v>
      </c>
      <c r="DD1278">
        <v>0</v>
      </c>
      <c r="DE1278">
        <v>0</v>
      </c>
      <c r="DF1278">
        <v>0</v>
      </c>
      <c r="DG1278">
        <v>0</v>
      </c>
      <c r="DH1278">
        <v>0</v>
      </c>
      <c r="DI1278">
        <v>0</v>
      </c>
    </row>
    <row r="1279" spans="1:113" x14ac:dyDescent="0.3">
      <c r="A1279" t="str">
        <f>"02/13/2022 18:42:59.698"</f>
        <v>02/13/2022 18:42:59.698</v>
      </c>
      <c r="C1279" t="str">
        <f t="shared" si="124"/>
        <v>FFDFD7C0</v>
      </c>
      <c r="D1279" t="s">
        <v>113</v>
      </c>
      <c r="E1279">
        <v>4</v>
      </c>
      <c r="F1279">
        <v>1004</v>
      </c>
      <c r="G1279" t="s">
        <v>120</v>
      </c>
      <c r="J1279" t="s">
        <v>115</v>
      </c>
      <c r="K1279">
        <v>0</v>
      </c>
      <c r="L1279">
        <v>3</v>
      </c>
      <c r="M1279">
        <v>0</v>
      </c>
      <c r="N1279">
        <v>2</v>
      </c>
      <c r="O1279">
        <v>1</v>
      </c>
      <c r="P1279">
        <v>0</v>
      </c>
      <c r="Q1279">
        <v>0</v>
      </c>
      <c r="S1279" t="str">
        <f>"18:42:59.195"</f>
        <v>18:42:59.195</v>
      </c>
      <c r="T1279" t="str">
        <f>"18:42:58.595"</f>
        <v>18:42:58.595</v>
      </c>
      <c r="U1279" t="str">
        <f t="shared" si="123"/>
        <v>AAB6EE</v>
      </c>
      <c r="V1279">
        <v>0</v>
      </c>
      <c r="W1279">
        <v>0</v>
      </c>
      <c r="X1279">
        <v>4</v>
      </c>
      <c r="Z1279">
        <v>0</v>
      </c>
      <c r="AA1279">
        <v>8</v>
      </c>
      <c r="AB1279">
        <v>3</v>
      </c>
      <c r="AC1279">
        <v>0</v>
      </c>
      <c r="AD1279">
        <v>10</v>
      </c>
      <c r="AE1279">
        <v>0</v>
      </c>
      <c r="AF1279">
        <v>0</v>
      </c>
      <c r="AG1279">
        <v>2</v>
      </c>
      <c r="AH1279">
        <v>1</v>
      </c>
      <c r="AI1279" t="s">
        <v>975</v>
      </c>
      <c r="AJ1279">
        <v>35.213113</v>
      </c>
      <c r="AK1279" t="s">
        <v>976</v>
      </c>
      <c r="AL1279">
        <v>-76.267883999999995</v>
      </c>
      <c r="AM1279">
        <v>25</v>
      </c>
      <c r="AN1279">
        <v>3450</v>
      </c>
      <c r="AO1279" t="s">
        <v>118</v>
      </c>
      <c r="AP1279">
        <v>73</v>
      </c>
      <c r="AQ1279">
        <v>-217</v>
      </c>
      <c r="AR1279">
        <v>-128</v>
      </c>
      <c r="AZ1279">
        <v>4516</v>
      </c>
      <c r="BA1279">
        <v>1</v>
      </c>
      <c r="BB1279" t="str">
        <f t="shared" si="125"/>
        <v xml:space="preserve">N79NX   </v>
      </c>
      <c r="BC1279">
        <v>1</v>
      </c>
      <c r="BE1279">
        <v>0</v>
      </c>
      <c r="BF1279">
        <v>0</v>
      </c>
      <c r="BG1279">
        <v>0</v>
      </c>
      <c r="BH1279">
        <v>3300</v>
      </c>
      <c r="BI1279">
        <v>0</v>
      </c>
      <c r="BJ1279">
        <v>0</v>
      </c>
      <c r="BK1279">
        <v>0</v>
      </c>
      <c r="BL1279">
        <v>0</v>
      </c>
      <c r="BO1279">
        <v>0</v>
      </c>
      <c r="BP1279">
        <v>0</v>
      </c>
      <c r="BW1279" t="str">
        <f>"18:42:59.202"</f>
        <v>18:42:59.202</v>
      </c>
      <c r="BZ1279">
        <v>0</v>
      </c>
      <c r="CA1279">
        <v>3008</v>
      </c>
      <c r="CB1279">
        <v>216</v>
      </c>
      <c r="CC1279">
        <v>462.65629999999999</v>
      </c>
      <c r="CD1279">
        <v>1</v>
      </c>
      <c r="CE1279">
        <v>1</v>
      </c>
      <c r="CF1279">
        <v>0</v>
      </c>
      <c r="CG1279">
        <v>0</v>
      </c>
      <c r="CH1279">
        <v>0</v>
      </c>
      <c r="CI1279">
        <v>0</v>
      </c>
      <c r="CJ1279">
        <v>0</v>
      </c>
      <c r="CK1279">
        <v>2</v>
      </c>
      <c r="CL1279">
        <v>0</v>
      </c>
      <c r="CM1279">
        <v>2</v>
      </c>
      <c r="CN1279">
        <v>0</v>
      </c>
      <c r="CO1279">
        <v>1</v>
      </c>
      <c r="CP1279" t="s">
        <v>119</v>
      </c>
      <c r="CQ1279">
        <v>145</v>
      </c>
      <c r="CR1279">
        <v>1</v>
      </c>
      <c r="CW1279">
        <v>9058472</v>
      </c>
      <c r="CY1279">
        <v>0</v>
      </c>
      <c r="CZ1279">
        <v>0</v>
      </c>
      <c r="DA1279">
        <v>0</v>
      </c>
      <c r="DB1279">
        <v>0</v>
      </c>
      <c r="DC1279">
        <v>0</v>
      </c>
      <c r="DD1279">
        <v>0</v>
      </c>
      <c r="DE1279">
        <v>0</v>
      </c>
      <c r="DF1279">
        <v>0</v>
      </c>
      <c r="DG1279">
        <v>0</v>
      </c>
      <c r="DH1279">
        <v>0</v>
      </c>
      <c r="DI1279">
        <v>0</v>
      </c>
    </row>
    <row r="1280" spans="1:113" x14ac:dyDescent="0.3">
      <c r="A1280" t="str">
        <f>"02/13/2022 18:42:59.698"</f>
        <v>02/13/2022 18:42:59.698</v>
      </c>
      <c r="C1280" t="str">
        <f t="shared" si="124"/>
        <v>FFDFD7C0</v>
      </c>
      <c r="D1280" t="s">
        <v>113</v>
      </c>
      <c r="E1280">
        <v>3</v>
      </c>
      <c r="F1280">
        <v>1003</v>
      </c>
      <c r="G1280" t="s">
        <v>114</v>
      </c>
      <c r="J1280" t="s">
        <v>115</v>
      </c>
      <c r="K1280">
        <v>0</v>
      </c>
      <c r="L1280">
        <v>3</v>
      </c>
      <c r="M1280">
        <v>0</v>
      </c>
      <c r="N1280">
        <v>2</v>
      </c>
      <c r="O1280">
        <v>1</v>
      </c>
      <c r="P1280">
        <v>0</v>
      </c>
      <c r="Q1280">
        <v>0</v>
      </c>
      <c r="S1280" t="str">
        <f>"18:42:59.195"</f>
        <v>18:42:59.195</v>
      </c>
      <c r="T1280" t="str">
        <f>"18:42:58.595"</f>
        <v>18:42:58.595</v>
      </c>
      <c r="U1280" t="str">
        <f t="shared" si="123"/>
        <v>AAB6EE</v>
      </c>
      <c r="V1280">
        <v>0</v>
      </c>
      <c r="W1280">
        <v>0</v>
      </c>
      <c r="X1280">
        <v>4</v>
      </c>
      <c r="Z1280">
        <v>0</v>
      </c>
      <c r="AA1280">
        <v>8</v>
      </c>
      <c r="AB1280">
        <v>3</v>
      </c>
      <c r="AC1280">
        <v>0</v>
      </c>
      <c r="AD1280">
        <v>10</v>
      </c>
      <c r="AE1280">
        <v>0</v>
      </c>
      <c r="AF1280">
        <v>0</v>
      </c>
      <c r="AG1280">
        <v>2</v>
      </c>
      <c r="AH1280">
        <v>1</v>
      </c>
      <c r="AI1280" t="s">
        <v>975</v>
      </c>
      <c r="AJ1280">
        <v>35.213113</v>
      </c>
      <c r="AK1280" t="s">
        <v>976</v>
      </c>
      <c r="AL1280">
        <v>-76.267883999999995</v>
      </c>
      <c r="AM1280">
        <v>25</v>
      </c>
      <c r="AN1280">
        <v>3450</v>
      </c>
      <c r="AO1280" t="s">
        <v>118</v>
      </c>
      <c r="AP1280">
        <v>73</v>
      </c>
      <c r="AQ1280">
        <v>-217</v>
      </c>
      <c r="AR1280">
        <v>-128</v>
      </c>
      <c r="AZ1280">
        <v>4516</v>
      </c>
      <c r="BA1280">
        <v>1</v>
      </c>
      <c r="BB1280" t="str">
        <f t="shared" si="125"/>
        <v xml:space="preserve">N79NX   </v>
      </c>
      <c r="BC1280">
        <v>1</v>
      </c>
      <c r="BE1280">
        <v>0</v>
      </c>
      <c r="BF1280">
        <v>0</v>
      </c>
      <c r="BG1280">
        <v>0</v>
      </c>
      <c r="BH1280">
        <v>3300</v>
      </c>
      <c r="BI1280">
        <v>0</v>
      </c>
      <c r="BJ1280">
        <v>0</v>
      </c>
      <c r="BK1280">
        <v>0</v>
      </c>
      <c r="BL1280">
        <v>0</v>
      </c>
      <c r="BO1280">
        <v>0</v>
      </c>
      <c r="BP1280">
        <v>0</v>
      </c>
      <c r="BW1280" t="str">
        <f>"18:42:59.202"</f>
        <v>18:42:59.202</v>
      </c>
      <c r="BZ1280">
        <v>0</v>
      </c>
      <c r="CA1280">
        <v>3008</v>
      </c>
      <c r="CB1280">
        <v>216</v>
      </c>
      <c r="CC1280">
        <v>462.65629999999999</v>
      </c>
      <c r="CD1280">
        <v>1</v>
      </c>
      <c r="CE1280">
        <v>1</v>
      </c>
      <c r="CF1280">
        <v>0</v>
      </c>
      <c r="CG1280">
        <v>0</v>
      </c>
      <c r="CH1280">
        <v>0</v>
      </c>
      <c r="CI1280">
        <v>0</v>
      </c>
      <c r="CJ1280">
        <v>0</v>
      </c>
      <c r="CK1280">
        <v>2</v>
      </c>
      <c r="CL1280">
        <v>0</v>
      </c>
      <c r="CM1280">
        <v>2</v>
      </c>
      <c r="CN1280">
        <v>0</v>
      </c>
      <c r="CO1280">
        <v>1</v>
      </c>
      <c r="CP1280" t="s">
        <v>119</v>
      </c>
      <c r="CQ1280">
        <v>145</v>
      </c>
      <c r="CR1280">
        <v>1</v>
      </c>
      <c r="CW1280">
        <v>9058472</v>
      </c>
      <c r="CY1280">
        <v>0</v>
      </c>
      <c r="CZ1280">
        <v>0</v>
      </c>
      <c r="DA1280">
        <v>1</v>
      </c>
      <c r="DB1280">
        <v>0</v>
      </c>
      <c r="DC1280">
        <v>0</v>
      </c>
      <c r="DD1280">
        <v>0</v>
      </c>
      <c r="DE1280">
        <v>0</v>
      </c>
      <c r="DF1280">
        <v>0</v>
      </c>
      <c r="DG1280">
        <v>0</v>
      </c>
      <c r="DH1280">
        <v>0</v>
      </c>
      <c r="DI1280">
        <v>0</v>
      </c>
    </row>
    <row r="1281" spans="1:113" x14ac:dyDescent="0.3">
      <c r="A1281" t="str">
        <f>"02/13/2022 18:42:59.745"</f>
        <v>02/13/2022 18:42:59.745</v>
      </c>
      <c r="C1281" t="str">
        <f t="shared" si="124"/>
        <v>FFDFD7C0</v>
      </c>
      <c r="D1281" t="s">
        <v>121</v>
      </c>
      <c r="E1281">
        <v>2</v>
      </c>
      <c r="H1281">
        <v>158</v>
      </c>
      <c r="I1281" t="s">
        <v>120</v>
      </c>
      <c r="J1281" t="s">
        <v>122</v>
      </c>
      <c r="K1281">
        <v>0</v>
      </c>
      <c r="L1281">
        <v>3</v>
      </c>
      <c r="M1281">
        <v>0</v>
      </c>
      <c r="N1281">
        <v>2</v>
      </c>
      <c r="O1281">
        <v>1</v>
      </c>
      <c r="P1281">
        <v>0</v>
      </c>
      <c r="Q1281">
        <v>0</v>
      </c>
      <c r="S1281" t="str">
        <f>"18:42:59.195"</f>
        <v>18:42:59.195</v>
      </c>
      <c r="T1281" t="str">
        <f>"18:42:58.595"</f>
        <v>18:42:58.595</v>
      </c>
      <c r="U1281" t="str">
        <f t="shared" si="123"/>
        <v>AAB6EE</v>
      </c>
      <c r="V1281">
        <v>0</v>
      </c>
      <c r="W1281">
        <v>0</v>
      </c>
      <c r="X1281">
        <v>4</v>
      </c>
      <c r="Z1281">
        <v>0</v>
      </c>
      <c r="AA1281">
        <v>8</v>
      </c>
      <c r="AB1281">
        <v>3</v>
      </c>
      <c r="AC1281">
        <v>0</v>
      </c>
      <c r="AD1281">
        <v>10</v>
      </c>
      <c r="AE1281">
        <v>0</v>
      </c>
      <c r="AF1281">
        <v>0</v>
      </c>
      <c r="AG1281">
        <v>2</v>
      </c>
      <c r="AH1281">
        <v>1</v>
      </c>
      <c r="AI1281" t="s">
        <v>975</v>
      </c>
      <c r="AJ1281">
        <v>35.213113</v>
      </c>
      <c r="AK1281" t="s">
        <v>976</v>
      </c>
      <c r="AL1281">
        <v>-76.267883999999995</v>
      </c>
      <c r="AM1281">
        <v>25</v>
      </c>
      <c r="AN1281">
        <v>3450</v>
      </c>
      <c r="AO1281" t="s">
        <v>118</v>
      </c>
      <c r="AP1281">
        <v>73</v>
      </c>
      <c r="AQ1281">
        <v>-217</v>
      </c>
      <c r="AR1281">
        <v>-128</v>
      </c>
      <c r="AZ1281">
        <v>4516</v>
      </c>
      <c r="BA1281">
        <v>1</v>
      </c>
      <c r="BB1281" t="str">
        <f t="shared" si="125"/>
        <v xml:space="preserve">N79NX   </v>
      </c>
      <c r="BC1281">
        <v>1</v>
      </c>
      <c r="BE1281">
        <v>0</v>
      </c>
      <c r="BF1281">
        <v>0</v>
      </c>
      <c r="BG1281">
        <v>0</v>
      </c>
      <c r="BH1281">
        <v>3300</v>
      </c>
      <c r="BI1281">
        <v>0</v>
      </c>
      <c r="BJ1281">
        <v>0</v>
      </c>
      <c r="BK1281">
        <v>0</v>
      </c>
      <c r="BL1281">
        <v>0</v>
      </c>
      <c r="BO1281">
        <v>0</v>
      </c>
      <c r="BP1281">
        <v>0</v>
      </c>
      <c r="BW1281" t="str">
        <f>"18:42:59.202"</f>
        <v>18:42:59.202</v>
      </c>
      <c r="BZ1281">
        <v>0</v>
      </c>
      <c r="CA1281">
        <v>3008</v>
      </c>
      <c r="CB1281">
        <v>216</v>
      </c>
      <c r="CC1281">
        <v>462.65629999999999</v>
      </c>
      <c r="CD1281">
        <v>1</v>
      </c>
      <c r="CE1281">
        <v>1</v>
      </c>
      <c r="CF1281">
        <v>0</v>
      </c>
      <c r="CG1281">
        <v>0</v>
      </c>
      <c r="CH1281">
        <v>0</v>
      </c>
      <c r="CI1281">
        <v>0</v>
      </c>
      <c r="CJ1281">
        <v>0</v>
      </c>
      <c r="CK1281">
        <v>2</v>
      </c>
      <c r="CL1281">
        <v>0</v>
      </c>
      <c r="CM1281">
        <v>2</v>
      </c>
      <c r="CN1281">
        <v>0</v>
      </c>
      <c r="CO1281">
        <v>1</v>
      </c>
      <c r="CP1281" t="s">
        <v>119</v>
      </c>
      <c r="CQ1281">
        <v>145</v>
      </c>
      <c r="CR1281">
        <v>1</v>
      </c>
      <c r="CW1281">
        <v>9058472</v>
      </c>
      <c r="CY1281">
        <v>0</v>
      </c>
      <c r="CZ1281">
        <v>0</v>
      </c>
      <c r="DA1281">
        <v>1</v>
      </c>
      <c r="DB1281">
        <v>0</v>
      </c>
      <c r="DC1281">
        <v>0</v>
      </c>
      <c r="DD1281">
        <v>0</v>
      </c>
      <c r="DE1281">
        <v>0</v>
      </c>
      <c r="DF1281">
        <v>0</v>
      </c>
      <c r="DG1281">
        <v>0</v>
      </c>
      <c r="DH1281">
        <v>0</v>
      </c>
      <c r="DI1281">
        <v>0</v>
      </c>
    </row>
    <row r="1282" spans="1:113" x14ac:dyDescent="0.3">
      <c r="A1282" t="str">
        <f>"02/13/2022 18:43:00.790"</f>
        <v>02/13/2022 18:43:00.790</v>
      </c>
      <c r="C1282" t="str">
        <f t="shared" si="124"/>
        <v>FFDFD7C0</v>
      </c>
      <c r="D1282" t="s">
        <v>113</v>
      </c>
      <c r="E1282">
        <v>3</v>
      </c>
      <c r="F1282">
        <v>1003</v>
      </c>
      <c r="G1282" t="s">
        <v>114</v>
      </c>
      <c r="J1282" t="s">
        <v>115</v>
      </c>
      <c r="K1282">
        <v>0</v>
      </c>
      <c r="L1282">
        <v>3</v>
      </c>
      <c r="M1282">
        <v>0</v>
      </c>
      <c r="N1282">
        <v>2</v>
      </c>
      <c r="O1282">
        <v>1</v>
      </c>
      <c r="P1282">
        <v>0</v>
      </c>
      <c r="Q1282">
        <v>0</v>
      </c>
      <c r="S1282" t="str">
        <f>"18:43:00.281"</f>
        <v>18:43:00.281</v>
      </c>
      <c r="T1282" t="str">
        <f>"18:42:59.481"</f>
        <v>18:42:59.481</v>
      </c>
      <c r="U1282" t="str">
        <f t="shared" ref="U1282:U1345" si="127">"AAB6EE"</f>
        <v>AAB6EE</v>
      </c>
      <c r="V1282">
        <v>0</v>
      </c>
      <c r="W1282">
        <v>0</v>
      </c>
      <c r="X1282">
        <v>4</v>
      </c>
      <c r="Z1282">
        <v>0</v>
      </c>
      <c r="AA1282">
        <v>8</v>
      </c>
      <c r="AB1282">
        <v>3</v>
      </c>
      <c r="AC1282">
        <v>0</v>
      </c>
      <c r="AD1282">
        <v>10</v>
      </c>
      <c r="AE1282">
        <v>0</v>
      </c>
      <c r="AF1282">
        <v>0</v>
      </c>
      <c r="AG1282">
        <v>2</v>
      </c>
      <c r="AH1282">
        <v>1</v>
      </c>
      <c r="AI1282" t="s">
        <v>977</v>
      </c>
      <c r="AJ1282">
        <v>35.212018</v>
      </c>
      <c r="AK1282" t="s">
        <v>958</v>
      </c>
      <c r="AL1282">
        <v>-76.267325999999997</v>
      </c>
      <c r="AM1282">
        <v>25</v>
      </c>
      <c r="AN1282">
        <v>3450</v>
      </c>
      <c r="AO1282" t="s">
        <v>118</v>
      </c>
      <c r="AP1282">
        <v>82</v>
      </c>
      <c r="AQ1282">
        <v>-214</v>
      </c>
      <c r="AR1282">
        <v>-192</v>
      </c>
      <c r="AZ1282">
        <v>4516</v>
      </c>
      <c r="BA1282">
        <v>1</v>
      </c>
      <c r="BB1282" t="str">
        <f t="shared" si="125"/>
        <v xml:space="preserve">N79NX   </v>
      </c>
      <c r="BC1282">
        <v>1</v>
      </c>
      <c r="BE1282">
        <v>0</v>
      </c>
      <c r="BF1282">
        <v>0</v>
      </c>
      <c r="BG1282">
        <v>0</v>
      </c>
      <c r="BH1282">
        <v>3300</v>
      </c>
      <c r="BI1282">
        <v>0</v>
      </c>
      <c r="BJ1282">
        <v>0</v>
      </c>
      <c r="BK1282">
        <v>0</v>
      </c>
      <c r="BL1282">
        <v>0</v>
      </c>
      <c r="BO1282">
        <v>0</v>
      </c>
      <c r="BP1282">
        <v>0</v>
      </c>
      <c r="BW1282" t="str">
        <f>"18:43:00.282"</f>
        <v>18:43:00.282</v>
      </c>
      <c r="BZ1282">
        <v>0</v>
      </c>
      <c r="CA1282">
        <v>3008</v>
      </c>
      <c r="CB1282">
        <v>216</v>
      </c>
      <c r="CC1282">
        <v>462.65629999999999</v>
      </c>
      <c r="CD1282">
        <v>1</v>
      </c>
      <c r="CE1282">
        <v>1</v>
      </c>
      <c r="CF1282">
        <v>0</v>
      </c>
      <c r="CG1282">
        <v>0</v>
      </c>
      <c r="CH1282">
        <v>0</v>
      </c>
      <c r="CI1282">
        <v>0</v>
      </c>
      <c r="CJ1282">
        <v>0</v>
      </c>
      <c r="CK1282">
        <v>2</v>
      </c>
      <c r="CL1282">
        <v>0</v>
      </c>
      <c r="CM1282">
        <v>2</v>
      </c>
      <c r="CN1282">
        <v>0</v>
      </c>
      <c r="CO1282">
        <v>2</v>
      </c>
      <c r="CP1282" t="s">
        <v>119</v>
      </c>
      <c r="CQ1282">
        <v>145</v>
      </c>
      <c r="CR1282">
        <v>1</v>
      </c>
      <c r="CW1282">
        <v>9058955</v>
      </c>
      <c r="CY1282">
        <v>0</v>
      </c>
      <c r="CZ1282">
        <v>0</v>
      </c>
      <c r="DA1282">
        <v>0</v>
      </c>
      <c r="DB1282">
        <v>0</v>
      </c>
      <c r="DC1282">
        <v>0</v>
      </c>
      <c r="DD1282">
        <v>0</v>
      </c>
      <c r="DE1282">
        <v>0</v>
      </c>
      <c r="DF1282">
        <v>0</v>
      </c>
      <c r="DG1282">
        <v>0</v>
      </c>
      <c r="DH1282">
        <v>0</v>
      </c>
      <c r="DI1282">
        <v>0</v>
      </c>
    </row>
    <row r="1283" spans="1:113" x14ac:dyDescent="0.3">
      <c r="A1283" t="str">
        <f>"02/13/2022 18:43:00.790"</f>
        <v>02/13/2022 18:43:00.790</v>
      </c>
      <c r="C1283" t="str">
        <f t="shared" si="124"/>
        <v>FFDFD7C0</v>
      </c>
      <c r="D1283" t="s">
        <v>113</v>
      </c>
      <c r="E1283">
        <v>4</v>
      </c>
      <c r="F1283">
        <v>1004</v>
      </c>
      <c r="G1283" t="s">
        <v>120</v>
      </c>
      <c r="J1283" t="s">
        <v>115</v>
      </c>
      <c r="K1283">
        <v>0</v>
      </c>
      <c r="L1283">
        <v>3</v>
      </c>
      <c r="M1283">
        <v>0</v>
      </c>
      <c r="N1283">
        <v>2</v>
      </c>
      <c r="O1283">
        <v>1</v>
      </c>
      <c r="P1283">
        <v>0</v>
      </c>
      <c r="Q1283">
        <v>0</v>
      </c>
      <c r="S1283" t="str">
        <f>"18:43:00.281"</f>
        <v>18:43:00.281</v>
      </c>
      <c r="T1283" t="str">
        <f>"18:42:59.481"</f>
        <v>18:42:59.481</v>
      </c>
      <c r="U1283" t="str">
        <f t="shared" si="127"/>
        <v>AAB6EE</v>
      </c>
      <c r="V1283">
        <v>0</v>
      </c>
      <c r="W1283">
        <v>0</v>
      </c>
      <c r="X1283">
        <v>4</v>
      </c>
      <c r="Z1283">
        <v>0</v>
      </c>
      <c r="AA1283">
        <v>8</v>
      </c>
      <c r="AB1283">
        <v>3</v>
      </c>
      <c r="AC1283">
        <v>0</v>
      </c>
      <c r="AD1283">
        <v>10</v>
      </c>
      <c r="AE1283">
        <v>0</v>
      </c>
      <c r="AF1283">
        <v>0</v>
      </c>
      <c r="AG1283">
        <v>2</v>
      </c>
      <c r="AH1283">
        <v>1</v>
      </c>
      <c r="AI1283" t="s">
        <v>977</v>
      </c>
      <c r="AJ1283">
        <v>35.212018</v>
      </c>
      <c r="AK1283" t="s">
        <v>958</v>
      </c>
      <c r="AL1283">
        <v>-76.267325999999997</v>
      </c>
      <c r="AM1283">
        <v>25</v>
      </c>
      <c r="AN1283">
        <v>3450</v>
      </c>
      <c r="AO1283" t="s">
        <v>118</v>
      </c>
      <c r="AP1283">
        <v>82</v>
      </c>
      <c r="AQ1283">
        <v>-214</v>
      </c>
      <c r="AR1283">
        <v>-192</v>
      </c>
      <c r="AZ1283">
        <v>4516</v>
      </c>
      <c r="BA1283">
        <v>1</v>
      </c>
      <c r="BB1283" t="str">
        <f t="shared" si="125"/>
        <v xml:space="preserve">N79NX   </v>
      </c>
      <c r="BC1283">
        <v>1</v>
      </c>
      <c r="BE1283">
        <v>0</v>
      </c>
      <c r="BF1283">
        <v>0</v>
      </c>
      <c r="BG1283">
        <v>0</v>
      </c>
      <c r="BH1283">
        <v>3300</v>
      </c>
      <c r="BI1283">
        <v>0</v>
      </c>
      <c r="BJ1283">
        <v>0</v>
      </c>
      <c r="BK1283">
        <v>0</v>
      </c>
      <c r="BL1283">
        <v>0</v>
      </c>
      <c r="BO1283">
        <v>0</v>
      </c>
      <c r="BP1283">
        <v>0</v>
      </c>
      <c r="BW1283" t="str">
        <f>"18:43:00.282"</f>
        <v>18:43:00.282</v>
      </c>
      <c r="BZ1283">
        <v>0</v>
      </c>
      <c r="CA1283">
        <v>3008</v>
      </c>
      <c r="CB1283">
        <v>216</v>
      </c>
      <c r="CC1283">
        <v>462.65629999999999</v>
      </c>
      <c r="CD1283">
        <v>1</v>
      </c>
      <c r="CE1283">
        <v>1</v>
      </c>
      <c r="CF1283">
        <v>0</v>
      </c>
      <c r="CG1283">
        <v>0</v>
      </c>
      <c r="CH1283">
        <v>0</v>
      </c>
      <c r="CI1283">
        <v>0</v>
      </c>
      <c r="CJ1283">
        <v>0</v>
      </c>
      <c r="CK1283">
        <v>2</v>
      </c>
      <c r="CL1283">
        <v>0</v>
      </c>
      <c r="CM1283">
        <v>2</v>
      </c>
      <c r="CN1283">
        <v>0</v>
      </c>
      <c r="CO1283">
        <v>2</v>
      </c>
      <c r="CP1283" t="s">
        <v>119</v>
      </c>
      <c r="CQ1283">
        <v>145</v>
      </c>
      <c r="CR1283">
        <v>1</v>
      </c>
      <c r="CW1283">
        <v>9058955</v>
      </c>
      <c r="CY1283">
        <v>0</v>
      </c>
      <c r="CZ1283">
        <v>0</v>
      </c>
      <c r="DA1283">
        <v>1</v>
      </c>
      <c r="DB1283">
        <v>0</v>
      </c>
      <c r="DC1283">
        <v>0</v>
      </c>
      <c r="DD1283">
        <v>0</v>
      </c>
      <c r="DE1283">
        <v>0</v>
      </c>
      <c r="DF1283">
        <v>0</v>
      </c>
      <c r="DG1283">
        <v>0</v>
      </c>
      <c r="DH1283">
        <v>0</v>
      </c>
      <c r="DI1283">
        <v>0</v>
      </c>
    </row>
    <row r="1284" spans="1:113" x14ac:dyDescent="0.3">
      <c r="A1284" t="str">
        <f>"02/13/2022 18:43:00.790"</f>
        <v>02/13/2022 18:43:00.790</v>
      </c>
      <c r="C1284" t="str">
        <f t="shared" si="124"/>
        <v>FFDFD7C0</v>
      </c>
      <c r="D1284" t="s">
        <v>121</v>
      </c>
      <c r="E1284">
        <v>2</v>
      </c>
      <c r="H1284">
        <v>158</v>
      </c>
      <c r="I1284" t="s">
        <v>120</v>
      </c>
      <c r="J1284" t="s">
        <v>122</v>
      </c>
      <c r="K1284">
        <v>0</v>
      </c>
      <c r="L1284">
        <v>3</v>
      </c>
      <c r="M1284">
        <v>0</v>
      </c>
      <c r="N1284">
        <v>2</v>
      </c>
      <c r="O1284">
        <v>1</v>
      </c>
      <c r="P1284">
        <v>0</v>
      </c>
      <c r="Q1284">
        <v>0</v>
      </c>
      <c r="S1284" t="str">
        <f>"18:43:00.281"</f>
        <v>18:43:00.281</v>
      </c>
      <c r="T1284" t="str">
        <f>"18:42:59.481"</f>
        <v>18:42:59.481</v>
      </c>
      <c r="U1284" t="str">
        <f t="shared" si="127"/>
        <v>AAB6EE</v>
      </c>
      <c r="V1284">
        <v>0</v>
      </c>
      <c r="W1284">
        <v>0</v>
      </c>
      <c r="X1284">
        <v>4</v>
      </c>
      <c r="Z1284">
        <v>0</v>
      </c>
      <c r="AA1284">
        <v>8</v>
      </c>
      <c r="AB1284">
        <v>3</v>
      </c>
      <c r="AC1284">
        <v>0</v>
      </c>
      <c r="AD1284">
        <v>10</v>
      </c>
      <c r="AE1284">
        <v>0</v>
      </c>
      <c r="AF1284">
        <v>0</v>
      </c>
      <c r="AG1284">
        <v>2</v>
      </c>
      <c r="AH1284">
        <v>1</v>
      </c>
      <c r="AI1284" t="s">
        <v>977</v>
      </c>
      <c r="AJ1284">
        <v>35.212018</v>
      </c>
      <c r="AK1284" t="s">
        <v>958</v>
      </c>
      <c r="AL1284">
        <v>-76.267325999999997</v>
      </c>
      <c r="AM1284">
        <v>25</v>
      </c>
      <c r="AN1284">
        <v>3450</v>
      </c>
      <c r="AO1284" t="s">
        <v>118</v>
      </c>
      <c r="AP1284">
        <v>82</v>
      </c>
      <c r="AQ1284">
        <v>-214</v>
      </c>
      <c r="AR1284">
        <v>-192</v>
      </c>
      <c r="AZ1284">
        <v>4516</v>
      </c>
      <c r="BA1284">
        <v>1</v>
      </c>
      <c r="BB1284" t="str">
        <f t="shared" si="125"/>
        <v xml:space="preserve">N79NX   </v>
      </c>
      <c r="BC1284">
        <v>1</v>
      </c>
      <c r="BE1284">
        <v>0</v>
      </c>
      <c r="BF1284">
        <v>0</v>
      </c>
      <c r="BG1284">
        <v>0</v>
      </c>
      <c r="BH1284">
        <v>3300</v>
      </c>
      <c r="BI1284">
        <v>0</v>
      </c>
      <c r="BJ1284">
        <v>0</v>
      </c>
      <c r="BK1284">
        <v>0</v>
      </c>
      <c r="BL1284">
        <v>0</v>
      </c>
      <c r="BO1284">
        <v>0</v>
      </c>
      <c r="BP1284">
        <v>0</v>
      </c>
      <c r="BW1284" t="str">
        <f>"18:43:00.282"</f>
        <v>18:43:00.282</v>
      </c>
      <c r="BZ1284">
        <v>0</v>
      </c>
      <c r="CA1284">
        <v>3008</v>
      </c>
      <c r="CB1284">
        <v>216</v>
      </c>
      <c r="CC1284">
        <v>462.65629999999999</v>
      </c>
      <c r="CD1284">
        <v>1</v>
      </c>
      <c r="CE1284">
        <v>1</v>
      </c>
      <c r="CF1284">
        <v>0</v>
      </c>
      <c r="CG1284">
        <v>0</v>
      </c>
      <c r="CH1284">
        <v>0</v>
      </c>
      <c r="CI1284">
        <v>0</v>
      </c>
      <c r="CJ1284">
        <v>0</v>
      </c>
      <c r="CK1284">
        <v>2</v>
      </c>
      <c r="CL1284">
        <v>0</v>
      </c>
      <c r="CM1284">
        <v>2</v>
      </c>
      <c r="CN1284">
        <v>0</v>
      </c>
      <c r="CO1284">
        <v>2</v>
      </c>
      <c r="CP1284" t="s">
        <v>119</v>
      </c>
      <c r="CQ1284">
        <v>145</v>
      </c>
      <c r="CR1284">
        <v>1</v>
      </c>
      <c r="CW1284">
        <v>9058955</v>
      </c>
      <c r="CY1284">
        <v>0</v>
      </c>
      <c r="CZ1284">
        <v>0</v>
      </c>
      <c r="DA1284">
        <v>1</v>
      </c>
      <c r="DB1284">
        <v>0</v>
      </c>
      <c r="DC1284">
        <v>0</v>
      </c>
      <c r="DD1284">
        <v>0</v>
      </c>
      <c r="DE1284">
        <v>0</v>
      </c>
      <c r="DF1284">
        <v>0</v>
      </c>
      <c r="DG1284">
        <v>0</v>
      </c>
      <c r="DH1284">
        <v>0</v>
      </c>
      <c r="DI1284">
        <v>0</v>
      </c>
    </row>
    <row r="1285" spans="1:113" x14ac:dyDescent="0.3">
      <c r="A1285" t="str">
        <f>"02/13/2022 18:43:01.681"</f>
        <v>02/13/2022 18:43:01.681</v>
      </c>
      <c r="C1285" t="str">
        <f t="shared" ref="C1285:C1348" si="128">"FFDFD7C0"</f>
        <v>FFDFD7C0</v>
      </c>
      <c r="D1285" t="s">
        <v>121</v>
      </c>
      <c r="E1285">
        <v>2</v>
      </c>
      <c r="H1285">
        <v>158</v>
      </c>
      <c r="I1285" t="s">
        <v>120</v>
      </c>
      <c r="J1285" t="s">
        <v>122</v>
      </c>
      <c r="K1285">
        <v>0</v>
      </c>
      <c r="L1285">
        <v>3</v>
      </c>
      <c r="M1285">
        <v>0</v>
      </c>
      <c r="N1285">
        <v>2</v>
      </c>
      <c r="O1285">
        <v>1</v>
      </c>
      <c r="P1285">
        <v>0</v>
      </c>
      <c r="Q1285">
        <v>0</v>
      </c>
      <c r="S1285" t="str">
        <f>"18:43:01.219"</f>
        <v>18:43:01.219</v>
      </c>
      <c r="T1285" t="str">
        <f>"18:42:59.519"</f>
        <v>18:42:59.519</v>
      </c>
      <c r="U1285" t="str">
        <f t="shared" si="127"/>
        <v>AAB6EE</v>
      </c>
      <c r="V1285">
        <v>0</v>
      </c>
      <c r="W1285">
        <v>0</v>
      </c>
      <c r="X1285">
        <v>4</v>
      </c>
      <c r="Z1285">
        <v>0</v>
      </c>
      <c r="AA1285">
        <v>8</v>
      </c>
      <c r="AB1285">
        <v>3</v>
      </c>
      <c r="AC1285">
        <v>0</v>
      </c>
      <c r="AD1285">
        <v>10</v>
      </c>
      <c r="AE1285">
        <v>0</v>
      </c>
      <c r="AF1285">
        <v>0</v>
      </c>
      <c r="AG1285">
        <v>2</v>
      </c>
      <c r="AH1285">
        <v>1</v>
      </c>
      <c r="AI1285" t="s">
        <v>978</v>
      </c>
      <c r="AJ1285">
        <v>35.211030999999998</v>
      </c>
      <c r="AK1285" t="s">
        <v>979</v>
      </c>
      <c r="AL1285">
        <v>-76.266811000000004</v>
      </c>
      <c r="AM1285">
        <v>25</v>
      </c>
      <c r="AN1285">
        <v>3450</v>
      </c>
      <c r="AO1285" t="s">
        <v>118</v>
      </c>
      <c r="AP1285">
        <v>82</v>
      </c>
      <c r="AQ1285">
        <v>-214</v>
      </c>
      <c r="AR1285">
        <v>-192</v>
      </c>
      <c r="AZ1285">
        <v>4516</v>
      </c>
      <c r="BA1285">
        <v>1</v>
      </c>
      <c r="BB1285" t="str">
        <f t="shared" ref="BB1285:BB1348" si="129">"N79NX   "</f>
        <v xml:space="preserve">N79NX   </v>
      </c>
      <c r="BC1285">
        <v>1</v>
      </c>
      <c r="BE1285">
        <v>0</v>
      </c>
      <c r="BF1285">
        <v>0</v>
      </c>
      <c r="BG1285">
        <v>0</v>
      </c>
      <c r="BH1285">
        <v>3300</v>
      </c>
      <c r="BI1285">
        <v>0</v>
      </c>
      <c r="BJ1285">
        <v>0</v>
      </c>
      <c r="BK1285">
        <v>0</v>
      </c>
      <c r="BL1285">
        <v>0</v>
      </c>
      <c r="BO1285">
        <v>0</v>
      </c>
      <c r="BP1285">
        <v>0</v>
      </c>
      <c r="BW1285" t="str">
        <f>"18:43:01.222"</f>
        <v>18:43:01.222</v>
      </c>
      <c r="BZ1285">
        <v>0</v>
      </c>
      <c r="CA1285">
        <v>3008</v>
      </c>
      <c r="CB1285">
        <v>216</v>
      </c>
      <c r="CC1285">
        <v>462.65629999999999</v>
      </c>
      <c r="CD1285">
        <v>1</v>
      </c>
      <c r="CE1285">
        <v>1</v>
      </c>
      <c r="CF1285">
        <v>0</v>
      </c>
      <c r="CG1285">
        <v>0</v>
      </c>
      <c r="CH1285">
        <v>0</v>
      </c>
      <c r="CI1285">
        <v>0</v>
      </c>
      <c r="CJ1285">
        <v>0</v>
      </c>
      <c r="CK1285">
        <v>2</v>
      </c>
      <c r="CL1285">
        <v>0</v>
      </c>
      <c r="CM1285">
        <v>2</v>
      </c>
      <c r="CN1285">
        <v>0</v>
      </c>
      <c r="CO1285">
        <v>1</v>
      </c>
      <c r="CP1285" t="s">
        <v>119</v>
      </c>
      <c r="CQ1285">
        <v>145</v>
      </c>
      <c r="CR1285">
        <v>1</v>
      </c>
      <c r="CW1285">
        <v>9059379</v>
      </c>
      <c r="CY1285">
        <v>0</v>
      </c>
      <c r="CZ1285">
        <v>0</v>
      </c>
      <c r="DA1285">
        <v>0</v>
      </c>
      <c r="DB1285">
        <v>0</v>
      </c>
      <c r="DC1285">
        <v>0</v>
      </c>
      <c r="DD1285">
        <v>0</v>
      </c>
      <c r="DE1285">
        <v>0</v>
      </c>
      <c r="DF1285">
        <v>0</v>
      </c>
      <c r="DG1285">
        <v>0</v>
      </c>
      <c r="DH1285">
        <v>0</v>
      </c>
      <c r="DI1285">
        <v>0</v>
      </c>
    </row>
    <row r="1286" spans="1:113" x14ac:dyDescent="0.3">
      <c r="A1286" t="str">
        <f>"02/13/2022 18:43:01.728"</f>
        <v>02/13/2022 18:43:01.728</v>
      </c>
      <c r="C1286" t="str">
        <f t="shared" si="128"/>
        <v>FFDFD7C0</v>
      </c>
      <c r="D1286" t="s">
        <v>113</v>
      </c>
      <c r="E1286">
        <v>3</v>
      </c>
      <c r="F1286">
        <v>1003</v>
      </c>
      <c r="G1286" t="s">
        <v>114</v>
      </c>
      <c r="J1286" t="s">
        <v>115</v>
      </c>
      <c r="K1286">
        <v>0</v>
      </c>
      <c r="L1286">
        <v>3</v>
      </c>
      <c r="M1286">
        <v>0</v>
      </c>
      <c r="N1286">
        <v>2</v>
      </c>
      <c r="O1286">
        <v>1</v>
      </c>
      <c r="P1286">
        <v>0</v>
      </c>
      <c r="Q1286">
        <v>0</v>
      </c>
      <c r="S1286" t="str">
        <f>"18:43:01.219"</f>
        <v>18:43:01.219</v>
      </c>
      <c r="T1286" t="str">
        <f>"18:42:59.519"</f>
        <v>18:42:59.519</v>
      </c>
      <c r="U1286" t="str">
        <f t="shared" si="127"/>
        <v>AAB6EE</v>
      </c>
      <c r="V1286">
        <v>0</v>
      </c>
      <c r="W1286">
        <v>0</v>
      </c>
      <c r="X1286">
        <v>4</v>
      </c>
      <c r="Z1286">
        <v>0</v>
      </c>
      <c r="AA1286">
        <v>8</v>
      </c>
      <c r="AB1286">
        <v>3</v>
      </c>
      <c r="AC1286">
        <v>0</v>
      </c>
      <c r="AD1286">
        <v>10</v>
      </c>
      <c r="AE1286">
        <v>0</v>
      </c>
      <c r="AF1286">
        <v>0</v>
      </c>
      <c r="AG1286">
        <v>2</v>
      </c>
      <c r="AH1286">
        <v>1</v>
      </c>
      <c r="AI1286" t="s">
        <v>978</v>
      </c>
      <c r="AJ1286">
        <v>35.211030999999998</v>
      </c>
      <c r="AK1286" t="s">
        <v>979</v>
      </c>
      <c r="AL1286">
        <v>-76.266811000000004</v>
      </c>
      <c r="AM1286">
        <v>25</v>
      </c>
      <c r="AN1286">
        <v>3450</v>
      </c>
      <c r="AO1286" t="s">
        <v>118</v>
      </c>
      <c r="AP1286">
        <v>82</v>
      </c>
      <c r="AQ1286">
        <v>-214</v>
      </c>
      <c r="AR1286">
        <v>-192</v>
      </c>
      <c r="AZ1286">
        <v>4516</v>
      </c>
      <c r="BA1286">
        <v>1</v>
      </c>
      <c r="BB1286" t="str">
        <f t="shared" si="129"/>
        <v xml:space="preserve">N79NX   </v>
      </c>
      <c r="BC1286">
        <v>1</v>
      </c>
      <c r="BE1286">
        <v>0</v>
      </c>
      <c r="BF1286">
        <v>0</v>
      </c>
      <c r="BG1286">
        <v>0</v>
      </c>
      <c r="BH1286">
        <v>3300</v>
      </c>
      <c r="BI1286">
        <v>0</v>
      </c>
      <c r="BJ1286">
        <v>0</v>
      </c>
      <c r="BK1286">
        <v>0</v>
      </c>
      <c r="BL1286">
        <v>0</v>
      </c>
      <c r="BO1286">
        <v>0</v>
      </c>
      <c r="BP1286">
        <v>0</v>
      </c>
      <c r="BW1286" t="str">
        <f>"18:43:01.222"</f>
        <v>18:43:01.222</v>
      </c>
      <c r="BZ1286">
        <v>0</v>
      </c>
      <c r="CA1286">
        <v>3008</v>
      </c>
      <c r="CB1286">
        <v>216</v>
      </c>
      <c r="CC1286">
        <v>462.65629999999999</v>
      </c>
      <c r="CD1286">
        <v>1</v>
      </c>
      <c r="CE1286">
        <v>1</v>
      </c>
      <c r="CF1286">
        <v>0</v>
      </c>
      <c r="CG1286">
        <v>0</v>
      </c>
      <c r="CH1286">
        <v>0</v>
      </c>
      <c r="CI1286">
        <v>0</v>
      </c>
      <c r="CJ1286">
        <v>0</v>
      </c>
      <c r="CK1286">
        <v>2</v>
      </c>
      <c r="CL1286">
        <v>0</v>
      </c>
      <c r="CM1286">
        <v>2</v>
      </c>
      <c r="CN1286">
        <v>0</v>
      </c>
      <c r="CO1286">
        <v>1</v>
      </c>
      <c r="CP1286" t="s">
        <v>119</v>
      </c>
      <c r="CQ1286">
        <v>145</v>
      </c>
      <c r="CR1286">
        <v>1</v>
      </c>
      <c r="CW1286">
        <v>9059379</v>
      </c>
      <c r="CY1286">
        <v>0</v>
      </c>
      <c r="CZ1286">
        <v>0</v>
      </c>
      <c r="DA1286">
        <v>1</v>
      </c>
      <c r="DB1286">
        <v>0</v>
      </c>
      <c r="DC1286">
        <v>0</v>
      </c>
      <c r="DD1286">
        <v>0</v>
      </c>
      <c r="DE1286">
        <v>0</v>
      </c>
      <c r="DF1286">
        <v>0</v>
      </c>
      <c r="DG1286">
        <v>0</v>
      </c>
      <c r="DH1286">
        <v>0</v>
      </c>
      <c r="DI1286">
        <v>0</v>
      </c>
    </row>
    <row r="1287" spans="1:113" x14ac:dyDescent="0.3">
      <c r="A1287" t="str">
        <f>"02/13/2022 18:43:01.728"</f>
        <v>02/13/2022 18:43:01.728</v>
      </c>
      <c r="C1287" t="str">
        <f t="shared" si="128"/>
        <v>FFDFD7C0</v>
      </c>
      <c r="D1287" t="s">
        <v>113</v>
      </c>
      <c r="E1287">
        <v>4</v>
      </c>
      <c r="F1287">
        <v>1004</v>
      </c>
      <c r="G1287" t="s">
        <v>120</v>
      </c>
      <c r="J1287" t="s">
        <v>115</v>
      </c>
      <c r="K1287">
        <v>0</v>
      </c>
      <c r="L1287">
        <v>3</v>
      </c>
      <c r="M1287">
        <v>0</v>
      </c>
      <c r="N1287">
        <v>2</v>
      </c>
      <c r="O1287">
        <v>1</v>
      </c>
      <c r="P1287">
        <v>0</v>
      </c>
      <c r="Q1287">
        <v>0</v>
      </c>
      <c r="S1287" t="str">
        <f>"18:43:01.219"</f>
        <v>18:43:01.219</v>
      </c>
      <c r="T1287" t="str">
        <f>"18:42:59.519"</f>
        <v>18:42:59.519</v>
      </c>
      <c r="U1287" t="str">
        <f t="shared" si="127"/>
        <v>AAB6EE</v>
      </c>
      <c r="V1287">
        <v>0</v>
      </c>
      <c r="W1287">
        <v>0</v>
      </c>
      <c r="X1287">
        <v>4</v>
      </c>
      <c r="Z1287">
        <v>0</v>
      </c>
      <c r="AA1287">
        <v>8</v>
      </c>
      <c r="AB1287">
        <v>3</v>
      </c>
      <c r="AC1287">
        <v>0</v>
      </c>
      <c r="AD1287">
        <v>10</v>
      </c>
      <c r="AE1287">
        <v>0</v>
      </c>
      <c r="AF1287">
        <v>0</v>
      </c>
      <c r="AG1287">
        <v>2</v>
      </c>
      <c r="AH1287">
        <v>1</v>
      </c>
      <c r="AI1287" t="s">
        <v>978</v>
      </c>
      <c r="AJ1287">
        <v>35.211030999999998</v>
      </c>
      <c r="AK1287" t="s">
        <v>979</v>
      </c>
      <c r="AL1287">
        <v>-76.266811000000004</v>
      </c>
      <c r="AM1287">
        <v>25</v>
      </c>
      <c r="AN1287">
        <v>3450</v>
      </c>
      <c r="AO1287" t="s">
        <v>118</v>
      </c>
      <c r="AP1287">
        <v>82</v>
      </c>
      <c r="AQ1287">
        <v>-214</v>
      </c>
      <c r="AR1287">
        <v>-192</v>
      </c>
      <c r="AZ1287">
        <v>4516</v>
      </c>
      <c r="BA1287">
        <v>1</v>
      </c>
      <c r="BB1287" t="str">
        <f t="shared" si="129"/>
        <v xml:space="preserve">N79NX   </v>
      </c>
      <c r="BC1287">
        <v>1</v>
      </c>
      <c r="BE1287">
        <v>0</v>
      </c>
      <c r="BF1287">
        <v>0</v>
      </c>
      <c r="BG1287">
        <v>0</v>
      </c>
      <c r="BH1287">
        <v>3300</v>
      </c>
      <c r="BI1287">
        <v>0</v>
      </c>
      <c r="BJ1287">
        <v>0</v>
      </c>
      <c r="BK1287">
        <v>0</v>
      </c>
      <c r="BL1287">
        <v>0</v>
      </c>
      <c r="BO1287">
        <v>0</v>
      </c>
      <c r="BP1287">
        <v>0</v>
      </c>
      <c r="BW1287" t="str">
        <f>"18:43:01.222"</f>
        <v>18:43:01.222</v>
      </c>
      <c r="BZ1287">
        <v>0</v>
      </c>
      <c r="CA1287">
        <v>3008</v>
      </c>
      <c r="CB1287">
        <v>216</v>
      </c>
      <c r="CC1287">
        <v>462.65629999999999</v>
      </c>
      <c r="CD1287">
        <v>1</v>
      </c>
      <c r="CE1287">
        <v>1</v>
      </c>
      <c r="CF1287">
        <v>0</v>
      </c>
      <c r="CG1287">
        <v>0</v>
      </c>
      <c r="CH1287">
        <v>0</v>
      </c>
      <c r="CI1287">
        <v>0</v>
      </c>
      <c r="CJ1287">
        <v>0</v>
      </c>
      <c r="CK1287">
        <v>2</v>
      </c>
      <c r="CL1287">
        <v>0</v>
      </c>
      <c r="CM1287">
        <v>2</v>
      </c>
      <c r="CN1287">
        <v>0</v>
      </c>
      <c r="CO1287">
        <v>1</v>
      </c>
      <c r="CP1287" t="s">
        <v>119</v>
      </c>
      <c r="CQ1287">
        <v>145</v>
      </c>
      <c r="CR1287">
        <v>1</v>
      </c>
      <c r="CW1287">
        <v>9059379</v>
      </c>
      <c r="CY1287">
        <v>0</v>
      </c>
      <c r="CZ1287">
        <v>0</v>
      </c>
      <c r="DA1287">
        <v>1</v>
      </c>
      <c r="DB1287">
        <v>0</v>
      </c>
      <c r="DC1287">
        <v>0</v>
      </c>
      <c r="DD1287">
        <v>0</v>
      </c>
      <c r="DE1287">
        <v>0</v>
      </c>
      <c r="DF1287">
        <v>0</v>
      </c>
      <c r="DG1287">
        <v>0</v>
      </c>
      <c r="DH1287">
        <v>0</v>
      </c>
      <c r="DI1287">
        <v>0</v>
      </c>
    </row>
    <row r="1288" spans="1:113" x14ac:dyDescent="0.3">
      <c r="A1288" t="str">
        <f>"02/13/2022 18:43:02.587"</f>
        <v>02/13/2022 18:43:02.587</v>
      </c>
      <c r="C1288" t="str">
        <f t="shared" si="128"/>
        <v>FFDFD7C0</v>
      </c>
      <c r="D1288" t="s">
        <v>121</v>
      </c>
      <c r="E1288">
        <v>2</v>
      </c>
      <c r="H1288">
        <v>158</v>
      </c>
      <c r="I1288" t="s">
        <v>120</v>
      </c>
      <c r="J1288" t="s">
        <v>122</v>
      </c>
      <c r="K1288">
        <v>0</v>
      </c>
      <c r="L1288">
        <v>3</v>
      </c>
      <c r="M1288">
        <v>0</v>
      </c>
      <c r="N1288">
        <v>2</v>
      </c>
      <c r="O1288">
        <v>1</v>
      </c>
      <c r="P1288">
        <v>0</v>
      </c>
      <c r="Q1288">
        <v>0</v>
      </c>
      <c r="S1288" t="str">
        <f>"18:43:02.125"</f>
        <v>18:43:02.125</v>
      </c>
      <c r="T1288" t="str">
        <f>"18:42:59.425"</f>
        <v>18:42:59.425</v>
      </c>
      <c r="U1288" t="str">
        <f t="shared" si="127"/>
        <v>AAB6EE</v>
      </c>
      <c r="V1288">
        <v>0</v>
      </c>
      <c r="W1288">
        <v>0</v>
      </c>
      <c r="X1288">
        <v>4</v>
      </c>
      <c r="Z1288">
        <v>0</v>
      </c>
      <c r="AA1288">
        <v>8</v>
      </c>
      <c r="AB1288">
        <v>3</v>
      </c>
      <c r="AC1288">
        <v>0</v>
      </c>
      <c r="AD1288">
        <v>10</v>
      </c>
      <c r="AE1288">
        <v>0</v>
      </c>
      <c r="AF1288">
        <v>0</v>
      </c>
      <c r="AG1288">
        <v>2</v>
      </c>
      <c r="AH1288">
        <v>1</v>
      </c>
      <c r="AI1288" t="s">
        <v>980</v>
      </c>
      <c r="AJ1288">
        <v>35.210129999999999</v>
      </c>
      <c r="AK1288" t="s">
        <v>981</v>
      </c>
      <c r="AL1288">
        <v>-76.266295999999997</v>
      </c>
      <c r="AM1288">
        <v>25</v>
      </c>
      <c r="AN1288">
        <v>3450</v>
      </c>
      <c r="AO1288" t="s">
        <v>118</v>
      </c>
      <c r="AP1288">
        <v>82</v>
      </c>
      <c r="AQ1288">
        <v>-214</v>
      </c>
      <c r="AR1288">
        <v>-192</v>
      </c>
      <c r="AZ1288">
        <v>4516</v>
      </c>
      <c r="BA1288">
        <v>1</v>
      </c>
      <c r="BB1288" t="str">
        <f t="shared" si="129"/>
        <v xml:space="preserve">N79NX   </v>
      </c>
      <c r="BC1288">
        <v>1</v>
      </c>
      <c r="BE1288">
        <v>0</v>
      </c>
      <c r="BF1288">
        <v>0</v>
      </c>
      <c r="BG1288">
        <v>0</v>
      </c>
      <c r="BH1288">
        <v>3300</v>
      </c>
      <c r="BI1288">
        <v>0</v>
      </c>
      <c r="BJ1288">
        <v>0</v>
      </c>
      <c r="BK1288">
        <v>0</v>
      </c>
      <c r="BL1288">
        <v>0</v>
      </c>
      <c r="BO1288">
        <v>0</v>
      </c>
      <c r="BP1288">
        <v>0</v>
      </c>
      <c r="BW1288" t="str">
        <f>"18:43:02.132"</f>
        <v>18:43:02.132</v>
      </c>
      <c r="BZ1288">
        <v>0</v>
      </c>
      <c r="CA1288">
        <v>3008</v>
      </c>
      <c r="CB1288">
        <v>216</v>
      </c>
      <c r="CC1288">
        <v>462.65629999999999</v>
      </c>
      <c r="CD1288">
        <v>1</v>
      </c>
      <c r="CE1288">
        <v>1</v>
      </c>
      <c r="CF1288">
        <v>0</v>
      </c>
      <c r="CG1288">
        <v>0</v>
      </c>
      <c r="CH1288">
        <v>0</v>
      </c>
      <c r="CI1288">
        <v>0</v>
      </c>
      <c r="CJ1288">
        <v>0</v>
      </c>
      <c r="CK1288">
        <v>2</v>
      </c>
      <c r="CL1288">
        <v>0</v>
      </c>
      <c r="CM1288">
        <v>2</v>
      </c>
      <c r="CN1288">
        <v>0</v>
      </c>
      <c r="CO1288">
        <v>1</v>
      </c>
      <c r="CP1288" t="s">
        <v>119</v>
      </c>
      <c r="CQ1288">
        <v>145</v>
      </c>
      <c r="CR1288">
        <v>1</v>
      </c>
      <c r="CW1288">
        <v>9059880</v>
      </c>
      <c r="CY1288">
        <v>0</v>
      </c>
      <c r="CZ1288">
        <v>0</v>
      </c>
      <c r="DA1288">
        <v>0</v>
      </c>
      <c r="DB1288">
        <v>0</v>
      </c>
      <c r="DC1288">
        <v>0</v>
      </c>
      <c r="DD1288">
        <v>0</v>
      </c>
      <c r="DE1288">
        <v>0</v>
      </c>
      <c r="DF1288">
        <v>0</v>
      </c>
      <c r="DG1288">
        <v>0</v>
      </c>
      <c r="DH1288">
        <v>0</v>
      </c>
      <c r="DI1288">
        <v>0</v>
      </c>
    </row>
    <row r="1289" spans="1:113" x14ac:dyDescent="0.3">
      <c r="A1289" t="str">
        <f>"02/13/2022 18:43:02.634"</f>
        <v>02/13/2022 18:43:02.634</v>
      </c>
      <c r="C1289" t="str">
        <f t="shared" si="128"/>
        <v>FFDFD7C0</v>
      </c>
      <c r="D1289" t="s">
        <v>113</v>
      </c>
      <c r="E1289">
        <v>3</v>
      </c>
      <c r="F1289">
        <v>1003</v>
      </c>
      <c r="G1289" t="s">
        <v>114</v>
      </c>
      <c r="J1289" t="s">
        <v>115</v>
      </c>
      <c r="K1289">
        <v>0</v>
      </c>
      <c r="L1289">
        <v>3</v>
      </c>
      <c r="M1289">
        <v>0</v>
      </c>
      <c r="N1289">
        <v>2</v>
      </c>
      <c r="O1289">
        <v>1</v>
      </c>
      <c r="P1289">
        <v>0</v>
      </c>
      <c r="Q1289">
        <v>0</v>
      </c>
      <c r="S1289" t="str">
        <f>"18:43:02.125"</f>
        <v>18:43:02.125</v>
      </c>
      <c r="T1289" t="str">
        <f>"18:42:59.425"</f>
        <v>18:42:59.425</v>
      </c>
      <c r="U1289" t="str">
        <f t="shared" si="127"/>
        <v>AAB6EE</v>
      </c>
      <c r="V1289">
        <v>0</v>
      </c>
      <c r="W1289">
        <v>0</v>
      </c>
      <c r="X1289">
        <v>4</v>
      </c>
      <c r="Z1289">
        <v>0</v>
      </c>
      <c r="AA1289">
        <v>8</v>
      </c>
      <c r="AB1289">
        <v>3</v>
      </c>
      <c r="AC1289">
        <v>0</v>
      </c>
      <c r="AD1289">
        <v>10</v>
      </c>
      <c r="AE1289">
        <v>0</v>
      </c>
      <c r="AF1289">
        <v>0</v>
      </c>
      <c r="AG1289">
        <v>2</v>
      </c>
      <c r="AH1289">
        <v>1</v>
      </c>
      <c r="AI1289" t="s">
        <v>980</v>
      </c>
      <c r="AJ1289">
        <v>35.210129999999999</v>
      </c>
      <c r="AK1289" t="s">
        <v>981</v>
      </c>
      <c r="AL1289">
        <v>-76.266295999999997</v>
      </c>
      <c r="AM1289">
        <v>25</v>
      </c>
      <c r="AN1289">
        <v>3450</v>
      </c>
      <c r="AO1289" t="s">
        <v>118</v>
      </c>
      <c r="AP1289">
        <v>82</v>
      </c>
      <c r="AQ1289">
        <v>-214</v>
      </c>
      <c r="AR1289">
        <v>-192</v>
      </c>
      <c r="AZ1289">
        <v>4516</v>
      </c>
      <c r="BA1289">
        <v>1</v>
      </c>
      <c r="BB1289" t="str">
        <f t="shared" si="129"/>
        <v xml:space="preserve">N79NX   </v>
      </c>
      <c r="BC1289">
        <v>1</v>
      </c>
      <c r="BE1289">
        <v>0</v>
      </c>
      <c r="BF1289">
        <v>0</v>
      </c>
      <c r="BG1289">
        <v>0</v>
      </c>
      <c r="BH1289">
        <v>3300</v>
      </c>
      <c r="BI1289">
        <v>0</v>
      </c>
      <c r="BJ1289">
        <v>0</v>
      </c>
      <c r="BK1289">
        <v>0</v>
      </c>
      <c r="BL1289">
        <v>0</v>
      </c>
      <c r="BO1289">
        <v>0</v>
      </c>
      <c r="BP1289">
        <v>0</v>
      </c>
      <c r="BW1289" t="str">
        <f>"18:43:02.132"</f>
        <v>18:43:02.132</v>
      </c>
      <c r="BZ1289">
        <v>0</v>
      </c>
      <c r="CA1289">
        <v>3008</v>
      </c>
      <c r="CB1289">
        <v>216</v>
      </c>
      <c r="CC1289">
        <v>462.65629999999999</v>
      </c>
      <c r="CD1289">
        <v>1</v>
      </c>
      <c r="CE1289">
        <v>1</v>
      </c>
      <c r="CF1289">
        <v>0</v>
      </c>
      <c r="CG1289">
        <v>0</v>
      </c>
      <c r="CH1289">
        <v>0</v>
      </c>
      <c r="CI1289">
        <v>0</v>
      </c>
      <c r="CJ1289">
        <v>0</v>
      </c>
      <c r="CK1289">
        <v>2</v>
      </c>
      <c r="CL1289">
        <v>0</v>
      </c>
      <c r="CM1289">
        <v>2</v>
      </c>
      <c r="CN1289">
        <v>0</v>
      </c>
      <c r="CO1289">
        <v>1</v>
      </c>
      <c r="CP1289" t="s">
        <v>119</v>
      </c>
      <c r="CQ1289">
        <v>145</v>
      </c>
      <c r="CR1289">
        <v>1</v>
      </c>
      <c r="CW1289">
        <v>9059880</v>
      </c>
      <c r="CY1289">
        <v>0</v>
      </c>
      <c r="CZ1289">
        <v>0</v>
      </c>
      <c r="DA1289">
        <v>1</v>
      </c>
      <c r="DB1289">
        <v>0</v>
      </c>
      <c r="DC1289">
        <v>0</v>
      </c>
      <c r="DD1289">
        <v>0</v>
      </c>
      <c r="DE1289">
        <v>0</v>
      </c>
      <c r="DF1289">
        <v>0</v>
      </c>
      <c r="DG1289">
        <v>0</v>
      </c>
      <c r="DH1289">
        <v>0</v>
      </c>
      <c r="DI1289">
        <v>0</v>
      </c>
    </row>
    <row r="1290" spans="1:113" x14ac:dyDescent="0.3">
      <c r="A1290" t="str">
        <f>"02/13/2022 18:43:02.634"</f>
        <v>02/13/2022 18:43:02.634</v>
      </c>
      <c r="C1290" t="str">
        <f t="shared" si="128"/>
        <v>FFDFD7C0</v>
      </c>
      <c r="D1290" t="s">
        <v>113</v>
      </c>
      <c r="E1290">
        <v>4</v>
      </c>
      <c r="F1290">
        <v>1004</v>
      </c>
      <c r="G1290" t="s">
        <v>120</v>
      </c>
      <c r="J1290" t="s">
        <v>115</v>
      </c>
      <c r="K1290">
        <v>0</v>
      </c>
      <c r="L1290">
        <v>3</v>
      </c>
      <c r="M1290">
        <v>0</v>
      </c>
      <c r="N1290">
        <v>2</v>
      </c>
      <c r="O1290">
        <v>1</v>
      </c>
      <c r="P1290">
        <v>0</v>
      </c>
      <c r="Q1290">
        <v>0</v>
      </c>
      <c r="S1290" t="str">
        <f>"18:43:02.125"</f>
        <v>18:43:02.125</v>
      </c>
      <c r="T1290" t="str">
        <f>"18:42:59.425"</f>
        <v>18:42:59.425</v>
      </c>
      <c r="U1290" t="str">
        <f t="shared" si="127"/>
        <v>AAB6EE</v>
      </c>
      <c r="V1290">
        <v>0</v>
      </c>
      <c r="W1290">
        <v>0</v>
      </c>
      <c r="X1290">
        <v>4</v>
      </c>
      <c r="Z1290">
        <v>0</v>
      </c>
      <c r="AA1290">
        <v>8</v>
      </c>
      <c r="AB1290">
        <v>3</v>
      </c>
      <c r="AC1290">
        <v>0</v>
      </c>
      <c r="AD1290">
        <v>10</v>
      </c>
      <c r="AE1290">
        <v>0</v>
      </c>
      <c r="AF1290">
        <v>0</v>
      </c>
      <c r="AG1290">
        <v>2</v>
      </c>
      <c r="AH1290">
        <v>1</v>
      </c>
      <c r="AI1290" t="s">
        <v>980</v>
      </c>
      <c r="AJ1290">
        <v>35.210129999999999</v>
      </c>
      <c r="AK1290" t="s">
        <v>981</v>
      </c>
      <c r="AL1290">
        <v>-76.266295999999997</v>
      </c>
      <c r="AM1290">
        <v>25</v>
      </c>
      <c r="AN1290">
        <v>3450</v>
      </c>
      <c r="AO1290" t="s">
        <v>118</v>
      </c>
      <c r="AP1290">
        <v>82</v>
      </c>
      <c r="AQ1290">
        <v>-214</v>
      </c>
      <c r="AR1290">
        <v>-192</v>
      </c>
      <c r="AZ1290">
        <v>4516</v>
      </c>
      <c r="BA1290">
        <v>1</v>
      </c>
      <c r="BB1290" t="str">
        <f t="shared" si="129"/>
        <v xml:space="preserve">N79NX   </v>
      </c>
      <c r="BC1290">
        <v>1</v>
      </c>
      <c r="BE1290">
        <v>0</v>
      </c>
      <c r="BF1290">
        <v>0</v>
      </c>
      <c r="BG1290">
        <v>0</v>
      </c>
      <c r="BH1290">
        <v>3300</v>
      </c>
      <c r="BI1290">
        <v>0</v>
      </c>
      <c r="BJ1290">
        <v>0</v>
      </c>
      <c r="BK1290">
        <v>0</v>
      </c>
      <c r="BL1290">
        <v>0</v>
      </c>
      <c r="BO1290">
        <v>0</v>
      </c>
      <c r="BP1290">
        <v>0</v>
      </c>
      <c r="BW1290" t="str">
        <f>"18:43:02.132"</f>
        <v>18:43:02.132</v>
      </c>
      <c r="BZ1290">
        <v>0</v>
      </c>
      <c r="CA1290">
        <v>3008</v>
      </c>
      <c r="CB1290">
        <v>216</v>
      </c>
      <c r="CC1290">
        <v>462.65629999999999</v>
      </c>
      <c r="CD1290">
        <v>1</v>
      </c>
      <c r="CE1290">
        <v>1</v>
      </c>
      <c r="CF1290">
        <v>0</v>
      </c>
      <c r="CG1290">
        <v>0</v>
      </c>
      <c r="CH1290">
        <v>0</v>
      </c>
      <c r="CI1290">
        <v>0</v>
      </c>
      <c r="CJ1290">
        <v>0</v>
      </c>
      <c r="CK1290">
        <v>2</v>
      </c>
      <c r="CL1290">
        <v>0</v>
      </c>
      <c r="CM1290">
        <v>2</v>
      </c>
      <c r="CN1290">
        <v>0</v>
      </c>
      <c r="CO1290">
        <v>1</v>
      </c>
      <c r="CP1290" t="s">
        <v>119</v>
      </c>
      <c r="CQ1290">
        <v>145</v>
      </c>
      <c r="CR1290">
        <v>1</v>
      </c>
      <c r="CW1290">
        <v>9059880</v>
      </c>
      <c r="CY1290">
        <v>0</v>
      </c>
      <c r="CZ1290">
        <v>0</v>
      </c>
      <c r="DA1290">
        <v>1</v>
      </c>
      <c r="DB1290">
        <v>0</v>
      </c>
      <c r="DC1290">
        <v>0</v>
      </c>
      <c r="DD1290">
        <v>0</v>
      </c>
      <c r="DE1290">
        <v>0</v>
      </c>
      <c r="DF1290">
        <v>0</v>
      </c>
      <c r="DG1290">
        <v>0</v>
      </c>
      <c r="DH1290">
        <v>0</v>
      </c>
      <c r="DI1290">
        <v>0</v>
      </c>
    </row>
    <row r="1291" spans="1:113" x14ac:dyDescent="0.3">
      <c r="A1291" t="str">
        <f>"02/13/2022 18:43:03.540"</f>
        <v>02/13/2022 18:43:03.540</v>
      </c>
      <c r="C1291" t="str">
        <f t="shared" si="128"/>
        <v>FFDFD7C0</v>
      </c>
      <c r="D1291" t="s">
        <v>113</v>
      </c>
      <c r="E1291">
        <v>3</v>
      </c>
      <c r="F1291">
        <v>1003</v>
      </c>
      <c r="G1291" t="s">
        <v>114</v>
      </c>
      <c r="J1291" t="s">
        <v>115</v>
      </c>
      <c r="K1291">
        <v>0</v>
      </c>
      <c r="L1291">
        <v>3</v>
      </c>
      <c r="M1291">
        <v>0</v>
      </c>
      <c r="N1291">
        <v>2</v>
      </c>
      <c r="O1291">
        <v>1</v>
      </c>
      <c r="P1291">
        <v>0</v>
      </c>
      <c r="Q1291">
        <v>0</v>
      </c>
      <c r="S1291" t="str">
        <f>"18:43:03.055"</f>
        <v>18:43:03.055</v>
      </c>
      <c r="T1291" t="str">
        <f>"18:43:02.255"</f>
        <v>18:43:02.255</v>
      </c>
      <c r="U1291" t="str">
        <f t="shared" si="127"/>
        <v>AAB6EE</v>
      </c>
      <c r="V1291">
        <v>0</v>
      </c>
      <c r="W1291">
        <v>0</v>
      </c>
      <c r="X1291">
        <v>4</v>
      </c>
      <c r="Z1291">
        <v>0</v>
      </c>
      <c r="AA1291">
        <v>8</v>
      </c>
      <c r="AB1291">
        <v>3</v>
      </c>
      <c r="AC1291">
        <v>0</v>
      </c>
      <c r="AD1291">
        <v>10</v>
      </c>
      <c r="AE1291">
        <v>0</v>
      </c>
      <c r="AF1291">
        <v>0</v>
      </c>
      <c r="AG1291">
        <v>2</v>
      </c>
      <c r="AH1291">
        <v>1</v>
      </c>
      <c r="AI1291" t="s">
        <v>982</v>
      </c>
      <c r="AJ1291">
        <v>35.209271999999999</v>
      </c>
      <c r="AK1291" t="s">
        <v>983</v>
      </c>
      <c r="AL1291">
        <v>-76.265716999999995</v>
      </c>
      <c r="AM1291">
        <v>25</v>
      </c>
      <c r="AN1291">
        <v>3425</v>
      </c>
      <c r="AO1291" t="s">
        <v>118</v>
      </c>
      <c r="AP1291">
        <v>105</v>
      </c>
      <c r="AQ1291">
        <v>-207</v>
      </c>
      <c r="AR1291">
        <v>-704</v>
      </c>
      <c r="AZ1291">
        <v>4516</v>
      </c>
      <c r="BA1291">
        <v>1</v>
      </c>
      <c r="BB1291" t="str">
        <f t="shared" si="129"/>
        <v xml:space="preserve">N79NX   </v>
      </c>
      <c r="BC1291">
        <v>1</v>
      </c>
      <c r="BE1291">
        <v>0</v>
      </c>
      <c r="BF1291">
        <v>0</v>
      </c>
      <c r="BG1291">
        <v>0</v>
      </c>
      <c r="BH1291">
        <v>3300</v>
      </c>
      <c r="BI1291">
        <v>0</v>
      </c>
      <c r="BJ1291">
        <v>0</v>
      </c>
      <c r="BK1291">
        <v>0</v>
      </c>
      <c r="BL1291">
        <v>0</v>
      </c>
      <c r="BO1291">
        <v>0</v>
      </c>
      <c r="BP1291">
        <v>0</v>
      </c>
      <c r="BW1291" t="str">
        <f>"18:43:03.062"</f>
        <v>18:43:03.062</v>
      </c>
      <c r="BZ1291">
        <v>0</v>
      </c>
      <c r="CA1291">
        <v>3008</v>
      </c>
      <c r="CB1291">
        <v>216</v>
      </c>
      <c r="CC1291">
        <v>462.65629999999999</v>
      </c>
      <c r="CD1291">
        <v>1</v>
      </c>
      <c r="CE1291">
        <v>1</v>
      </c>
      <c r="CF1291">
        <v>0</v>
      </c>
      <c r="CG1291">
        <v>0</v>
      </c>
      <c r="CH1291">
        <v>0</v>
      </c>
      <c r="CI1291">
        <v>0</v>
      </c>
      <c r="CJ1291">
        <v>0</v>
      </c>
      <c r="CK1291">
        <v>2</v>
      </c>
      <c r="CL1291">
        <v>0</v>
      </c>
      <c r="CM1291">
        <v>2</v>
      </c>
      <c r="CN1291">
        <v>0</v>
      </c>
      <c r="CO1291">
        <v>1</v>
      </c>
      <c r="CP1291" t="s">
        <v>119</v>
      </c>
      <c r="CQ1291">
        <v>145</v>
      </c>
      <c r="CR1291">
        <v>1</v>
      </c>
      <c r="CW1291">
        <v>9060323</v>
      </c>
      <c r="CY1291">
        <v>0</v>
      </c>
      <c r="CZ1291">
        <v>0</v>
      </c>
      <c r="DA1291">
        <v>0</v>
      </c>
      <c r="DB1291">
        <v>0</v>
      </c>
      <c r="DC1291">
        <v>0</v>
      </c>
      <c r="DD1291">
        <v>0</v>
      </c>
      <c r="DE1291">
        <v>0</v>
      </c>
      <c r="DF1291">
        <v>0</v>
      </c>
      <c r="DG1291">
        <v>0</v>
      </c>
      <c r="DH1291">
        <v>0</v>
      </c>
      <c r="DI1291">
        <v>0</v>
      </c>
    </row>
    <row r="1292" spans="1:113" x14ac:dyDescent="0.3">
      <c r="A1292" t="str">
        <f>"02/13/2022 18:43:03.540"</f>
        <v>02/13/2022 18:43:03.540</v>
      </c>
      <c r="C1292" t="str">
        <f t="shared" si="128"/>
        <v>FFDFD7C0</v>
      </c>
      <c r="D1292" t="s">
        <v>113</v>
      </c>
      <c r="E1292">
        <v>4</v>
      </c>
      <c r="F1292">
        <v>1004</v>
      </c>
      <c r="G1292" t="s">
        <v>120</v>
      </c>
      <c r="J1292" t="s">
        <v>115</v>
      </c>
      <c r="K1292">
        <v>0</v>
      </c>
      <c r="L1292">
        <v>3</v>
      </c>
      <c r="M1292">
        <v>0</v>
      </c>
      <c r="N1292">
        <v>2</v>
      </c>
      <c r="O1292">
        <v>1</v>
      </c>
      <c r="P1292">
        <v>0</v>
      </c>
      <c r="Q1292">
        <v>0</v>
      </c>
      <c r="S1292" t="str">
        <f>"18:43:03.055"</f>
        <v>18:43:03.055</v>
      </c>
      <c r="T1292" t="str">
        <f>"18:43:02.255"</f>
        <v>18:43:02.255</v>
      </c>
      <c r="U1292" t="str">
        <f t="shared" si="127"/>
        <v>AAB6EE</v>
      </c>
      <c r="V1292">
        <v>0</v>
      </c>
      <c r="W1292">
        <v>0</v>
      </c>
      <c r="X1292">
        <v>4</v>
      </c>
      <c r="Z1292">
        <v>0</v>
      </c>
      <c r="AA1292">
        <v>8</v>
      </c>
      <c r="AB1292">
        <v>3</v>
      </c>
      <c r="AC1292">
        <v>0</v>
      </c>
      <c r="AD1292">
        <v>10</v>
      </c>
      <c r="AE1292">
        <v>0</v>
      </c>
      <c r="AF1292">
        <v>0</v>
      </c>
      <c r="AG1292">
        <v>2</v>
      </c>
      <c r="AH1292">
        <v>1</v>
      </c>
      <c r="AI1292" t="s">
        <v>982</v>
      </c>
      <c r="AJ1292">
        <v>35.209271999999999</v>
      </c>
      <c r="AK1292" t="s">
        <v>983</v>
      </c>
      <c r="AL1292">
        <v>-76.265716999999995</v>
      </c>
      <c r="AM1292">
        <v>25</v>
      </c>
      <c r="AN1292">
        <v>3425</v>
      </c>
      <c r="AO1292" t="s">
        <v>118</v>
      </c>
      <c r="AP1292">
        <v>105</v>
      </c>
      <c r="AQ1292">
        <v>-207</v>
      </c>
      <c r="AR1292">
        <v>-704</v>
      </c>
      <c r="AZ1292">
        <v>4516</v>
      </c>
      <c r="BA1292">
        <v>1</v>
      </c>
      <c r="BB1292" t="str">
        <f t="shared" si="129"/>
        <v xml:space="preserve">N79NX   </v>
      </c>
      <c r="BC1292">
        <v>1</v>
      </c>
      <c r="BE1292">
        <v>0</v>
      </c>
      <c r="BF1292">
        <v>0</v>
      </c>
      <c r="BG1292">
        <v>0</v>
      </c>
      <c r="BH1292">
        <v>3300</v>
      </c>
      <c r="BI1292">
        <v>0</v>
      </c>
      <c r="BJ1292">
        <v>0</v>
      </c>
      <c r="BK1292">
        <v>0</v>
      </c>
      <c r="BL1292">
        <v>0</v>
      </c>
      <c r="BO1292">
        <v>0</v>
      </c>
      <c r="BP1292">
        <v>0</v>
      </c>
      <c r="BW1292" t="str">
        <f>"18:43:03.062"</f>
        <v>18:43:03.062</v>
      </c>
      <c r="BZ1292">
        <v>0</v>
      </c>
      <c r="CA1292">
        <v>3008</v>
      </c>
      <c r="CB1292">
        <v>216</v>
      </c>
      <c r="CC1292">
        <v>462.65629999999999</v>
      </c>
      <c r="CD1292">
        <v>1</v>
      </c>
      <c r="CE1292">
        <v>1</v>
      </c>
      <c r="CF1292">
        <v>0</v>
      </c>
      <c r="CG1292">
        <v>0</v>
      </c>
      <c r="CH1292">
        <v>0</v>
      </c>
      <c r="CI1292">
        <v>0</v>
      </c>
      <c r="CJ1292">
        <v>0</v>
      </c>
      <c r="CK1292">
        <v>2</v>
      </c>
      <c r="CL1292">
        <v>0</v>
      </c>
      <c r="CM1292">
        <v>2</v>
      </c>
      <c r="CN1292">
        <v>0</v>
      </c>
      <c r="CO1292">
        <v>1</v>
      </c>
      <c r="CP1292" t="s">
        <v>119</v>
      </c>
      <c r="CQ1292">
        <v>145</v>
      </c>
      <c r="CR1292">
        <v>1</v>
      </c>
      <c r="CW1292">
        <v>9060323</v>
      </c>
      <c r="CY1292">
        <v>0</v>
      </c>
      <c r="CZ1292">
        <v>0</v>
      </c>
      <c r="DA1292">
        <v>1</v>
      </c>
      <c r="DB1292">
        <v>0</v>
      </c>
      <c r="DC1292">
        <v>0</v>
      </c>
      <c r="DD1292">
        <v>0</v>
      </c>
      <c r="DE1292">
        <v>0</v>
      </c>
      <c r="DF1292">
        <v>0</v>
      </c>
      <c r="DG1292">
        <v>0</v>
      </c>
      <c r="DH1292">
        <v>0</v>
      </c>
      <c r="DI1292">
        <v>0</v>
      </c>
    </row>
    <row r="1293" spans="1:113" x14ac:dyDescent="0.3">
      <c r="A1293" t="str">
        <f>"02/13/2022 18:43:03.571"</f>
        <v>02/13/2022 18:43:03.571</v>
      </c>
      <c r="C1293" t="str">
        <f t="shared" si="128"/>
        <v>FFDFD7C0</v>
      </c>
      <c r="D1293" t="s">
        <v>121</v>
      </c>
      <c r="E1293">
        <v>2</v>
      </c>
      <c r="H1293">
        <v>158</v>
      </c>
      <c r="I1293" t="s">
        <v>120</v>
      </c>
      <c r="J1293" t="s">
        <v>122</v>
      </c>
      <c r="K1293">
        <v>0</v>
      </c>
      <c r="L1293">
        <v>3</v>
      </c>
      <c r="M1293">
        <v>0</v>
      </c>
      <c r="N1293">
        <v>2</v>
      </c>
      <c r="O1293">
        <v>1</v>
      </c>
      <c r="P1293">
        <v>0</v>
      </c>
      <c r="Q1293">
        <v>0</v>
      </c>
      <c r="S1293" t="str">
        <f>"18:43:03.055"</f>
        <v>18:43:03.055</v>
      </c>
      <c r="T1293" t="str">
        <f>"18:43:02.255"</f>
        <v>18:43:02.255</v>
      </c>
      <c r="U1293" t="str">
        <f t="shared" si="127"/>
        <v>AAB6EE</v>
      </c>
      <c r="V1293">
        <v>0</v>
      </c>
      <c r="W1293">
        <v>0</v>
      </c>
      <c r="X1293">
        <v>4</v>
      </c>
      <c r="Z1293">
        <v>0</v>
      </c>
      <c r="AA1293">
        <v>8</v>
      </c>
      <c r="AB1293">
        <v>3</v>
      </c>
      <c r="AC1293">
        <v>0</v>
      </c>
      <c r="AD1293">
        <v>10</v>
      </c>
      <c r="AE1293">
        <v>0</v>
      </c>
      <c r="AF1293">
        <v>0</v>
      </c>
      <c r="AG1293">
        <v>2</v>
      </c>
      <c r="AH1293">
        <v>1</v>
      </c>
      <c r="AI1293" t="s">
        <v>982</v>
      </c>
      <c r="AJ1293">
        <v>35.209271999999999</v>
      </c>
      <c r="AK1293" t="s">
        <v>983</v>
      </c>
      <c r="AL1293">
        <v>-76.265716999999995</v>
      </c>
      <c r="AM1293">
        <v>25</v>
      </c>
      <c r="AN1293">
        <v>3425</v>
      </c>
      <c r="AO1293" t="s">
        <v>118</v>
      </c>
      <c r="AP1293">
        <v>105</v>
      </c>
      <c r="AQ1293">
        <v>-207</v>
      </c>
      <c r="AR1293">
        <v>-704</v>
      </c>
      <c r="AZ1293">
        <v>4516</v>
      </c>
      <c r="BA1293">
        <v>1</v>
      </c>
      <c r="BB1293" t="str">
        <f t="shared" si="129"/>
        <v xml:space="preserve">N79NX   </v>
      </c>
      <c r="BC1293">
        <v>1</v>
      </c>
      <c r="BE1293">
        <v>0</v>
      </c>
      <c r="BF1293">
        <v>0</v>
      </c>
      <c r="BG1293">
        <v>0</v>
      </c>
      <c r="BH1293">
        <v>3300</v>
      </c>
      <c r="BI1293">
        <v>0</v>
      </c>
      <c r="BJ1293">
        <v>0</v>
      </c>
      <c r="BK1293">
        <v>0</v>
      </c>
      <c r="BL1293">
        <v>0</v>
      </c>
      <c r="BO1293">
        <v>0</v>
      </c>
      <c r="BP1293">
        <v>0</v>
      </c>
      <c r="BW1293" t="str">
        <f>"18:43:03.062"</f>
        <v>18:43:03.062</v>
      </c>
      <c r="BZ1293">
        <v>0</v>
      </c>
      <c r="CA1293">
        <v>3008</v>
      </c>
      <c r="CB1293">
        <v>216</v>
      </c>
      <c r="CC1293">
        <v>462.65629999999999</v>
      </c>
      <c r="CD1293">
        <v>1</v>
      </c>
      <c r="CE1293">
        <v>1</v>
      </c>
      <c r="CF1293">
        <v>0</v>
      </c>
      <c r="CG1293">
        <v>0</v>
      </c>
      <c r="CH1293">
        <v>0</v>
      </c>
      <c r="CI1293">
        <v>0</v>
      </c>
      <c r="CJ1293">
        <v>0</v>
      </c>
      <c r="CK1293">
        <v>2</v>
      </c>
      <c r="CL1293">
        <v>0</v>
      </c>
      <c r="CM1293">
        <v>2</v>
      </c>
      <c r="CN1293">
        <v>0</v>
      </c>
      <c r="CO1293">
        <v>1</v>
      </c>
      <c r="CP1293" t="s">
        <v>119</v>
      </c>
      <c r="CQ1293">
        <v>145</v>
      </c>
      <c r="CR1293">
        <v>1</v>
      </c>
      <c r="CW1293">
        <v>9060323</v>
      </c>
      <c r="CY1293">
        <v>0</v>
      </c>
      <c r="CZ1293">
        <v>0</v>
      </c>
      <c r="DA1293">
        <v>0</v>
      </c>
      <c r="DB1293">
        <v>0</v>
      </c>
      <c r="DC1293">
        <v>0</v>
      </c>
      <c r="DD1293">
        <v>0</v>
      </c>
      <c r="DE1293">
        <v>0</v>
      </c>
      <c r="DF1293">
        <v>0</v>
      </c>
      <c r="DG1293">
        <v>0</v>
      </c>
      <c r="DH1293">
        <v>0</v>
      </c>
      <c r="DI1293">
        <v>0</v>
      </c>
    </row>
    <row r="1294" spans="1:113" x14ac:dyDescent="0.3">
      <c r="A1294" t="str">
        <f>"02/13/2022 18:43:08.559"</f>
        <v>02/13/2022 18:43:08.559</v>
      </c>
      <c r="C1294" t="str">
        <f t="shared" si="128"/>
        <v>FFDFD7C0</v>
      </c>
      <c r="D1294" t="s">
        <v>121</v>
      </c>
      <c r="E1294">
        <v>2</v>
      </c>
      <c r="H1294">
        <v>158</v>
      </c>
      <c r="I1294" t="s">
        <v>120</v>
      </c>
      <c r="J1294" t="s">
        <v>122</v>
      </c>
      <c r="K1294">
        <v>0</v>
      </c>
      <c r="L1294">
        <v>3</v>
      </c>
      <c r="M1294">
        <v>0</v>
      </c>
      <c r="N1294">
        <v>2</v>
      </c>
      <c r="O1294">
        <v>1</v>
      </c>
      <c r="P1294">
        <v>0</v>
      </c>
      <c r="Q1294">
        <v>0</v>
      </c>
      <c r="S1294" t="str">
        <f>"18:43:08.078"</f>
        <v>18:43:08.078</v>
      </c>
      <c r="T1294" t="str">
        <f>"18:43:07.478"</f>
        <v>18:43:07.478</v>
      </c>
      <c r="U1294" t="str">
        <f t="shared" si="127"/>
        <v>AAB6EE</v>
      </c>
      <c r="V1294">
        <v>0</v>
      </c>
      <c r="W1294">
        <v>0</v>
      </c>
      <c r="X1294">
        <v>4</v>
      </c>
      <c r="Z1294">
        <v>0</v>
      </c>
      <c r="AA1294">
        <v>8</v>
      </c>
      <c r="AB1294">
        <v>3</v>
      </c>
      <c r="AC1294">
        <v>0</v>
      </c>
      <c r="AD1294">
        <v>10</v>
      </c>
      <c r="AE1294">
        <v>0</v>
      </c>
      <c r="AF1294">
        <v>0</v>
      </c>
      <c r="AG1294">
        <v>2</v>
      </c>
      <c r="AH1294">
        <v>1</v>
      </c>
      <c r="AI1294" t="s">
        <v>984</v>
      </c>
      <c r="AJ1294">
        <v>35.204852000000002</v>
      </c>
      <c r="AK1294" t="s">
        <v>985</v>
      </c>
      <c r="AL1294">
        <v>-76.261939999999996</v>
      </c>
      <c r="AM1294">
        <v>25</v>
      </c>
      <c r="AN1294">
        <v>3400</v>
      </c>
      <c r="AO1294" t="s">
        <v>118</v>
      </c>
      <c r="AP1294">
        <v>149</v>
      </c>
      <c r="AQ1294">
        <v>-184</v>
      </c>
      <c r="AR1294">
        <v>-576</v>
      </c>
      <c r="AZ1294">
        <v>4516</v>
      </c>
      <c r="BA1294">
        <v>1</v>
      </c>
      <c r="BB1294" t="str">
        <f t="shared" si="129"/>
        <v xml:space="preserve">N79NX   </v>
      </c>
      <c r="BC1294">
        <v>1</v>
      </c>
      <c r="BE1294">
        <v>0</v>
      </c>
      <c r="BF1294">
        <v>0</v>
      </c>
      <c r="BG1294">
        <v>0</v>
      </c>
      <c r="BH1294">
        <v>3275</v>
      </c>
      <c r="BI1294">
        <v>0</v>
      </c>
      <c r="BJ1294">
        <v>0</v>
      </c>
      <c r="BK1294">
        <v>0</v>
      </c>
      <c r="BL1294">
        <v>0</v>
      </c>
      <c r="BO1294">
        <v>0</v>
      </c>
      <c r="BP1294">
        <v>0</v>
      </c>
      <c r="BW1294" t="str">
        <f>"18:43:08.082"</f>
        <v>18:43:08.082</v>
      </c>
      <c r="BZ1294">
        <v>0</v>
      </c>
      <c r="CA1294">
        <v>3008</v>
      </c>
      <c r="CB1294">
        <v>216</v>
      </c>
      <c r="CC1294">
        <v>462.65629999999999</v>
      </c>
      <c r="CD1294">
        <v>1</v>
      </c>
      <c r="CE1294">
        <v>1</v>
      </c>
      <c r="CF1294">
        <v>0</v>
      </c>
      <c r="CG1294">
        <v>0</v>
      </c>
      <c r="CH1294">
        <v>0</v>
      </c>
      <c r="CI1294">
        <v>0</v>
      </c>
      <c r="CJ1294">
        <v>0</v>
      </c>
      <c r="CK1294">
        <v>2</v>
      </c>
      <c r="CL1294">
        <v>0</v>
      </c>
      <c r="CM1294">
        <v>2</v>
      </c>
      <c r="CN1294">
        <v>0</v>
      </c>
      <c r="CO1294">
        <v>2</v>
      </c>
      <c r="CP1294" t="s">
        <v>119</v>
      </c>
      <c r="CQ1294">
        <v>145</v>
      </c>
      <c r="CR1294">
        <v>1</v>
      </c>
      <c r="CW1294">
        <v>9062706</v>
      </c>
      <c r="CY1294">
        <v>0</v>
      </c>
      <c r="CZ1294">
        <v>0</v>
      </c>
      <c r="DA1294">
        <v>0</v>
      </c>
      <c r="DB1294">
        <v>0</v>
      </c>
      <c r="DC1294">
        <v>0</v>
      </c>
      <c r="DD1294">
        <v>0</v>
      </c>
      <c r="DE1294">
        <v>0</v>
      </c>
      <c r="DF1294">
        <v>0</v>
      </c>
      <c r="DG1294">
        <v>0</v>
      </c>
      <c r="DH1294">
        <v>0</v>
      </c>
      <c r="DI1294">
        <v>0</v>
      </c>
    </row>
    <row r="1295" spans="1:113" x14ac:dyDescent="0.3">
      <c r="A1295" t="str">
        <f>"02/13/2022 18:43:08.591"</f>
        <v>02/13/2022 18:43:08.591</v>
      </c>
      <c r="C1295" t="str">
        <f t="shared" si="128"/>
        <v>FFDFD7C0</v>
      </c>
      <c r="D1295" t="s">
        <v>113</v>
      </c>
      <c r="E1295">
        <v>3</v>
      </c>
      <c r="F1295">
        <v>1003</v>
      </c>
      <c r="G1295" t="s">
        <v>114</v>
      </c>
      <c r="J1295" t="s">
        <v>115</v>
      </c>
      <c r="K1295">
        <v>0</v>
      </c>
      <c r="L1295">
        <v>3</v>
      </c>
      <c r="M1295">
        <v>0</v>
      </c>
      <c r="N1295">
        <v>2</v>
      </c>
      <c r="O1295">
        <v>1</v>
      </c>
      <c r="P1295">
        <v>0</v>
      </c>
      <c r="Q1295">
        <v>0</v>
      </c>
      <c r="S1295" t="str">
        <f>"18:43:08.078"</f>
        <v>18:43:08.078</v>
      </c>
      <c r="T1295" t="str">
        <f>"18:43:07.478"</f>
        <v>18:43:07.478</v>
      </c>
      <c r="U1295" t="str">
        <f t="shared" si="127"/>
        <v>AAB6EE</v>
      </c>
      <c r="V1295">
        <v>0</v>
      </c>
      <c r="W1295">
        <v>0</v>
      </c>
      <c r="X1295">
        <v>4</v>
      </c>
      <c r="Z1295">
        <v>0</v>
      </c>
      <c r="AA1295">
        <v>8</v>
      </c>
      <c r="AB1295">
        <v>3</v>
      </c>
      <c r="AC1295">
        <v>0</v>
      </c>
      <c r="AD1295">
        <v>10</v>
      </c>
      <c r="AE1295">
        <v>0</v>
      </c>
      <c r="AF1295">
        <v>0</v>
      </c>
      <c r="AG1295">
        <v>2</v>
      </c>
      <c r="AH1295">
        <v>1</v>
      </c>
      <c r="AI1295" t="s">
        <v>984</v>
      </c>
      <c r="AJ1295">
        <v>35.204852000000002</v>
      </c>
      <c r="AK1295" t="s">
        <v>985</v>
      </c>
      <c r="AL1295">
        <v>-76.261939999999996</v>
      </c>
      <c r="AM1295">
        <v>25</v>
      </c>
      <c r="AN1295">
        <v>3400</v>
      </c>
      <c r="AO1295" t="s">
        <v>118</v>
      </c>
      <c r="AP1295">
        <v>149</v>
      </c>
      <c r="AQ1295">
        <v>-184</v>
      </c>
      <c r="AR1295">
        <v>-576</v>
      </c>
      <c r="AZ1295">
        <v>4516</v>
      </c>
      <c r="BA1295">
        <v>1</v>
      </c>
      <c r="BB1295" t="str">
        <f t="shared" si="129"/>
        <v xml:space="preserve">N79NX   </v>
      </c>
      <c r="BC1295">
        <v>1</v>
      </c>
      <c r="BE1295">
        <v>0</v>
      </c>
      <c r="BF1295">
        <v>0</v>
      </c>
      <c r="BG1295">
        <v>0</v>
      </c>
      <c r="BH1295">
        <v>3275</v>
      </c>
      <c r="BI1295">
        <v>0</v>
      </c>
      <c r="BJ1295">
        <v>0</v>
      </c>
      <c r="BK1295">
        <v>0</v>
      </c>
      <c r="BL1295">
        <v>0</v>
      </c>
      <c r="BO1295">
        <v>0</v>
      </c>
      <c r="BP1295">
        <v>0</v>
      </c>
      <c r="BW1295" t="str">
        <f>"18:43:08.082"</f>
        <v>18:43:08.082</v>
      </c>
      <c r="BZ1295">
        <v>0</v>
      </c>
      <c r="CA1295">
        <v>3008</v>
      </c>
      <c r="CB1295">
        <v>216</v>
      </c>
      <c r="CC1295">
        <v>462.65629999999999</v>
      </c>
      <c r="CD1295">
        <v>1</v>
      </c>
      <c r="CE1295">
        <v>1</v>
      </c>
      <c r="CF1295">
        <v>0</v>
      </c>
      <c r="CG1295">
        <v>0</v>
      </c>
      <c r="CH1295">
        <v>0</v>
      </c>
      <c r="CI1295">
        <v>0</v>
      </c>
      <c r="CJ1295">
        <v>0</v>
      </c>
      <c r="CK1295">
        <v>2</v>
      </c>
      <c r="CL1295">
        <v>0</v>
      </c>
      <c r="CM1295">
        <v>2</v>
      </c>
      <c r="CN1295">
        <v>0</v>
      </c>
      <c r="CO1295">
        <v>2</v>
      </c>
      <c r="CP1295" t="s">
        <v>119</v>
      </c>
      <c r="CQ1295">
        <v>145</v>
      </c>
      <c r="CR1295">
        <v>1</v>
      </c>
      <c r="CW1295">
        <v>9062706</v>
      </c>
      <c r="CY1295">
        <v>0</v>
      </c>
      <c r="CZ1295">
        <v>0</v>
      </c>
      <c r="DA1295">
        <v>1</v>
      </c>
      <c r="DB1295">
        <v>0</v>
      </c>
      <c r="DC1295">
        <v>0</v>
      </c>
      <c r="DD1295">
        <v>0</v>
      </c>
      <c r="DE1295">
        <v>0</v>
      </c>
      <c r="DF1295">
        <v>0</v>
      </c>
      <c r="DG1295">
        <v>0</v>
      </c>
      <c r="DH1295">
        <v>0</v>
      </c>
      <c r="DI1295">
        <v>0</v>
      </c>
    </row>
    <row r="1296" spans="1:113" x14ac:dyDescent="0.3">
      <c r="A1296" t="str">
        <f>"02/13/2022 18:43:08.591"</f>
        <v>02/13/2022 18:43:08.591</v>
      </c>
      <c r="C1296" t="str">
        <f t="shared" si="128"/>
        <v>FFDFD7C0</v>
      </c>
      <c r="D1296" t="s">
        <v>113</v>
      </c>
      <c r="E1296">
        <v>4</v>
      </c>
      <c r="F1296">
        <v>1004</v>
      </c>
      <c r="G1296" t="s">
        <v>120</v>
      </c>
      <c r="J1296" t="s">
        <v>115</v>
      </c>
      <c r="K1296">
        <v>0</v>
      </c>
      <c r="L1296">
        <v>3</v>
      </c>
      <c r="M1296">
        <v>0</v>
      </c>
      <c r="N1296">
        <v>2</v>
      </c>
      <c r="O1296">
        <v>1</v>
      </c>
      <c r="P1296">
        <v>0</v>
      </c>
      <c r="Q1296">
        <v>0</v>
      </c>
      <c r="S1296" t="str">
        <f>"18:43:08.078"</f>
        <v>18:43:08.078</v>
      </c>
      <c r="T1296" t="str">
        <f>"18:43:07.478"</f>
        <v>18:43:07.478</v>
      </c>
      <c r="U1296" t="str">
        <f t="shared" si="127"/>
        <v>AAB6EE</v>
      </c>
      <c r="V1296">
        <v>0</v>
      </c>
      <c r="W1296">
        <v>0</v>
      </c>
      <c r="X1296">
        <v>4</v>
      </c>
      <c r="Z1296">
        <v>0</v>
      </c>
      <c r="AA1296">
        <v>8</v>
      </c>
      <c r="AB1296">
        <v>3</v>
      </c>
      <c r="AC1296">
        <v>0</v>
      </c>
      <c r="AD1296">
        <v>10</v>
      </c>
      <c r="AE1296">
        <v>0</v>
      </c>
      <c r="AF1296">
        <v>0</v>
      </c>
      <c r="AG1296">
        <v>2</v>
      </c>
      <c r="AH1296">
        <v>1</v>
      </c>
      <c r="AI1296" t="s">
        <v>984</v>
      </c>
      <c r="AJ1296">
        <v>35.204852000000002</v>
      </c>
      <c r="AK1296" t="s">
        <v>985</v>
      </c>
      <c r="AL1296">
        <v>-76.261939999999996</v>
      </c>
      <c r="AM1296">
        <v>25</v>
      </c>
      <c r="AN1296">
        <v>3400</v>
      </c>
      <c r="AO1296" t="s">
        <v>118</v>
      </c>
      <c r="AP1296">
        <v>149</v>
      </c>
      <c r="AQ1296">
        <v>-184</v>
      </c>
      <c r="AR1296">
        <v>-576</v>
      </c>
      <c r="AZ1296">
        <v>4516</v>
      </c>
      <c r="BA1296">
        <v>1</v>
      </c>
      <c r="BB1296" t="str">
        <f t="shared" si="129"/>
        <v xml:space="preserve">N79NX   </v>
      </c>
      <c r="BC1296">
        <v>1</v>
      </c>
      <c r="BE1296">
        <v>0</v>
      </c>
      <c r="BF1296">
        <v>0</v>
      </c>
      <c r="BG1296">
        <v>0</v>
      </c>
      <c r="BH1296">
        <v>3275</v>
      </c>
      <c r="BI1296">
        <v>0</v>
      </c>
      <c r="BJ1296">
        <v>0</v>
      </c>
      <c r="BK1296">
        <v>0</v>
      </c>
      <c r="BL1296">
        <v>0</v>
      </c>
      <c r="BO1296">
        <v>0</v>
      </c>
      <c r="BP1296">
        <v>0</v>
      </c>
      <c r="BW1296" t="str">
        <f>"18:43:08.082"</f>
        <v>18:43:08.082</v>
      </c>
      <c r="BZ1296">
        <v>0</v>
      </c>
      <c r="CA1296">
        <v>3008</v>
      </c>
      <c r="CB1296">
        <v>216</v>
      </c>
      <c r="CC1296">
        <v>462.65629999999999</v>
      </c>
      <c r="CD1296">
        <v>1</v>
      </c>
      <c r="CE1296">
        <v>1</v>
      </c>
      <c r="CF1296">
        <v>0</v>
      </c>
      <c r="CG1296">
        <v>0</v>
      </c>
      <c r="CH1296">
        <v>0</v>
      </c>
      <c r="CI1296">
        <v>0</v>
      </c>
      <c r="CJ1296">
        <v>0</v>
      </c>
      <c r="CK1296">
        <v>2</v>
      </c>
      <c r="CL1296">
        <v>0</v>
      </c>
      <c r="CM1296">
        <v>2</v>
      </c>
      <c r="CN1296">
        <v>0</v>
      </c>
      <c r="CO1296">
        <v>2</v>
      </c>
      <c r="CP1296" t="s">
        <v>119</v>
      </c>
      <c r="CQ1296">
        <v>145</v>
      </c>
      <c r="CR1296">
        <v>1</v>
      </c>
      <c r="CW1296">
        <v>9062706</v>
      </c>
      <c r="CY1296">
        <v>0</v>
      </c>
      <c r="CZ1296">
        <v>0</v>
      </c>
      <c r="DA1296">
        <v>1</v>
      </c>
      <c r="DB1296">
        <v>0</v>
      </c>
      <c r="DC1296">
        <v>0</v>
      </c>
      <c r="DD1296">
        <v>0</v>
      </c>
      <c r="DE1296">
        <v>0</v>
      </c>
      <c r="DF1296">
        <v>0</v>
      </c>
      <c r="DG1296">
        <v>0</v>
      </c>
      <c r="DH1296">
        <v>0</v>
      </c>
      <c r="DI1296">
        <v>0</v>
      </c>
    </row>
    <row r="1297" spans="1:113" x14ac:dyDescent="0.3">
      <c r="A1297" t="str">
        <f>"02/13/2022 18:43:09.529"</f>
        <v>02/13/2022 18:43:09.529</v>
      </c>
      <c r="C1297" t="str">
        <f t="shared" si="128"/>
        <v>FFDFD7C0</v>
      </c>
      <c r="D1297" t="s">
        <v>121</v>
      </c>
      <c r="E1297">
        <v>2</v>
      </c>
      <c r="H1297">
        <v>158</v>
      </c>
      <c r="I1297" t="s">
        <v>120</v>
      </c>
      <c r="J1297" t="s">
        <v>122</v>
      </c>
      <c r="K1297">
        <v>0</v>
      </c>
      <c r="L1297">
        <v>3</v>
      </c>
      <c r="M1297">
        <v>0</v>
      </c>
      <c r="N1297">
        <v>2</v>
      </c>
      <c r="O1297">
        <v>1</v>
      </c>
      <c r="P1297">
        <v>0</v>
      </c>
      <c r="Q1297">
        <v>0</v>
      </c>
      <c r="S1297" t="str">
        <f>"18:43:09.047"</f>
        <v>18:43:09.047</v>
      </c>
      <c r="T1297" t="str">
        <f>"18:43:07.447"</f>
        <v>18:43:07.447</v>
      </c>
      <c r="U1297" t="str">
        <f t="shared" si="127"/>
        <v>AAB6EE</v>
      </c>
      <c r="V1297">
        <v>0</v>
      </c>
      <c r="W1297">
        <v>0</v>
      </c>
      <c r="X1297">
        <v>4</v>
      </c>
      <c r="Z1297">
        <v>0</v>
      </c>
      <c r="AA1297">
        <v>8</v>
      </c>
      <c r="AB1297">
        <v>3</v>
      </c>
      <c r="AC1297">
        <v>0</v>
      </c>
      <c r="AD1297">
        <v>10</v>
      </c>
      <c r="AE1297">
        <v>0</v>
      </c>
      <c r="AF1297">
        <v>0</v>
      </c>
      <c r="AG1297">
        <v>2</v>
      </c>
      <c r="AH1297">
        <v>1</v>
      </c>
      <c r="AI1297" t="s">
        <v>986</v>
      </c>
      <c r="AJ1297">
        <v>35.204014999999998</v>
      </c>
      <c r="AK1297" t="s">
        <v>987</v>
      </c>
      <c r="AL1297">
        <v>-76.261016999999995</v>
      </c>
      <c r="AM1297">
        <v>25</v>
      </c>
      <c r="AN1297">
        <v>3400</v>
      </c>
      <c r="AO1297" t="s">
        <v>118</v>
      </c>
      <c r="AP1297">
        <v>149</v>
      </c>
      <c r="AQ1297">
        <v>-184</v>
      </c>
      <c r="AR1297">
        <v>-576</v>
      </c>
      <c r="AZ1297">
        <v>4516</v>
      </c>
      <c r="BA1297">
        <v>1</v>
      </c>
      <c r="BB1297" t="str">
        <f t="shared" si="129"/>
        <v xml:space="preserve">N79NX   </v>
      </c>
      <c r="BC1297">
        <v>1</v>
      </c>
      <c r="BE1297">
        <v>0</v>
      </c>
      <c r="BF1297">
        <v>0</v>
      </c>
      <c r="BG1297">
        <v>0</v>
      </c>
      <c r="BH1297">
        <v>3275</v>
      </c>
      <c r="BI1297">
        <v>0</v>
      </c>
      <c r="BJ1297">
        <v>0</v>
      </c>
      <c r="BK1297">
        <v>0</v>
      </c>
      <c r="BL1297">
        <v>0</v>
      </c>
      <c r="BO1297">
        <v>0</v>
      </c>
      <c r="BP1297">
        <v>0</v>
      </c>
      <c r="BW1297" t="str">
        <f>"18:43:09.052"</f>
        <v>18:43:09.052</v>
      </c>
      <c r="BZ1297">
        <v>0</v>
      </c>
      <c r="CA1297">
        <v>3008</v>
      </c>
      <c r="CB1297">
        <v>216</v>
      </c>
      <c r="CC1297">
        <v>462.65629999999999</v>
      </c>
      <c r="CD1297">
        <v>1</v>
      </c>
      <c r="CE1297">
        <v>1</v>
      </c>
      <c r="CF1297">
        <v>0</v>
      </c>
      <c r="CG1297">
        <v>0</v>
      </c>
      <c r="CH1297">
        <v>0</v>
      </c>
      <c r="CI1297">
        <v>0</v>
      </c>
      <c r="CJ1297">
        <v>0</v>
      </c>
      <c r="CK1297">
        <v>2</v>
      </c>
      <c r="CL1297">
        <v>0</v>
      </c>
      <c r="CM1297">
        <v>2</v>
      </c>
      <c r="CN1297">
        <v>0</v>
      </c>
      <c r="CO1297">
        <v>1</v>
      </c>
      <c r="CP1297" t="s">
        <v>119</v>
      </c>
      <c r="CQ1297">
        <v>145</v>
      </c>
      <c r="CR1297">
        <v>1</v>
      </c>
      <c r="CW1297">
        <v>9063115</v>
      </c>
      <c r="CY1297">
        <v>0</v>
      </c>
      <c r="CZ1297">
        <v>0</v>
      </c>
      <c r="DA1297">
        <v>0</v>
      </c>
      <c r="DB1297">
        <v>0</v>
      </c>
      <c r="DC1297">
        <v>0</v>
      </c>
      <c r="DD1297">
        <v>0</v>
      </c>
      <c r="DE1297">
        <v>0</v>
      </c>
      <c r="DF1297">
        <v>0</v>
      </c>
      <c r="DG1297">
        <v>0</v>
      </c>
      <c r="DH1297">
        <v>0</v>
      </c>
      <c r="DI1297">
        <v>0</v>
      </c>
    </row>
    <row r="1298" spans="1:113" x14ac:dyDescent="0.3">
      <c r="A1298" t="str">
        <f>"02/13/2022 18:43:09.530"</f>
        <v>02/13/2022 18:43:09.530</v>
      </c>
      <c r="C1298" t="str">
        <f t="shared" si="128"/>
        <v>FFDFD7C0</v>
      </c>
      <c r="D1298" t="s">
        <v>113</v>
      </c>
      <c r="E1298">
        <v>3</v>
      </c>
      <c r="F1298">
        <v>1003</v>
      </c>
      <c r="G1298" t="s">
        <v>114</v>
      </c>
      <c r="J1298" t="s">
        <v>115</v>
      </c>
      <c r="K1298">
        <v>0</v>
      </c>
      <c r="L1298">
        <v>3</v>
      </c>
      <c r="M1298">
        <v>0</v>
      </c>
      <c r="N1298">
        <v>2</v>
      </c>
      <c r="O1298">
        <v>1</v>
      </c>
      <c r="P1298">
        <v>0</v>
      </c>
      <c r="Q1298">
        <v>0</v>
      </c>
      <c r="S1298" t="str">
        <f>"18:43:09.047"</f>
        <v>18:43:09.047</v>
      </c>
      <c r="T1298" t="str">
        <f>"18:43:07.447"</f>
        <v>18:43:07.447</v>
      </c>
      <c r="U1298" t="str">
        <f t="shared" si="127"/>
        <v>AAB6EE</v>
      </c>
      <c r="V1298">
        <v>0</v>
      </c>
      <c r="W1298">
        <v>0</v>
      </c>
      <c r="X1298">
        <v>4</v>
      </c>
      <c r="Z1298">
        <v>0</v>
      </c>
      <c r="AA1298">
        <v>8</v>
      </c>
      <c r="AB1298">
        <v>3</v>
      </c>
      <c r="AC1298">
        <v>0</v>
      </c>
      <c r="AD1298">
        <v>10</v>
      </c>
      <c r="AE1298">
        <v>0</v>
      </c>
      <c r="AF1298">
        <v>0</v>
      </c>
      <c r="AG1298">
        <v>2</v>
      </c>
      <c r="AH1298">
        <v>1</v>
      </c>
      <c r="AI1298" t="s">
        <v>986</v>
      </c>
      <c r="AJ1298">
        <v>35.204014999999998</v>
      </c>
      <c r="AK1298" t="s">
        <v>987</v>
      </c>
      <c r="AL1298">
        <v>-76.261016999999995</v>
      </c>
      <c r="AM1298">
        <v>25</v>
      </c>
      <c r="AN1298">
        <v>3400</v>
      </c>
      <c r="AO1298" t="s">
        <v>118</v>
      </c>
      <c r="AP1298">
        <v>149</v>
      </c>
      <c r="AQ1298">
        <v>-184</v>
      </c>
      <c r="AR1298">
        <v>-576</v>
      </c>
      <c r="AZ1298">
        <v>4516</v>
      </c>
      <c r="BA1298">
        <v>1</v>
      </c>
      <c r="BB1298" t="str">
        <f t="shared" si="129"/>
        <v xml:space="preserve">N79NX   </v>
      </c>
      <c r="BC1298">
        <v>1</v>
      </c>
      <c r="BE1298">
        <v>0</v>
      </c>
      <c r="BF1298">
        <v>0</v>
      </c>
      <c r="BG1298">
        <v>0</v>
      </c>
      <c r="BH1298">
        <v>3275</v>
      </c>
      <c r="BI1298">
        <v>0</v>
      </c>
      <c r="BJ1298">
        <v>0</v>
      </c>
      <c r="BK1298">
        <v>0</v>
      </c>
      <c r="BL1298">
        <v>0</v>
      </c>
      <c r="BO1298">
        <v>0</v>
      </c>
      <c r="BP1298">
        <v>0</v>
      </c>
      <c r="BW1298" t="str">
        <f>"18:43:09.052"</f>
        <v>18:43:09.052</v>
      </c>
      <c r="BZ1298">
        <v>0</v>
      </c>
      <c r="CA1298">
        <v>3008</v>
      </c>
      <c r="CB1298">
        <v>216</v>
      </c>
      <c r="CC1298">
        <v>462.65629999999999</v>
      </c>
      <c r="CD1298">
        <v>1</v>
      </c>
      <c r="CE1298">
        <v>1</v>
      </c>
      <c r="CF1298">
        <v>0</v>
      </c>
      <c r="CG1298">
        <v>0</v>
      </c>
      <c r="CH1298">
        <v>0</v>
      </c>
      <c r="CI1298">
        <v>0</v>
      </c>
      <c r="CJ1298">
        <v>0</v>
      </c>
      <c r="CK1298">
        <v>2</v>
      </c>
      <c r="CL1298">
        <v>0</v>
      </c>
      <c r="CM1298">
        <v>2</v>
      </c>
      <c r="CN1298">
        <v>0</v>
      </c>
      <c r="CO1298">
        <v>1</v>
      </c>
      <c r="CP1298" t="s">
        <v>119</v>
      </c>
      <c r="CQ1298">
        <v>145</v>
      </c>
      <c r="CR1298">
        <v>1</v>
      </c>
      <c r="CW1298">
        <v>9063115</v>
      </c>
      <c r="CY1298">
        <v>0</v>
      </c>
      <c r="CZ1298">
        <v>0</v>
      </c>
      <c r="DA1298">
        <v>1</v>
      </c>
      <c r="DB1298">
        <v>0</v>
      </c>
      <c r="DC1298">
        <v>0</v>
      </c>
      <c r="DD1298">
        <v>0</v>
      </c>
      <c r="DE1298">
        <v>0</v>
      </c>
      <c r="DF1298">
        <v>0</v>
      </c>
      <c r="DG1298">
        <v>0</v>
      </c>
      <c r="DH1298">
        <v>0</v>
      </c>
      <c r="DI1298">
        <v>0</v>
      </c>
    </row>
    <row r="1299" spans="1:113" x14ac:dyDescent="0.3">
      <c r="A1299" t="str">
        <f>"02/13/2022 18:43:09.530"</f>
        <v>02/13/2022 18:43:09.530</v>
      </c>
      <c r="C1299" t="str">
        <f t="shared" si="128"/>
        <v>FFDFD7C0</v>
      </c>
      <c r="D1299" t="s">
        <v>113</v>
      </c>
      <c r="E1299">
        <v>4</v>
      </c>
      <c r="F1299">
        <v>1004</v>
      </c>
      <c r="G1299" t="s">
        <v>120</v>
      </c>
      <c r="J1299" t="s">
        <v>115</v>
      </c>
      <c r="K1299">
        <v>0</v>
      </c>
      <c r="L1299">
        <v>3</v>
      </c>
      <c r="M1299">
        <v>0</v>
      </c>
      <c r="N1299">
        <v>2</v>
      </c>
      <c r="O1299">
        <v>1</v>
      </c>
      <c r="P1299">
        <v>0</v>
      </c>
      <c r="Q1299">
        <v>0</v>
      </c>
      <c r="S1299" t="str">
        <f>"18:43:09.047"</f>
        <v>18:43:09.047</v>
      </c>
      <c r="T1299" t="str">
        <f>"18:43:07.447"</f>
        <v>18:43:07.447</v>
      </c>
      <c r="U1299" t="str">
        <f t="shared" si="127"/>
        <v>AAB6EE</v>
      </c>
      <c r="V1299">
        <v>0</v>
      </c>
      <c r="W1299">
        <v>0</v>
      </c>
      <c r="X1299">
        <v>4</v>
      </c>
      <c r="Z1299">
        <v>0</v>
      </c>
      <c r="AA1299">
        <v>8</v>
      </c>
      <c r="AB1299">
        <v>3</v>
      </c>
      <c r="AC1299">
        <v>0</v>
      </c>
      <c r="AD1299">
        <v>10</v>
      </c>
      <c r="AE1299">
        <v>0</v>
      </c>
      <c r="AF1299">
        <v>0</v>
      </c>
      <c r="AG1299">
        <v>2</v>
      </c>
      <c r="AH1299">
        <v>1</v>
      </c>
      <c r="AI1299" t="s">
        <v>986</v>
      </c>
      <c r="AJ1299">
        <v>35.204014999999998</v>
      </c>
      <c r="AK1299" t="s">
        <v>987</v>
      </c>
      <c r="AL1299">
        <v>-76.261016999999995</v>
      </c>
      <c r="AM1299">
        <v>25</v>
      </c>
      <c r="AN1299">
        <v>3400</v>
      </c>
      <c r="AO1299" t="s">
        <v>118</v>
      </c>
      <c r="AP1299">
        <v>149</v>
      </c>
      <c r="AQ1299">
        <v>-184</v>
      </c>
      <c r="AR1299">
        <v>-576</v>
      </c>
      <c r="AZ1299">
        <v>4516</v>
      </c>
      <c r="BA1299">
        <v>1</v>
      </c>
      <c r="BB1299" t="str">
        <f t="shared" si="129"/>
        <v xml:space="preserve">N79NX   </v>
      </c>
      <c r="BC1299">
        <v>1</v>
      </c>
      <c r="BE1299">
        <v>0</v>
      </c>
      <c r="BF1299">
        <v>0</v>
      </c>
      <c r="BG1299">
        <v>0</v>
      </c>
      <c r="BH1299">
        <v>3275</v>
      </c>
      <c r="BI1299">
        <v>0</v>
      </c>
      <c r="BJ1299">
        <v>0</v>
      </c>
      <c r="BK1299">
        <v>0</v>
      </c>
      <c r="BL1299">
        <v>0</v>
      </c>
      <c r="BO1299">
        <v>0</v>
      </c>
      <c r="BP1299">
        <v>0</v>
      </c>
      <c r="BW1299" t="str">
        <f>"18:43:09.052"</f>
        <v>18:43:09.052</v>
      </c>
      <c r="BZ1299">
        <v>0</v>
      </c>
      <c r="CA1299">
        <v>3008</v>
      </c>
      <c r="CB1299">
        <v>216</v>
      </c>
      <c r="CC1299">
        <v>462.65629999999999</v>
      </c>
      <c r="CD1299">
        <v>1</v>
      </c>
      <c r="CE1299">
        <v>1</v>
      </c>
      <c r="CF1299">
        <v>0</v>
      </c>
      <c r="CG1299">
        <v>0</v>
      </c>
      <c r="CH1299">
        <v>0</v>
      </c>
      <c r="CI1299">
        <v>0</v>
      </c>
      <c r="CJ1299">
        <v>0</v>
      </c>
      <c r="CK1299">
        <v>2</v>
      </c>
      <c r="CL1299">
        <v>0</v>
      </c>
      <c r="CM1299">
        <v>2</v>
      </c>
      <c r="CN1299">
        <v>0</v>
      </c>
      <c r="CO1299">
        <v>1</v>
      </c>
      <c r="CP1299" t="s">
        <v>119</v>
      </c>
      <c r="CQ1299">
        <v>145</v>
      </c>
      <c r="CR1299">
        <v>1</v>
      </c>
      <c r="CW1299">
        <v>9063115</v>
      </c>
      <c r="CY1299">
        <v>0</v>
      </c>
      <c r="CZ1299">
        <v>0</v>
      </c>
      <c r="DA1299">
        <v>1</v>
      </c>
      <c r="DB1299">
        <v>0</v>
      </c>
      <c r="DC1299">
        <v>0</v>
      </c>
      <c r="DD1299">
        <v>0</v>
      </c>
      <c r="DE1299">
        <v>0</v>
      </c>
      <c r="DF1299">
        <v>0</v>
      </c>
      <c r="DG1299">
        <v>0</v>
      </c>
      <c r="DH1299">
        <v>0</v>
      </c>
      <c r="DI1299">
        <v>0</v>
      </c>
    </row>
    <row r="1300" spans="1:113" x14ac:dyDescent="0.3">
      <c r="A1300" t="str">
        <f>"02/13/2022 18:43:13.438"</f>
        <v>02/13/2022 18:43:13.438</v>
      </c>
      <c r="C1300" t="str">
        <f t="shared" si="128"/>
        <v>FFDFD7C0</v>
      </c>
      <c r="D1300" t="s">
        <v>121</v>
      </c>
      <c r="E1300">
        <v>2</v>
      </c>
      <c r="H1300">
        <v>158</v>
      </c>
      <c r="I1300" t="s">
        <v>120</v>
      </c>
      <c r="J1300" t="s">
        <v>122</v>
      </c>
      <c r="K1300">
        <v>0</v>
      </c>
      <c r="L1300">
        <v>3</v>
      </c>
      <c r="M1300">
        <v>0</v>
      </c>
      <c r="N1300">
        <v>2</v>
      </c>
      <c r="O1300">
        <v>1</v>
      </c>
      <c r="P1300">
        <v>0</v>
      </c>
      <c r="Q1300">
        <v>0</v>
      </c>
      <c r="S1300" t="str">
        <f>"18:43:12.906"</f>
        <v>18:43:12.906</v>
      </c>
      <c r="T1300" t="str">
        <f>"18:43:11.606"</f>
        <v>18:43:11.606</v>
      </c>
      <c r="U1300" t="str">
        <f t="shared" si="127"/>
        <v>AAB6EE</v>
      </c>
      <c r="V1300">
        <v>0</v>
      </c>
      <c r="W1300">
        <v>0</v>
      </c>
      <c r="X1300">
        <v>4</v>
      </c>
      <c r="Z1300">
        <v>0</v>
      </c>
      <c r="AA1300">
        <v>8</v>
      </c>
      <c r="AB1300">
        <v>3</v>
      </c>
      <c r="AC1300">
        <v>0</v>
      </c>
      <c r="AD1300">
        <v>10</v>
      </c>
      <c r="AE1300">
        <v>0</v>
      </c>
      <c r="AF1300">
        <v>0</v>
      </c>
      <c r="AG1300">
        <v>2</v>
      </c>
      <c r="AH1300">
        <v>1</v>
      </c>
      <c r="AI1300" t="s">
        <v>988</v>
      </c>
      <c r="AJ1300">
        <v>35.201075000000003</v>
      </c>
      <c r="AK1300" t="s">
        <v>989</v>
      </c>
      <c r="AL1300">
        <v>-76.257176000000001</v>
      </c>
      <c r="AM1300">
        <v>25</v>
      </c>
      <c r="AN1300">
        <v>3350</v>
      </c>
      <c r="AO1300" t="s">
        <v>118</v>
      </c>
      <c r="AP1300">
        <v>179</v>
      </c>
      <c r="AQ1300">
        <v>-160</v>
      </c>
      <c r="AR1300">
        <v>-640</v>
      </c>
      <c r="AZ1300">
        <v>4516</v>
      </c>
      <c r="BA1300">
        <v>1</v>
      </c>
      <c r="BB1300" t="str">
        <f t="shared" si="129"/>
        <v xml:space="preserve">N79NX   </v>
      </c>
      <c r="BC1300">
        <v>1</v>
      </c>
      <c r="BE1300">
        <v>0</v>
      </c>
      <c r="BF1300">
        <v>0</v>
      </c>
      <c r="BG1300">
        <v>0</v>
      </c>
      <c r="BH1300">
        <v>3250</v>
      </c>
      <c r="BI1300">
        <v>0</v>
      </c>
      <c r="BJ1300">
        <v>0</v>
      </c>
      <c r="BK1300">
        <v>0</v>
      </c>
      <c r="BL1300">
        <v>0</v>
      </c>
      <c r="BO1300">
        <v>0</v>
      </c>
      <c r="BP1300">
        <v>0</v>
      </c>
      <c r="BW1300" t="str">
        <f>"18:43:12.912"</f>
        <v>18:43:12.912</v>
      </c>
      <c r="BZ1300">
        <v>0</v>
      </c>
      <c r="CA1300">
        <v>3008</v>
      </c>
      <c r="CB1300">
        <v>216</v>
      </c>
      <c r="CC1300">
        <v>462.65629999999999</v>
      </c>
      <c r="CD1300">
        <v>1</v>
      </c>
      <c r="CE1300">
        <v>1</v>
      </c>
      <c r="CF1300">
        <v>0</v>
      </c>
      <c r="CG1300">
        <v>0</v>
      </c>
      <c r="CH1300">
        <v>0</v>
      </c>
      <c r="CI1300">
        <v>0</v>
      </c>
      <c r="CJ1300">
        <v>0</v>
      </c>
      <c r="CK1300">
        <v>2</v>
      </c>
      <c r="CL1300">
        <v>0</v>
      </c>
      <c r="CM1300">
        <v>2</v>
      </c>
      <c r="CN1300">
        <v>0</v>
      </c>
      <c r="CO1300">
        <v>1</v>
      </c>
      <c r="CP1300" t="s">
        <v>119</v>
      </c>
      <c r="CQ1300">
        <v>145</v>
      </c>
      <c r="CR1300">
        <v>1</v>
      </c>
      <c r="CW1300">
        <v>9064970</v>
      </c>
      <c r="CY1300">
        <v>0</v>
      </c>
      <c r="CZ1300">
        <v>0</v>
      </c>
      <c r="DA1300">
        <v>0</v>
      </c>
      <c r="DB1300">
        <v>0</v>
      </c>
      <c r="DC1300">
        <v>0</v>
      </c>
      <c r="DD1300">
        <v>0</v>
      </c>
      <c r="DE1300">
        <v>0</v>
      </c>
      <c r="DF1300">
        <v>0</v>
      </c>
      <c r="DG1300">
        <v>0</v>
      </c>
      <c r="DH1300">
        <v>0</v>
      </c>
      <c r="DI1300">
        <v>0</v>
      </c>
    </row>
    <row r="1301" spans="1:113" x14ac:dyDescent="0.3">
      <c r="A1301" t="str">
        <f>"02/13/2022 18:43:13.438"</f>
        <v>02/13/2022 18:43:13.438</v>
      </c>
      <c r="C1301" t="str">
        <f t="shared" si="128"/>
        <v>FFDFD7C0</v>
      </c>
      <c r="D1301" t="s">
        <v>113</v>
      </c>
      <c r="E1301">
        <v>3</v>
      </c>
      <c r="F1301">
        <v>1003</v>
      </c>
      <c r="G1301" t="s">
        <v>114</v>
      </c>
      <c r="J1301" t="s">
        <v>115</v>
      </c>
      <c r="K1301">
        <v>0</v>
      </c>
      <c r="L1301">
        <v>3</v>
      </c>
      <c r="M1301">
        <v>0</v>
      </c>
      <c r="N1301">
        <v>2</v>
      </c>
      <c r="O1301">
        <v>1</v>
      </c>
      <c r="P1301">
        <v>0</v>
      </c>
      <c r="Q1301">
        <v>0</v>
      </c>
      <c r="S1301" t="str">
        <f>"18:43:12.906"</f>
        <v>18:43:12.906</v>
      </c>
      <c r="T1301" t="str">
        <f>"18:43:11.606"</f>
        <v>18:43:11.606</v>
      </c>
      <c r="U1301" t="str">
        <f t="shared" si="127"/>
        <v>AAB6EE</v>
      </c>
      <c r="V1301">
        <v>0</v>
      </c>
      <c r="W1301">
        <v>0</v>
      </c>
      <c r="X1301">
        <v>4</v>
      </c>
      <c r="Z1301">
        <v>0</v>
      </c>
      <c r="AA1301">
        <v>8</v>
      </c>
      <c r="AB1301">
        <v>3</v>
      </c>
      <c r="AC1301">
        <v>0</v>
      </c>
      <c r="AD1301">
        <v>10</v>
      </c>
      <c r="AE1301">
        <v>0</v>
      </c>
      <c r="AF1301">
        <v>0</v>
      </c>
      <c r="AG1301">
        <v>2</v>
      </c>
      <c r="AH1301">
        <v>1</v>
      </c>
      <c r="AI1301" t="s">
        <v>988</v>
      </c>
      <c r="AJ1301">
        <v>35.201075000000003</v>
      </c>
      <c r="AK1301" t="s">
        <v>989</v>
      </c>
      <c r="AL1301">
        <v>-76.257176000000001</v>
      </c>
      <c r="AM1301">
        <v>25</v>
      </c>
      <c r="AN1301">
        <v>3350</v>
      </c>
      <c r="AO1301" t="s">
        <v>118</v>
      </c>
      <c r="AP1301">
        <v>179</v>
      </c>
      <c r="AQ1301">
        <v>-160</v>
      </c>
      <c r="AR1301">
        <v>-640</v>
      </c>
      <c r="AZ1301">
        <v>4516</v>
      </c>
      <c r="BA1301">
        <v>1</v>
      </c>
      <c r="BB1301" t="str">
        <f t="shared" si="129"/>
        <v xml:space="preserve">N79NX   </v>
      </c>
      <c r="BC1301">
        <v>1</v>
      </c>
      <c r="BE1301">
        <v>0</v>
      </c>
      <c r="BF1301">
        <v>0</v>
      </c>
      <c r="BG1301">
        <v>0</v>
      </c>
      <c r="BH1301">
        <v>3250</v>
      </c>
      <c r="BI1301">
        <v>0</v>
      </c>
      <c r="BJ1301">
        <v>0</v>
      </c>
      <c r="BK1301">
        <v>0</v>
      </c>
      <c r="BL1301">
        <v>0</v>
      </c>
      <c r="BO1301">
        <v>0</v>
      </c>
      <c r="BP1301">
        <v>0</v>
      </c>
      <c r="BW1301" t="str">
        <f>"18:43:12.912"</f>
        <v>18:43:12.912</v>
      </c>
      <c r="BZ1301">
        <v>0</v>
      </c>
      <c r="CA1301">
        <v>3008</v>
      </c>
      <c r="CB1301">
        <v>216</v>
      </c>
      <c r="CC1301">
        <v>462.65629999999999</v>
      </c>
      <c r="CD1301">
        <v>1</v>
      </c>
      <c r="CE1301">
        <v>1</v>
      </c>
      <c r="CF1301">
        <v>0</v>
      </c>
      <c r="CG1301">
        <v>0</v>
      </c>
      <c r="CH1301">
        <v>0</v>
      </c>
      <c r="CI1301">
        <v>0</v>
      </c>
      <c r="CJ1301">
        <v>0</v>
      </c>
      <c r="CK1301">
        <v>2</v>
      </c>
      <c r="CL1301">
        <v>0</v>
      </c>
      <c r="CM1301">
        <v>2</v>
      </c>
      <c r="CN1301">
        <v>0</v>
      </c>
      <c r="CO1301">
        <v>1</v>
      </c>
      <c r="CP1301" t="s">
        <v>119</v>
      </c>
      <c r="CQ1301">
        <v>145</v>
      </c>
      <c r="CR1301">
        <v>1</v>
      </c>
      <c r="CW1301">
        <v>9064970</v>
      </c>
      <c r="CY1301">
        <v>0</v>
      </c>
      <c r="CZ1301">
        <v>0</v>
      </c>
      <c r="DA1301">
        <v>1</v>
      </c>
      <c r="DB1301">
        <v>0</v>
      </c>
      <c r="DC1301">
        <v>0</v>
      </c>
      <c r="DD1301">
        <v>0</v>
      </c>
      <c r="DE1301">
        <v>0</v>
      </c>
      <c r="DF1301">
        <v>0</v>
      </c>
      <c r="DG1301">
        <v>0</v>
      </c>
      <c r="DH1301">
        <v>0</v>
      </c>
      <c r="DI1301">
        <v>0</v>
      </c>
    </row>
    <row r="1302" spans="1:113" x14ac:dyDescent="0.3">
      <c r="A1302" t="str">
        <f>"02/13/2022 18:43:13.438"</f>
        <v>02/13/2022 18:43:13.438</v>
      </c>
      <c r="C1302" t="str">
        <f t="shared" si="128"/>
        <v>FFDFD7C0</v>
      </c>
      <c r="D1302" t="s">
        <v>113</v>
      </c>
      <c r="E1302">
        <v>4</v>
      </c>
      <c r="F1302">
        <v>1004</v>
      </c>
      <c r="G1302" t="s">
        <v>120</v>
      </c>
      <c r="J1302" t="s">
        <v>115</v>
      </c>
      <c r="K1302">
        <v>0</v>
      </c>
      <c r="L1302">
        <v>3</v>
      </c>
      <c r="M1302">
        <v>0</v>
      </c>
      <c r="N1302">
        <v>2</v>
      </c>
      <c r="O1302">
        <v>1</v>
      </c>
      <c r="P1302">
        <v>0</v>
      </c>
      <c r="Q1302">
        <v>0</v>
      </c>
      <c r="S1302" t="str">
        <f>"18:43:12.906"</f>
        <v>18:43:12.906</v>
      </c>
      <c r="T1302" t="str">
        <f>"18:43:11.606"</f>
        <v>18:43:11.606</v>
      </c>
      <c r="U1302" t="str">
        <f t="shared" si="127"/>
        <v>AAB6EE</v>
      </c>
      <c r="V1302">
        <v>0</v>
      </c>
      <c r="W1302">
        <v>0</v>
      </c>
      <c r="X1302">
        <v>4</v>
      </c>
      <c r="Z1302">
        <v>0</v>
      </c>
      <c r="AA1302">
        <v>8</v>
      </c>
      <c r="AB1302">
        <v>3</v>
      </c>
      <c r="AC1302">
        <v>0</v>
      </c>
      <c r="AD1302">
        <v>10</v>
      </c>
      <c r="AE1302">
        <v>0</v>
      </c>
      <c r="AF1302">
        <v>0</v>
      </c>
      <c r="AG1302">
        <v>2</v>
      </c>
      <c r="AH1302">
        <v>1</v>
      </c>
      <c r="AI1302" t="s">
        <v>988</v>
      </c>
      <c r="AJ1302">
        <v>35.201075000000003</v>
      </c>
      <c r="AK1302" t="s">
        <v>989</v>
      </c>
      <c r="AL1302">
        <v>-76.257176000000001</v>
      </c>
      <c r="AM1302">
        <v>25</v>
      </c>
      <c r="AN1302">
        <v>3350</v>
      </c>
      <c r="AO1302" t="s">
        <v>118</v>
      </c>
      <c r="AP1302">
        <v>179</v>
      </c>
      <c r="AQ1302">
        <v>-160</v>
      </c>
      <c r="AR1302">
        <v>-640</v>
      </c>
      <c r="AZ1302">
        <v>4516</v>
      </c>
      <c r="BA1302">
        <v>1</v>
      </c>
      <c r="BB1302" t="str">
        <f t="shared" si="129"/>
        <v xml:space="preserve">N79NX   </v>
      </c>
      <c r="BC1302">
        <v>1</v>
      </c>
      <c r="BE1302">
        <v>0</v>
      </c>
      <c r="BF1302">
        <v>0</v>
      </c>
      <c r="BG1302">
        <v>0</v>
      </c>
      <c r="BH1302">
        <v>3250</v>
      </c>
      <c r="BI1302">
        <v>0</v>
      </c>
      <c r="BJ1302">
        <v>0</v>
      </c>
      <c r="BK1302">
        <v>0</v>
      </c>
      <c r="BL1302">
        <v>0</v>
      </c>
      <c r="BO1302">
        <v>0</v>
      </c>
      <c r="BP1302">
        <v>0</v>
      </c>
      <c r="BW1302" t="str">
        <f>"18:43:12.912"</f>
        <v>18:43:12.912</v>
      </c>
      <c r="BZ1302">
        <v>0</v>
      </c>
      <c r="CA1302">
        <v>3008</v>
      </c>
      <c r="CB1302">
        <v>216</v>
      </c>
      <c r="CC1302">
        <v>462.65629999999999</v>
      </c>
      <c r="CD1302">
        <v>1</v>
      </c>
      <c r="CE1302">
        <v>1</v>
      </c>
      <c r="CF1302">
        <v>0</v>
      </c>
      <c r="CG1302">
        <v>0</v>
      </c>
      <c r="CH1302">
        <v>0</v>
      </c>
      <c r="CI1302">
        <v>0</v>
      </c>
      <c r="CJ1302">
        <v>0</v>
      </c>
      <c r="CK1302">
        <v>2</v>
      </c>
      <c r="CL1302">
        <v>0</v>
      </c>
      <c r="CM1302">
        <v>2</v>
      </c>
      <c r="CN1302">
        <v>0</v>
      </c>
      <c r="CO1302">
        <v>1</v>
      </c>
      <c r="CP1302" t="s">
        <v>119</v>
      </c>
      <c r="CQ1302">
        <v>145</v>
      </c>
      <c r="CR1302">
        <v>1</v>
      </c>
      <c r="CW1302">
        <v>9064970</v>
      </c>
      <c r="CY1302">
        <v>0</v>
      </c>
      <c r="CZ1302">
        <v>0</v>
      </c>
      <c r="DA1302">
        <v>1</v>
      </c>
      <c r="DB1302">
        <v>0</v>
      </c>
      <c r="DC1302">
        <v>0</v>
      </c>
      <c r="DD1302">
        <v>0</v>
      </c>
      <c r="DE1302">
        <v>0</v>
      </c>
      <c r="DF1302">
        <v>0</v>
      </c>
      <c r="DG1302">
        <v>0</v>
      </c>
      <c r="DH1302">
        <v>0</v>
      </c>
      <c r="DI1302">
        <v>0</v>
      </c>
    </row>
    <row r="1303" spans="1:113" x14ac:dyDescent="0.3">
      <c r="A1303" t="str">
        <f>"02/13/2022 18:43:14.345"</f>
        <v>02/13/2022 18:43:14.345</v>
      </c>
      <c r="C1303" t="str">
        <f t="shared" si="128"/>
        <v>FFDFD7C0</v>
      </c>
      <c r="D1303" t="s">
        <v>121</v>
      </c>
      <c r="E1303">
        <v>2</v>
      </c>
      <c r="H1303">
        <v>158</v>
      </c>
      <c r="I1303" t="s">
        <v>120</v>
      </c>
      <c r="J1303" t="s">
        <v>122</v>
      </c>
      <c r="K1303">
        <v>0</v>
      </c>
      <c r="L1303">
        <v>3</v>
      </c>
      <c r="M1303">
        <v>0</v>
      </c>
      <c r="N1303">
        <v>2</v>
      </c>
      <c r="O1303">
        <v>1</v>
      </c>
      <c r="P1303">
        <v>0</v>
      </c>
      <c r="Q1303">
        <v>0</v>
      </c>
      <c r="S1303" t="str">
        <f>"18:43:13.836"</f>
        <v>18:43:13.836</v>
      </c>
      <c r="T1303" t="str">
        <f>"18:43:11.636"</f>
        <v>18:43:11.636</v>
      </c>
      <c r="U1303" t="str">
        <f t="shared" si="127"/>
        <v>AAB6EE</v>
      </c>
      <c r="V1303">
        <v>0</v>
      </c>
      <c r="W1303">
        <v>0</v>
      </c>
      <c r="X1303">
        <v>4</v>
      </c>
      <c r="Z1303">
        <v>0</v>
      </c>
      <c r="AA1303">
        <v>8</v>
      </c>
      <c r="AB1303">
        <v>3</v>
      </c>
      <c r="AC1303">
        <v>0</v>
      </c>
      <c r="AD1303">
        <v>10</v>
      </c>
      <c r="AE1303">
        <v>0</v>
      </c>
      <c r="AF1303">
        <v>0</v>
      </c>
      <c r="AG1303">
        <v>2</v>
      </c>
      <c r="AH1303">
        <v>1</v>
      </c>
      <c r="AI1303" t="s">
        <v>990</v>
      </c>
      <c r="AJ1303">
        <v>35.200474</v>
      </c>
      <c r="AK1303" t="s">
        <v>991</v>
      </c>
      <c r="AL1303">
        <v>-76.256168000000002</v>
      </c>
      <c r="AM1303">
        <v>25</v>
      </c>
      <c r="AN1303">
        <v>3350</v>
      </c>
      <c r="AO1303" t="s">
        <v>118</v>
      </c>
      <c r="AP1303">
        <v>179</v>
      </c>
      <c r="AQ1303">
        <v>-160</v>
      </c>
      <c r="AR1303">
        <v>-640</v>
      </c>
      <c r="AZ1303">
        <v>4516</v>
      </c>
      <c r="BA1303">
        <v>1</v>
      </c>
      <c r="BB1303" t="str">
        <f t="shared" si="129"/>
        <v xml:space="preserve">N79NX   </v>
      </c>
      <c r="BC1303">
        <v>1</v>
      </c>
      <c r="BE1303">
        <v>0</v>
      </c>
      <c r="BF1303">
        <v>0</v>
      </c>
      <c r="BG1303">
        <v>0</v>
      </c>
      <c r="BH1303">
        <v>3250</v>
      </c>
      <c r="BI1303">
        <v>0</v>
      </c>
      <c r="BJ1303">
        <v>0</v>
      </c>
      <c r="BK1303">
        <v>0</v>
      </c>
      <c r="BL1303">
        <v>0</v>
      </c>
      <c r="BO1303">
        <v>0</v>
      </c>
      <c r="BP1303">
        <v>0</v>
      </c>
      <c r="BW1303" t="str">
        <f>"18:43:13.842"</f>
        <v>18:43:13.842</v>
      </c>
      <c r="BZ1303">
        <v>0</v>
      </c>
      <c r="CA1303">
        <v>3008</v>
      </c>
      <c r="CB1303">
        <v>216</v>
      </c>
      <c r="CC1303">
        <v>462.65629999999999</v>
      </c>
      <c r="CD1303">
        <v>1</v>
      </c>
      <c r="CE1303">
        <v>1</v>
      </c>
      <c r="CF1303">
        <v>0</v>
      </c>
      <c r="CG1303">
        <v>0</v>
      </c>
      <c r="CH1303">
        <v>0</v>
      </c>
      <c r="CI1303">
        <v>0</v>
      </c>
      <c r="CJ1303">
        <v>0</v>
      </c>
      <c r="CK1303">
        <v>2</v>
      </c>
      <c r="CL1303">
        <v>0</v>
      </c>
      <c r="CM1303">
        <v>2</v>
      </c>
      <c r="CN1303">
        <v>0</v>
      </c>
      <c r="CO1303">
        <v>1</v>
      </c>
      <c r="CP1303" t="s">
        <v>119</v>
      </c>
      <c r="CQ1303">
        <v>145</v>
      </c>
      <c r="CR1303">
        <v>1</v>
      </c>
      <c r="CW1303">
        <v>9065370</v>
      </c>
      <c r="CY1303">
        <v>0</v>
      </c>
      <c r="CZ1303">
        <v>0</v>
      </c>
      <c r="DA1303">
        <v>0</v>
      </c>
      <c r="DB1303">
        <v>0</v>
      </c>
      <c r="DC1303">
        <v>0</v>
      </c>
      <c r="DD1303">
        <v>0</v>
      </c>
      <c r="DE1303">
        <v>0</v>
      </c>
      <c r="DF1303">
        <v>0</v>
      </c>
      <c r="DG1303">
        <v>0</v>
      </c>
      <c r="DH1303">
        <v>0</v>
      </c>
      <c r="DI1303">
        <v>0</v>
      </c>
    </row>
    <row r="1304" spans="1:113" x14ac:dyDescent="0.3">
      <c r="A1304" t="str">
        <f>"02/13/2022 18:43:14.361"</f>
        <v>02/13/2022 18:43:14.361</v>
      </c>
      <c r="C1304" t="str">
        <f t="shared" si="128"/>
        <v>FFDFD7C0</v>
      </c>
      <c r="D1304" t="s">
        <v>113</v>
      </c>
      <c r="E1304">
        <v>3</v>
      </c>
      <c r="F1304">
        <v>1003</v>
      </c>
      <c r="G1304" t="s">
        <v>114</v>
      </c>
      <c r="J1304" t="s">
        <v>115</v>
      </c>
      <c r="K1304">
        <v>0</v>
      </c>
      <c r="L1304">
        <v>3</v>
      </c>
      <c r="M1304">
        <v>0</v>
      </c>
      <c r="N1304">
        <v>2</v>
      </c>
      <c r="O1304">
        <v>1</v>
      </c>
      <c r="P1304">
        <v>0</v>
      </c>
      <c r="Q1304">
        <v>0</v>
      </c>
      <c r="S1304" t="str">
        <f>"18:43:13.836"</f>
        <v>18:43:13.836</v>
      </c>
      <c r="T1304" t="str">
        <f>"18:43:11.636"</f>
        <v>18:43:11.636</v>
      </c>
      <c r="U1304" t="str">
        <f t="shared" si="127"/>
        <v>AAB6EE</v>
      </c>
      <c r="V1304">
        <v>0</v>
      </c>
      <c r="W1304">
        <v>0</v>
      </c>
      <c r="X1304">
        <v>4</v>
      </c>
      <c r="Z1304">
        <v>0</v>
      </c>
      <c r="AA1304">
        <v>8</v>
      </c>
      <c r="AB1304">
        <v>3</v>
      </c>
      <c r="AC1304">
        <v>0</v>
      </c>
      <c r="AD1304">
        <v>10</v>
      </c>
      <c r="AE1304">
        <v>0</v>
      </c>
      <c r="AF1304">
        <v>0</v>
      </c>
      <c r="AG1304">
        <v>2</v>
      </c>
      <c r="AH1304">
        <v>1</v>
      </c>
      <c r="AI1304" t="s">
        <v>990</v>
      </c>
      <c r="AJ1304">
        <v>35.200474</v>
      </c>
      <c r="AK1304" t="s">
        <v>991</v>
      </c>
      <c r="AL1304">
        <v>-76.256168000000002</v>
      </c>
      <c r="AM1304">
        <v>25</v>
      </c>
      <c r="AN1304">
        <v>3350</v>
      </c>
      <c r="AO1304" t="s">
        <v>118</v>
      </c>
      <c r="AP1304">
        <v>179</v>
      </c>
      <c r="AQ1304">
        <v>-160</v>
      </c>
      <c r="AR1304">
        <v>-640</v>
      </c>
      <c r="AZ1304">
        <v>4516</v>
      </c>
      <c r="BA1304">
        <v>1</v>
      </c>
      <c r="BB1304" t="str">
        <f t="shared" si="129"/>
        <v xml:space="preserve">N79NX   </v>
      </c>
      <c r="BC1304">
        <v>1</v>
      </c>
      <c r="BE1304">
        <v>0</v>
      </c>
      <c r="BF1304">
        <v>0</v>
      </c>
      <c r="BG1304">
        <v>0</v>
      </c>
      <c r="BH1304">
        <v>3250</v>
      </c>
      <c r="BI1304">
        <v>0</v>
      </c>
      <c r="BJ1304">
        <v>0</v>
      </c>
      <c r="BK1304">
        <v>0</v>
      </c>
      <c r="BL1304">
        <v>0</v>
      </c>
      <c r="BO1304">
        <v>0</v>
      </c>
      <c r="BP1304">
        <v>0</v>
      </c>
      <c r="BW1304" t="str">
        <f>"18:43:13.842"</f>
        <v>18:43:13.842</v>
      </c>
      <c r="BZ1304">
        <v>0</v>
      </c>
      <c r="CA1304">
        <v>3008</v>
      </c>
      <c r="CB1304">
        <v>216</v>
      </c>
      <c r="CC1304">
        <v>462.65629999999999</v>
      </c>
      <c r="CD1304">
        <v>1</v>
      </c>
      <c r="CE1304">
        <v>1</v>
      </c>
      <c r="CF1304">
        <v>0</v>
      </c>
      <c r="CG1304">
        <v>0</v>
      </c>
      <c r="CH1304">
        <v>0</v>
      </c>
      <c r="CI1304">
        <v>0</v>
      </c>
      <c r="CJ1304">
        <v>0</v>
      </c>
      <c r="CK1304">
        <v>2</v>
      </c>
      <c r="CL1304">
        <v>0</v>
      </c>
      <c r="CM1304">
        <v>2</v>
      </c>
      <c r="CN1304">
        <v>0</v>
      </c>
      <c r="CO1304">
        <v>1</v>
      </c>
      <c r="CP1304" t="s">
        <v>119</v>
      </c>
      <c r="CQ1304">
        <v>145</v>
      </c>
      <c r="CR1304">
        <v>1</v>
      </c>
      <c r="CW1304">
        <v>9065370</v>
      </c>
      <c r="CY1304">
        <v>0</v>
      </c>
      <c r="CZ1304">
        <v>0</v>
      </c>
      <c r="DA1304">
        <v>1</v>
      </c>
      <c r="DB1304">
        <v>0</v>
      </c>
      <c r="DC1304">
        <v>0</v>
      </c>
      <c r="DD1304">
        <v>0</v>
      </c>
      <c r="DE1304">
        <v>0</v>
      </c>
      <c r="DF1304">
        <v>0</v>
      </c>
      <c r="DG1304">
        <v>0</v>
      </c>
      <c r="DH1304">
        <v>0</v>
      </c>
      <c r="DI1304">
        <v>0</v>
      </c>
    </row>
    <row r="1305" spans="1:113" x14ac:dyDescent="0.3">
      <c r="A1305" t="str">
        <f>"02/13/2022 18:43:14.361"</f>
        <v>02/13/2022 18:43:14.361</v>
      </c>
      <c r="C1305" t="str">
        <f t="shared" si="128"/>
        <v>FFDFD7C0</v>
      </c>
      <c r="D1305" t="s">
        <v>113</v>
      </c>
      <c r="E1305">
        <v>4</v>
      </c>
      <c r="F1305">
        <v>1004</v>
      </c>
      <c r="G1305" t="s">
        <v>120</v>
      </c>
      <c r="J1305" t="s">
        <v>115</v>
      </c>
      <c r="K1305">
        <v>0</v>
      </c>
      <c r="L1305">
        <v>3</v>
      </c>
      <c r="M1305">
        <v>0</v>
      </c>
      <c r="N1305">
        <v>2</v>
      </c>
      <c r="O1305">
        <v>1</v>
      </c>
      <c r="P1305">
        <v>0</v>
      </c>
      <c r="Q1305">
        <v>0</v>
      </c>
      <c r="S1305" t="str">
        <f>"18:43:13.836"</f>
        <v>18:43:13.836</v>
      </c>
      <c r="T1305" t="str">
        <f>"18:43:11.636"</f>
        <v>18:43:11.636</v>
      </c>
      <c r="U1305" t="str">
        <f t="shared" si="127"/>
        <v>AAB6EE</v>
      </c>
      <c r="V1305">
        <v>0</v>
      </c>
      <c r="W1305">
        <v>0</v>
      </c>
      <c r="X1305">
        <v>4</v>
      </c>
      <c r="Z1305">
        <v>0</v>
      </c>
      <c r="AA1305">
        <v>8</v>
      </c>
      <c r="AB1305">
        <v>3</v>
      </c>
      <c r="AC1305">
        <v>0</v>
      </c>
      <c r="AD1305">
        <v>10</v>
      </c>
      <c r="AE1305">
        <v>0</v>
      </c>
      <c r="AF1305">
        <v>0</v>
      </c>
      <c r="AG1305">
        <v>2</v>
      </c>
      <c r="AH1305">
        <v>1</v>
      </c>
      <c r="AI1305" t="s">
        <v>990</v>
      </c>
      <c r="AJ1305">
        <v>35.200474</v>
      </c>
      <c r="AK1305" t="s">
        <v>991</v>
      </c>
      <c r="AL1305">
        <v>-76.256168000000002</v>
      </c>
      <c r="AM1305">
        <v>25</v>
      </c>
      <c r="AN1305">
        <v>3350</v>
      </c>
      <c r="AO1305" t="s">
        <v>118</v>
      </c>
      <c r="AP1305">
        <v>179</v>
      </c>
      <c r="AQ1305">
        <v>-160</v>
      </c>
      <c r="AR1305">
        <v>-640</v>
      </c>
      <c r="AZ1305">
        <v>4516</v>
      </c>
      <c r="BA1305">
        <v>1</v>
      </c>
      <c r="BB1305" t="str">
        <f t="shared" si="129"/>
        <v xml:space="preserve">N79NX   </v>
      </c>
      <c r="BC1305">
        <v>1</v>
      </c>
      <c r="BE1305">
        <v>0</v>
      </c>
      <c r="BF1305">
        <v>0</v>
      </c>
      <c r="BG1305">
        <v>0</v>
      </c>
      <c r="BH1305">
        <v>3250</v>
      </c>
      <c r="BI1305">
        <v>0</v>
      </c>
      <c r="BJ1305">
        <v>0</v>
      </c>
      <c r="BK1305">
        <v>0</v>
      </c>
      <c r="BL1305">
        <v>0</v>
      </c>
      <c r="BO1305">
        <v>0</v>
      </c>
      <c r="BP1305">
        <v>0</v>
      </c>
      <c r="BW1305" t="str">
        <f>"18:43:13.842"</f>
        <v>18:43:13.842</v>
      </c>
      <c r="BZ1305">
        <v>0</v>
      </c>
      <c r="CA1305">
        <v>3008</v>
      </c>
      <c r="CB1305">
        <v>216</v>
      </c>
      <c r="CC1305">
        <v>462.65629999999999</v>
      </c>
      <c r="CD1305">
        <v>1</v>
      </c>
      <c r="CE1305">
        <v>1</v>
      </c>
      <c r="CF1305">
        <v>0</v>
      </c>
      <c r="CG1305">
        <v>0</v>
      </c>
      <c r="CH1305">
        <v>0</v>
      </c>
      <c r="CI1305">
        <v>0</v>
      </c>
      <c r="CJ1305">
        <v>0</v>
      </c>
      <c r="CK1305">
        <v>2</v>
      </c>
      <c r="CL1305">
        <v>0</v>
      </c>
      <c r="CM1305">
        <v>2</v>
      </c>
      <c r="CN1305">
        <v>0</v>
      </c>
      <c r="CO1305">
        <v>1</v>
      </c>
      <c r="CP1305" t="s">
        <v>119</v>
      </c>
      <c r="CQ1305">
        <v>145</v>
      </c>
      <c r="CR1305">
        <v>1</v>
      </c>
      <c r="CW1305">
        <v>9065370</v>
      </c>
      <c r="CY1305">
        <v>0</v>
      </c>
      <c r="CZ1305">
        <v>0</v>
      </c>
      <c r="DA1305">
        <v>1</v>
      </c>
      <c r="DB1305">
        <v>0</v>
      </c>
      <c r="DC1305">
        <v>0</v>
      </c>
      <c r="DD1305">
        <v>0</v>
      </c>
      <c r="DE1305">
        <v>0</v>
      </c>
      <c r="DF1305">
        <v>0</v>
      </c>
      <c r="DG1305">
        <v>0</v>
      </c>
      <c r="DH1305">
        <v>0</v>
      </c>
      <c r="DI1305">
        <v>0</v>
      </c>
    </row>
    <row r="1306" spans="1:113" x14ac:dyDescent="0.3">
      <c r="A1306" t="str">
        <f>"02/13/2022 18:43:17.099"</f>
        <v>02/13/2022 18:43:17.099</v>
      </c>
      <c r="C1306" t="str">
        <f t="shared" si="128"/>
        <v>FFDFD7C0</v>
      </c>
      <c r="D1306" t="s">
        <v>113</v>
      </c>
      <c r="E1306">
        <v>3</v>
      </c>
      <c r="F1306">
        <v>1003</v>
      </c>
      <c r="G1306" t="s">
        <v>114</v>
      </c>
      <c r="J1306" t="s">
        <v>115</v>
      </c>
      <c r="K1306">
        <v>0</v>
      </c>
      <c r="L1306">
        <v>3</v>
      </c>
      <c r="M1306">
        <v>0</v>
      </c>
      <c r="N1306">
        <v>2</v>
      </c>
      <c r="O1306">
        <v>1</v>
      </c>
      <c r="P1306">
        <v>0</v>
      </c>
      <c r="Q1306">
        <v>0</v>
      </c>
      <c r="S1306" t="str">
        <f>"18:43:16.906"</f>
        <v>18:43:16.906</v>
      </c>
      <c r="T1306" t="str">
        <f>"18:43:16.706"</f>
        <v>18:43:16.706</v>
      </c>
      <c r="U1306" t="str">
        <f t="shared" si="127"/>
        <v>AAB6EE</v>
      </c>
      <c r="V1306">
        <v>0</v>
      </c>
      <c r="W1306">
        <v>0</v>
      </c>
      <c r="X1306">
        <v>4</v>
      </c>
      <c r="Z1306">
        <v>0</v>
      </c>
      <c r="AA1306">
        <v>8</v>
      </c>
      <c r="AB1306">
        <v>3</v>
      </c>
      <c r="AC1306">
        <v>0</v>
      </c>
      <c r="AD1306">
        <v>10</v>
      </c>
      <c r="AE1306">
        <v>0</v>
      </c>
      <c r="AF1306">
        <v>0</v>
      </c>
      <c r="AG1306">
        <v>2</v>
      </c>
      <c r="AH1306">
        <v>1</v>
      </c>
      <c r="AI1306" t="s">
        <v>992</v>
      </c>
      <c r="AJ1306">
        <v>35.198585999999999</v>
      </c>
      <c r="AK1306" t="s">
        <v>993</v>
      </c>
      <c r="AL1306">
        <v>-76.252562999999995</v>
      </c>
      <c r="AM1306">
        <v>25</v>
      </c>
      <c r="AN1306">
        <v>3325</v>
      </c>
      <c r="AO1306" t="s">
        <v>118</v>
      </c>
      <c r="AP1306">
        <v>211</v>
      </c>
      <c r="AQ1306">
        <v>-122</v>
      </c>
      <c r="AR1306">
        <v>-512</v>
      </c>
      <c r="AZ1306">
        <v>4516</v>
      </c>
      <c r="BA1306">
        <v>1</v>
      </c>
      <c r="BB1306" t="str">
        <f t="shared" si="129"/>
        <v xml:space="preserve">N79NX   </v>
      </c>
      <c r="BC1306">
        <v>1</v>
      </c>
      <c r="BE1306">
        <v>0</v>
      </c>
      <c r="BF1306">
        <v>0</v>
      </c>
      <c r="BG1306">
        <v>0</v>
      </c>
      <c r="BH1306">
        <v>3200</v>
      </c>
      <c r="BI1306">
        <v>0</v>
      </c>
      <c r="BJ1306">
        <v>0</v>
      </c>
      <c r="BK1306">
        <v>0</v>
      </c>
      <c r="BL1306">
        <v>0</v>
      </c>
      <c r="BO1306">
        <v>0</v>
      </c>
      <c r="BP1306">
        <v>0</v>
      </c>
      <c r="BW1306" t="str">
        <f>"18:43:16.912"</f>
        <v>18:43:16.912</v>
      </c>
      <c r="BZ1306">
        <v>0</v>
      </c>
      <c r="CA1306">
        <v>3008</v>
      </c>
      <c r="CB1306">
        <v>216</v>
      </c>
      <c r="CC1306">
        <v>428.90629999999999</v>
      </c>
      <c r="CD1306">
        <v>1</v>
      </c>
      <c r="CE1306">
        <v>1</v>
      </c>
      <c r="CF1306">
        <v>0</v>
      </c>
      <c r="CG1306">
        <v>0</v>
      </c>
      <c r="CH1306">
        <v>0</v>
      </c>
      <c r="CI1306">
        <v>0</v>
      </c>
      <c r="CJ1306">
        <v>0</v>
      </c>
      <c r="CK1306">
        <v>2</v>
      </c>
      <c r="CL1306">
        <v>0</v>
      </c>
      <c r="CM1306">
        <v>2</v>
      </c>
      <c r="CN1306">
        <v>0</v>
      </c>
      <c r="CO1306">
        <v>1</v>
      </c>
      <c r="CP1306" t="s">
        <v>119</v>
      </c>
      <c r="CQ1306">
        <v>145</v>
      </c>
      <c r="CR1306">
        <v>1</v>
      </c>
      <c r="CW1306">
        <v>9066929</v>
      </c>
      <c r="CY1306">
        <v>0</v>
      </c>
      <c r="CZ1306">
        <v>0</v>
      </c>
      <c r="DA1306">
        <v>0</v>
      </c>
      <c r="DB1306">
        <v>0</v>
      </c>
      <c r="DC1306">
        <v>0</v>
      </c>
      <c r="DD1306">
        <v>0</v>
      </c>
      <c r="DE1306">
        <v>0</v>
      </c>
      <c r="DF1306">
        <v>0</v>
      </c>
      <c r="DG1306">
        <v>0</v>
      </c>
      <c r="DH1306">
        <v>0</v>
      </c>
      <c r="DI1306">
        <v>0</v>
      </c>
    </row>
    <row r="1307" spans="1:113" x14ac:dyDescent="0.3">
      <c r="A1307" t="str">
        <f>"02/13/2022 18:43:17.099"</f>
        <v>02/13/2022 18:43:17.099</v>
      </c>
      <c r="C1307" t="str">
        <f t="shared" si="128"/>
        <v>FFDFD7C0</v>
      </c>
      <c r="D1307" t="s">
        <v>113</v>
      </c>
      <c r="E1307">
        <v>4</v>
      </c>
      <c r="F1307">
        <v>1004</v>
      </c>
      <c r="G1307" t="s">
        <v>120</v>
      </c>
      <c r="J1307" t="s">
        <v>115</v>
      </c>
      <c r="K1307">
        <v>0</v>
      </c>
      <c r="L1307">
        <v>3</v>
      </c>
      <c r="M1307">
        <v>0</v>
      </c>
      <c r="N1307">
        <v>2</v>
      </c>
      <c r="O1307">
        <v>1</v>
      </c>
      <c r="P1307">
        <v>0</v>
      </c>
      <c r="Q1307">
        <v>0</v>
      </c>
      <c r="S1307" t="str">
        <f>"18:43:16.906"</f>
        <v>18:43:16.906</v>
      </c>
      <c r="T1307" t="str">
        <f>"18:43:16.706"</f>
        <v>18:43:16.706</v>
      </c>
      <c r="U1307" t="str">
        <f t="shared" si="127"/>
        <v>AAB6EE</v>
      </c>
      <c r="V1307">
        <v>0</v>
      </c>
      <c r="W1307">
        <v>0</v>
      </c>
      <c r="X1307">
        <v>4</v>
      </c>
      <c r="Z1307">
        <v>0</v>
      </c>
      <c r="AA1307">
        <v>8</v>
      </c>
      <c r="AB1307">
        <v>3</v>
      </c>
      <c r="AC1307">
        <v>0</v>
      </c>
      <c r="AD1307">
        <v>10</v>
      </c>
      <c r="AE1307">
        <v>0</v>
      </c>
      <c r="AF1307">
        <v>0</v>
      </c>
      <c r="AG1307">
        <v>2</v>
      </c>
      <c r="AH1307">
        <v>1</v>
      </c>
      <c r="AI1307" t="s">
        <v>992</v>
      </c>
      <c r="AJ1307">
        <v>35.198585999999999</v>
      </c>
      <c r="AK1307" t="s">
        <v>993</v>
      </c>
      <c r="AL1307">
        <v>-76.252562999999995</v>
      </c>
      <c r="AM1307">
        <v>25</v>
      </c>
      <c r="AN1307">
        <v>3325</v>
      </c>
      <c r="AO1307" t="s">
        <v>118</v>
      </c>
      <c r="AP1307">
        <v>211</v>
      </c>
      <c r="AQ1307">
        <v>-122</v>
      </c>
      <c r="AR1307">
        <v>-512</v>
      </c>
      <c r="AZ1307">
        <v>4516</v>
      </c>
      <c r="BA1307">
        <v>1</v>
      </c>
      <c r="BB1307" t="str">
        <f t="shared" si="129"/>
        <v xml:space="preserve">N79NX   </v>
      </c>
      <c r="BC1307">
        <v>1</v>
      </c>
      <c r="BE1307">
        <v>0</v>
      </c>
      <c r="BF1307">
        <v>0</v>
      </c>
      <c r="BG1307">
        <v>0</v>
      </c>
      <c r="BH1307">
        <v>3200</v>
      </c>
      <c r="BI1307">
        <v>0</v>
      </c>
      <c r="BJ1307">
        <v>0</v>
      </c>
      <c r="BK1307">
        <v>0</v>
      </c>
      <c r="BL1307">
        <v>0</v>
      </c>
      <c r="BO1307">
        <v>0</v>
      </c>
      <c r="BP1307">
        <v>0</v>
      </c>
      <c r="BW1307" t="str">
        <f>"18:43:16.912"</f>
        <v>18:43:16.912</v>
      </c>
      <c r="BZ1307">
        <v>0</v>
      </c>
      <c r="CA1307">
        <v>3008</v>
      </c>
      <c r="CB1307">
        <v>216</v>
      </c>
      <c r="CC1307">
        <v>428.90629999999999</v>
      </c>
      <c r="CD1307">
        <v>1</v>
      </c>
      <c r="CE1307">
        <v>1</v>
      </c>
      <c r="CF1307">
        <v>0</v>
      </c>
      <c r="CG1307">
        <v>0</v>
      </c>
      <c r="CH1307">
        <v>0</v>
      </c>
      <c r="CI1307">
        <v>0</v>
      </c>
      <c r="CJ1307">
        <v>0</v>
      </c>
      <c r="CK1307">
        <v>2</v>
      </c>
      <c r="CL1307">
        <v>0</v>
      </c>
      <c r="CM1307">
        <v>2</v>
      </c>
      <c r="CN1307">
        <v>0</v>
      </c>
      <c r="CO1307">
        <v>1</v>
      </c>
      <c r="CP1307" t="s">
        <v>119</v>
      </c>
      <c r="CQ1307">
        <v>145</v>
      </c>
      <c r="CR1307">
        <v>1</v>
      </c>
      <c r="CW1307">
        <v>9066929</v>
      </c>
      <c r="CY1307">
        <v>0</v>
      </c>
      <c r="CZ1307">
        <v>0</v>
      </c>
      <c r="DA1307">
        <v>1</v>
      </c>
      <c r="DB1307">
        <v>0</v>
      </c>
      <c r="DC1307">
        <v>0</v>
      </c>
      <c r="DD1307">
        <v>0</v>
      </c>
      <c r="DE1307">
        <v>0</v>
      </c>
      <c r="DF1307">
        <v>0</v>
      </c>
      <c r="DG1307">
        <v>0</v>
      </c>
      <c r="DH1307">
        <v>0</v>
      </c>
      <c r="DI1307">
        <v>0</v>
      </c>
    </row>
    <row r="1308" spans="1:113" x14ac:dyDescent="0.3">
      <c r="A1308" t="str">
        <f>"02/13/2022 18:43:17.099"</f>
        <v>02/13/2022 18:43:17.099</v>
      </c>
      <c r="C1308" t="str">
        <f t="shared" si="128"/>
        <v>FFDFD7C0</v>
      </c>
      <c r="D1308" t="s">
        <v>121</v>
      </c>
      <c r="E1308">
        <v>2</v>
      </c>
      <c r="H1308">
        <v>158</v>
      </c>
      <c r="I1308" t="s">
        <v>120</v>
      </c>
      <c r="J1308" t="s">
        <v>122</v>
      </c>
      <c r="K1308">
        <v>0</v>
      </c>
      <c r="L1308">
        <v>3</v>
      </c>
      <c r="M1308">
        <v>0</v>
      </c>
      <c r="N1308">
        <v>2</v>
      </c>
      <c r="O1308">
        <v>1</v>
      </c>
      <c r="P1308">
        <v>0</v>
      </c>
      <c r="Q1308">
        <v>0</v>
      </c>
      <c r="S1308" t="str">
        <f>"18:43:16.906"</f>
        <v>18:43:16.906</v>
      </c>
      <c r="T1308" t="str">
        <f>"18:43:16.706"</f>
        <v>18:43:16.706</v>
      </c>
      <c r="U1308" t="str">
        <f t="shared" si="127"/>
        <v>AAB6EE</v>
      </c>
      <c r="V1308">
        <v>0</v>
      </c>
      <c r="W1308">
        <v>0</v>
      </c>
      <c r="X1308">
        <v>4</v>
      </c>
      <c r="Z1308">
        <v>0</v>
      </c>
      <c r="AA1308">
        <v>8</v>
      </c>
      <c r="AB1308">
        <v>3</v>
      </c>
      <c r="AC1308">
        <v>0</v>
      </c>
      <c r="AD1308">
        <v>10</v>
      </c>
      <c r="AE1308">
        <v>0</v>
      </c>
      <c r="AF1308">
        <v>0</v>
      </c>
      <c r="AG1308">
        <v>2</v>
      </c>
      <c r="AH1308">
        <v>1</v>
      </c>
      <c r="AI1308" t="s">
        <v>992</v>
      </c>
      <c r="AJ1308">
        <v>35.198585999999999</v>
      </c>
      <c r="AK1308" t="s">
        <v>993</v>
      </c>
      <c r="AL1308">
        <v>-76.252562999999995</v>
      </c>
      <c r="AM1308">
        <v>25</v>
      </c>
      <c r="AN1308">
        <v>3325</v>
      </c>
      <c r="AO1308" t="s">
        <v>118</v>
      </c>
      <c r="AP1308">
        <v>211</v>
      </c>
      <c r="AQ1308">
        <v>-122</v>
      </c>
      <c r="AR1308">
        <v>-512</v>
      </c>
      <c r="AZ1308">
        <v>4516</v>
      </c>
      <c r="BA1308">
        <v>1</v>
      </c>
      <c r="BB1308" t="str">
        <f t="shared" si="129"/>
        <v xml:space="preserve">N79NX   </v>
      </c>
      <c r="BC1308">
        <v>1</v>
      </c>
      <c r="BE1308">
        <v>0</v>
      </c>
      <c r="BF1308">
        <v>0</v>
      </c>
      <c r="BG1308">
        <v>0</v>
      </c>
      <c r="BH1308">
        <v>3200</v>
      </c>
      <c r="BI1308">
        <v>0</v>
      </c>
      <c r="BJ1308">
        <v>0</v>
      </c>
      <c r="BK1308">
        <v>0</v>
      </c>
      <c r="BL1308">
        <v>0</v>
      </c>
      <c r="BO1308">
        <v>0</v>
      </c>
      <c r="BP1308">
        <v>0</v>
      </c>
      <c r="BW1308" t="str">
        <f>"18:43:16.912"</f>
        <v>18:43:16.912</v>
      </c>
      <c r="BZ1308">
        <v>0</v>
      </c>
      <c r="CA1308">
        <v>3008</v>
      </c>
      <c r="CB1308">
        <v>216</v>
      </c>
      <c r="CC1308">
        <v>428.90629999999999</v>
      </c>
      <c r="CD1308">
        <v>1</v>
      </c>
      <c r="CE1308">
        <v>1</v>
      </c>
      <c r="CF1308">
        <v>0</v>
      </c>
      <c r="CG1308">
        <v>0</v>
      </c>
      <c r="CH1308">
        <v>0</v>
      </c>
      <c r="CI1308">
        <v>0</v>
      </c>
      <c r="CJ1308">
        <v>0</v>
      </c>
      <c r="CK1308">
        <v>2</v>
      </c>
      <c r="CL1308">
        <v>0</v>
      </c>
      <c r="CM1308">
        <v>2</v>
      </c>
      <c r="CN1308">
        <v>0</v>
      </c>
      <c r="CO1308">
        <v>1</v>
      </c>
      <c r="CP1308" t="s">
        <v>119</v>
      </c>
      <c r="CQ1308">
        <v>145</v>
      </c>
      <c r="CR1308">
        <v>1</v>
      </c>
      <c r="CW1308">
        <v>9066929</v>
      </c>
      <c r="CY1308">
        <v>0</v>
      </c>
      <c r="CZ1308">
        <v>0</v>
      </c>
      <c r="DA1308">
        <v>1</v>
      </c>
      <c r="DB1308">
        <v>0</v>
      </c>
      <c r="DC1308">
        <v>0</v>
      </c>
      <c r="DD1308">
        <v>0</v>
      </c>
      <c r="DE1308">
        <v>0</v>
      </c>
      <c r="DF1308">
        <v>0</v>
      </c>
      <c r="DG1308">
        <v>0</v>
      </c>
      <c r="DH1308">
        <v>0</v>
      </c>
      <c r="DI1308">
        <v>0</v>
      </c>
    </row>
    <row r="1309" spans="1:113" x14ac:dyDescent="0.3">
      <c r="A1309" t="str">
        <f>"02/13/2022 18:43:18.333"</f>
        <v>02/13/2022 18:43:18.333</v>
      </c>
      <c r="C1309" t="str">
        <f t="shared" si="128"/>
        <v>FFDFD7C0</v>
      </c>
      <c r="D1309" t="s">
        <v>113</v>
      </c>
      <c r="E1309">
        <v>3</v>
      </c>
      <c r="F1309">
        <v>1003</v>
      </c>
      <c r="G1309" t="s">
        <v>114</v>
      </c>
      <c r="J1309" t="s">
        <v>115</v>
      </c>
      <c r="K1309">
        <v>0</v>
      </c>
      <c r="L1309">
        <v>3</v>
      </c>
      <c r="M1309">
        <v>0</v>
      </c>
      <c r="N1309">
        <v>2</v>
      </c>
      <c r="O1309">
        <v>1</v>
      </c>
      <c r="P1309">
        <v>0</v>
      </c>
      <c r="Q1309">
        <v>0</v>
      </c>
      <c r="S1309" t="str">
        <f>"18:43:18.070"</f>
        <v>18:43:18.070</v>
      </c>
      <c r="T1309" t="str">
        <f>"18:43:17.770"</f>
        <v>18:43:17.770</v>
      </c>
      <c r="U1309" t="str">
        <f t="shared" si="127"/>
        <v>AAB6EE</v>
      </c>
      <c r="V1309">
        <v>0</v>
      </c>
      <c r="W1309">
        <v>0</v>
      </c>
      <c r="X1309">
        <v>4</v>
      </c>
      <c r="Z1309">
        <v>0</v>
      </c>
      <c r="AA1309">
        <v>8</v>
      </c>
      <c r="AB1309">
        <v>3</v>
      </c>
      <c r="AC1309">
        <v>0</v>
      </c>
      <c r="AD1309">
        <v>10</v>
      </c>
      <c r="AE1309">
        <v>0</v>
      </c>
      <c r="AF1309">
        <v>0</v>
      </c>
      <c r="AG1309">
        <v>2</v>
      </c>
      <c r="AH1309">
        <v>1</v>
      </c>
      <c r="AI1309" t="s">
        <v>994</v>
      </c>
      <c r="AJ1309">
        <v>35.198006999999997</v>
      </c>
      <c r="AK1309" t="s">
        <v>995</v>
      </c>
      <c r="AL1309">
        <v>-76.251232999999999</v>
      </c>
      <c r="AM1309">
        <v>25</v>
      </c>
      <c r="AN1309">
        <v>3325</v>
      </c>
      <c r="AO1309" t="s">
        <v>118</v>
      </c>
      <c r="AP1309">
        <v>215</v>
      </c>
      <c r="AQ1309">
        <v>-115</v>
      </c>
      <c r="AR1309">
        <v>-576</v>
      </c>
      <c r="AZ1309">
        <v>4516</v>
      </c>
      <c r="BA1309">
        <v>1</v>
      </c>
      <c r="BB1309" t="str">
        <f t="shared" si="129"/>
        <v xml:space="preserve">N79NX   </v>
      </c>
      <c r="BC1309">
        <v>1</v>
      </c>
      <c r="BE1309">
        <v>0</v>
      </c>
      <c r="BF1309">
        <v>0</v>
      </c>
      <c r="BG1309">
        <v>0</v>
      </c>
      <c r="BH1309">
        <v>3175</v>
      </c>
      <c r="BI1309">
        <v>0</v>
      </c>
      <c r="BJ1309">
        <v>0</v>
      </c>
      <c r="BK1309">
        <v>0</v>
      </c>
      <c r="BL1309">
        <v>0</v>
      </c>
      <c r="BO1309">
        <v>0</v>
      </c>
      <c r="BP1309">
        <v>0</v>
      </c>
      <c r="BW1309" t="str">
        <f>"18:43:18.072"</f>
        <v>18:43:18.072</v>
      </c>
      <c r="BZ1309">
        <v>0</v>
      </c>
      <c r="CA1309">
        <v>3008</v>
      </c>
      <c r="CB1309">
        <v>216</v>
      </c>
      <c r="CC1309">
        <v>428.90629999999999</v>
      </c>
      <c r="CD1309">
        <v>1</v>
      </c>
      <c r="CE1309">
        <v>1</v>
      </c>
      <c r="CF1309">
        <v>0</v>
      </c>
      <c r="CG1309">
        <v>0</v>
      </c>
      <c r="CH1309">
        <v>0</v>
      </c>
      <c r="CI1309">
        <v>0</v>
      </c>
      <c r="CJ1309">
        <v>0</v>
      </c>
      <c r="CK1309">
        <v>2</v>
      </c>
      <c r="CL1309">
        <v>0</v>
      </c>
      <c r="CM1309">
        <v>2</v>
      </c>
      <c r="CN1309">
        <v>0</v>
      </c>
      <c r="CO1309">
        <v>1</v>
      </c>
      <c r="CP1309" t="s">
        <v>119</v>
      </c>
      <c r="CQ1309">
        <v>145</v>
      </c>
      <c r="CR1309">
        <v>1</v>
      </c>
      <c r="CW1309">
        <v>9067431</v>
      </c>
      <c r="CY1309">
        <v>0</v>
      </c>
      <c r="CZ1309">
        <v>0</v>
      </c>
      <c r="DA1309">
        <v>0</v>
      </c>
      <c r="DB1309">
        <v>0</v>
      </c>
      <c r="DC1309">
        <v>0</v>
      </c>
      <c r="DD1309">
        <v>0</v>
      </c>
      <c r="DE1309">
        <v>0</v>
      </c>
      <c r="DF1309">
        <v>0</v>
      </c>
      <c r="DG1309">
        <v>0</v>
      </c>
      <c r="DH1309">
        <v>0</v>
      </c>
      <c r="DI1309">
        <v>0</v>
      </c>
    </row>
    <row r="1310" spans="1:113" x14ac:dyDescent="0.3">
      <c r="A1310" t="str">
        <f>"02/13/2022 18:43:18.333"</f>
        <v>02/13/2022 18:43:18.333</v>
      </c>
      <c r="C1310" t="str">
        <f t="shared" si="128"/>
        <v>FFDFD7C0</v>
      </c>
      <c r="D1310" t="s">
        <v>113</v>
      </c>
      <c r="E1310">
        <v>4</v>
      </c>
      <c r="F1310">
        <v>1004</v>
      </c>
      <c r="G1310" t="s">
        <v>120</v>
      </c>
      <c r="J1310" t="s">
        <v>115</v>
      </c>
      <c r="K1310">
        <v>0</v>
      </c>
      <c r="L1310">
        <v>3</v>
      </c>
      <c r="M1310">
        <v>0</v>
      </c>
      <c r="N1310">
        <v>2</v>
      </c>
      <c r="O1310">
        <v>1</v>
      </c>
      <c r="P1310">
        <v>0</v>
      </c>
      <c r="Q1310">
        <v>0</v>
      </c>
      <c r="S1310" t="str">
        <f>"18:43:18.070"</f>
        <v>18:43:18.070</v>
      </c>
      <c r="T1310" t="str">
        <f>"18:43:17.770"</f>
        <v>18:43:17.770</v>
      </c>
      <c r="U1310" t="str">
        <f t="shared" si="127"/>
        <v>AAB6EE</v>
      </c>
      <c r="V1310">
        <v>0</v>
      </c>
      <c r="W1310">
        <v>0</v>
      </c>
      <c r="X1310">
        <v>4</v>
      </c>
      <c r="Z1310">
        <v>0</v>
      </c>
      <c r="AA1310">
        <v>8</v>
      </c>
      <c r="AB1310">
        <v>3</v>
      </c>
      <c r="AC1310">
        <v>0</v>
      </c>
      <c r="AD1310">
        <v>10</v>
      </c>
      <c r="AE1310">
        <v>0</v>
      </c>
      <c r="AF1310">
        <v>0</v>
      </c>
      <c r="AG1310">
        <v>2</v>
      </c>
      <c r="AH1310">
        <v>1</v>
      </c>
      <c r="AI1310" t="s">
        <v>994</v>
      </c>
      <c r="AJ1310">
        <v>35.198006999999997</v>
      </c>
      <c r="AK1310" t="s">
        <v>995</v>
      </c>
      <c r="AL1310">
        <v>-76.251232999999999</v>
      </c>
      <c r="AM1310">
        <v>25</v>
      </c>
      <c r="AN1310">
        <v>3325</v>
      </c>
      <c r="AO1310" t="s">
        <v>118</v>
      </c>
      <c r="AP1310">
        <v>215</v>
      </c>
      <c r="AQ1310">
        <v>-115</v>
      </c>
      <c r="AR1310">
        <v>-576</v>
      </c>
      <c r="AZ1310">
        <v>4516</v>
      </c>
      <c r="BA1310">
        <v>1</v>
      </c>
      <c r="BB1310" t="str">
        <f t="shared" si="129"/>
        <v xml:space="preserve">N79NX   </v>
      </c>
      <c r="BC1310">
        <v>1</v>
      </c>
      <c r="BE1310">
        <v>0</v>
      </c>
      <c r="BF1310">
        <v>0</v>
      </c>
      <c r="BG1310">
        <v>0</v>
      </c>
      <c r="BH1310">
        <v>3175</v>
      </c>
      <c r="BI1310">
        <v>0</v>
      </c>
      <c r="BJ1310">
        <v>0</v>
      </c>
      <c r="BK1310">
        <v>0</v>
      </c>
      <c r="BL1310">
        <v>0</v>
      </c>
      <c r="BO1310">
        <v>0</v>
      </c>
      <c r="BP1310">
        <v>0</v>
      </c>
      <c r="BW1310" t="str">
        <f>"18:43:18.072"</f>
        <v>18:43:18.072</v>
      </c>
      <c r="BZ1310">
        <v>0</v>
      </c>
      <c r="CA1310">
        <v>3008</v>
      </c>
      <c r="CB1310">
        <v>216</v>
      </c>
      <c r="CC1310">
        <v>428.90629999999999</v>
      </c>
      <c r="CD1310">
        <v>1</v>
      </c>
      <c r="CE1310">
        <v>1</v>
      </c>
      <c r="CF1310">
        <v>0</v>
      </c>
      <c r="CG1310">
        <v>0</v>
      </c>
      <c r="CH1310">
        <v>0</v>
      </c>
      <c r="CI1310">
        <v>0</v>
      </c>
      <c r="CJ1310">
        <v>0</v>
      </c>
      <c r="CK1310">
        <v>2</v>
      </c>
      <c r="CL1310">
        <v>0</v>
      </c>
      <c r="CM1310">
        <v>2</v>
      </c>
      <c r="CN1310">
        <v>0</v>
      </c>
      <c r="CO1310">
        <v>1</v>
      </c>
      <c r="CP1310" t="s">
        <v>119</v>
      </c>
      <c r="CQ1310">
        <v>145</v>
      </c>
      <c r="CR1310">
        <v>1</v>
      </c>
      <c r="CW1310">
        <v>9067431</v>
      </c>
      <c r="CY1310">
        <v>0</v>
      </c>
      <c r="CZ1310">
        <v>0</v>
      </c>
      <c r="DA1310">
        <v>1</v>
      </c>
      <c r="DB1310">
        <v>0</v>
      </c>
      <c r="DC1310">
        <v>0</v>
      </c>
      <c r="DD1310">
        <v>0</v>
      </c>
      <c r="DE1310">
        <v>0</v>
      </c>
      <c r="DF1310">
        <v>0</v>
      </c>
      <c r="DG1310">
        <v>0</v>
      </c>
      <c r="DH1310">
        <v>0</v>
      </c>
      <c r="DI1310">
        <v>0</v>
      </c>
    </row>
    <row r="1311" spans="1:113" x14ac:dyDescent="0.3">
      <c r="A1311" t="str">
        <f>"02/13/2022 18:43:18.333"</f>
        <v>02/13/2022 18:43:18.333</v>
      </c>
      <c r="C1311" t="str">
        <f t="shared" si="128"/>
        <v>FFDFD7C0</v>
      </c>
      <c r="D1311" t="s">
        <v>121</v>
      </c>
      <c r="E1311">
        <v>2</v>
      </c>
      <c r="H1311">
        <v>158</v>
      </c>
      <c r="I1311" t="s">
        <v>120</v>
      </c>
      <c r="J1311" t="s">
        <v>122</v>
      </c>
      <c r="K1311">
        <v>0</v>
      </c>
      <c r="L1311">
        <v>3</v>
      </c>
      <c r="M1311">
        <v>0</v>
      </c>
      <c r="N1311">
        <v>2</v>
      </c>
      <c r="O1311">
        <v>1</v>
      </c>
      <c r="P1311">
        <v>0</v>
      </c>
      <c r="Q1311">
        <v>0</v>
      </c>
      <c r="S1311" t="str">
        <f>"18:43:18.070"</f>
        <v>18:43:18.070</v>
      </c>
      <c r="T1311" t="str">
        <f>"18:43:17.770"</f>
        <v>18:43:17.770</v>
      </c>
      <c r="U1311" t="str">
        <f t="shared" si="127"/>
        <v>AAB6EE</v>
      </c>
      <c r="V1311">
        <v>0</v>
      </c>
      <c r="W1311">
        <v>0</v>
      </c>
      <c r="X1311">
        <v>4</v>
      </c>
      <c r="Z1311">
        <v>0</v>
      </c>
      <c r="AA1311">
        <v>8</v>
      </c>
      <c r="AB1311">
        <v>3</v>
      </c>
      <c r="AC1311">
        <v>0</v>
      </c>
      <c r="AD1311">
        <v>10</v>
      </c>
      <c r="AE1311">
        <v>0</v>
      </c>
      <c r="AF1311">
        <v>0</v>
      </c>
      <c r="AG1311">
        <v>2</v>
      </c>
      <c r="AH1311">
        <v>1</v>
      </c>
      <c r="AI1311" t="s">
        <v>994</v>
      </c>
      <c r="AJ1311">
        <v>35.198006999999997</v>
      </c>
      <c r="AK1311" t="s">
        <v>995</v>
      </c>
      <c r="AL1311">
        <v>-76.251232999999999</v>
      </c>
      <c r="AM1311">
        <v>25</v>
      </c>
      <c r="AN1311">
        <v>3325</v>
      </c>
      <c r="AO1311" t="s">
        <v>118</v>
      </c>
      <c r="AP1311">
        <v>215</v>
      </c>
      <c r="AQ1311">
        <v>-115</v>
      </c>
      <c r="AR1311">
        <v>-576</v>
      </c>
      <c r="AZ1311">
        <v>4516</v>
      </c>
      <c r="BA1311">
        <v>1</v>
      </c>
      <c r="BB1311" t="str">
        <f t="shared" si="129"/>
        <v xml:space="preserve">N79NX   </v>
      </c>
      <c r="BC1311">
        <v>1</v>
      </c>
      <c r="BE1311">
        <v>0</v>
      </c>
      <c r="BF1311">
        <v>0</v>
      </c>
      <c r="BG1311">
        <v>0</v>
      </c>
      <c r="BH1311">
        <v>3175</v>
      </c>
      <c r="BI1311">
        <v>0</v>
      </c>
      <c r="BJ1311">
        <v>0</v>
      </c>
      <c r="BK1311">
        <v>0</v>
      </c>
      <c r="BL1311">
        <v>0</v>
      </c>
      <c r="BO1311">
        <v>0</v>
      </c>
      <c r="BP1311">
        <v>0</v>
      </c>
      <c r="BW1311" t="str">
        <f>"18:43:18.072"</f>
        <v>18:43:18.072</v>
      </c>
      <c r="BZ1311">
        <v>0</v>
      </c>
      <c r="CA1311">
        <v>3008</v>
      </c>
      <c r="CB1311">
        <v>216</v>
      </c>
      <c r="CC1311">
        <v>428.90629999999999</v>
      </c>
      <c r="CD1311">
        <v>1</v>
      </c>
      <c r="CE1311">
        <v>1</v>
      </c>
      <c r="CF1311">
        <v>0</v>
      </c>
      <c r="CG1311">
        <v>0</v>
      </c>
      <c r="CH1311">
        <v>0</v>
      </c>
      <c r="CI1311">
        <v>0</v>
      </c>
      <c r="CJ1311">
        <v>0</v>
      </c>
      <c r="CK1311">
        <v>2</v>
      </c>
      <c r="CL1311">
        <v>0</v>
      </c>
      <c r="CM1311">
        <v>2</v>
      </c>
      <c r="CN1311">
        <v>0</v>
      </c>
      <c r="CO1311">
        <v>1</v>
      </c>
      <c r="CP1311" t="s">
        <v>119</v>
      </c>
      <c r="CQ1311">
        <v>145</v>
      </c>
      <c r="CR1311">
        <v>1</v>
      </c>
      <c r="CW1311">
        <v>9067431</v>
      </c>
      <c r="CY1311">
        <v>0</v>
      </c>
      <c r="CZ1311">
        <v>0</v>
      </c>
      <c r="DA1311">
        <v>1</v>
      </c>
      <c r="DB1311">
        <v>0</v>
      </c>
      <c r="DC1311">
        <v>0</v>
      </c>
      <c r="DD1311">
        <v>0</v>
      </c>
      <c r="DE1311">
        <v>0</v>
      </c>
      <c r="DF1311">
        <v>0</v>
      </c>
      <c r="DG1311">
        <v>0</v>
      </c>
      <c r="DH1311">
        <v>0</v>
      </c>
      <c r="DI1311">
        <v>0</v>
      </c>
    </row>
    <row r="1312" spans="1:113" x14ac:dyDescent="0.3">
      <c r="A1312" t="str">
        <f>"02/13/2022 18:43:22.258"</f>
        <v>02/13/2022 18:43:22.258</v>
      </c>
      <c r="C1312" t="str">
        <f t="shared" si="128"/>
        <v>FFDFD7C0</v>
      </c>
      <c r="D1312" t="s">
        <v>121</v>
      </c>
      <c r="E1312">
        <v>2</v>
      </c>
      <c r="H1312">
        <v>158</v>
      </c>
      <c r="I1312" t="s">
        <v>120</v>
      </c>
      <c r="J1312" t="s">
        <v>122</v>
      </c>
      <c r="K1312">
        <v>0</v>
      </c>
      <c r="L1312">
        <v>3</v>
      </c>
      <c r="M1312">
        <v>0</v>
      </c>
      <c r="N1312">
        <v>2</v>
      </c>
      <c r="O1312">
        <v>1</v>
      </c>
      <c r="P1312">
        <v>0</v>
      </c>
      <c r="Q1312">
        <v>0</v>
      </c>
      <c r="S1312" t="str">
        <f>"18:43:22.078"</f>
        <v>18:43:22.078</v>
      </c>
      <c r="T1312" t="str">
        <f>"18:43:18.678"</f>
        <v>18:43:18.678</v>
      </c>
      <c r="U1312" t="str">
        <f t="shared" si="127"/>
        <v>AAB6EE</v>
      </c>
      <c r="V1312">
        <v>0</v>
      </c>
      <c r="W1312">
        <v>0</v>
      </c>
      <c r="X1312">
        <v>4</v>
      </c>
      <c r="Z1312">
        <v>0</v>
      </c>
      <c r="AA1312">
        <v>8</v>
      </c>
      <c r="AB1312">
        <v>3</v>
      </c>
      <c r="AC1312">
        <v>0</v>
      </c>
      <c r="AD1312">
        <v>10</v>
      </c>
      <c r="AE1312">
        <v>0</v>
      </c>
      <c r="AF1312">
        <v>0</v>
      </c>
      <c r="AG1312">
        <v>1</v>
      </c>
      <c r="AH1312">
        <v>1</v>
      </c>
      <c r="AI1312" t="s">
        <v>996</v>
      </c>
      <c r="AJ1312">
        <v>35.196289999999998</v>
      </c>
      <c r="AK1312" t="s">
        <v>997</v>
      </c>
      <c r="AL1312">
        <v>-76.246146999999993</v>
      </c>
      <c r="AM1312">
        <v>25</v>
      </c>
      <c r="AN1312">
        <v>3275</v>
      </c>
      <c r="AO1312" t="s">
        <v>118</v>
      </c>
      <c r="AP1312">
        <v>219</v>
      </c>
      <c r="AQ1312">
        <v>-109</v>
      </c>
      <c r="AR1312">
        <v>-640</v>
      </c>
      <c r="AZ1312">
        <v>4516</v>
      </c>
      <c r="BA1312">
        <v>1</v>
      </c>
      <c r="BB1312" t="str">
        <f t="shared" si="129"/>
        <v xml:space="preserve">N79NX   </v>
      </c>
      <c r="BC1312">
        <v>1</v>
      </c>
      <c r="BE1312">
        <v>0</v>
      </c>
      <c r="BF1312">
        <v>0</v>
      </c>
      <c r="BG1312">
        <v>0</v>
      </c>
      <c r="BH1312">
        <v>3175</v>
      </c>
      <c r="BI1312">
        <v>0</v>
      </c>
      <c r="BJ1312">
        <v>0</v>
      </c>
      <c r="BK1312">
        <v>0</v>
      </c>
      <c r="BL1312">
        <v>0</v>
      </c>
      <c r="BO1312">
        <v>0</v>
      </c>
      <c r="BP1312">
        <v>0</v>
      </c>
      <c r="BW1312" t="str">
        <f>"18:43:22.082"</f>
        <v>18:43:22.082</v>
      </c>
      <c r="BZ1312">
        <v>0</v>
      </c>
      <c r="CA1312">
        <v>3008</v>
      </c>
      <c r="CB1312">
        <v>216</v>
      </c>
      <c r="CC1312">
        <v>428.90629999999999</v>
      </c>
      <c r="CD1312">
        <v>1</v>
      </c>
      <c r="CE1312">
        <v>1</v>
      </c>
      <c r="CF1312">
        <v>0</v>
      </c>
      <c r="CG1312">
        <v>0</v>
      </c>
      <c r="CH1312">
        <v>0</v>
      </c>
      <c r="CI1312">
        <v>0</v>
      </c>
      <c r="CJ1312">
        <v>0</v>
      </c>
      <c r="CK1312">
        <v>2</v>
      </c>
      <c r="CL1312">
        <v>0</v>
      </c>
      <c r="CM1312">
        <v>2</v>
      </c>
      <c r="CN1312">
        <v>0</v>
      </c>
      <c r="CO1312">
        <v>1</v>
      </c>
      <c r="CP1312" t="s">
        <v>119</v>
      </c>
      <c r="CQ1312">
        <v>145</v>
      </c>
      <c r="CR1312">
        <v>1</v>
      </c>
      <c r="CW1312">
        <v>9069362</v>
      </c>
      <c r="CY1312">
        <v>0</v>
      </c>
      <c r="CZ1312">
        <v>0</v>
      </c>
      <c r="DA1312">
        <v>0</v>
      </c>
      <c r="DB1312">
        <v>0</v>
      </c>
      <c r="DC1312">
        <v>0</v>
      </c>
      <c r="DD1312">
        <v>0</v>
      </c>
      <c r="DE1312">
        <v>0</v>
      </c>
      <c r="DF1312">
        <v>0</v>
      </c>
      <c r="DG1312">
        <v>0</v>
      </c>
      <c r="DH1312">
        <v>0</v>
      </c>
      <c r="DI1312">
        <v>0</v>
      </c>
    </row>
    <row r="1313" spans="1:113" x14ac:dyDescent="0.3">
      <c r="A1313" t="str">
        <f>"02/13/2022 18:43:22.352"</f>
        <v>02/13/2022 18:43:22.352</v>
      </c>
      <c r="C1313" t="str">
        <f t="shared" si="128"/>
        <v>FFDFD7C0</v>
      </c>
      <c r="D1313" t="s">
        <v>113</v>
      </c>
      <c r="E1313">
        <v>3</v>
      </c>
      <c r="F1313">
        <v>1003</v>
      </c>
      <c r="G1313" t="s">
        <v>114</v>
      </c>
      <c r="J1313" t="s">
        <v>115</v>
      </c>
      <c r="K1313">
        <v>0</v>
      </c>
      <c r="L1313">
        <v>3</v>
      </c>
      <c r="M1313">
        <v>0</v>
      </c>
      <c r="N1313">
        <v>2</v>
      </c>
      <c r="O1313">
        <v>1</v>
      </c>
      <c r="P1313">
        <v>0</v>
      </c>
      <c r="Q1313">
        <v>0</v>
      </c>
      <c r="S1313" t="str">
        <f>"18:43:22.078"</f>
        <v>18:43:22.078</v>
      </c>
      <c r="T1313" t="str">
        <f>"18:43:18.678"</f>
        <v>18:43:18.678</v>
      </c>
      <c r="U1313" t="str">
        <f t="shared" si="127"/>
        <v>AAB6EE</v>
      </c>
      <c r="V1313">
        <v>0</v>
      </c>
      <c r="W1313">
        <v>0</v>
      </c>
      <c r="X1313">
        <v>4</v>
      </c>
      <c r="Z1313">
        <v>0</v>
      </c>
      <c r="AA1313">
        <v>8</v>
      </c>
      <c r="AB1313">
        <v>3</v>
      </c>
      <c r="AC1313">
        <v>0</v>
      </c>
      <c r="AD1313">
        <v>10</v>
      </c>
      <c r="AE1313">
        <v>0</v>
      </c>
      <c r="AF1313">
        <v>0</v>
      </c>
      <c r="AG1313">
        <v>1</v>
      </c>
      <c r="AH1313">
        <v>1</v>
      </c>
      <c r="AI1313" t="s">
        <v>996</v>
      </c>
      <c r="AJ1313">
        <v>35.196289999999998</v>
      </c>
      <c r="AK1313" t="s">
        <v>997</v>
      </c>
      <c r="AL1313">
        <v>-76.246146999999993</v>
      </c>
      <c r="AM1313">
        <v>25</v>
      </c>
      <c r="AN1313">
        <v>3275</v>
      </c>
      <c r="AO1313" t="s">
        <v>118</v>
      </c>
      <c r="AP1313">
        <v>219</v>
      </c>
      <c r="AQ1313">
        <v>-109</v>
      </c>
      <c r="AR1313">
        <v>-640</v>
      </c>
      <c r="AZ1313">
        <v>4516</v>
      </c>
      <c r="BA1313">
        <v>1</v>
      </c>
      <c r="BB1313" t="str">
        <f t="shared" si="129"/>
        <v xml:space="preserve">N79NX   </v>
      </c>
      <c r="BC1313">
        <v>1</v>
      </c>
      <c r="BE1313">
        <v>0</v>
      </c>
      <c r="BF1313">
        <v>0</v>
      </c>
      <c r="BG1313">
        <v>0</v>
      </c>
      <c r="BH1313">
        <v>3175</v>
      </c>
      <c r="BI1313">
        <v>0</v>
      </c>
      <c r="BJ1313">
        <v>0</v>
      </c>
      <c r="BK1313">
        <v>0</v>
      </c>
      <c r="BL1313">
        <v>0</v>
      </c>
      <c r="BO1313">
        <v>0</v>
      </c>
      <c r="BP1313">
        <v>0</v>
      </c>
      <c r="BW1313" t="str">
        <f>"18:43:22.082"</f>
        <v>18:43:22.082</v>
      </c>
      <c r="BZ1313">
        <v>0</v>
      </c>
      <c r="CA1313">
        <v>3008</v>
      </c>
      <c r="CB1313">
        <v>216</v>
      </c>
      <c r="CC1313">
        <v>428.90629999999999</v>
      </c>
      <c r="CD1313">
        <v>1</v>
      </c>
      <c r="CE1313">
        <v>1</v>
      </c>
      <c r="CF1313">
        <v>0</v>
      </c>
      <c r="CG1313">
        <v>0</v>
      </c>
      <c r="CH1313">
        <v>0</v>
      </c>
      <c r="CI1313">
        <v>0</v>
      </c>
      <c r="CJ1313">
        <v>0</v>
      </c>
      <c r="CK1313">
        <v>2</v>
      </c>
      <c r="CL1313">
        <v>0</v>
      </c>
      <c r="CM1313">
        <v>2</v>
      </c>
      <c r="CN1313">
        <v>0</v>
      </c>
      <c r="CO1313">
        <v>1</v>
      </c>
      <c r="CP1313" t="s">
        <v>119</v>
      </c>
      <c r="CQ1313">
        <v>145</v>
      </c>
      <c r="CR1313">
        <v>1</v>
      </c>
      <c r="CW1313">
        <v>9069362</v>
      </c>
      <c r="CY1313">
        <v>0</v>
      </c>
      <c r="CZ1313">
        <v>0</v>
      </c>
      <c r="DA1313">
        <v>1</v>
      </c>
      <c r="DB1313">
        <v>0</v>
      </c>
      <c r="DC1313">
        <v>0</v>
      </c>
      <c r="DD1313">
        <v>0</v>
      </c>
      <c r="DE1313">
        <v>0</v>
      </c>
      <c r="DF1313">
        <v>0</v>
      </c>
      <c r="DG1313">
        <v>0</v>
      </c>
      <c r="DH1313">
        <v>0</v>
      </c>
      <c r="DI1313">
        <v>0</v>
      </c>
    </row>
    <row r="1314" spans="1:113" x14ac:dyDescent="0.3">
      <c r="A1314" t="str">
        <f>"02/13/2022 18:43:22.352"</f>
        <v>02/13/2022 18:43:22.352</v>
      </c>
      <c r="C1314" t="str">
        <f t="shared" si="128"/>
        <v>FFDFD7C0</v>
      </c>
      <c r="D1314" t="s">
        <v>113</v>
      </c>
      <c r="E1314">
        <v>4</v>
      </c>
      <c r="F1314">
        <v>1004</v>
      </c>
      <c r="G1314" t="s">
        <v>120</v>
      </c>
      <c r="J1314" t="s">
        <v>115</v>
      </c>
      <c r="K1314">
        <v>0</v>
      </c>
      <c r="L1314">
        <v>3</v>
      </c>
      <c r="M1314">
        <v>0</v>
      </c>
      <c r="N1314">
        <v>2</v>
      </c>
      <c r="O1314">
        <v>1</v>
      </c>
      <c r="P1314">
        <v>0</v>
      </c>
      <c r="Q1314">
        <v>0</v>
      </c>
      <c r="S1314" t="str">
        <f>"18:43:22.078"</f>
        <v>18:43:22.078</v>
      </c>
      <c r="T1314" t="str">
        <f>"18:43:18.678"</f>
        <v>18:43:18.678</v>
      </c>
      <c r="U1314" t="str">
        <f t="shared" si="127"/>
        <v>AAB6EE</v>
      </c>
      <c r="V1314">
        <v>0</v>
      </c>
      <c r="W1314">
        <v>0</v>
      </c>
      <c r="X1314">
        <v>4</v>
      </c>
      <c r="Z1314">
        <v>0</v>
      </c>
      <c r="AA1314">
        <v>8</v>
      </c>
      <c r="AB1314">
        <v>3</v>
      </c>
      <c r="AC1314">
        <v>0</v>
      </c>
      <c r="AD1314">
        <v>10</v>
      </c>
      <c r="AE1314">
        <v>0</v>
      </c>
      <c r="AF1314">
        <v>0</v>
      </c>
      <c r="AG1314">
        <v>1</v>
      </c>
      <c r="AH1314">
        <v>1</v>
      </c>
      <c r="AI1314" t="s">
        <v>996</v>
      </c>
      <c r="AJ1314">
        <v>35.196289999999998</v>
      </c>
      <c r="AK1314" t="s">
        <v>997</v>
      </c>
      <c r="AL1314">
        <v>-76.246146999999993</v>
      </c>
      <c r="AM1314">
        <v>25</v>
      </c>
      <c r="AN1314">
        <v>3275</v>
      </c>
      <c r="AO1314" t="s">
        <v>118</v>
      </c>
      <c r="AP1314">
        <v>219</v>
      </c>
      <c r="AQ1314">
        <v>-109</v>
      </c>
      <c r="AR1314">
        <v>-640</v>
      </c>
      <c r="AZ1314">
        <v>4516</v>
      </c>
      <c r="BA1314">
        <v>1</v>
      </c>
      <c r="BB1314" t="str">
        <f t="shared" si="129"/>
        <v xml:space="preserve">N79NX   </v>
      </c>
      <c r="BC1314">
        <v>1</v>
      </c>
      <c r="BE1314">
        <v>0</v>
      </c>
      <c r="BF1314">
        <v>0</v>
      </c>
      <c r="BG1314">
        <v>0</v>
      </c>
      <c r="BH1314">
        <v>3175</v>
      </c>
      <c r="BI1314">
        <v>0</v>
      </c>
      <c r="BJ1314">
        <v>0</v>
      </c>
      <c r="BK1314">
        <v>0</v>
      </c>
      <c r="BL1314">
        <v>0</v>
      </c>
      <c r="BO1314">
        <v>0</v>
      </c>
      <c r="BP1314">
        <v>0</v>
      </c>
      <c r="BW1314" t="str">
        <f>"18:43:22.082"</f>
        <v>18:43:22.082</v>
      </c>
      <c r="BZ1314">
        <v>0</v>
      </c>
      <c r="CA1314">
        <v>3008</v>
      </c>
      <c r="CB1314">
        <v>216</v>
      </c>
      <c r="CC1314">
        <v>428.90629999999999</v>
      </c>
      <c r="CD1314">
        <v>1</v>
      </c>
      <c r="CE1314">
        <v>1</v>
      </c>
      <c r="CF1314">
        <v>0</v>
      </c>
      <c r="CG1314">
        <v>0</v>
      </c>
      <c r="CH1314">
        <v>0</v>
      </c>
      <c r="CI1314">
        <v>0</v>
      </c>
      <c r="CJ1314">
        <v>0</v>
      </c>
      <c r="CK1314">
        <v>2</v>
      </c>
      <c r="CL1314">
        <v>0</v>
      </c>
      <c r="CM1314">
        <v>2</v>
      </c>
      <c r="CN1314">
        <v>0</v>
      </c>
      <c r="CO1314">
        <v>1</v>
      </c>
      <c r="CP1314" t="s">
        <v>119</v>
      </c>
      <c r="CQ1314">
        <v>145</v>
      </c>
      <c r="CR1314">
        <v>1</v>
      </c>
      <c r="CW1314">
        <v>9069362</v>
      </c>
      <c r="CY1314">
        <v>0</v>
      </c>
      <c r="CZ1314">
        <v>0</v>
      </c>
      <c r="DA1314">
        <v>1</v>
      </c>
      <c r="DB1314">
        <v>0</v>
      </c>
      <c r="DC1314">
        <v>0</v>
      </c>
      <c r="DD1314">
        <v>0</v>
      </c>
      <c r="DE1314">
        <v>0</v>
      </c>
      <c r="DF1314">
        <v>0</v>
      </c>
      <c r="DG1314">
        <v>0</v>
      </c>
      <c r="DH1314">
        <v>0</v>
      </c>
      <c r="DI1314">
        <v>0</v>
      </c>
    </row>
    <row r="1315" spans="1:113" x14ac:dyDescent="0.3">
      <c r="A1315" t="str">
        <f>"02/13/2022 18:43:23.321"</f>
        <v>02/13/2022 18:43:23.321</v>
      </c>
      <c r="C1315" t="str">
        <f t="shared" si="128"/>
        <v>FFDFD7C0</v>
      </c>
      <c r="D1315" t="s">
        <v>113</v>
      </c>
      <c r="E1315">
        <v>3</v>
      </c>
      <c r="F1315">
        <v>1003</v>
      </c>
      <c r="G1315" t="s">
        <v>114</v>
      </c>
      <c r="J1315" t="s">
        <v>115</v>
      </c>
      <c r="K1315">
        <v>0</v>
      </c>
      <c r="L1315">
        <v>3</v>
      </c>
      <c r="M1315">
        <v>0</v>
      </c>
      <c r="N1315">
        <v>2</v>
      </c>
      <c r="O1315">
        <v>1</v>
      </c>
      <c r="P1315">
        <v>0</v>
      </c>
      <c r="Q1315">
        <v>0</v>
      </c>
      <c r="S1315" t="str">
        <f>"18:43:23.125"</f>
        <v>18:43:23.125</v>
      </c>
      <c r="T1315" t="str">
        <f>"18:43:22.525"</f>
        <v>18:43:22.525</v>
      </c>
      <c r="U1315" t="str">
        <f t="shared" si="127"/>
        <v>AAB6EE</v>
      </c>
      <c r="V1315">
        <v>0</v>
      </c>
      <c r="W1315">
        <v>0</v>
      </c>
      <c r="X1315">
        <v>4</v>
      </c>
      <c r="Z1315">
        <v>0</v>
      </c>
      <c r="AA1315">
        <v>8</v>
      </c>
      <c r="AB1315">
        <v>3</v>
      </c>
      <c r="AC1315">
        <v>0</v>
      </c>
      <c r="AD1315">
        <v>10</v>
      </c>
      <c r="AE1315">
        <v>0</v>
      </c>
      <c r="AF1315">
        <v>0</v>
      </c>
      <c r="AG1315">
        <v>1</v>
      </c>
      <c r="AH1315">
        <v>1</v>
      </c>
      <c r="AI1315" t="s">
        <v>998</v>
      </c>
      <c r="AJ1315">
        <v>35.195881999999997</v>
      </c>
      <c r="AK1315" t="s">
        <v>999</v>
      </c>
      <c r="AL1315">
        <v>-76.244667000000007</v>
      </c>
      <c r="AM1315">
        <v>25</v>
      </c>
      <c r="AN1315">
        <v>3275</v>
      </c>
      <c r="AO1315" t="s">
        <v>118</v>
      </c>
      <c r="AP1315">
        <v>235</v>
      </c>
      <c r="AQ1315">
        <v>-75</v>
      </c>
      <c r="AR1315">
        <v>-576</v>
      </c>
      <c r="AZ1315">
        <v>4516</v>
      </c>
      <c r="BA1315">
        <v>1</v>
      </c>
      <c r="BB1315" t="str">
        <f t="shared" si="129"/>
        <v xml:space="preserve">N79NX   </v>
      </c>
      <c r="BC1315">
        <v>1</v>
      </c>
      <c r="BE1315">
        <v>0</v>
      </c>
      <c r="BF1315">
        <v>0</v>
      </c>
      <c r="BG1315">
        <v>0</v>
      </c>
      <c r="BH1315">
        <v>3150</v>
      </c>
      <c r="BI1315">
        <v>0</v>
      </c>
      <c r="BJ1315">
        <v>0</v>
      </c>
      <c r="BK1315">
        <v>0</v>
      </c>
      <c r="BL1315">
        <v>0</v>
      </c>
      <c r="BO1315">
        <v>0</v>
      </c>
      <c r="BP1315">
        <v>0</v>
      </c>
      <c r="BW1315" t="str">
        <f>"18:43:23.132"</f>
        <v>18:43:23.132</v>
      </c>
      <c r="BZ1315">
        <v>0</v>
      </c>
      <c r="CA1315">
        <v>3008</v>
      </c>
      <c r="CB1315">
        <v>216</v>
      </c>
      <c r="CC1315">
        <v>428.90629999999999</v>
      </c>
      <c r="CD1315">
        <v>1</v>
      </c>
      <c r="CE1315">
        <v>1</v>
      </c>
      <c r="CF1315">
        <v>0</v>
      </c>
      <c r="CG1315">
        <v>0</v>
      </c>
      <c r="CH1315">
        <v>0</v>
      </c>
      <c r="CI1315">
        <v>0</v>
      </c>
      <c r="CJ1315">
        <v>0</v>
      </c>
      <c r="CK1315">
        <v>2</v>
      </c>
      <c r="CL1315">
        <v>0</v>
      </c>
      <c r="CM1315">
        <v>2</v>
      </c>
      <c r="CN1315">
        <v>0</v>
      </c>
      <c r="CO1315">
        <v>1</v>
      </c>
      <c r="CP1315" t="s">
        <v>119</v>
      </c>
      <c r="CQ1315">
        <v>145</v>
      </c>
      <c r="CR1315">
        <v>1</v>
      </c>
      <c r="CW1315">
        <v>9069822</v>
      </c>
      <c r="CY1315">
        <v>0</v>
      </c>
      <c r="CZ1315">
        <v>0</v>
      </c>
      <c r="DA1315">
        <v>0</v>
      </c>
      <c r="DB1315">
        <v>0</v>
      </c>
      <c r="DC1315">
        <v>0</v>
      </c>
      <c r="DD1315">
        <v>0</v>
      </c>
      <c r="DE1315">
        <v>0</v>
      </c>
      <c r="DF1315">
        <v>0</v>
      </c>
      <c r="DG1315">
        <v>0</v>
      </c>
      <c r="DH1315">
        <v>0</v>
      </c>
      <c r="DI1315">
        <v>0</v>
      </c>
    </row>
    <row r="1316" spans="1:113" x14ac:dyDescent="0.3">
      <c r="A1316" t="str">
        <f>"02/13/2022 18:43:23.321"</f>
        <v>02/13/2022 18:43:23.321</v>
      </c>
      <c r="C1316" t="str">
        <f t="shared" si="128"/>
        <v>FFDFD7C0</v>
      </c>
      <c r="D1316" t="s">
        <v>113</v>
      </c>
      <c r="E1316">
        <v>4</v>
      </c>
      <c r="F1316">
        <v>1004</v>
      </c>
      <c r="G1316" t="s">
        <v>120</v>
      </c>
      <c r="J1316" t="s">
        <v>115</v>
      </c>
      <c r="K1316">
        <v>0</v>
      </c>
      <c r="L1316">
        <v>3</v>
      </c>
      <c r="M1316">
        <v>0</v>
      </c>
      <c r="N1316">
        <v>2</v>
      </c>
      <c r="O1316">
        <v>1</v>
      </c>
      <c r="P1316">
        <v>0</v>
      </c>
      <c r="Q1316">
        <v>0</v>
      </c>
      <c r="S1316" t="str">
        <f>"18:43:23.125"</f>
        <v>18:43:23.125</v>
      </c>
      <c r="T1316" t="str">
        <f>"18:43:22.525"</f>
        <v>18:43:22.525</v>
      </c>
      <c r="U1316" t="str">
        <f t="shared" si="127"/>
        <v>AAB6EE</v>
      </c>
      <c r="V1316">
        <v>0</v>
      </c>
      <c r="W1316">
        <v>0</v>
      </c>
      <c r="X1316">
        <v>4</v>
      </c>
      <c r="Z1316">
        <v>0</v>
      </c>
      <c r="AA1316">
        <v>8</v>
      </c>
      <c r="AB1316">
        <v>3</v>
      </c>
      <c r="AC1316">
        <v>0</v>
      </c>
      <c r="AD1316">
        <v>10</v>
      </c>
      <c r="AE1316">
        <v>0</v>
      </c>
      <c r="AF1316">
        <v>0</v>
      </c>
      <c r="AG1316">
        <v>1</v>
      </c>
      <c r="AH1316">
        <v>1</v>
      </c>
      <c r="AI1316" t="s">
        <v>998</v>
      </c>
      <c r="AJ1316">
        <v>35.195881999999997</v>
      </c>
      <c r="AK1316" t="s">
        <v>999</v>
      </c>
      <c r="AL1316">
        <v>-76.244667000000007</v>
      </c>
      <c r="AM1316">
        <v>25</v>
      </c>
      <c r="AN1316">
        <v>3275</v>
      </c>
      <c r="AO1316" t="s">
        <v>118</v>
      </c>
      <c r="AP1316">
        <v>235</v>
      </c>
      <c r="AQ1316">
        <v>-75</v>
      </c>
      <c r="AR1316">
        <v>-576</v>
      </c>
      <c r="AZ1316">
        <v>4516</v>
      </c>
      <c r="BA1316">
        <v>1</v>
      </c>
      <c r="BB1316" t="str">
        <f t="shared" si="129"/>
        <v xml:space="preserve">N79NX   </v>
      </c>
      <c r="BC1316">
        <v>1</v>
      </c>
      <c r="BE1316">
        <v>0</v>
      </c>
      <c r="BF1316">
        <v>0</v>
      </c>
      <c r="BG1316">
        <v>0</v>
      </c>
      <c r="BH1316">
        <v>3150</v>
      </c>
      <c r="BI1316">
        <v>0</v>
      </c>
      <c r="BJ1316">
        <v>0</v>
      </c>
      <c r="BK1316">
        <v>0</v>
      </c>
      <c r="BL1316">
        <v>0</v>
      </c>
      <c r="BO1316">
        <v>0</v>
      </c>
      <c r="BP1316">
        <v>0</v>
      </c>
      <c r="BW1316" t="str">
        <f>"18:43:23.132"</f>
        <v>18:43:23.132</v>
      </c>
      <c r="BZ1316">
        <v>0</v>
      </c>
      <c r="CA1316">
        <v>3008</v>
      </c>
      <c r="CB1316">
        <v>216</v>
      </c>
      <c r="CC1316">
        <v>428.90629999999999</v>
      </c>
      <c r="CD1316">
        <v>1</v>
      </c>
      <c r="CE1316">
        <v>1</v>
      </c>
      <c r="CF1316">
        <v>0</v>
      </c>
      <c r="CG1316">
        <v>0</v>
      </c>
      <c r="CH1316">
        <v>0</v>
      </c>
      <c r="CI1316">
        <v>0</v>
      </c>
      <c r="CJ1316">
        <v>0</v>
      </c>
      <c r="CK1316">
        <v>2</v>
      </c>
      <c r="CL1316">
        <v>0</v>
      </c>
      <c r="CM1316">
        <v>2</v>
      </c>
      <c r="CN1316">
        <v>0</v>
      </c>
      <c r="CO1316">
        <v>1</v>
      </c>
      <c r="CP1316" t="s">
        <v>119</v>
      </c>
      <c r="CQ1316">
        <v>145</v>
      </c>
      <c r="CR1316">
        <v>1</v>
      </c>
      <c r="CW1316">
        <v>9069822</v>
      </c>
      <c r="CY1316">
        <v>0</v>
      </c>
      <c r="CZ1316">
        <v>0</v>
      </c>
      <c r="DA1316">
        <v>1</v>
      </c>
      <c r="DB1316">
        <v>0</v>
      </c>
      <c r="DC1316">
        <v>0</v>
      </c>
      <c r="DD1316">
        <v>0</v>
      </c>
      <c r="DE1316">
        <v>0</v>
      </c>
      <c r="DF1316">
        <v>0</v>
      </c>
      <c r="DG1316">
        <v>0</v>
      </c>
      <c r="DH1316">
        <v>0</v>
      </c>
      <c r="DI1316">
        <v>0</v>
      </c>
    </row>
    <row r="1317" spans="1:113" x14ac:dyDescent="0.3">
      <c r="A1317" t="str">
        <f>"02/13/2022 18:43:23.321"</f>
        <v>02/13/2022 18:43:23.321</v>
      </c>
      <c r="C1317" t="str">
        <f t="shared" si="128"/>
        <v>FFDFD7C0</v>
      </c>
      <c r="D1317" t="s">
        <v>121</v>
      </c>
      <c r="E1317">
        <v>2</v>
      </c>
      <c r="H1317">
        <v>158</v>
      </c>
      <c r="I1317" t="s">
        <v>120</v>
      </c>
      <c r="J1317" t="s">
        <v>122</v>
      </c>
      <c r="K1317">
        <v>0</v>
      </c>
      <c r="L1317">
        <v>3</v>
      </c>
      <c r="M1317">
        <v>0</v>
      </c>
      <c r="N1317">
        <v>2</v>
      </c>
      <c r="O1317">
        <v>1</v>
      </c>
      <c r="P1317">
        <v>0</v>
      </c>
      <c r="Q1317">
        <v>0</v>
      </c>
      <c r="S1317" t="str">
        <f>"18:43:23.125"</f>
        <v>18:43:23.125</v>
      </c>
      <c r="T1317" t="str">
        <f>"18:43:22.525"</f>
        <v>18:43:22.525</v>
      </c>
      <c r="U1317" t="str">
        <f t="shared" si="127"/>
        <v>AAB6EE</v>
      </c>
      <c r="V1317">
        <v>0</v>
      </c>
      <c r="W1317">
        <v>0</v>
      </c>
      <c r="X1317">
        <v>4</v>
      </c>
      <c r="Z1317">
        <v>0</v>
      </c>
      <c r="AA1317">
        <v>8</v>
      </c>
      <c r="AB1317">
        <v>3</v>
      </c>
      <c r="AC1317">
        <v>0</v>
      </c>
      <c r="AD1317">
        <v>10</v>
      </c>
      <c r="AE1317">
        <v>0</v>
      </c>
      <c r="AF1317">
        <v>0</v>
      </c>
      <c r="AG1317">
        <v>1</v>
      </c>
      <c r="AH1317">
        <v>1</v>
      </c>
      <c r="AI1317" t="s">
        <v>998</v>
      </c>
      <c r="AJ1317">
        <v>35.195881999999997</v>
      </c>
      <c r="AK1317" t="s">
        <v>999</v>
      </c>
      <c r="AL1317">
        <v>-76.244667000000007</v>
      </c>
      <c r="AM1317">
        <v>25</v>
      </c>
      <c r="AN1317">
        <v>3275</v>
      </c>
      <c r="AO1317" t="s">
        <v>118</v>
      </c>
      <c r="AP1317">
        <v>235</v>
      </c>
      <c r="AQ1317">
        <v>-75</v>
      </c>
      <c r="AR1317">
        <v>-576</v>
      </c>
      <c r="AZ1317">
        <v>4516</v>
      </c>
      <c r="BA1317">
        <v>1</v>
      </c>
      <c r="BB1317" t="str">
        <f t="shared" si="129"/>
        <v xml:space="preserve">N79NX   </v>
      </c>
      <c r="BC1317">
        <v>1</v>
      </c>
      <c r="BE1317">
        <v>0</v>
      </c>
      <c r="BF1317">
        <v>0</v>
      </c>
      <c r="BG1317">
        <v>0</v>
      </c>
      <c r="BH1317">
        <v>3150</v>
      </c>
      <c r="BI1317">
        <v>0</v>
      </c>
      <c r="BJ1317">
        <v>0</v>
      </c>
      <c r="BK1317">
        <v>0</v>
      </c>
      <c r="BL1317">
        <v>0</v>
      </c>
      <c r="BO1317">
        <v>0</v>
      </c>
      <c r="BP1317">
        <v>0</v>
      </c>
      <c r="BW1317" t="str">
        <f>"18:43:23.132"</f>
        <v>18:43:23.132</v>
      </c>
      <c r="BZ1317">
        <v>0</v>
      </c>
      <c r="CA1317">
        <v>3008</v>
      </c>
      <c r="CB1317">
        <v>216</v>
      </c>
      <c r="CC1317">
        <v>428.90629999999999</v>
      </c>
      <c r="CD1317">
        <v>1</v>
      </c>
      <c r="CE1317">
        <v>1</v>
      </c>
      <c r="CF1317">
        <v>0</v>
      </c>
      <c r="CG1317">
        <v>0</v>
      </c>
      <c r="CH1317">
        <v>0</v>
      </c>
      <c r="CI1317">
        <v>0</v>
      </c>
      <c r="CJ1317">
        <v>0</v>
      </c>
      <c r="CK1317">
        <v>2</v>
      </c>
      <c r="CL1317">
        <v>0</v>
      </c>
      <c r="CM1317">
        <v>2</v>
      </c>
      <c r="CN1317">
        <v>0</v>
      </c>
      <c r="CO1317">
        <v>1</v>
      </c>
      <c r="CP1317" t="s">
        <v>119</v>
      </c>
      <c r="CQ1317">
        <v>145</v>
      </c>
      <c r="CR1317">
        <v>1</v>
      </c>
      <c r="CW1317">
        <v>9069822</v>
      </c>
      <c r="CY1317">
        <v>0</v>
      </c>
      <c r="CZ1317">
        <v>0</v>
      </c>
      <c r="DA1317">
        <v>1</v>
      </c>
      <c r="DB1317">
        <v>0</v>
      </c>
      <c r="DC1317">
        <v>0</v>
      </c>
      <c r="DD1317">
        <v>0</v>
      </c>
      <c r="DE1317">
        <v>0</v>
      </c>
      <c r="DF1317">
        <v>0</v>
      </c>
      <c r="DG1317">
        <v>0</v>
      </c>
      <c r="DH1317">
        <v>0</v>
      </c>
      <c r="DI1317">
        <v>0</v>
      </c>
    </row>
    <row r="1318" spans="1:113" x14ac:dyDescent="0.3">
      <c r="A1318" t="str">
        <f>"02/13/2022 18:43:25.230"</f>
        <v>02/13/2022 18:43:25.230</v>
      </c>
      <c r="C1318" t="str">
        <f t="shared" si="128"/>
        <v>FFDFD7C0</v>
      </c>
      <c r="D1318" t="s">
        <v>113</v>
      </c>
      <c r="E1318">
        <v>3</v>
      </c>
      <c r="F1318">
        <v>1003</v>
      </c>
      <c r="G1318" t="s">
        <v>114</v>
      </c>
      <c r="J1318" t="s">
        <v>115</v>
      </c>
      <c r="K1318">
        <v>0</v>
      </c>
      <c r="L1318">
        <v>3</v>
      </c>
      <c r="M1318">
        <v>0</v>
      </c>
      <c r="N1318">
        <v>2</v>
      </c>
      <c r="O1318">
        <v>1</v>
      </c>
      <c r="P1318">
        <v>0</v>
      </c>
      <c r="Q1318">
        <v>0</v>
      </c>
      <c r="S1318" t="str">
        <f>"18:43:25.000"</f>
        <v>18:43:25.000</v>
      </c>
      <c r="T1318" t="str">
        <f>"18:43:24.500"</f>
        <v>18:43:24.500</v>
      </c>
      <c r="U1318" t="str">
        <f t="shared" si="127"/>
        <v>AAB6EE</v>
      </c>
      <c r="V1318">
        <v>0</v>
      </c>
      <c r="W1318">
        <v>0</v>
      </c>
      <c r="X1318">
        <v>4</v>
      </c>
      <c r="Z1318">
        <v>0</v>
      </c>
      <c r="AA1318">
        <v>8</v>
      </c>
      <c r="AB1318">
        <v>3</v>
      </c>
      <c r="AC1318">
        <v>0</v>
      </c>
      <c r="AD1318">
        <v>10</v>
      </c>
      <c r="AE1318">
        <v>0</v>
      </c>
      <c r="AF1318">
        <v>0</v>
      </c>
      <c r="AG1318">
        <v>1</v>
      </c>
      <c r="AH1318">
        <v>1</v>
      </c>
      <c r="AI1318" t="s">
        <v>1000</v>
      </c>
      <c r="AJ1318">
        <v>35.195388999999999</v>
      </c>
      <c r="AK1318" t="s">
        <v>1001</v>
      </c>
      <c r="AL1318">
        <v>-76.242198999999999</v>
      </c>
      <c r="AM1318">
        <v>25</v>
      </c>
      <c r="AN1318">
        <v>3250</v>
      </c>
      <c r="AO1318" t="s">
        <v>118</v>
      </c>
      <c r="AP1318">
        <v>242</v>
      </c>
      <c r="AQ1318">
        <v>-57</v>
      </c>
      <c r="AR1318">
        <v>-512</v>
      </c>
      <c r="AZ1318">
        <v>4516</v>
      </c>
      <c r="BA1318">
        <v>1</v>
      </c>
      <c r="BB1318" t="str">
        <f t="shared" si="129"/>
        <v xml:space="preserve">N79NX   </v>
      </c>
      <c r="BC1318">
        <v>1</v>
      </c>
      <c r="BE1318">
        <v>0</v>
      </c>
      <c r="BF1318">
        <v>0</v>
      </c>
      <c r="BG1318">
        <v>0</v>
      </c>
      <c r="BH1318">
        <v>3125</v>
      </c>
      <c r="BI1318">
        <v>0</v>
      </c>
      <c r="BJ1318">
        <v>0</v>
      </c>
      <c r="BK1318">
        <v>0</v>
      </c>
      <c r="BL1318">
        <v>0</v>
      </c>
      <c r="BO1318">
        <v>0</v>
      </c>
      <c r="BP1318">
        <v>0</v>
      </c>
      <c r="BW1318" t="str">
        <f>"18:43:25.002"</f>
        <v>18:43:25.002</v>
      </c>
      <c r="BZ1318">
        <v>0</v>
      </c>
      <c r="CA1318">
        <v>3008</v>
      </c>
      <c r="CB1318">
        <v>216</v>
      </c>
      <c r="CC1318">
        <v>428.90629999999999</v>
      </c>
      <c r="CD1318">
        <v>1</v>
      </c>
      <c r="CE1318">
        <v>1</v>
      </c>
      <c r="CF1318">
        <v>0</v>
      </c>
      <c r="CG1318">
        <v>0</v>
      </c>
      <c r="CH1318">
        <v>0</v>
      </c>
      <c r="CI1318">
        <v>0</v>
      </c>
      <c r="CJ1318">
        <v>0</v>
      </c>
      <c r="CK1318">
        <v>2</v>
      </c>
      <c r="CL1318">
        <v>0</v>
      </c>
      <c r="CM1318">
        <v>2</v>
      </c>
      <c r="CN1318">
        <v>0</v>
      </c>
      <c r="CO1318">
        <v>2</v>
      </c>
      <c r="CP1318" t="s">
        <v>119</v>
      </c>
      <c r="CQ1318">
        <v>145</v>
      </c>
      <c r="CR1318">
        <v>1</v>
      </c>
      <c r="CW1318">
        <v>9070780</v>
      </c>
      <c r="CY1318">
        <v>0</v>
      </c>
      <c r="CZ1318">
        <v>0</v>
      </c>
      <c r="DA1318">
        <v>0</v>
      </c>
      <c r="DB1318">
        <v>0</v>
      </c>
      <c r="DC1318">
        <v>0</v>
      </c>
      <c r="DD1318">
        <v>0</v>
      </c>
      <c r="DE1318">
        <v>0</v>
      </c>
      <c r="DF1318">
        <v>0</v>
      </c>
      <c r="DG1318">
        <v>0</v>
      </c>
      <c r="DH1318">
        <v>0</v>
      </c>
      <c r="DI1318">
        <v>0</v>
      </c>
    </row>
    <row r="1319" spans="1:113" x14ac:dyDescent="0.3">
      <c r="A1319" t="str">
        <f>"02/13/2022 18:43:25.230"</f>
        <v>02/13/2022 18:43:25.230</v>
      </c>
      <c r="C1319" t="str">
        <f t="shared" si="128"/>
        <v>FFDFD7C0</v>
      </c>
      <c r="D1319" t="s">
        <v>113</v>
      </c>
      <c r="E1319">
        <v>4</v>
      </c>
      <c r="F1319">
        <v>1004</v>
      </c>
      <c r="G1319" t="s">
        <v>120</v>
      </c>
      <c r="J1319" t="s">
        <v>115</v>
      </c>
      <c r="K1319">
        <v>0</v>
      </c>
      <c r="L1319">
        <v>3</v>
      </c>
      <c r="M1319">
        <v>0</v>
      </c>
      <c r="N1319">
        <v>2</v>
      </c>
      <c r="O1319">
        <v>1</v>
      </c>
      <c r="P1319">
        <v>0</v>
      </c>
      <c r="Q1319">
        <v>0</v>
      </c>
      <c r="S1319" t="str">
        <f>"18:43:25.000"</f>
        <v>18:43:25.000</v>
      </c>
      <c r="T1319" t="str">
        <f>"18:43:24.500"</f>
        <v>18:43:24.500</v>
      </c>
      <c r="U1319" t="str">
        <f t="shared" si="127"/>
        <v>AAB6EE</v>
      </c>
      <c r="V1319">
        <v>0</v>
      </c>
      <c r="W1319">
        <v>0</v>
      </c>
      <c r="X1319">
        <v>4</v>
      </c>
      <c r="Z1319">
        <v>0</v>
      </c>
      <c r="AA1319">
        <v>8</v>
      </c>
      <c r="AB1319">
        <v>3</v>
      </c>
      <c r="AC1319">
        <v>0</v>
      </c>
      <c r="AD1319">
        <v>10</v>
      </c>
      <c r="AE1319">
        <v>0</v>
      </c>
      <c r="AF1319">
        <v>0</v>
      </c>
      <c r="AG1319">
        <v>1</v>
      </c>
      <c r="AH1319">
        <v>1</v>
      </c>
      <c r="AI1319" t="s">
        <v>1000</v>
      </c>
      <c r="AJ1319">
        <v>35.195388999999999</v>
      </c>
      <c r="AK1319" t="s">
        <v>1001</v>
      </c>
      <c r="AL1319">
        <v>-76.242198999999999</v>
      </c>
      <c r="AM1319">
        <v>25</v>
      </c>
      <c r="AN1319">
        <v>3250</v>
      </c>
      <c r="AO1319" t="s">
        <v>118</v>
      </c>
      <c r="AP1319">
        <v>242</v>
      </c>
      <c r="AQ1319">
        <v>-57</v>
      </c>
      <c r="AR1319">
        <v>-512</v>
      </c>
      <c r="AZ1319">
        <v>4516</v>
      </c>
      <c r="BA1319">
        <v>1</v>
      </c>
      <c r="BB1319" t="str">
        <f t="shared" si="129"/>
        <v xml:space="preserve">N79NX   </v>
      </c>
      <c r="BC1319">
        <v>1</v>
      </c>
      <c r="BE1319">
        <v>0</v>
      </c>
      <c r="BF1319">
        <v>0</v>
      </c>
      <c r="BG1319">
        <v>0</v>
      </c>
      <c r="BH1319">
        <v>3125</v>
      </c>
      <c r="BI1319">
        <v>0</v>
      </c>
      <c r="BJ1319">
        <v>0</v>
      </c>
      <c r="BK1319">
        <v>0</v>
      </c>
      <c r="BL1319">
        <v>0</v>
      </c>
      <c r="BO1319">
        <v>0</v>
      </c>
      <c r="BP1319">
        <v>0</v>
      </c>
      <c r="BW1319" t="str">
        <f>"18:43:25.002"</f>
        <v>18:43:25.002</v>
      </c>
      <c r="BZ1319">
        <v>0</v>
      </c>
      <c r="CA1319">
        <v>3008</v>
      </c>
      <c r="CB1319">
        <v>216</v>
      </c>
      <c r="CC1319">
        <v>428.90629999999999</v>
      </c>
      <c r="CD1319">
        <v>1</v>
      </c>
      <c r="CE1319">
        <v>1</v>
      </c>
      <c r="CF1319">
        <v>0</v>
      </c>
      <c r="CG1319">
        <v>0</v>
      </c>
      <c r="CH1319">
        <v>0</v>
      </c>
      <c r="CI1319">
        <v>0</v>
      </c>
      <c r="CJ1319">
        <v>0</v>
      </c>
      <c r="CK1319">
        <v>2</v>
      </c>
      <c r="CL1319">
        <v>0</v>
      </c>
      <c r="CM1319">
        <v>2</v>
      </c>
      <c r="CN1319">
        <v>0</v>
      </c>
      <c r="CO1319">
        <v>2</v>
      </c>
      <c r="CP1319" t="s">
        <v>119</v>
      </c>
      <c r="CQ1319">
        <v>145</v>
      </c>
      <c r="CR1319">
        <v>1</v>
      </c>
      <c r="CW1319">
        <v>9070780</v>
      </c>
      <c r="CY1319">
        <v>0</v>
      </c>
      <c r="CZ1319">
        <v>0</v>
      </c>
      <c r="DA1319">
        <v>1</v>
      </c>
      <c r="DB1319">
        <v>0</v>
      </c>
      <c r="DC1319">
        <v>0</v>
      </c>
      <c r="DD1319">
        <v>0</v>
      </c>
      <c r="DE1319">
        <v>0</v>
      </c>
      <c r="DF1319">
        <v>0</v>
      </c>
      <c r="DG1319">
        <v>0</v>
      </c>
      <c r="DH1319">
        <v>0</v>
      </c>
      <c r="DI1319">
        <v>0</v>
      </c>
    </row>
    <row r="1320" spans="1:113" x14ac:dyDescent="0.3">
      <c r="A1320" t="str">
        <f>"02/13/2022 18:43:25.261"</f>
        <v>02/13/2022 18:43:25.261</v>
      </c>
      <c r="C1320" t="str">
        <f t="shared" si="128"/>
        <v>FFDFD7C0</v>
      </c>
      <c r="D1320" t="s">
        <v>121</v>
      </c>
      <c r="E1320">
        <v>2</v>
      </c>
      <c r="H1320">
        <v>158</v>
      </c>
      <c r="I1320" t="s">
        <v>120</v>
      </c>
      <c r="J1320" t="s">
        <v>122</v>
      </c>
      <c r="K1320">
        <v>0</v>
      </c>
      <c r="L1320">
        <v>3</v>
      </c>
      <c r="M1320">
        <v>0</v>
      </c>
      <c r="N1320">
        <v>2</v>
      </c>
      <c r="O1320">
        <v>1</v>
      </c>
      <c r="P1320">
        <v>0</v>
      </c>
      <c r="Q1320">
        <v>0</v>
      </c>
      <c r="S1320" t="str">
        <f>"18:43:25.000"</f>
        <v>18:43:25.000</v>
      </c>
      <c r="T1320" t="str">
        <f>"18:43:24.500"</f>
        <v>18:43:24.500</v>
      </c>
      <c r="U1320" t="str">
        <f t="shared" si="127"/>
        <v>AAB6EE</v>
      </c>
      <c r="V1320">
        <v>0</v>
      </c>
      <c r="W1320">
        <v>0</v>
      </c>
      <c r="X1320">
        <v>4</v>
      </c>
      <c r="Z1320">
        <v>0</v>
      </c>
      <c r="AA1320">
        <v>8</v>
      </c>
      <c r="AB1320">
        <v>3</v>
      </c>
      <c r="AC1320">
        <v>0</v>
      </c>
      <c r="AD1320">
        <v>10</v>
      </c>
      <c r="AE1320">
        <v>0</v>
      </c>
      <c r="AF1320">
        <v>0</v>
      </c>
      <c r="AG1320">
        <v>1</v>
      </c>
      <c r="AH1320">
        <v>1</v>
      </c>
      <c r="AI1320" t="s">
        <v>1000</v>
      </c>
      <c r="AJ1320">
        <v>35.195388999999999</v>
      </c>
      <c r="AK1320" t="s">
        <v>1001</v>
      </c>
      <c r="AL1320">
        <v>-76.242198999999999</v>
      </c>
      <c r="AM1320">
        <v>25</v>
      </c>
      <c r="AN1320">
        <v>3250</v>
      </c>
      <c r="AO1320" t="s">
        <v>118</v>
      </c>
      <c r="AP1320">
        <v>242</v>
      </c>
      <c r="AQ1320">
        <v>-57</v>
      </c>
      <c r="AR1320">
        <v>-512</v>
      </c>
      <c r="AZ1320">
        <v>4516</v>
      </c>
      <c r="BA1320">
        <v>1</v>
      </c>
      <c r="BB1320" t="str">
        <f t="shared" si="129"/>
        <v xml:space="preserve">N79NX   </v>
      </c>
      <c r="BC1320">
        <v>1</v>
      </c>
      <c r="BE1320">
        <v>0</v>
      </c>
      <c r="BF1320">
        <v>0</v>
      </c>
      <c r="BG1320">
        <v>0</v>
      </c>
      <c r="BH1320">
        <v>3125</v>
      </c>
      <c r="BI1320">
        <v>0</v>
      </c>
      <c r="BJ1320">
        <v>0</v>
      </c>
      <c r="BK1320">
        <v>0</v>
      </c>
      <c r="BL1320">
        <v>0</v>
      </c>
      <c r="BO1320">
        <v>0</v>
      </c>
      <c r="BP1320">
        <v>0</v>
      </c>
      <c r="BW1320" t="str">
        <f>"18:43:25.002"</f>
        <v>18:43:25.002</v>
      </c>
      <c r="BZ1320">
        <v>0</v>
      </c>
      <c r="CA1320">
        <v>3008</v>
      </c>
      <c r="CB1320">
        <v>216</v>
      </c>
      <c r="CC1320">
        <v>428.90629999999999</v>
      </c>
      <c r="CD1320">
        <v>1</v>
      </c>
      <c r="CE1320">
        <v>1</v>
      </c>
      <c r="CF1320">
        <v>0</v>
      </c>
      <c r="CG1320">
        <v>0</v>
      </c>
      <c r="CH1320">
        <v>0</v>
      </c>
      <c r="CI1320">
        <v>0</v>
      </c>
      <c r="CJ1320">
        <v>0</v>
      </c>
      <c r="CK1320">
        <v>2</v>
      </c>
      <c r="CL1320">
        <v>0</v>
      </c>
      <c r="CM1320">
        <v>2</v>
      </c>
      <c r="CN1320">
        <v>0</v>
      </c>
      <c r="CO1320">
        <v>2</v>
      </c>
      <c r="CP1320" t="s">
        <v>119</v>
      </c>
      <c r="CQ1320">
        <v>145</v>
      </c>
      <c r="CR1320">
        <v>1</v>
      </c>
      <c r="CW1320">
        <v>9070780</v>
      </c>
      <c r="CY1320">
        <v>0</v>
      </c>
      <c r="CZ1320">
        <v>0</v>
      </c>
      <c r="DA1320">
        <v>1</v>
      </c>
      <c r="DB1320">
        <v>0</v>
      </c>
      <c r="DC1320">
        <v>0</v>
      </c>
      <c r="DD1320">
        <v>0</v>
      </c>
      <c r="DE1320">
        <v>0</v>
      </c>
      <c r="DF1320">
        <v>0</v>
      </c>
      <c r="DG1320">
        <v>0</v>
      </c>
      <c r="DH1320">
        <v>0</v>
      </c>
      <c r="DI1320">
        <v>0</v>
      </c>
    </row>
    <row r="1321" spans="1:113" x14ac:dyDescent="0.3">
      <c r="A1321" t="str">
        <f>"02/13/2022 18:43:26.028"</f>
        <v>02/13/2022 18:43:26.028</v>
      </c>
      <c r="C1321" t="str">
        <f t="shared" si="128"/>
        <v>FFDFD7C0</v>
      </c>
      <c r="D1321" t="s">
        <v>113</v>
      </c>
      <c r="E1321">
        <v>3</v>
      </c>
      <c r="F1321">
        <v>1003</v>
      </c>
      <c r="G1321" t="s">
        <v>114</v>
      </c>
      <c r="J1321" t="s">
        <v>115</v>
      </c>
      <c r="K1321">
        <v>0</v>
      </c>
      <c r="L1321">
        <v>3</v>
      </c>
      <c r="M1321">
        <v>0</v>
      </c>
      <c r="N1321">
        <v>2</v>
      </c>
      <c r="O1321">
        <v>1</v>
      </c>
      <c r="P1321">
        <v>0</v>
      </c>
      <c r="Q1321">
        <v>0</v>
      </c>
      <c r="S1321" t="str">
        <f>"18:43:25.828"</f>
        <v>18:43:25.828</v>
      </c>
      <c r="T1321" t="str">
        <f>"18:43:25.428"</f>
        <v>18:43:25.428</v>
      </c>
      <c r="U1321" t="str">
        <f t="shared" si="127"/>
        <v>AAB6EE</v>
      </c>
      <c r="V1321">
        <v>0</v>
      </c>
      <c r="W1321">
        <v>0</v>
      </c>
      <c r="X1321">
        <v>4</v>
      </c>
      <c r="Z1321">
        <v>0</v>
      </c>
      <c r="AA1321">
        <v>8</v>
      </c>
      <c r="AB1321">
        <v>3</v>
      </c>
      <c r="AC1321">
        <v>0</v>
      </c>
      <c r="AD1321">
        <v>10</v>
      </c>
      <c r="AE1321">
        <v>0</v>
      </c>
      <c r="AF1321">
        <v>0</v>
      </c>
      <c r="AG1321">
        <v>1</v>
      </c>
      <c r="AH1321">
        <v>1</v>
      </c>
      <c r="AI1321" t="s">
        <v>1002</v>
      </c>
      <c r="AJ1321">
        <v>35.195217</v>
      </c>
      <c r="AK1321" t="s">
        <v>1003</v>
      </c>
      <c r="AL1321">
        <v>-76.240996999999993</v>
      </c>
      <c r="AM1321">
        <v>25</v>
      </c>
      <c r="AN1321">
        <v>3250</v>
      </c>
      <c r="AO1321" t="s">
        <v>118</v>
      </c>
      <c r="AP1321">
        <v>243</v>
      </c>
      <c r="AQ1321">
        <v>-50</v>
      </c>
      <c r="AR1321">
        <v>-576</v>
      </c>
      <c r="AZ1321">
        <v>4516</v>
      </c>
      <c r="BA1321">
        <v>1</v>
      </c>
      <c r="BB1321" t="str">
        <f t="shared" si="129"/>
        <v xml:space="preserve">N79NX   </v>
      </c>
      <c r="BC1321">
        <v>1</v>
      </c>
      <c r="BE1321">
        <v>0</v>
      </c>
      <c r="BF1321">
        <v>0</v>
      </c>
      <c r="BG1321">
        <v>0</v>
      </c>
      <c r="BH1321">
        <v>3100</v>
      </c>
      <c r="BI1321">
        <v>0</v>
      </c>
      <c r="BJ1321">
        <v>0</v>
      </c>
      <c r="BK1321">
        <v>0</v>
      </c>
      <c r="BL1321">
        <v>0</v>
      </c>
      <c r="BO1321">
        <v>0</v>
      </c>
      <c r="BP1321">
        <v>0</v>
      </c>
      <c r="BW1321" t="str">
        <f>"18:43:25.832"</f>
        <v>18:43:25.832</v>
      </c>
      <c r="BZ1321">
        <v>0</v>
      </c>
      <c r="CA1321">
        <v>3008</v>
      </c>
      <c r="CB1321">
        <v>216</v>
      </c>
      <c r="CC1321">
        <v>428.90629999999999</v>
      </c>
      <c r="CD1321">
        <v>1</v>
      </c>
      <c r="CE1321">
        <v>1</v>
      </c>
      <c r="CF1321">
        <v>0</v>
      </c>
      <c r="CG1321">
        <v>0</v>
      </c>
      <c r="CH1321">
        <v>0</v>
      </c>
      <c r="CI1321">
        <v>0</v>
      </c>
      <c r="CJ1321">
        <v>0</v>
      </c>
      <c r="CK1321">
        <v>2</v>
      </c>
      <c r="CL1321">
        <v>0</v>
      </c>
      <c r="CM1321">
        <v>2</v>
      </c>
      <c r="CN1321">
        <v>0</v>
      </c>
      <c r="CO1321">
        <v>2</v>
      </c>
      <c r="CP1321" t="s">
        <v>119</v>
      </c>
      <c r="CQ1321">
        <v>145</v>
      </c>
      <c r="CR1321">
        <v>1</v>
      </c>
      <c r="CW1321">
        <v>9071174</v>
      </c>
      <c r="CY1321">
        <v>0</v>
      </c>
      <c r="CZ1321">
        <v>0</v>
      </c>
      <c r="DA1321">
        <v>0</v>
      </c>
      <c r="DB1321">
        <v>0</v>
      </c>
      <c r="DC1321">
        <v>0</v>
      </c>
      <c r="DD1321">
        <v>0</v>
      </c>
      <c r="DE1321">
        <v>0</v>
      </c>
      <c r="DF1321">
        <v>0</v>
      </c>
      <c r="DG1321">
        <v>0</v>
      </c>
      <c r="DH1321">
        <v>0</v>
      </c>
      <c r="DI1321">
        <v>0</v>
      </c>
    </row>
    <row r="1322" spans="1:113" x14ac:dyDescent="0.3">
      <c r="A1322" t="str">
        <f>"02/13/2022 18:43:26.028"</f>
        <v>02/13/2022 18:43:26.028</v>
      </c>
      <c r="C1322" t="str">
        <f t="shared" si="128"/>
        <v>FFDFD7C0</v>
      </c>
      <c r="D1322" t="s">
        <v>113</v>
      </c>
      <c r="E1322">
        <v>4</v>
      </c>
      <c r="F1322">
        <v>1004</v>
      </c>
      <c r="G1322" t="s">
        <v>120</v>
      </c>
      <c r="J1322" t="s">
        <v>115</v>
      </c>
      <c r="K1322">
        <v>0</v>
      </c>
      <c r="L1322">
        <v>3</v>
      </c>
      <c r="M1322">
        <v>0</v>
      </c>
      <c r="N1322">
        <v>2</v>
      </c>
      <c r="O1322">
        <v>1</v>
      </c>
      <c r="P1322">
        <v>0</v>
      </c>
      <c r="Q1322">
        <v>0</v>
      </c>
      <c r="S1322" t="str">
        <f>"18:43:25.828"</f>
        <v>18:43:25.828</v>
      </c>
      <c r="T1322" t="str">
        <f>"18:43:25.428"</f>
        <v>18:43:25.428</v>
      </c>
      <c r="U1322" t="str">
        <f t="shared" si="127"/>
        <v>AAB6EE</v>
      </c>
      <c r="V1322">
        <v>0</v>
      </c>
      <c r="W1322">
        <v>0</v>
      </c>
      <c r="X1322">
        <v>4</v>
      </c>
      <c r="Z1322">
        <v>0</v>
      </c>
      <c r="AA1322">
        <v>8</v>
      </c>
      <c r="AB1322">
        <v>3</v>
      </c>
      <c r="AC1322">
        <v>0</v>
      </c>
      <c r="AD1322">
        <v>10</v>
      </c>
      <c r="AE1322">
        <v>0</v>
      </c>
      <c r="AF1322">
        <v>0</v>
      </c>
      <c r="AG1322">
        <v>1</v>
      </c>
      <c r="AH1322">
        <v>1</v>
      </c>
      <c r="AI1322" t="s">
        <v>1002</v>
      </c>
      <c r="AJ1322">
        <v>35.195217</v>
      </c>
      <c r="AK1322" t="s">
        <v>1003</v>
      </c>
      <c r="AL1322">
        <v>-76.240996999999993</v>
      </c>
      <c r="AM1322">
        <v>25</v>
      </c>
      <c r="AN1322">
        <v>3250</v>
      </c>
      <c r="AO1322" t="s">
        <v>118</v>
      </c>
      <c r="AP1322">
        <v>243</v>
      </c>
      <c r="AQ1322">
        <v>-50</v>
      </c>
      <c r="AR1322">
        <v>-576</v>
      </c>
      <c r="AZ1322">
        <v>4516</v>
      </c>
      <c r="BA1322">
        <v>1</v>
      </c>
      <c r="BB1322" t="str">
        <f t="shared" si="129"/>
        <v xml:space="preserve">N79NX   </v>
      </c>
      <c r="BC1322">
        <v>1</v>
      </c>
      <c r="BE1322">
        <v>0</v>
      </c>
      <c r="BF1322">
        <v>0</v>
      </c>
      <c r="BG1322">
        <v>0</v>
      </c>
      <c r="BH1322">
        <v>3100</v>
      </c>
      <c r="BI1322">
        <v>0</v>
      </c>
      <c r="BJ1322">
        <v>0</v>
      </c>
      <c r="BK1322">
        <v>0</v>
      </c>
      <c r="BL1322">
        <v>0</v>
      </c>
      <c r="BO1322">
        <v>0</v>
      </c>
      <c r="BP1322">
        <v>0</v>
      </c>
      <c r="BW1322" t="str">
        <f>"18:43:25.832"</f>
        <v>18:43:25.832</v>
      </c>
      <c r="BZ1322">
        <v>0</v>
      </c>
      <c r="CA1322">
        <v>3008</v>
      </c>
      <c r="CB1322">
        <v>216</v>
      </c>
      <c r="CC1322">
        <v>428.90629999999999</v>
      </c>
      <c r="CD1322">
        <v>1</v>
      </c>
      <c r="CE1322">
        <v>1</v>
      </c>
      <c r="CF1322">
        <v>0</v>
      </c>
      <c r="CG1322">
        <v>0</v>
      </c>
      <c r="CH1322">
        <v>0</v>
      </c>
      <c r="CI1322">
        <v>0</v>
      </c>
      <c r="CJ1322">
        <v>0</v>
      </c>
      <c r="CK1322">
        <v>2</v>
      </c>
      <c r="CL1322">
        <v>0</v>
      </c>
      <c r="CM1322">
        <v>2</v>
      </c>
      <c r="CN1322">
        <v>0</v>
      </c>
      <c r="CO1322">
        <v>2</v>
      </c>
      <c r="CP1322" t="s">
        <v>119</v>
      </c>
      <c r="CQ1322">
        <v>145</v>
      </c>
      <c r="CR1322">
        <v>1</v>
      </c>
      <c r="CW1322">
        <v>9071174</v>
      </c>
      <c r="CY1322">
        <v>0</v>
      </c>
      <c r="CZ1322">
        <v>0</v>
      </c>
      <c r="DA1322">
        <v>1</v>
      </c>
      <c r="DB1322">
        <v>0</v>
      </c>
      <c r="DC1322">
        <v>0</v>
      </c>
      <c r="DD1322">
        <v>0</v>
      </c>
      <c r="DE1322">
        <v>0</v>
      </c>
      <c r="DF1322">
        <v>0</v>
      </c>
      <c r="DG1322">
        <v>0</v>
      </c>
      <c r="DH1322">
        <v>0</v>
      </c>
      <c r="DI1322">
        <v>0</v>
      </c>
    </row>
    <row r="1323" spans="1:113" x14ac:dyDescent="0.3">
      <c r="A1323" t="str">
        <f>"02/13/2022 18:43:26.106"</f>
        <v>02/13/2022 18:43:26.106</v>
      </c>
      <c r="C1323" t="str">
        <f t="shared" si="128"/>
        <v>FFDFD7C0</v>
      </c>
      <c r="D1323" t="s">
        <v>121</v>
      </c>
      <c r="E1323">
        <v>2</v>
      </c>
      <c r="H1323">
        <v>158</v>
      </c>
      <c r="I1323" t="s">
        <v>120</v>
      </c>
      <c r="J1323" t="s">
        <v>122</v>
      </c>
      <c r="K1323">
        <v>0</v>
      </c>
      <c r="L1323">
        <v>3</v>
      </c>
      <c r="M1323">
        <v>0</v>
      </c>
      <c r="N1323">
        <v>2</v>
      </c>
      <c r="O1323">
        <v>1</v>
      </c>
      <c r="P1323">
        <v>0</v>
      </c>
      <c r="Q1323">
        <v>0</v>
      </c>
      <c r="S1323" t="str">
        <f>"18:43:25.828"</f>
        <v>18:43:25.828</v>
      </c>
      <c r="T1323" t="str">
        <f>"18:43:25.428"</f>
        <v>18:43:25.428</v>
      </c>
      <c r="U1323" t="str">
        <f t="shared" si="127"/>
        <v>AAB6EE</v>
      </c>
      <c r="V1323">
        <v>0</v>
      </c>
      <c r="W1323">
        <v>0</v>
      </c>
      <c r="X1323">
        <v>4</v>
      </c>
      <c r="Z1323">
        <v>0</v>
      </c>
      <c r="AA1323">
        <v>8</v>
      </c>
      <c r="AB1323">
        <v>3</v>
      </c>
      <c r="AC1323">
        <v>0</v>
      </c>
      <c r="AD1323">
        <v>10</v>
      </c>
      <c r="AE1323">
        <v>0</v>
      </c>
      <c r="AF1323">
        <v>0</v>
      </c>
      <c r="AG1323">
        <v>1</v>
      </c>
      <c r="AH1323">
        <v>1</v>
      </c>
      <c r="AI1323" t="s">
        <v>1002</v>
      </c>
      <c r="AJ1323">
        <v>35.195217</v>
      </c>
      <c r="AK1323" t="s">
        <v>1003</v>
      </c>
      <c r="AL1323">
        <v>-76.240996999999993</v>
      </c>
      <c r="AM1323">
        <v>25</v>
      </c>
      <c r="AN1323">
        <v>3250</v>
      </c>
      <c r="AO1323" t="s">
        <v>118</v>
      </c>
      <c r="AP1323">
        <v>243</v>
      </c>
      <c r="AQ1323">
        <v>-50</v>
      </c>
      <c r="AR1323">
        <v>-576</v>
      </c>
      <c r="AZ1323">
        <v>4516</v>
      </c>
      <c r="BA1323">
        <v>1</v>
      </c>
      <c r="BB1323" t="str">
        <f t="shared" si="129"/>
        <v xml:space="preserve">N79NX   </v>
      </c>
      <c r="BC1323">
        <v>1</v>
      </c>
      <c r="BE1323">
        <v>0</v>
      </c>
      <c r="BF1323">
        <v>0</v>
      </c>
      <c r="BG1323">
        <v>0</v>
      </c>
      <c r="BH1323">
        <v>3100</v>
      </c>
      <c r="BI1323">
        <v>0</v>
      </c>
      <c r="BJ1323">
        <v>0</v>
      </c>
      <c r="BK1323">
        <v>0</v>
      </c>
      <c r="BL1323">
        <v>0</v>
      </c>
      <c r="BO1323">
        <v>0</v>
      </c>
      <c r="BP1323">
        <v>0</v>
      </c>
      <c r="BW1323" t="str">
        <f>"18:43:25.832"</f>
        <v>18:43:25.832</v>
      </c>
      <c r="BZ1323">
        <v>0</v>
      </c>
      <c r="CA1323">
        <v>3008</v>
      </c>
      <c r="CB1323">
        <v>216</v>
      </c>
      <c r="CC1323">
        <v>428.90629999999999</v>
      </c>
      <c r="CD1323">
        <v>1</v>
      </c>
      <c r="CE1323">
        <v>1</v>
      </c>
      <c r="CF1323">
        <v>0</v>
      </c>
      <c r="CG1323">
        <v>0</v>
      </c>
      <c r="CH1323">
        <v>0</v>
      </c>
      <c r="CI1323">
        <v>0</v>
      </c>
      <c r="CJ1323">
        <v>0</v>
      </c>
      <c r="CK1323">
        <v>2</v>
      </c>
      <c r="CL1323">
        <v>0</v>
      </c>
      <c r="CM1323">
        <v>2</v>
      </c>
      <c r="CN1323">
        <v>0</v>
      </c>
      <c r="CO1323">
        <v>2</v>
      </c>
      <c r="CP1323" t="s">
        <v>119</v>
      </c>
      <c r="CQ1323">
        <v>145</v>
      </c>
      <c r="CR1323">
        <v>1</v>
      </c>
      <c r="CW1323">
        <v>9071174</v>
      </c>
      <c r="CY1323">
        <v>0</v>
      </c>
      <c r="CZ1323">
        <v>0</v>
      </c>
      <c r="DA1323">
        <v>1</v>
      </c>
      <c r="DB1323">
        <v>0</v>
      </c>
      <c r="DC1323">
        <v>0</v>
      </c>
      <c r="DD1323">
        <v>0</v>
      </c>
      <c r="DE1323">
        <v>0</v>
      </c>
      <c r="DF1323">
        <v>0</v>
      </c>
      <c r="DG1323">
        <v>0</v>
      </c>
      <c r="DH1323">
        <v>0</v>
      </c>
      <c r="DI1323">
        <v>0</v>
      </c>
    </row>
    <row r="1324" spans="1:113" x14ac:dyDescent="0.3">
      <c r="A1324" t="str">
        <f>"02/13/2022 18:43:27.090"</f>
        <v>02/13/2022 18:43:27.090</v>
      </c>
      <c r="C1324" t="str">
        <f t="shared" si="128"/>
        <v>FFDFD7C0</v>
      </c>
      <c r="D1324" t="s">
        <v>113</v>
      </c>
      <c r="E1324">
        <v>3</v>
      </c>
      <c r="F1324">
        <v>1003</v>
      </c>
      <c r="G1324" t="s">
        <v>114</v>
      </c>
      <c r="J1324" t="s">
        <v>115</v>
      </c>
      <c r="K1324">
        <v>0</v>
      </c>
      <c r="L1324">
        <v>3</v>
      </c>
      <c r="M1324">
        <v>0</v>
      </c>
      <c r="N1324">
        <v>2</v>
      </c>
      <c r="O1324">
        <v>1</v>
      </c>
      <c r="P1324">
        <v>0</v>
      </c>
      <c r="Q1324">
        <v>0</v>
      </c>
      <c r="S1324" t="str">
        <f>"18:43:26.875"</f>
        <v>18:43:26.875</v>
      </c>
      <c r="T1324" t="str">
        <f>"18:43:26.375"</f>
        <v>18:43:26.375</v>
      </c>
      <c r="U1324" t="str">
        <f t="shared" si="127"/>
        <v>AAB6EE</v>
      </c>
      <c r="V1324">
        <v>0</v>
      </c>
      <c r="W1324">
        <v>0</v>
      </c>
      <c r="X1324">
        <v>4</v>
      </c>
      <c r="Z1324">
        <v>0</v>
      </c>
      <c r="AA1324">
        <v>8</v>
      </c>
      <c r="AB1324">
        <v>3</v>
      </c>
      <c r="AC1324">
        <v>0</v>
      </c>
      <c r="AD1324">
        <v>10</v>
      </c>
      <c r="AE1324">
        <v>0</v>
      </c>
      <c r="AF1324">
        <v>0</v>
      </c>
      <c r="AG1324">
        <v>1</v>
      </c>
      <c r="AH1324">
        <v>1</v>
      </c>
      <c r="AI1324" t="s">
        <v>1004</v>
      </c>
      <c r="AJ1324">
        <v>35.195023999999997</v>
      </c>
      <c r="AK1324" t="s">
        <v>1005</v>
      </c>
      <c r="AL1324">
        <v>-76.239559999999997</v>
      </c>
      <c r="AM1324">
        <v>25</v>
      </c>
      <c r="AN1324">
        <v>3250</v>
      </c>
      <c r="AO1324" t="s">
        <v>118</v>
      </c>
      <c r="AP1324">
        <v>246</v>
      </c>
      <c r="AQ1324">
        <v>-41</v>
      </c>
      <c r="AR1324">
        <v>-576</v>
      </c>
      <c r="AZ1324">
        <v>4516</v>
      </c>
      <c r="BA1324">
        <v>1</v>
      </c>
      <c r="BB1324" t="str">
        <f t="shared" si="129"/>
        <v xml:space="preserve">N79NX   </v>
      </c>
      <c r="BC1324">
        <v>1</v>
      </c>
      <c r="BE1324">
        <v>0</v>
      </c>
      <c r="BF1324">
        <v>0</v>
      </c>
      <c r="BG1324">
        <v>0</v>
      </c>
      <c r="BH1324">
        <v>3100</v>
      </c>
      <c r="BI1324">
        <v>0</v>
      </c>
      <c r="BJ1324">
        <v>0</v>
      </c>
      <c r="BK1324">
        <v>0</v>
      </c>
      <c r="BL1324">
        <v>0</v>
      </c>
      <c r="BO1324">
        <v>0</v>
      </c>
      <c r="BP1324">
        <v>0</v>
      </c>
      <c r="BW1324" t="str">
        <f>"18:43:26.882"</f>
        <v>18:43:26.882</v>
      </c>
      <c r="BZ1324">
        <v>0</v>
      </c>
      <c r="CA1324">
        <v>3008</v>
      </c>
      <c r="CB1324">
        <v>216</v>
      </c>
      <c r="CC1324">
        <v>428.90629999999999</v>
      </c>
      <c r="CD1324">
        <v>1</v>
      </c>
      <c r="CE1324">
        <v>1</v>
      </c>
      <c r="CF1324">
        <v>0</v>
      </c>
      <c r="CG1324">
        <v>0</v>
      </c>
      <c r="CH1324">
        <v>0</v>
      </c>
      <c r="CI1324">
        <v>0</v>
      </c>
      <c r="CJ1324">
        <v>0</v>
      </c>
      <c r="CK1324">
        <v>2</v>
      </c>
      <c r="CL1324">
        <v>0</v>
      </c>
      <c r="CM1324">
        <v>2</v>
      </c>
      <c r="CN1324">
        <v>0</v>
      </c>
      <c r="CO1324">
        <v>2</v>
      </c>
      <c r="CP1324" t="s">
        <v>119</v>
      </c>
      <c r="CQ1324">
        <v>145</v>
      </c>
      <c r="CR1324">
        <v>1</v>
      </c>
      <c r="CW1324">
        <v>9071619</v>
      </c>
      <c r="CY1324">
        <v>0</v>
      </c>
      <c r="CZ1324">
        <v>0</v>
      </c>
      <c r="DA1324">
        <v>0</v>
      </c>
      <c r="DB1324">
        <v>0</v>
      </c>
      <c r="DC1324">
        <v>0</v>
      </c>
      <c r="DD1324">
        <v>0</v>
      </c>
      <c r="DE1324">
        <v>0</v>
      </c>
      <c r="DF1324">
        <v>0</v>
      </c>
      <c r="DG1324">
        <v>0</v>
      </c>
      <c r="DH1324">
        <v>0</v>
      </c>
      <c r="DI1324">
        <v>0</v>
      </c>
    </row>
    <row r="1325" spans="1:113" x14ac:dyDescent="0.3">
      <c r="A1325" t="str">
        <f>"02/13/2022 18:43:27.090"</f>
        <v>02/13/2022 18:43:27.090</v>
      </c>
      <c r="C1325" t="str">
        <f t="shared" si="128"/>
        <v>FFDFD7C0</v>
      </c>
      <c r="D1325" t="s">
        <v>113</v>
      </c>
      <c r="E1325">
        <v>4</v>
      </c>
      <c r="F1325">
        <v>1004</v>
      </c>
      <c r="G1325" t="s">
        <v>120</v>
      </c>
      <c r="J1325" t="s">
        <v>115</v>
      </c>
      <c r="K1325">
        <v>0</v>
      </c>
      <c r="L1325">
        <v>3</v>
      </c>
      <c r="M1325">
        <v>0</v>
      </c>
      <c r="N1325">
        <v>2</v>
      </c>
      <c r="O1325">
        <v>1</v>
      </c>
      <c r="P1325">
        <v>0</v>
      </c>
      <c r="Q1325">
        <v>0</v>
      </c>
      <c r="S1325" t="str">
        <f>"18:43:26.875"</f>
        <v>18:43:26.875</v>
      </c>
      <c r="T1325" t="str">
        <f>"18:43:26.375"</f>
        <v>18:43:26.375</v>
      </c>
      <c r="U1325" t="str">
        <f t="shared" si="127"/>
        <v>AAB6EE</v>
      </c>
      <c r="V1325">
        <v>0</v>
      </c>
      <c r="W1325">
        <v>0</v>
      </c>
      <c r="X1325">
        <v>4</v>
      </c>
      <c r="Z1325">
        <v>0</v>
      </c>
      <c r="AA1325">
        <v>8</v>
      </c>
      <c r="AB1325">
        <v>3</v>
      </c>
      <c r="AC1325">
        <v>0</v>
      </c>
      <c r="AD1325">
        <v>10</v>
      </c>
      <c r="AE1325">
        <v>0</v>
      </c>
      <c r="AF1325">
        <v>0</v>
      </c>
      <c r="AG1325">
        <v>1</v>
      </c>
      <c r="AH1325">
        <v>1</v>
      </c>
      <c r="AI1325" t="s">
        <v>1004</v>
      </c>
      <c r="AJ1325">
        <v>35.195023999999997</v>
      </c>
      <c r="AK1325" t="s">
        <v>1005</v>
      </c>
      <c r="AL1325">
        <v>-76.239559999999997</v>
      </c>
      <c r="AM1325">
        <v>25</v>
      </c>
      <c r="AN1325">
        <v>3250</v>
      </c>
      <c r="AO1325" t="s">
        <v>118</v>
      </c>
      <c r="AP1325">
        <v>246</v>
      </c>
      <c r="AQ1325">
        <v>-41</v>
      </c>
      <c r="AR1325">
        <v>-576</v>
      </c>
      <c r="AZ1325">
        <v>4516</v>
      </c>
      <c r="BA1325">
        <v>1</v>
      </c>
      <c r="BB1325" t="str">
        <f t="shared" si="129"/>
        <v xml:space="preserve">N79NX   </v>
      </c>
      <c r="BC1325">
        <v>1</v>
      </c>
      <c r="BE1325">
        <v>0</v>
      </c>
      <c r="BF1325">
        <v>0</v>
      </c>
      <c r="BG1325">
        <v>0</v>
      </c>
      <c r="BH1325">
        <v>3100</v>
      </c>
      <c r="BI1325">
        <v>0</v>
      </c>
      <c r="BJ1325">
        <v>0</v>
      </c>
      <c r="BK1325">
        <v>0</v>
      </c>
      <c r="BL1325">
        <v>0</v>
      </c>
      <c r="BO1325">
        <v>0</v>
      </c>
      <c r="BP1325">
        <v>0</v>
      </c>
      <c r="BW1325" t="str">
        <f>"18:43:26.882"</f>
        <v>18:43:26.882</v>
      </c>
      <c r="BZ1325">
        <v>0</v>
      </c>
      <c r="CA1325">
        <v>3008</v>
      </c>
      <c r="CB1325">
        <v>216</v>
      </c>
      <c r="CC1325">
        <v>428.90629999999999</v>
      </c>
      <c r="CD1325">
        <v>1</v>
      </c>
      <c r="CE1325">
        <v>1</v>
      </c>
      <c r="CF1325">
        <v>0</v>
      </c>
      <c r="CG1325">
        <v>0</v>
      </c>
      <c r="CH1325">
        <v>0</v>
      </c>
      <c r="CI1325">
        <v>0</v>
      </c>
      <c r="CJ1325">
        <v>0</v>
      </c>
      <c r="CK1325">
        <v>2</v>
      </c>
      <c r="CL1325">
        <v>0</v>
      </c>
      <c r="CM1325">
        <v>2</v>
      </c>
      <c r="CN1325">
        <v>0</v>
      </c>
      <c r="CO1325">
        <v>2</v>
      </c>
      <c r="CP1325" t="s">
        <v>119</v>
      </c>
      <c r="CQ1325">
        <v>145</v>
      </c>
      <c r="CR1325">
        <v>1</v>
      </c>
      <c r="CW1325">
        <v>9071619</v>
      </c>
      <c r="CY1325">
        <v>0</v>
      </c>
      <c r="CZ1325">
        <v>0</v>
      </c>
      <c r="DA1325">
        <v>1</v>
      </c>
      <c r="DB1325">
        <v>0</v>
      </c>
      <c r="DC1325">
        <v>0</v>
      </c>
      <c r="DD1325">
        <v>0</v>
      </c>
      <c r="DE1325">
        <v>0</v>
      </c>
      <c r="DF1325">
        <v>0</v>
      </c>
      <c r="DG1325">
        <v>0</v>
      </c>
      <c r="DH1325">
        <v>0</v>
      </c>
      <c r="DI1325">
        <v>0</v>
      </c>
    </row>
    <row r="1326" spans="1:113" x14ac:dyDescent="0.3">
      <c r="A1326" t="str">
        <f>"02/13/2022 18:43:27.121"</f>
        <v>02/13/2022 18:43:27.121</v>
      </c>
      <c r="C1326" t="str">
        <f t="shared" si="128"/>
        <v>FFDFD7C0</v>
      </c>
      <c r="D1326" t="s">
        <v>121</v>
      </c>
      <c r="E1326">
        <v>2</v>
      </c>
      <c r="H1326">
        <v>158</v>
      </c>
      <c r="I1326" t="s">
        <v>120</v>
      </c>
      <c r="J1326" t="s">
        <v>122</v>
      </c>
      <c r="K1326">
        <v>0</v>
      </c>
      <c r="L1326">
        <v>3</v>
      </c>
      <c r="M1326">
        <v>0</v>
      </c>
      <c r="N1326">
        <v>2</v>
      </c>
      <c r="O1326">
        <v>1</v>
      </c>
      <c r="P1326">
        <v>0</v>
      </c>
      <c r="Q1326">
        <v>0</v>
      </c>
      <c r="S1326" t="str">
        <f>"18:43:26.875"</f>
        <v>18:43:26.875</v>
      </c>
      <c r="T1326" t="str">
        <f>"18:43:26.375"</f>
        <v>18:43:26.375</v>
      </c>
      <c r="U1326" t="str">
        <f t="shared" si="127"/>
        <v>AAB6EE</v>
      </c>
      <c r="V1326">
        <v>0</v>
      </c>
      <c r="W1326">
        <v>0</v>
      </c>
      <c r="X1326">
        <v>4</v>
      </c>
      <c r="Z1326">
        <v>0</v>
      </c>
      <c r="AA1326">
        <v>8</v>
      </c>
      <c r="AB1326">
        <v>3</v>
      </c>
      <c r="AC1326">
        <v>0</v>
      </c>
      <c r="AD1326">
        <v>10</v>
      </c>
      <c r="AE1326">
        <v>0</v>
      </c>
      <c r="AF1326">
        <v>0</v>
      </c>
      <c r="AG1326">
        <v>1</v>
      </c>
      <c r="AH1326">
        <v>1</v>
      </c>
      <c r="AI1326" t="s">
        <v>1004</v>
      </c>
      <c r="AJ1326">
        <v>35.195023999999997</v>
      </c>
      <c r="AK1326" t="s">
        <v>1005</v>
      </c>
      <c r="AL1326">
        <v>-76.239559999999997</v>
      </c>
      <c r="AM1326">
        <v>25</v>
      </c>
      <c r="AN1326">
        <v>3250</v>
      </c>
      <c r="AO1326" t="s">
        <v>118</v>
      </c>
      <c r="AP1326">
        <v>246</v>
      </c>
      <c r="AQ1326">
        <v>-41</v>
      </c>
      <c r="AR1326">
        <v>-576</v>
      </c>
      <c r="AZ1326">
        <v>4516</v>
      </c>
      <c r="BA1326">
        <v>1</v>
      </c>
      <c r="BB1326" t="str">
        <f t="shared" si="129"/>
        <v xml:space="preserve">N79NX   </v>
      </c>
      <c r="BC1326">
        <v>1</v>
      </c>
      <c r="BE1326">
        <v>0</v>
      </c>
      <c r="BF1326">
        <v>0</v>
      </c>
      <c r="BG1326">
        <v>0</v>
      </c>
      <c r="BH1326">
        <v>3100</v>
      </c>
      <c r="BI1326">
        <v>0</v>
      </c>
      <c r="BJ1326">
        <v>0</v>
      </c>
      <c r="BK1326">
        <v>0</v>
      </c>
      <c r="BL1326">
        <v>0</v>
      </c>
      <c r="BO1326">
        <v>0</v>
      </c>
      <c r="BP1326">
        <v>0</v>
      </c>
      <c r="BW1326" t="str">
        <f>"18:43:26.882"</f>
        <v>18:43:26.882</v>
      </c>
      <c r="BZ1326">
        <v>0</v>
      </c>
      <c r="CA1326">
        <v>3008</v>
      </c>
      <c r="CB1326">
        <v>216</v>
      </c>
      <c r="CC1326">
        <v>428.90629999999999</v>
      </c>
      <c r="CD1326">
        <v>1</v>
      </c>
      <c r="CE1326">
        <v>1</v>
      </c>
      <c r="CF1326">
        <v>0</v>
      </c>
      <c r="CG1326">
        <v>0</v>
      </c>
      <c r="CH1326">
        <v>0</v>
      </c>
      <c r="CI1326">
        <v>0</v>
      </c>
      <c r="CJ1326">
        <v>0</v>
      </c>
      <c r="CK1326">
        <v>2</v>
      </c>
      <c r="CL1326">
        <v>0</v>
      </c>
      <c r="CM1326">
        <v>2</v>
      </c>
      <c r="CN1326">
        <v>0</v>
      </c>
      <c r="CO1326">
        <v>2</v>
      </c>
      <c r="CP1326" t="s">
        <v>119</v>
      </c>
      <c r="CQ1326">
        <v>145</v>
      </c>
      <c r="CR1326">
        <v>1</v>
      </c>
      <c r="CW1326">
        <v>9071619</v>
      </c>
      <c r="CY1326">
        <v>0</v>
      </c>
      <c r="CZ1326">
        <v>0</v>
      </c>
      <c r="DA1326">
        <v>0</v>
      </c>
      <c r="DB1326">
        <v>0</v>
      </c>
      <c r="DC1326">
        <v>0</v>
      </c>
      <c r="DD1326">
        <v>0</v>
      </c>
      <c r="DE1326">
        <v>0</v>
      </c>
      <c r="DF1326">
        <v>0</v>
      </c>
      <c r="DG1326">
        <v>0</v>
      </c>
      <c r="DH1326">
        <v>0</v>
      </c>
      <c r="DI1326">
        <v>0</v>
      </c>
    </row>
    <row r="1327" spans="1:113" x14ac:dyDescent="0.3">
      <c r="A1327" t="str">
        <f>"02/13/2022 18:43:28.231"</f>
        <v>02/13/2022 18:43:28.231</v>
      </c>
      <c r="C1327" t="str">
        <f t="shared" si="128"/>
        <v>FFDFD7C0</v>
      </c>
      <c r="D1327" t="s">
        <v>121</v>
      </c>
      <c r="E1327">
        <v>2</v>
      </c>
      <c r="H1327">
        <v>158</v>
      </c>
      <c r="I1327" t="s">
        <v>120</v>
      </c>
      <c r="J1327" t="s">
        <v>122</v>
      </c>
      <c r="K1327">
        <v>0</v>
      </c>
      <c r="L1327">
        <v>3</v>
      </c>
      <c r="M1327">
        <v>0</v>
      </c>
      <c r="N1327">
        <v>2</v>
      </c>
      <c r="O1327">
        <v>1</v>
      </c>
      <c r="P1327">
        <v>0</v>
      </c>
      <c r="Q1327">
        <v>0</v>
      </c>
      <c r="S1327" t="str">
        <f>"18:43:27.961"</f>
        <v>18:43:27.961</v>
      </c>
      <c r="T1327" t="str">
        <f>"18:43:27.161"</f>
        <v>18:43:27.161</v>
      </c>
      <c r="U1327" t="str">
        <f t="shared" si="127"/>
        <v>AAB6EE</v>
      </c>
      <c r="V1327">
        <v>0</v>
      </c>
      <c r="W1327">
        <v>0</v>
      </c>
      <c r="X1327">
        <v>4</v>
      </c>
      <c r="Z1327">
        <v>0</v>
      </c>
      <c r="AA1327">
        <v>8</v>
      </c>
      <c r="AB1327">
        <v>3</v>
      </c>
      <c r="AC1327">
        <v>0</v>
      </c>
      <c r="AD1327">
        <v>10</v>
      </c>
      <c r="AE1327">
        <v>0</v>
      </c>
      <c r="AF1327">
        <v>0</v>
      </c>
      <c r="AG1327">
        <v>1</v>
      </c>
      <c r="AH1327">
        <v>1</v>
      </c>
      <c r="AI1327" t="s">
        <v>1006</v>
      </c>
      <c r="AJ1327">
        <v>35.194895000000002</v>
      </c>
      <c r="AK1327" t="s">
        <v>1007</v>
      </c>
      <c r="AL1327">
        <v>-76.238057999999995</v>
      </c>
      <c r="AM1327">
        <v>25</v>
      </c>
      <c r="AN1327">
        <v>3225</v>
      </c>
      <c r="AO1327" t="s">
        <v>118</v>
      </c>
      <c r="AP1327">
        <v>247</v>
      </c>
      <c r="AQ1327">
        <v>-34</v>
      </c>
      <c r="AR1327">
        <v>-576</v>
      </c>
      <c r="AZ1327">
        <v>4516</v>
      </c>
      <c r="BA1327">
        <v>1</v>
      </c>
      <c r="BB1327" t="str">
        <f t="shared" si="129"/>
        <v xml:space="preserve">N79NX   </v>
      </c>
      <c r="BC1327">
        <v>1</v>
      </c>
      <c r="BE1327">
        <v>0</v>
      </c>
      <c r="BF1327">
        <v>0</v>
      </c>
      <c r="BG1327">
        <v>0</v>
      </c>
      <c r="BH1327">
        <v>3100</v>
      </c>
      <c r="BI1327">
        <v>0</v>
      </c>
      <c r="BJ1327">
        <v>0</v>
      </c>
      <c r="BK1327">
        <v>0</v>
      </c>
      <c r="BL1327">
        <v>0</v>
      </c>
      <c r="BO1327">
        <v>0</v>
      </c>
      <c r="BP1327">
        <v>0</v>
      </c>
      <c r="BW1327" t="str">
        <f>"18:43:27.962"</f>
        <v>18:43:27.962</v>
      </c>
      <c r="BZ1327">
        <v>0</v>
      </c>
      <c r="CA1327">
        <v>3008</v>
      </c>
      <c r="CB1327">
        <v>216</v>
      </c>
      <c r="CC1327">
        <v>428.90629999999999</v>
      </c>
      <c r="CD1327">
        <v>1</v>
      </c>
      <c r="CE1327">
        <v>1</v>
      </c>
      <c r="CF1327">
        <v>0</v>
      </c>
      <c r="CG1327">
        <v>0</v>
      </c>
      <c r="CH1327">
        <v>0</v>
      </c>
      <c r="CI1327">
        <v>0</v>
      </c>
      <c r="CJ1327">
        <v>0</v>
      </c>
      <c r="CK1327">
        <v>2</v>
      </c>
      <c r="CL1327">
        <v>0</v>
      </c>
      <c r="CM1327">
        <v>2</v>
      </c>
      <c r="CN1327">
        <v>0</v>
      </c>
      <c r="CO1327">
        <v>2</v>
      </c>
      <c r="CP1327" t="s">
        <v>119</v>
      </c>
      <c r="CQ1327">
        <v>145</v>
      </c>
      <c r="CR1327">
        <v>1</v>
      </c>
      <c r="CW1327">
        <v>9072101</v>
      </c>
      <c r="CY1327">
        <v>0</v>
      </c>
      <c r="CZ1327">
        <v>0</v>
      </c>
      <c r="DA1327">
        <v>0</v>
      </c>
      <c r="DB1327">
        <v>0</v>
      </c>
      <c r="DC1327">
        <v>0</v>
      </c>
      <c r="DD1327">
        <v>0</v>
      </c>
      <c r="DE1327">
        <v>0</v>
      </c>
      <c r="DF1327">
        <v>0</v>
      </c>
      <c r="DG1327">
        <v>0</v>
      </c>
      <c r="DH1327">
        <v>0</v>
      </c>
      <c r="DI1327">
        <v>0</v>
      </c>
    </row>
    <row r="1328" spans="1:113" x14ac:dyDescent="0.3">
      <c r="A1328" t="str">
        <f>"02/13/2022 18:43:28.231"</f>
        <v>02/13/2022 18:43:28.231</v>
      </c>
      <c r="C1328" t="str">
        <f t="shared" si="128"/>
        <v>FFDFD7C0</v>
      </c>
      <c r="D1328" t="s">
        <v>113</v>
      </c>
      <c r="E1328">
        <v>3</v>
      </c>
      <c r="F1328">
        <v>1003</v>
      </c>
      <c r="G1328" t="s">
        <v>114</v>
      </c>
      <c r="J1328" t="s">
        <v>115</v>
      </c>
      <c r="K1328">
        <v>0</v>
      </c>
      <c r="L1328">
        <v>3</v>
      </c>
      <c r="M1328">
        <v>0</v>
      </c>
      <c r="N1328">
        <v>2</v>
      </c>
      <c r="O1328">
        <v>1</v>
      </c>
      <c r="P1328">
        <v>0</v>
      </c>
      <c r="Q1328">
        <v>0</v>
      </c>
      <c r="S1328" t="str">
        <f>"18:43:27.961"</f>
        <v>18:43:27.961</v>
      </c>
      <c r="T1328" t="str">
        <f>"18:43:27.161"</f>
        <v>18:43:27.161</v>
      </c>
      <c r="U1328" t="str">
        <f t="shared" si="127"/>
        <v>AAB6EE</v>
      </c>
      <c r="V1328">
        <v>0</v>
      </c>
      <c r="W1328">
        <v>0</v>
      </c>
      <c r="X1328">
        <v>4</v>
      </c>
      <c r="Z1328">
        <v>0</v>
      </c>
      <c r="AA1328">
        <v>8</v>
      </c>
      <c r="AB1328">
        <v>3</v>
      </c>
      <c r="AC1328">
        <v>0</v>
      </c>
      <c r="AD1328">
        <v>10</v>
      </c>
      <c r="AE1328">
        <v>0</v>
      </c>
      <c r="AF1328">
        <v>0</v>
      </c>
      <c r="AG1328">
        <v>1</v>
      </c>
      <c r="AH1328">
        <v>1</v>
      </c>
      <c r="AI1328" t="s">
        <v>1006</v>
      </c>
      <c r="AJ1328">
        <v>35.194895000000002</v>
      </c>
      <c r="AK1328" t="s">
        <v>1007</v>
      </c>
      <c r="AL1328">
        <v>-76.238057999999995</v>
      </c>
      <c r="AM1328">
        <v>25</v>
      </c>
      <c r="AN1328">
        <v>3225</v>
      </c>
      <c r="AO1328" t="s">
        <v>118</v>
      </c>
      <c r="AP1328">
        <v>247</v>
      </c>
      <c r="AQ1328">
        <v>-34</v>
      </c>
      <c r="AR1328">
        <v>-576</v>
      </c>
      <c r="AZ1328">
        <v>4516</v>
      </c>
      <c r="BA1328">
        <v>1</v>
      </c>
      <c r="BB1328" t="str">
        <f t="shared" si="129"/>
        <v xml:space="preserve">N79NX   </v>
      </c>
      <c r="BC1328">
        <v>1</v>
      </c>
      <c r="BE1328">
        <v>0</v>
      </c>
      <c r="BF1328">
        <v>0</v>
      </c>
      <c r="BG1328">
        <v>0</v>
      </c>
      <c r="BH1328">
        <v>3100</v>
      </c>
      <c r="BI1328">
        <v>0</v>
      </c>
      <c r="BJ1328">
        <v>0</v>
      </c>
      <c r="BK1328">
        <v>0</v>
      </c>
      <c r="BL1328">
        <v>0</v>
      </c>
      <c r="BO1328">
        <v>0</v>
      </c>
      <c r="BP1328">
        <v>0</v>
      </c>
      <c r="BW1328" t="str">
        <f>"18:43:27.962"</f>
        <v>18:43:27.962</v>
      </c>
      <c r="BZ1328">
        <v>0</v>
      </c>
      <c r="CA1328">
        <v>3008</v>
      </c>
      <c r="CB1328">
        <v>216</v>
      </c>
      <c r="CC1328">
        <v>428.90629999999999</v>
      </c>
      <c r="CD1328">
        <v>1</v>
      </c>
      <c r="CE1328">
        <v>1</v>
      </c>
      <c r="CF1328">
        <v>0</v>
      </c>
      <c r="CG1328">
        <v>0</v>
      </c>
      <c r="CH1328">
        <v>0</v>
      </c>
      <c r="CI1328">
        <v>0</v>
      </c>
      <c r="CJ1328">
        <v>0</v>
      </c>
      <c r="CK1328">
        <v>2</v>
      </c>
      <c r="CL1328">
        <v>0</v>
      </c>
      <c r="CM1328">
        <v>2</v>
      </c>
      <c r="CN1328">
        <v>0</v>
      </c>
      <c r="CO1328">
        <v>2</v>
      </c>
      <c r="CP1328" t="s">
        <v>119</v>
      </c>
      <c r="CQ1328">
        <v>145</v>
      </c>
      <c r="CR1328">
        <v>1</v>
      </c>
      <c r="CW1328">
        <v>9072101</v>
      </c>
      <c r="CY1328">
        <v>0</v>
      </c>
      <c r="CZ1328">
        <v>0</v>
      </c>
      <c r="DA1328">
        <v>1</v>
      </c>
      <c r="DB1328">
        <v>0</v>
      </c>
      <c r="DC1328">
        <v>0</v>
      </c>
      <c r="DD1328">
        <v>0</v>
      </c>
      <c r="DE1328">
        <v>0</v>
      </c>
      <c r="DF1328">
        <v>0</v>
      </c>
      <c r="DG1328">
        <v>0</v>
      </c>
      <c r="DH1328">
        <v>0</v>
      </c>
      <c r="DI1328">
        <v>0</v>
      </c>
    </row>
    <row r="1329" spans="1:113" x14ac:dyDescent="0.3">
      <c r="A1329" t="str">
        <f>"02/13/2022 18:43:28.231"</f>
        <v>02/13/2022 18:43:28.231</v>
      </c>
      <c r="C1329" t="str">
        <f t="shared" si="128"/>
        <v>FFDFD7C0</v>
      </c>
      <c r="D1329" t="s">
        <v>113</v>
      </c>
      <c r="E1329">
        <v>4</v>
      </c>
      <c r="F1329">
        <v>1004</v>
      </c>
      <c r="G1329" t="s">
        <v>120</v>
      </c>
      <c r="J1329" t="s">
        <v>115</v>
      </c>
      <c r="K1329">
        <v>0</v>
      </c>
      <c r="L1329">
        <v>3</v>
      </c>
      <c r="M1329">
        <v>0</v>
      </c>
      <c r="N1329">
        <v>2</v>
      </c>
      <c r="O1329">
        <v>1</v>
      </c>
      <c r="P1329">
        <v>0</v>
      </c>
      <c r="Q1329">
        <v>0</v>
      </c>
      <c r="S1329" t="str">
        <f>"18:43:27.961"</f>
        <v>18:43:27.961</v>
      </c>
      <c r="T1329" t="str">
        <f>"18:43:27.161"</f>
        <v>18:43:27.161</v>
      </c>
      <c r="U1329" t="str">
        <f t="shared" si="127"/>
        <v>AAB6EE</v>
      </c>
      <c r="V1329">
        <v>0</v>
      </c>
      <c r="W1329">
        <v>0</v>
      </c>
      <c r="X1329">
        <v>4</v>
      </c>
      <c r="Z1329">
        <v>0</v>
      </c>
      <c r="AA1329">
        <v>8</v>
      </c>
      <c r="AB1329">
        <v>3</v>
      </c>
      <c r="AC1329">
        <v>0</v>
      </c>
      <c r="AD1329">
        <v>10</v>
      </c>
      <c r="AE1329">
        <v>0</v>
      </c>
      <c r="AF1329">
        <v>0</v>
      </c>
      <c r="AG1329">
        <v>1</v>
      </c>
      <c r="AH1329">
        <v>1</v>
      </c>
      <c r="AI1329" t="s">
        <v>1006</v>
      </c>
      <c r="AJ1329">
        <v>35.194895000000002</v>
      </c>
      <c r="AK1329" t="s">
        <v>1007</v>
      </c>
      <c r="AL1329">
        <v>-76.238057999999995</v>
      </c>
      <c r="AM1329">
        <v>25</v>
      </c>
      <c r="AN1329">
        <v>3225</v>
      </c>
      <c r="AO1329" t="s">
        <v>118</v>
      </c>
      <c r="AP1329">
        <v>247</v>
      </c>
      <c r="AQ1329">
        <v>-34</v>
      </c>
      <c r="AR1329">
        <v>-576</v>
      </c>
      <c r="AZ1329">
        <v>4516</v>
      </c>
      <c r="BA1329">
        <v>1</v>
      </c>
      <c r="BB1329" t="str">
        <f t="shared" si="129"/>
        <v xml:space="preserve">N79NX   </v>
      </c>
      <c r="BC1329">
        <v>1</v>
      </c>
      <c r="BE1329">
        <v>0</v>
      </c>
      <c r="BF1329">
        <v>0</v>
      </c>
      <c r="BG1329">
        <v>0</v>
      </c>
      <c r="BH1329">
        <v>3100</v>
      </c>
      <c r="BI1329">
        <v>0</v>
      </c>
      <c r="BJ1329">
        <v>0</v>
      </c>
      <c r="BK1329">
        <v>0</v>
      </c>
      <c r="BL1329">
        <v>0</v>
      </c>
      <c r="BO1329">
        <v>0</v>
      </c>
      <c r="BP1329">
        <v>0</v>
      </c>
      <c r="BW1329" t="str">
        <f>"18:43:27.962"</f>
        <v>18:43:27.962</v>
      </c>
      <c r="BZ1329">
        <v>0</v>
      </c>
      <c r="CA1329">
        <v>3008</v>
      </c>
      <c r="CB1329">
        <v>216</v>
      </c>
      <c r="CC1329">
        <v>428.90629999999999</v>
      </c>
      <c r="CD1329">
        <v>1</v>
      </c>
      <c r="CE1329">
        <v>1</v>
      </c>
      <c r="CF1329">
        <v>0</v>
      </c>
      <c r="CG1329">
        <v>0</v>
      </c>
      <c r="CH1329">
        <v>0</v>
      </c>
      <c r="CI1329">
        <v>0</v>
      </c>
      <c r="CJ1329">
        <v>0</v>
      </c>
      <c r="CK1329">
        <v>2</v>
      </c>
      <c r="CL1329">
        <v>0</v>
      </c>
      <c r="CM1329">
        <v>2</v>
      </c>
      <c r="CN1329">
        <v>0</v>
      </c>
      <c r="CO1329">
        <v>2</v>
      </c>
      <c r="CP1329" t="s">
        <v>119</v>
      </c>
      <c r="CQ1329">
        <v>145</v>
      </c>
      <c r="CR1329">
        <v>1</v>
      </c>
      <c r="CW1329">
        <v>9072101</v>
      </c>
      <c r="CY1329">
        <v>0</v>
      </c>
      <c r="CZ1329">
        <v>0</v>
      </c>
      <c r="DA1329">
        <v>1</v>
      </c>
      <c r="DB1329">
        <v>0</v>
      </c>
      <c r="DC1329">
        <v>0</v>
      </c>
      <c r="DD1329">
        <v>0</v>
      </c>
      <c r="DE1329">
        <v>0</v>
      </c>
      <c r="DF1329">
        <v>0</v>
      </c>
      <c r="DG1329">
        <v>0</v>
      </c>
      <c r="DH1329">
        <v>0</v>
      </c>
      <c r="DI1329">
        <v>0</v>
      </c>
    </row>
    <row r="1330" spans="1:113" x14ac:dyDescent="0.3">
      <c r="A1330" t="str">
        <f>"02/13/2022 18:43:29.326"</f>
        <v>02/13/2022 18:43:29.326</v>
      </c>
      <c r="C1330" t="str">
        <f t="shared" si="128"/>
        <v>FFDFD7C0</v>
      </c>
      <c r="D1330" t="s">
        <v>113</v>
      </c>
      <c r="E1330">
        <v>3</v>
      </c>
      <c r="F1330">
        <v>1003</v>
      </c>
      <c r="G1330" t="s">
        <v>114</v>
      </c>
      <c r="J1330" t="s">
        <v>115</v>
      </c>
      <c r="K1330">
        <v>0</v>
      </c>
      <c r="L1330">
        <v>3</v>
      </c>
      <c r="M1330">
        <v>0</v>
      </c>
      <c r="N1330">
        <v>2</v>
      </c>
      <c r="O1330">
        <v>1</v>
      </c>
      <c r="P1330">
        <v>0</v>
      </c>
      <c r="Q1330">
        <v>0</v>
      </c>
      <c r="S1330" t="str">
        <f>"18:43:29.078"</f>
        <v>18:43:29.078</v>
      </c>
      <c r="T1330" t="str">
        <f>"18:43:28.178"</f>
        <v>18:43:28.178</v>
      </c>
      <c r="U1330" t="str">
        <f t="shared" si="127"/>
        <v>AAB6EE</v>
      </c>
      <c r="V1330">
        <v>0</v>
      </c>
      <c r="W1330">
        <v>0</v>
      </c>
      <c r="X1330">
        <v>4</v>
      </c>
      <c r="Z1330">
        <v>0</v>
      </c>
      <c r="AA1330">
        <v>8</v>
      </c>
      <c r="AB1330">
        <v>3</v>
      </c>
      <c r="AC1330">
        <v>0</v>
      </c>
      <c r="AD1330">
        <v>10</v>
      </c>
      <c r="AE1330">
        <v>0</v>
      </c>
      <c r="AF1330">
        <v>0</v>
      </c>
      <c r="AG1330">
        <v>1</v>
      </c>
      <c r="AH1330">
        <v>1</v>
      </c>
      <c r="AI1330" t="s">
        <v>1008</v>
      </c>
      <c r="AJ1330">
        <v>35.194788000000003</v>
      </c>
      <c r="AK1330" t="s">
        <v>1009</v>
      </c>
      <c r="AL1330">
        <v>-76.236469999999997</v>
      </c>
      <c r="AM1330">
        <v>25</v>
      </c>
      <c r="AN1330">
        <v>3225</v>
      </c>
      <c r="AO1330" t="s">
        <v>118</v>
      </c>
      <c r="AP1330">
        <v>249</v>
      </c>
      <c r="AQ1330">
        <v>-24</v>
      </c>
      <c r="AR1330">
        <v>-512</v>
      </c>
      <c r="AZ1330">
        <v>4516</v>
      </c>
      <c r="BA1330">
        <v>1</v>
      </c>
      <c r="BB1330" t="str">
        <f t="shared" si="129"/>
        <v xml:space="preserve">N79NX   </v>
      </c>
      <c r="BC1330">
        <v>1</v>
      </c>
      <c r="BE1330">
        <v>0</v>
      </c>
      <c r="BF1330">
        <v>0</v>
      </c>
      <c r="BG1330">
        <v>0</v>
      </c>
      <c r="BH1330">
        <v>3075</v>
      </c>
      <c r="BI1330">
        <v>0</v>
      </c>
      <c r="BJ1330">
        <v>0</v>
      </c>
      <c r="BK1330">
        <v>0</v>
      </c>
      <c r="BL1330">
        <v>0</v>
      </c>
      <c r="BO1330">
        <v>0</v>
      </c>
      <c r="BP1330">
        <v>0</v>
      </c>
      <c r="BW1330" t="str">
        <f>"18:43:29.082"</f>
        <v>18:43:29.082</v>
      </c>
      <c r="BZ1330">
        <v>0</v>
      </c>
      <c r="CA1330">
        <v>3008</v>
      </c>
      <c r="CB1330">
        <v>216</v>
      </c>
      <c r="CC1330">
        <v>428.90629999999999</v>
      </c>
      <c r="CD1330">
        <v>1</v>
      </c>
      <c r="CE1330">
        <v>1</v>
      </c>
      <c r="CF1330">
        <v>0</v>
      </c>
      <c r="CG1330">
        <v>0</v>
      </c>
      <c r="CH1330">
        <v>0</v>
      </c>
      <c r="CI1330">
        <v>0</v>
      </c>
      <c r="CJ1330">
        <v>0</v>
      </c>
      <c r="CK1330">
        <v>2</v>
      </c>
      <c r="CL1330">
        <v>0</v>
      </c>
      <c r="CM1330">
        <v>2</v>
      </c>
      <c r="CN1330">
        <v>0</v>
      </c>
      <c r="CO1330">
        <v>2</v>
      </c>
      <c r="CP1330" t="s">
        <v>119</v>
      </c>
      <c r="CQ1330">
        <v>145</v>
      </c>
      <c r="CR1330">
        <v>1</v>
      </c>
      <c r="CW1330">
        <v>9072656</v>
      </c>
      <c r="CY1330">
        <v>0</v>
      </c>
      <c r="CZ1330">
        <v>0</v>
      </c>
      <c r="DA1330">
        <v>0</v>
      </c>
      <c r="DB1330">
        <v>0</v>
      </c>
      <c r="DC1330">
        <v>0</v>
      </c>
      <c r="DD1330">
        <v>0</v>
      </c>
      <c r="DE1330">
        <v>0</v>
      </c>
      <c r="DF1330">
        <v>0</v>
      </c>
      <c r="DG1330">
        <v>0</v>
      </c>
      <c r="DH1330">
        <v>0</v>
      </c>
      <c r="DI1330">
        <v>0</v>
      </c>
    </row>
    <row r="1331" spans="1:113" x14ac:dyDescent="0.3">
      <c r="A1331" t="str">
        <f>"02/13/2022 18:43:29.326"</f>
        <v>02/13/2022 18:43:29.326</v>
      </c>
      <c r="C1331" t="str">
        <f t="shared" si="128"/>
        <v>FFDFD7C0</v>
      </c>
      <c r="D1331" t="s">
        <v>113</v>
      </c>
      <c r="E1331">
        <v>4</v>
      </c>
      <c r="F1331">
        <v>1004</v>
      </c>
      <c r="G1331" t="s">
        <v>120</v>
      </c>
      <c r="J1331" t="s">
        <v>115</v>
      </c>
      <c r="K1331">
        <v>0</v>
      </c>
      <c r="L1331">
        <v>3</v>
      </c>
      <c r="M1331">
        <v>0</v>
      </c>
      <c r="N1331">
        <v>2</v>
      </c>
      <c r="O1331">
        <v>1</v>
      </c>
      <c r="P1331">
        <v>0</v>
      </c>
      <c r="Q1331">
        <v>0</v>
      </c>
      <c r="S1331" t="str">
        <f>"18:43:29.078"</f>
        <v>18:43:29.078</v>
      </c>
      <c r="T1331" t="str">
        <f>"18:43:28.178"</f>
        <v>18:43:28.178</v>
      </c>
      <c r="U1331" t="str">
        <f t="shared" si="127"/>
        <v>AAB6EE</v>
      </c>
      <c r="V1331">
        <v>0</v>
      </c>
      <c r="W1331">
        <v>0</v>
      </c>
      <c r="X1331">
        <v>4</v>
      </c>
      <c r="Z1331">
        <v>0</v>
      </c>
      <c r="AA1331">
        <v>8</v>
      </c>
      <c r="AB1331">
        <v>3</v>
      </c>
      <c r="AC1331">
        <v>0</v>
      </c>
      <c r="AD1331">
        <v>10</v>
      </c>
      <c r="AE1331">
        <v>0</v>
      </c>
      <c r="AF1331">
        <v>0</v>
      </c>
      <c r="AG1331">
        <v>1</v>
      </c>
      <c r="AH1331">
        <v>1</v>
      </c>
      <c r="AI1331" t="s">
        <v>1008</v>
      </c>
      <c r="AJ1331">
        <v>35.194788000000003</v>
      </c>
      <c r="AK1331" t="s">
        <v>1009</v>
      </c>
      <c r="AL1331">
        <v>-76.236469999999997</v>
      </c>
      <c r="AM1331">
        <v>25</v>
      </c>
      <c r="AN1331">
        <v>3225</v>
      </c>
      <c r="AO1331" t="s">
        <v>118</v>
      </c>
      <c r="AP1331">
        <v>249</v>
      </c>
      <c r="AQ1331">
        <v>-24</v>
      </c>
      <c r="AR1331">
        <v>-512</v>
      </c>
      <c r="AZ1331">
        <v>4516</v>
      </c>
      <c r="BA1331">
        <v>1</v>
      </c>
      <c r="BB1331" t="str">
        <f t="shared" si="129"/>
        <v xml:space="preserve">N79NX   </v>
      </c>
      <c r="BC1331">
        <v>1</v>
      </c>
      <c r="BE1331">
        <v>0</v>
      </c>
      <c r="BF1331">
        <v>0</v>
      </c>
      <c r="BG1331">
        <v>0</v>
      </c>
      <c r="BH1331">
        <v>3075</v>
      </c>
      <c r="BI1331">
        <v>0</v>
      </c>
      <c r="BJ1331">
        <v>0</v>
      </c>
      <c r="BK1331">
        <v>0</v>
      </c>
      <c r="BL1331">
        <v>0</v>
      </c>
      <c r="BO1331">
        <v>0</v>
      </c>
      <c r="BP1331">
        <v>0</v>
      </c>
      <c r="BW1331" t="str">
        <f>"18:43:29.082"</f>
        <v>18:43:29.082</v>
      </c>
      <c r="BZ1331">
        <v>0</v>
      </c>
      <c r="CA1331">
        <v>3008</v>
      </c>
      <c r="CB1331">
        <v>216</v>
      </c>
      <c r="CC1331">
        <v>428.90629999999999</v>
      </c>
      <c r="CD1331">
        <v>1</v>
      </c>
      <c r="CE1331">
        <v>1</v>
      </c>
      <c r="CF1331">
        <v>0</v>
      </c>
      <c r="CG1331">
        <v>0</v>
      </c>
      <c r="CH1331">
        <v>0</v>
      </c>
      <c r="CI1331">
        <v>0</v>
      </c>
      <c r="CJ1331">
        <v>0</v>
      </c>
      <c r="CK1331">
        <v>2</v>
      </c>
      <c r="CL1331">
        <v>0</v>
      </c>
      <c r="CM1331">
        <v>2</v>
      </c>
      <c r="CN1331">
        <v>0</v>
      </c>
      <c r="CO1331">
        <v>2</v>
      </c>
      <c r="CP1331" t="s">
        <v>119</v>
      </c>
      <c r="CQ1331">
        <v>145</v>
      </c>
      <c r="CR1331">
        <v>1</v>
      </c>
      <c r="CW1331">
        <v>9072656</v>
      </c>
      <c r="CY1331">
        <v>0</v>
      </c>
      <c r="CZ1331">
        <v>0</v>
      </c>
      <c r="DA1331">
        <v>1</v>
      </c>
      <c r="DB1331">
        <v>0</v>
      </c>
      <c r="DC1331">
        <v>0</v>
      </c>
      <c r="DD1331">
        <v>0</v>
      </c>
      <c r="DE1331">
        <v>0</v>
      </c>
      <c r="DF1331">
        <v>0</v>
      </c>
      <c r="DG1331">
        <v>0</v>
      </c>
      <c r="DH1331">
        <v>0</v>
      </c>
      <c r="DI1331">
        <v>0</v>
      </c>
    </row>
    <row r="1332" spans="1:113" x14ac:dyDescent="0.3">
      <c r="A1332" t="str">
        <f>"02/13/2022 18:43:29.326"</f>
        <v>02/13/2022 18:43:29.326</v>
      </c>
      <c r="C1332" t="str">
        <f t="shared" si="128"/>
        <v>FFDFD7C0</v>
      </c>
      <c r="D1332" t="s">
        <v>121</v>
      </c>
      <c r="E1332">
        <v>2</v>
      </c>
      <c r="H1332">
        <v>158</v>
      </c>
      <c r="I1332" t="s">
        <v>120</v>
      </c>
      <c r="J1332" t="s">
        <v>122</v>
      </c>
      <c r="K1332">
        <v>0</v>
      </c>
      <c r="L1332">
        <v>3</v>
      </c>
      <c r="M1332">
        <v>0</v>
      </c>
      <c r="N1332">
        <v>2</v>
      </c>
      <c r="O1332">
        <v>1</v>
      </c>
      <c r="P1332">
        <v>0</v>
      </c>
      <c r="Q1332">
        <v>0</v>
      </c>
      <c r="S1332" t="str">
        <f>"18:43:29.078"</f>
        <v>18:43:29.078</v>
      </c>
      <c r="T1332" t="str">
        <f>"18:43:28.178"</f>
        <v>18:43:28.178</v>
      </c>
      <c r="U1332" t="str">
        <f t="shared" si="127"/>
        <v>AAB6EE</v>
      </c>
      <c r="V1332">
        <v>0</v>
      </c>
      <c r="W1332">
        <v>0</v>
      </c>
      <c r="X1332">
        <v>4</v>
      </c>
      <c r="Z1332">
        <v>0</v>
      </c>
      <c r="AA1332">
        <v>8</v>
      </c>
      <c r="AB1332">
        <v>3</v>
      </c>
      <c r="AC1332">
        <v>0</v>
      </c>
      <c r="AD1332">
        <v>10</v>
      </c>
      <c r="AE1332">
        <v>0</v>
      </c>
      <c r="AF1332">
        <v>0</v>
      </c>
      <c r="AG1332">
        <v>1</v>
      </c>
      <c r="AH1332">
        <v>1</v>
      </c>
      <c r="AI1332" t="s">
        <v>1008</v>
      </c>
      <c r="AJ1332">
        <v>35.194788000000003</v>
      </c>
      <c r="AK1332" t="s">
        <v>1009</v>
      </c>
      <c r="AL1332">
        <v>-76.236469999999997</v>
      </c>
      <c r="AM1332">
        <v>25</v>
      </c>
      <c r="AN1332">
        <v>3225</v>
      </c>
      <c r="AO1332" t="s">
        <v>118</v>
      </c>
      <c r="AP1332">
        <v>249</v>
      </c>
      <c r="AQ1332">
        <v>-24</v>
      </c>
      <c r="AR1332">
        <v>-512</v>
      </c>
      <c r="AZ1332">
        <v>4516</v>
      </c>
      <c r="BA1332">
        <v>1</v>
      </c>
      <c r="BB1332" t="str">
        <f t="shared" si="129"/>
        <v xml:space="preserve">N79NX   </v>
      </c>
      <c r="BC1332">
        <v>1</v>
      </c>
      <c r="BE1332">
        <v>0</v>
      </c>
      <c r="BF1332">
        <v>0</v>
      </c>
      <c r="BG1332">
        <v>0</v>
      </c>
      <c r="BH1332">
        <v>3075</v>
      </c>
      <c r="BI1332">
        <v>0</v>
      </c>
      <c r="BJ1332">
        <v>0</v>
      </c>
      <c r="BK1332">
        <v>0</v>
      </c>
      <c r="BL1332">
        <v>0</v>
      </c>
      <c r="BO1332">
        <v>0</v>
      </c>
      <c r="BP1332">
        <v>0</v>
      </c>
      <c r="BW1332" t="str">
        <f>"18:43:29.082"</f>
        <v>18:43:29.082</v>
      </c>
      <c r="BZ1332">
        <v>0</v>
      </c>
      <c r="CA1332">
        <v>3008</v>
      </c>
      <c r="CB1332">
        <v>216</v>
      </c>
      <c r="CC1332">
        <v>428.90629999999999</v>
      </c>
      <c r="CD1332">
        <v>1</v>
      </c>
      <c r="CE1332">
        <v>1</v>
      </c>
      <c r="CF1332">
        <v>0</v>
      </c>
      <c r="CG1332">
        <v>0</v>
      </c>
      <c r="CH1332">
        <v>0</v>
      </c>
      <c r="CI1332">
        <v>0</v>
      </c>
      <c r="CJ1332">
        <v>0</v>
      </c>
      <c r="CK1332">
        <v>2</v>
      </c>
      <c r="CL1332">
        <v>0</v>
      </c>
      <c r="CM1332">
        <v>2</v>
      </c>
      <c r="CN1332">
        <v>0</v>
      </c>
      <c r="CO1332">
        <v>2</v>
      </c>
      <c r="CP1332" t="s">
        <v>119</v>
      </c>
      <c r="CQ1332">
        <v>145</v>
      </c>
      <c r="CR1332">
        <v>1</v>
      </c>
      <c r="CW1332">
        <v>9072656</v>
      </c>
      <c r="CY1332">
        <v>0</v>
      </c>
      <c r="CZ1332">
        <v>0</v>
      </c>
      <c r="DA1332">
        <v>1</v>
      </c>
      <c r="DB1332">
        <v>0</v>
      </c>
      <c r="DC1332">
        <v>0</v>
      </c>
      <c r="DD1332">
        <v>0</v>
      </c>
      <c r="DE1332">
        <v>0</v>
      </c>
      <c r="DF1332">
        <v>0</v>
      </c>
      <c r="DG1332">
        <v>0</v>
      </c>
      <c r="DH1332">
        <v>0</v>
      </c>
      <c r="DI1332">
        <v>0</v>
      </c>
    </row>
    <row r="1333" spans="1:113" x14ac:dyDescent="0.3">
      <c r="A1333" t="str">
        <f>"02/13/2022 18:43:30.358"</f>
        <v>02/13/2022 18:43:30.358</v>
      </c>
      <c r="C1333" t="str">
        <f t="shared" si="128"/>
        <v>FFDFD7C0</v>
      </c>
      <c r="D1333" t="s">
        <v>121</v>
      </c>
      <c r="E1333">
        <v>2</v>
      </c>
      <c r="H1333">
        <v>158</v>
      </c>
      <c r="I1333" t="s">
        <v>120</v>
      </c>
      <c r="J1333" t="s">
        <v>122</v>
      </c>
      <c r="K1333">
        <v>0</v>
      </c>
      <c r="L1333">
        <v>3</v>
      </c>
      <c r="M1333">
        <v>0</v>
      </c>
      <c r="N1333">
        <v>2</v>
      </c>
      <c r="O1333">
        <v>1</v>
      </c>
      <c r="P1333">
        <v>0</v>
      </c>
      <c r="Q1333">
        <v>0</v>
      </c>
      <c r="S1333" t="str">
        <f>"18:43:30.125"</f>
        <v>18:43:30.125</v>
      </c>
      <c r="T1333" t="str">
        <f>"18:43:29.325"</f>
        <v>18:43:29.325</v>
      </c>
      <c r="U1333" t="str">
        <f t="shared" si="127"/>
        <v>AAB6EE</v>
      </c>
      <c r="V1333">
        <v>0</v>
      </c>
      <c r="W1333">
        <v>0</v>
      </c>
      <c r="X1333">
        <v>4</v>
      </c>
      <c r="Z1333">
        <v>0</v>
      </c>
      <c r="AA1333">
        <v>8</v>
      </c>
      <c r="AB1333">
        <v>3</v>
      </c>
      <c r="AC1333">
        <v>0</v>
      </c>
      <c r="AD1333">
        <v>10</v>
      </c>
      <c r="AE1333">
        <v>0</v>
      </c>
      <c r="AF1333">
        <v>0</v>
      </c>
      <c r="AG1333">
        <v>1</v>
      </c>
      <c r="AH1333">
        <v>1</v>
      </c>
      <c r="AI1333" t="s">
        <v>1010</v>
      </c>
      <c r="AJ1333">
        <v>35.194744999999998</v>
      </c>
      <c r="AK1333" t="s">
        <v>1011</v>
      </c>
      <c r="AL1333">
        <v>-76.234925000000004</v>
      </c>
      <c r="AM1333">
        <v>25</v>
      </c>
      <c r="AN1333">
        <v>3225</v>
      </c>
      <c r="AO1333" t="s">
        <v>118</v>
      </c>
      <c r="AP1333">
        <v>250</v>
      </c>
      <c r="AQ1333">
        <v>-12</v>
      </c>
      <c r="AR1333">
        <v>-448</v>
      </c>
      <c r="AZ1333">
        <v>4516</v>
      </c>
      <c r="BA1333">
        <v>1</v>
      </c>
      <c r="BB1333" t="str">
        <f t="shared" si="129"/>
        <v xml:space="preserve">N79NX   </v>
      </c>
      <c r="BC1333">
        <v>1</v>
      </c>
      <c r="BE1333">
        <v>0</v>
      </c>
      <c r="BF1333">
        <v>0</v>
      </c>
      <c r="BG1333">
        <v>0</v>
      </c>
      <c r="BH1333">
        <v>3075</v>
      </c>
      <c r="BI1333">
        <v>0</v>
      </c>
      <c r="BJ1333">
        <v>0</v>
      </c>
      <c r="BK1333">
        <v>0</v>
      </c>
      <c r="BL1333">
        <v>0</v>
      </c>
      <c r="BO1333">
        <v>0</v>
      </c>
      <c r="BP1333">
        <v>0</v>
      </c>
      <c r="BW1333" t="str">
        <f>"18:43:30.132"</f>
        <v>18:43:30.132</v>
      </c>
      <c r="BZ1333">
        <v>0</v>
      </c>
      <c r="CA1333">
        <v>3008</v>
      </c>
      <c r="CB1333">
        <v>216</v>
      </c>
      <c r="CC1333">
        <v>428.90629999999999</v>
      </c>
      <c r="CD1333">
        <v>1</v>
      </c>
      <c r="CE1333">
        <v>1</v>
      </c>
      <c r="CF1333">
        <v>0</v>
      </c>
      <c r="CG1333">
        <v>0</v>
      </c>
      <c r="CH1333">
        <v>0</v>
      </c>
      <c r="CI1333">
        <v>0</v>
      </c>
      <c r="CJ1333">
        <v>0</v>
      </c>
      <c r="CK1333">
        <v>2</v>
      </c>
      <c r="CL1333">
        <v>0</v>
      </c>
      <c r="CM1333">
        <v>2</v>
      </c>
      <c r="CN1333">
        <v>0</v>
      </c>
      <c r="CO1333">
        <v>1</v>
      </c>
      <c r="CP1333" t="s">
        <v>119</v>
      </c>
      <c r="CQ1333">
        <v>145</v>
      </c>
      <c r="CR1333">
        <v>1</v>
      </c>
      <c r="CW1333">
        <v>9073203</v>
      </c>
      <c r="CY1333">
        <v>0</v>
      </c>
      <c r="CZ1333">
        <v>0</v>
      </c>
      <c r="DA1333">
        <v>0</v>
      </c>
      <c r="DB1333">
        <v>0</v>
      </c>
      <c r="DC1333">
        <v>0</v>
      </c>
      <c r="DD1333">
        <v>0</v>
      </c>
      <c r="DE1333">
        <v>0</v>
      </c>
      <c r="DF1333">
        <v>0</v>
      </c>
      <c r="DG1333">
        <v>0</v>
      </c>
      <c r="DH1333">
        <v>0</v>
      </c>
      <c r="DI1333">
        <v>0</v>
      </c>
    </row>
    <row r="1334" spans="1:113" x14ac:dyDescent="0.3">
      <c r="A1334" t="str">
        <f>"02/13/2022 18:43:30.374"</f>
        <v>02/13/2022 18:43:30.374</v>
      </c>
      <c r="C1334" t="str">
        <f t="shared" si="128"/>
        <v>FFDFD7C0</v>
      </c>
      <c r="D1334" t="s">
        <v>113</v>
      </c>
      <c r="E1334">
        <v>3</v>
      </c>
      <c r="F1334">
        <v>1003</v>
      </c>
      <c r="G1334" t="s">
        <v>114</v>
      </c>
      <c r="J1334" t="s">
        <v>115</v>
      </c>
      <c r="K1334">
        <v>0</v>
      </c>
      <c r="L1334">
        <v>3</v>
      </c>
      <c r="M1334">
        <v>0</v>
      </c>
      <c r="N1334">
        <v>2</v>
      </c>
      <c r="O1334">
        <v>1</v>
      </c>
      <c r="P1334">
        <v>0</v>
      </c>
      <c r="Q1334">
        <v>0</v>
      </c>
      <c r="S1334" t="str">
        <f>"18:43:30.125"</f>
        <v>18:43:30.125</v>
      </c>
      <c r="T1334" t="str">
        <f>"18:43:29.325"</f>
        <v>18:43:29.325</v>
      </c>
      <c r="U1334" t="str">
        <f t="shared" si="127"/>
        <v>AAB6EE</v>
      </c>
      <c r="V1334">
        <v>0</v>
      </c>
      <c r="W1334">
        <v>0</v>
      </c>
      <c r="X1334">
        <v>4</v>
      </c>
      <c r="Z1334">
        <v>0</v>
      </c>
      <c r="AA1334">
        <v>8</v>
      </c>
      <c r="AB1334">
        <v>3</v>
      </c>
      <c r="AC1334">
        <v>0</v>
      </c>
      <c r="AD1334">
        <v>10</v>
      </c>
      <c r="AE1334">
        <v>0</v>
      </c>
      <c r="AF1334">
        <v>0</v>
      </c>
      <c r="AG1334">
        <v>1</v>
      </c>
      <c r="AH1334">
        <v>1</v>
      </c>
      <c r="AI1334" t="s">
        <v>1010</v>
      </c>
      <c r="AJ1334">
        <v>35.194744999999998</v>
      </c>
      <c r="AK1334" t="s">
        <v>1011</v>
      </c>
      <c r="AL1334">
        <v>-76.234925000000004</v>
      </c>
      <c r="AM1334">
        <v>25</v>
      </c>
      <c r="AN1334">
        <v>3225</v>
      </c>
      <c r="AO1334" t="s">
        <v>118</v>
      </c>
      <c r="AP1334">
        <v>250</v>
      </c>
      <c r="AQ1334">
        <v>-12</v>
      </c>
      <c r="AR1334">
        <v>-448</v>
      </c>
      <c r="AZ1334">
        <v>4516</v>
      </c>
      <c r="BA1334">
        <v>1</v>
      </c>
      <c r="BB1334" t="str">
        <f t="shared" si="129"/>
        <v xml:space="preserve">N79NX   </v>
      </c>
      <c r="BC1334">
        <v>1</v>
      </c>
      <c r="BE1334">
        <v>0</v>
      </c>
      <c r="BF1334">
        <v>0</v>
      </c>
      <c r="BG1334">
        <v>0</v>
      </c>
      <c r="BH1334">
        <v>3075</v>
      </c>
      <c r="BI1334">
        <v>0</v>
      </c>
      <c r="BJ1334">
        <v>0</v>
      </c>
      <c r="BK1334">
        <v>0</v>
      </c>
      <c r="BL1334">
        <v>0</v>
      </c>
      <c r="BO1334">
        <v>0</v>
      </c>
      <c r="BP1334">
        <v>0</v>
      </c>
      <c r="BW1334" t="str">
        <f>"18:43:30.132"</f>
        <v>18:43:30.132</v>
      </c>
      <c r="BZ1334">
        <v>0</v>
      </c>
      <c r="CA1334">
        <v>3008</v>
      </c>
      <c r="CB1334">
        <v>216</v>
      </c>
      <c r="CC1334">
        <v>428.90629999999999</v>
      </c>
      <c r="CD1334">
        <v>1</v>
      </c>
      <c r="CE1334">
        <v>1</v>
      </c>
      <c r="CF1334">
        <v>0</v>
      </c>
      <c r="CG1334">
        <v>0</v>
      </c>
      <c r="CH1334">
        <v>0</v>
      </c>
      <c r="CI1334">
        <v>0</v>
      </c>
      <c r="CJ1334">
        <v>0</v>
      </c>
      <c r="CK1334">
        <v>2</v>
      </c>
      <c r="CL1334">
        <v>0</v>
      </c>
      <c r="CM1334">
        <v>2</v>
      </c>
      <c r="CN1334">
        <v>0</v>
      </c>
      <c r="CO1334">
        <v>1</v>
      </c>
      <c r="CP1334" t="s">
        <v>119</v>
      </c>
      <c r="CQ1334">
        <v>145</v>
      </c>
      <c r="CR1334">
        <v>1</v>
      </c>
      <c r="CW1334">
        <v>9073203</v>
      </c>
      <c r="CY1334">
        <v>0</v>
      </c>
      <c r="CZ1334">
        <v>0</v>
      </c>
      <c r="DA1334">
        <v>1</v>
      </c>
      <c r="DB1334">
        <v>0</v>
      </c>
      <c r="DC1334">
        <v>0</v>
      </c>
      <c r="DD1334">
        <v>0</v>
      </c>
      <c r="DE1334">
        <v>0</v>
      </c>
      <c r="DF1334">
        <v>0</v>
      </c>
      <c r="DG1334">
        <v>0</v>
      </c>
      <c r="DH1334">
        <v>0</v>
      </c>
      <c r="DI1334">
        <v>0</v>
      </c>
    </row>
    <row r="1335" spans="1:113" x14ac:dyDescent="0.3">
      <c r="A1335" t="str">
        <f>"02/13/2022 18:43:30.374"</f>
        <v>02/13/2022 18:43:30.374</v>
      </c>
      <c r="C1335" t="str">
        <f t="shared" si="128"/>
        <v>FFDFD7C0</v>
      </c>
      <c r="D1335" t="s">
        <v>113</v>
      </c>
      <c r="E1335">
        <v>4</v>
      </c>
      <c r="F1335">
        <v>1004</v>
      </c>
      <c r="G1335" t="s">
        <v>120</v>
      </c>
      <c r="J1335" t="s">
        <v>115</v>
      </c>
      <c r="K1335">
        <v>0</v>
      </c>
      <c r="L1335">
        <v>3</v>
      </c>
      <c r="M1335">
        <v>0</v>
      </c>
      <c r="N1335">
        <v>2</v>
      </c>
      <c r="O1335">
        <v>1</v>
      </c>
      <c r="P1335">
        <v>0</v>
      </c>
      <c r="Q1335">
        <v>0</v>
      </c>
      <c r="S1335" t="str">
        <f>"18:43:30.125"</f>
        <v>18:43:30.125</v>
      </c>
      <c r="T1335" t="str">
        <f>"18:43:29.325"</f>
        <v>18:43:29.325</v>
      </c>
      <c r="U1335" t="str">
        <f t="shared" si="127"/>
        <v>AAB6EE</v>
      </c>
      <c r="V1335">
        <v>0</v>
      </c>
      <c r="W1335">
        <v>0</v>
      </c>
      <c r="X1335">
        <v>4</v>
      </c>
      <c r="Z1335">
        <v>0</v>
      </c>
      <c r="AA1335">
        <v>8</v>
      </c>
      <c r="AB1335">
        <v>3</v>
      </c>
      <c r="AC1335">
        <v>0</v>
      </c>
      <c r="AD1335">
        <v>10</v>
      </c>
      <c r="AE1335">
        <v>0</v>
      </c>
      <c r="AF1335">
        <v>0</v>
      </c>
      <c r="AG1335">
        <v>1</v>
      </c>
      <c r="AH1335">
        <v>1</v>
      </c>
      <c r="AI1335" t="s">
        <v>1010</v>
      </c>
      <c r="AJ1335">
        <v>35.194744999999998</v>
      </c>
      <c r="AK1335" t="s">
        <v>1011</v>
      </c>
      <c r="AL1335">
        <v>-76.234925000000004</v>
      </c>
      <c r="AM1335">
        <v>25</v>
      </c>
      <c r="AN1335">
        <v>3225</v>
      </c>
      <c r="AO1335" t="s">
        <v>118</v>
      </c>
      <c r="AP1335">
        <v>250</v>
      </c>
      <c r="AQ1335">
        <v>-12</v>
      </c>
      <c r="AR1335">
        <v>-448</v>
      </c>
      <c r="AZ1335">
        <v>4516</v>
      </c>
      <c r="BA1335">
        <v>1</v>
      </c>
      <c r="BB1335" t="str">
        <f t="shared" si="129"/>
        <v xml:space="preserve">N79NX   </v>
      </c>
      <c r="BC1335">
        <v>1</v>
      </c>
      <c r="BE1335">
        <v>0</v>
      </c>
      <c r="BF1335">
        <v>0</v>
      </c>
      <c r="BG1335">
        <v>0</v>
      </c>
      <c r="BH1335">
        <v>3075</v>
      </c>
      <c r="BI1335">
        <v>0</v>
      </c>
      <c r="BJ1335">
        <v>0</v>
      </c>
      <c r="BK1335">
        <v>0</v>
      </c>
      <c r="BL1335">
        <v>0</v>
      </c>
      <c r="BO1335">
        <v>0</v>
      </c>
      <c r="BP1335">
        <v>0</v>
      </c>
      <c r="BW1335" t="str">
        <f>"18:43:30.132"</f>
        <v>18:43:30.132</v>
      </c>
      <c r="BZ1335">
        <v>0</v>
      </c>
      <c r="CA1335">
        <v>3008</v>
      </c>
      <c r="CB1335">
        <v>216</v>
      </c>
      <c r="CC1335">
        <v>428.90629999999999</v>
      </c>
      <c r="CD1335">
        <v>1</v>
      </c>
      <c r="CE1335">
        <v>1</v>
      </c>
      <c r="CF1335">
        <v>0</v>
      </c>
      <c r="CG1335">
        <v>0</v>
      </c>
      <c r="CH1335">
        <v>0</v>
      </c>
      <c r="CI1335">
        <v>0</v>
      </c>
      <c r="CJ1335">
        <v>0</v>
      </c>
      <c r="CK1335">
        <v>2</v>
      </c>
      <c r="CL1335">
        <v>0</v>
      </c>
      <c r="CM1335">
        <v>2</v>
      </c>
      <c r="CN1335">
        <v>0</v>
      </c>
      <c r="CO1335">
        <v>1</v>
      </c>
      <c r="CP1335" t="s">
        <v>119</v>
      </c>
      <c r="CQ1335">
        <v>145</v>
      </c>
      <c r="CR1335">
        <v>1</v>
      </c>
      <c r="CW1335">
        <v>9073203</v>
      </c>
      <c r="CY1335">
        <v>0</v>
      </c>
      <c r="CZ1335">
        <v>0</v>
      </c>
      <c r="DA1335">
        <v>1</v>
      </c>
      <c r="DB1335">
        <v>0</v>
      </c>
      <c r="DC1335">
        <v>0</v>
      </c>
      <c r="DD1335">
        <v>0</v>
      </c>
      <c r="DE1335">
        <v>0</v>
      </c>
      <c r="DF1335">
        <v>0</v>
      </c>
      <c r="DG1335">
        <v>0</v>
      </c>
      <c r="DH1335">
        <v>0</v>
      </c>
      <c r="DI1335">
        <v>0</v>
      </c>
    </row>
    <row r="1336" spans="1:113" x14ac:dyDescent="0.3">
      <c r="A1336" t="str">
        <f>"02/13/2022 18:43:31.466"</f>
        <v>02/13/2022 18:43:31.466</v>
      </c>
      <c r="C1336" t="str">
        <f t="shared" si="128"/>
        <v>FFDFD7C0</v>
      </c>
      <c r="D1336" t="s">
        <v>121</v>
      </c>
      <c r="E1336">
        <v>2</v>
      </c>
      <c r="H1336">
        <v>158</v>
      </c>
      <c r="I1336" t="s">
        <v>120</v>
      </c>
      <c r="J1336" t="s">
        <v>122</v>
      </c>
      <c r="K1336">
        <v>0</v>
      </c>
      <c r="L1336">
        <v>3</v>
      </c>
      <c r="M1336">
        <v>0</v>
      </c>
      <c r="N1336">
        <v>2</v>
      </c>
      <c r="O1336">
        <v>1</v>
      </c>
      <c r="P1336">
        <v>0</v>
      </c>
      <c r="Q1336">
        <v>0</v>
      </c>
      <c r="S1336" t="str">
        <f>"18:43:31.250"</f>
        <v>18:43:31.250</v>
      </c>
      <c r="T1336" t="str">
        <f>"18:43:30.450"</f>
        <v>18:43:30.450</v>
      </c>
      <c r="U1336" t="str">
        <f t="shared" si="127"/>
        <v>AAB6EE</v>
      </c>
      <c r="V1336">
        <v>0</v>
      </c>
      <c r="W1336">
        <v>0</v>
      </c>
      <c r="X1336">
        <v>4</v>
      </c>
      <c r="Z1336">
        <v>0</v>
      </c>
      <c r="AA1336">
        <v>8</v>
      </c>
      <c r="AB1336">
        <v>3</v>
      </c>
      <c r="AC1336">
        <v>0</v>
      </c>
      <c r="AD1336">
        <v>10</v>
      </c>
      <c r="AE1336">
        <v>0</v>
      </c>
      <c r="AF1336">
        <v>0</v>
      </c>
      <c r="AG1336">
        <v>1</v>
      </c>
      <c r="AH1336">
        <v>1</v>
      </c>
      <c r="AI1336" t="s">
        <v>1008</v>
      </c>
      <c r="AJ1336">
        <v>35.194788000000003</v>
      </c>
      <c r="AK1336" t="s">
        <v>1012</v>
      </c>
      <c r="AL1336">
        <v>-76.233379999999997</v>
      </c>
      <c r="AM1336">
        <v>25</v>
      </c>
      <c r="AN1336">
        <v>3225</v>
      </c>
      <c r="AO1336" t="s">
        <v>118</v>
      </c>
      <c r="AP1336">
        <v>251</v>
      </c>
      <c r="AQ1336">
        <v>-2</v>
      </c>
      <c r="AR1336">
        <v>-448</v>
      </c>
      <c r="AZ1336">
        <v>4516</v>
      </c>
      <c r="BA1336">
        <v>1</v>
      </c>
      <c r="BB1336" t="str">
        <f t="shared" si="129"/>
        <v xml:space="preserve">N79NX   </v>
      </c>
      <c r="BC1336">
        <v>1</v>
      </c>
      <c r="BE1336">
        <v>0</v>
      </c>
      <c r="BF1336">
        <v>0</v>
      </c>
      <c r="BG1336">
        <v>0</v>
      </c>
      <c r="BH1336">
        <v>3075</v>
      </c>
      <c r="BI1336">
        <v>0</v>
      </c>
      <c r="BJ1336">
        <v>0</v>
      </c>
      <c r="BK1336">
        <v>0</v>
      </c>
      <c r="BL1336">
        <v>0</v>
      </c>
      <c r="BO1336">
        <v>0</v>
      </c>
      <c r="BP1336">
        <v>0</v>
      </c>
      <c r="BW1336" t="str">
        <f>"18:43:31.252"</f>
        <v>18:43:31.252</v>
      </c>
      <c r="BZ1336">
        <v>0</v>
      </c>
      <c r="CA1336">
        <v>3008</v>
      </c>
      <c r="CB1336">
        <v>216</v>
      </c>
      <c r="CC1336">
        <v>428.90629999999999</v>
      </c>
      <c r="CD1336">
        <v>1</v>
      </c>
      <c r="CE1336">
        <v>1</v>
      </c>
      <c r="CF1336">
        <v>0</v>
      </c>
      <c r="CG1336">
        <v>0</v>
      </c>
      <c r="CH1336">
        <v>0</v>
      </c>
      <c r="CI1336">
        <v>0</v>
      </c>
      <c r="CJ1336">
        <v>0</v>
      </c>
      <c r="CK1336">
        <v>2</v>
      </c>
      <c r="CL1336">
        <v>0</v>
      </c>
      <c r="CM1336">
        <v>2</v>
      </c>
      <c r="CN1336">
        <v>0</v>
      </c>
      <c r="CO1336">
        <v>2</v>
      </c>
      <c r="CP1336" t="s">
        <v>119</v>
      </c>
      <c r="CQ1336">
        <v>145</v>
      </c>
      <c r="CR1336">
        <v>1</v>
      </c>
      <c r="CW1336">
        <v>9073695</v>
      </c>
      <c r="CY1336">
        <v>0</v>
      </c>
      <c r="CZ1336">
        <v>0</v>
      </c>
      <c r="DA1336">
        <v>0</v>
      </c>
      <c r="DB1336">
        <v>0</v>
      </c>
      <c r="DC1336">
        <v>0</v>
      </c>
      <c r="DD1336">
        <v>0</v>
      </c>
      <c r="DE1336">
        <v>0</v>
      </c>
      <c r="DF1336">
        <v>0</v>
      </c>
      <c r="DG1336">
        <v>0</v>
      </c>
      <c r="DH1336">
        <v>0</v>
      </c>
      <c r="DI1336">
        <v>0</v>
      </c>
    </row>
    <row r="1337" spans="1:113" x14ac:dyDescent="0.3">
      <c r="A1337" t="str">
        <f>"02/13/2022 18:43:31.466"</f>
        <v>02/13/2022 18:43:31.466</v>
      </c>
      <c r="C1337" t="str">
        <f t="shared" si="128"/>
        <v>FFDFD7C0</v>
      </c>
      <c r="D1337" t="s">
        <v>113</v>
      </c>
      <c r="E1337">
        <v>3</v>
      </c>
      <c r="F1337">
        <v>1003</v>
      </c>
      <c r="G1337" t="s">
        <v>114</v>
      </c>
      <c r="J1337" t="s">
        <v>115</v>
      </c>
      <c r="K1337">
        <v>0</v>
      </c>
      <c r="L1337">
        <v>3</v>
      </c>
      <c r="M1337">
        <v>0</v>
      </c>
      <c r="N1337">
        <v>2</v>
      </c>
      <c r="O1337">
        <v>1</v>
      </c>
      <c r="P1337">
        <v>0</v>
      </c>
      <c r="Q1337">
        <v>0</v>
      </c>
      <c r="S1337" t="str">
        <f>"18:43:31.250"</f>
        <v>18:43:31.250</v>
      </c>
      <c r="T1337" t="str">
        <f>"18:43:30.450"</f>
        <v>18:43:30.450</v>
      </c>
      <c r="U1337" t="str">
        <f t="shared" si="127"/>
        <v>AAB6EE</v>
      </c>
      <c r="V1337">
        <v>0</v>
      </c>
      <c r="W1337">
        <v>0</v>
      </c>
      <c r="X1337">
        <v>4</v>
      </c>
      <c r="Z1337">
        <v>0</v>
      </c>
      <c r="AA1337">
        <v>8</v>
      </c>
      <c r="AB1337">
        <v>3</v>
      </c>
      <c r="AC1337">
        <v>0</v>
      </c>
      <c r="AD1337">
        <v>10</v>
      </c>
      <c r="AE1337">
        <v>0</v>
      </c>
      <c r="AF1337">
        <v>0</v>
      </c>
      <c r="AG1337">
        <v>1</v>
      </c>
      <c r="AH1337">
        <v>1</v>
      </c>
      <c r="AI1337" t="s">
        <v>1008</v>
      </c>
      <c r="AJ1337">
        <v>35.194788000000003</v>
      </c>
      <c r="AK1337" t="s">
        <v>1012</v>
      </c>
      <c r="AL1337">
        <v>-76.233379999999997</v>
      </c>
      <c r="AM1337">
        <v>25</v>
      </c>
      <c r="AN1337">
        <v>3225</v>
      </c>
      <c r="AO1337" t="s">
        <v>118</v>
      </c>
      <c r="AP1337">
        <v>251</v>
      </c>
      <c r="AQ1337">
        <v>-2</v>
      </c>
      <c r="AR1337">
        <v>-448</v>
      </c>
      <c r="AZ1337">
        <v>4516</v>
      </c>
      <c r="BA1337">
        <v>1</v>
      </c>
      <c r="BB1337" t="str">
        <f t="shared" si="129"/>
        <v xml:space="preserve">N79NX   </v>
      </c>
      <c r="BC1337">
        <v>1</v>
      </c>
      <c r="BE1337">
        <v>0</v>
      </c>
      <c r="BF1337">
        <v>0</v>
      </c>
      <c r="BG1337">
        <v>0</v>
      </c>
      <c r="BH1337">
        <v>3075</v>
      </c>
      <c r="BI1337">
        <v>0</v>
      </c>
      <c r="BJ1337">
        <v>0</v>
      </c>
      <c r="BK1337">
        <v>0</v>
      </c>
      <c r="BL1337">
        <v>0</v>
      </c>
      <c r="BO1337">
        <v>0</v>
      </c>
      <c r="BP1337">
        <v>0</v>
      </c>
      <c r="BW1337" t="str">
        <f>"18:43:31.252"</f>
        <v>18:43:31.252</v>
      </c>
      <c r="BZ1337">
        <v>0</v>
      </c>
      <c r="CA1337">
        <v>3008</v>
      </c>
      <c r="CB1337">
        <v>216</v>
      </c>
      <c r="CC1337">
        <v>428.90629999999999</v>
      </c>
      <c r="CD1337">
        <v>1</v>
      </c>
      <c r="CE1337">
        <v>1</v>
      </c>
      <c r="CF1337">
        <v>0</v>
      </c>
      <c r="CG1337">
        <v>0</v>
      </c>
      <c r="CH1337">
        <v>0</v>
      </c>
      <c r="CI1337">
        <v>0</v>
      </c>
      <c r="CJ1337">
        <v>0</v>
      </c>
      <c r="CK1337">
        <v>2</v>
      </c>
      <c r="CL1337">
        <v>0</v>
      </c>
      <c r="CM1337">
        <v>2</v>
      </c>
      <c r="CN1337">
        <v>0</v>
      </c>
      <c r="CO1337">
        <v>2</v>
      </c>
      <c r="CP1337" t="s">
        <v>119</v>
      </c>
      <c r="CQ1337">
        <v>145</v>
      </c>
      <c r="CR1337">
        <v>1</v>
      </c>
      <c r="CW1337">
        <v>9073695</v>
      </c>
      <c r="CY1337">
        <v>0</v>
      </c>
      <c r="CZ1337">
        <v>0</v>
      </c>
      <c r="DA1337">
        <v>1</v>
      </c>
      <c r="DB1337">
        <v>0</v>
      </c>
      <c r="DC1337">
        <v>0</v>
      </c>
      <c r="DD1337">
        <v>0</v>
      </c>
      <c r="DE1337">
        <v>0</v>
      </c>
      <c r="DF1337">
        <v>0</v>
      </c>
      <c r="DG1337">
        <v>0</v>
      </c>
      <c r="DH1337">
        <v>0</v>
      </c>
      <c r="DI1337">
        <v>0</v>
      </c>
    </row>
    <row r="1338" spans="1:113" x14ac:dyDescent="0.3">
      <c r="A1338" t="str">
        <f>"02/13/2022 18:43:31.466"</f>
        <v>02/13/2022 18:43:31.466</v>
      </c>
      <c r="C1338" t="str">
        <f t="shared" si="128"/>
        <v>FFDFD7C0</v>
      </c>
      <c r="D1338" t="s">
        <v>113</v>
      </c>
      <c r="E1338">
        <v>4</v>
      </c>
      <c r="F1338">
        <v>1004</v>
      </c>
      <c r="G1338" t="s">
        <v>120</v>
      </c>
      <c r="J1338" t="s">
        <v>115</v>
      </c>
      <c r="K1338">
        <v>0</v>
      </c>
      <c r="L1338">
        <v>3</v>
      </c>
      <c r="M1338">
        <v>0</v>
      </c>
      <c r="N1338">
        <v>2</v>
      </c>
      <c r="O1338">
        <v>1</v>
      </c>
      <c r="P1338">
        <v>0</v>
      </c>
      <c r="Q1338">
        <v>0</v>
      </c>
      <c r="S1338" t="str">
        <f>"18:43:31.250"</f>
        <v>18:43:31.250</v>
      </c>
      <c r="T1338" t="str">
        <f>"18:43:30.450"</f>
        <v>18:43:30.450</v>
      </c>
      <c r="U1338" t="str">
        <f t="shared" si="127"/>
        <v>AAB6EE</v>
      </c>
      <c r="V1338">
        <v>0</v>
      </c>
      <c r="W1338">
        <v>0</v>
      </c>
      <c r="X1338">
        <v>4</v>
      </c>
      <c r="Z1338">
        <v>0</v>
      </c>
      <c r="AA1338">
        <v>8</v>
      </c>
      <c r="AB1338">
        <v>3</v>
      </c>
      <c r="AC1338">
        <v>0</v>
      </c>
      <c r="AD1338">
        <v>10</v>
      </c>
      <c r="AE1338">
        <v>0</v>
      </c>
      <c r="AF1338">
        <v>0</v>
      </c>
      <c r="AG1338">
        <v>1</v>
      </c>
      <c r="AH1338">
        <v>1</v>
      </c>
      <c r="AI1338" t="s">
        <v>1008</v>
      </c>
      <c r="AJ1338">
        <v>35.194788000000003</v>
      </c>
      <c r="AK1338" t="s">
        <v>1012</v>
      </c>
      <c r="AL1338">
        <v>-76.233379999999997</v>
      </c>
      <c r="AM1338">
        <v>25</v>
      </c>
      <c r="AN1338">
        <v>3225</v>
      </c>
      <c r="AO1338" t="s">
        <v>118</v>
      </c>
      <c r="AP1338">
        <v>251</v>
      </c>
      <c r="AQ1338">
        <v>-2</v>
      </c>
      <c r="AR1338">
        <v>-448</v>
      </c>
      <c r="AZ1338">
        <v>4516</v>
      </c>
      <c r="BA1338">
        <v>1</v>
      </c>
      <c r="BB1338" t="str">
        <f t="shared" si="129"/>
        <v xml:space="preserve">N79NX   </v>
      </c>
      <c r="BC1338">
        <v>1</v>
      </c>
      <c r="BE1338">
        <v>0</v>
      </c>
      <c r="BF1338">
        <v>0</v>
      </c>
      <c r="BG1338">
        <v>0</v>
      </c>
      <c r="BH1338">
        <v>3075</v>
      </c>
      <c r="BI1338">
        <v>0</v>
      </c>
      <c r="BJ1338">
        <v>0</v>
      </c>
      <c r="BK1338">
        <v>0</v>
      </c>
      <c r="BL1338">
        <v>0</v>
      </c>
      <c r="BO1338">
        <v>0</v>
      </c>
      <c r="BP1338">
        <v>0</v>
      </c>
      <c r="BW1338" t="str">
        <f>"18:43:31.252"</f>
        <v>18:43:31.252</v>
      </c>
      <c r="BZ1338">
        <v>0</v>
      </c>
      <c r="CA1338">
        <v>3008</v>
      </c>
      <c r="CB1338">
        <v>216</v>
      </c>
      <c r="CC1338">
        <v>428.90629999999999</v>
      </c>
      <c r="CD1338">
        <v>1</v>
      </c>
      <c r="CE1338">
        <v>1</v>
      </c>
      <c r="CF1338">
        <v>0</v>
      </c>
      <c r="CG1338">
        <v>0</v>
      </c>
      <c r="CH1338">
        <v>0</v>
      </c>
      <c r="CI1338">
        <v>0</v>
      </c>
      <c r="CJ1338">
        <v>0</v>
      </c>
      <c r="CK1338">
        <v>2</v>
      </c>
      <c r="CL1338">
        <v>0</v>
      </c>
      <c r="CM1338">
        <v>2</v>
      </c>
      <c r="CN1338">
        <v>0</v>
      </c>
      <c r="CO1338">
        <v>2</v>
      </c>
      <c r="CP1338" t="s">
        <v>119</v>
      </c>
      <c r="CQ1338">
        <v>145</v>
      </c>
      <c r="CR1338">
        <v>1</v>
      </c>
      <c r="CW1338">
        <v>9073695</v>
      </c>
      <c r="CY1338">
        <v>0</v>
      </c>
      <c r="CZ1338">
        <v>0</v>
      </c>
      <c r="DA1338">
        <v>1</v>
      </c>
      <c r="DB1338">
        <v>0</v>
      </c>
      <c r="DC1338">
        <v>0</v>
      </c>
      <c r="DD1338">
        <v>0</v>
      </c>
      <c r="DE1338">
        <v>0</v>
      </c>
      <c r="DF1338">
        <v>0</v>
      </c>
      <c r="DG1338">
        <v>0</v>
      </c>
      <c r="DH1338">
        <v>0</v>
      </c>
      <c r="DI1338">
        <v>0</v>
      </c>
    </row>
    <row r="1339" spans="1:113" x14ac:dyDescent="0.3">
      <c r="A1339" t="str">
        <f>"02/13/2022 18:43:32.591"</f>
        <v>02/13/2022 18:43:32.591</v>
      </c>
      <c r="C1339" t="str">
        <f t="shared" si="128"/>
        <v>FFDFD7C0</v>
      </c>
      <c r="D1339" t="s">
        <v>113</v>
      </c>
      <c r="E1339">
        <v>3</v>
      </c>
      <c r="F1339">
        <v>1003</v>
      </c>
      <c r="G1339" t="s">
        <v>114</v>
      </c>
      <c r="J1339" t="s">
        <v>115</v>
      </c>
      <c r="K1339">
        <v>0</v>
      </c>
      <c r="L1339">
        <v>3</v>
      </c>
      <c r="M1339">
        <v>0</v>
      </c>
      <c r="N1339">
        <v>2</v>
      </c>
      <c r="O1339">
        <v>1</v>
      </c>
      <c r="P1339">
        <v>0</v>
      </c>
      <c r="Q1339">
        <v>0</v>
      </c>
      <c r="S1339" t="str">
        <f>"18:43:32.375"</f>
        <v>18:43:32.375</v>
      </c>
      <c r="T1339" t="str">
        <f>"18:43:31.575"</f>
        <v>18:43:31.575</v>
      </c>
      <c r="U1339" t="str">
        <f t="shared" si="127"/>
        <v>AAB6EE</v>
      </c>
      <c r="V1339">
        <v>0</v>
      </c>
      <c r="W1339">
        <v>0</v>
      </c>
      <c r="X1339">
        <v>4</v>
      </c>
      <c r="Z1339">
        <v>0</v>
      </c>
      <c r="AA1339">
        <v>8</v>
      </c>
      <c r="AB1339">
        <v>3</v>
      </c>
      <c r="AC1339">
        <v>0</v>
      </c>
      <c r="AD1339">
        <v>10</v>
      </c>
      <c r="AE1339">
        <v>0</v>
      </c>
      <c r="AF1339">
        <v>0</v>
      </c>
      <c r="AG1339">
        <v>1</v>
      </c>
      <c r="AH1339">
        <v>1</v>
      </c>
      <c r="AI1339" t="s">
        <v>1013</v>
      </c>
      <c r="AJ1339">
        <v>35.194831000000001</v>
      </c>
      <c r="AK1339" t="s">
        <v>1014</v>
      </c>
      <c r="AL1339">
        <v>-76.231835000000004</v>
      </c>
      <c r="AM1339">
        <v>25</v>
      </c>
      <c r="AN1339">
        <v>3200</v>
      </c>
      <c r="AO1339" t="s">
        <v>118</v>
      </c>
      <c r="AP1339">
        <v>252</v>
      </c>
      <c r="AQ1339">
        <v>9</v>
      </c>
      <c r="AR1339">
        <v>-512</v>
      </c>
      <c r="AZ1339">
        <v>4516</v>
      </c>
      <c r="BA1339">
        <v>1</v>
      </c>
      <c r="BB1339" t="str">
        <f t="shared" si="129"/>
        <v xml:space="preserve">N79NX   </v>
      </c>
      <c r="BC1339">
        <v>1</v>
      </c>
      <c r="BE1339">
        <v>0</v>
      </c>
      <c r="BF1339">
        <v>0</v>
      </c>
      <c r="BG1339">
        <v>0</v>
      </c>
      <c r="BH1339">
        <v>3075</v>
      </c>
      <c r="BI1339">
        <v>0</v>
      </c>
      <c r="BJ1339">
        <v>0</v>
      </c>
      <c r="BK1339">
        <v>0</v>
      </c>
      <c r="BL1339">
        <v>0</v>
      </c>
      <c r="BO1339">
        <v>0</v>
      </c>
      <c r="BP1339">
        <v>0</v>
      </c>
      <c r="BW1339" t="str">
        <f>"18:43:32.382"</f>
        <v>18:43:32.382</v>
      </c>
      <c r="BZ1339">
        <v>0</v>
      </c>
      <c r="CA1339">
        <v>3008</v>
      </c>
      <c r="CB1339">
        <v>216</v>
      </c>
      <c r="CC1339">
        <v>428.90629999999999</v>
      </c>
      <c r="CD1339">
        <v>1</v>
      </c>
      <c r="CE1339">
        <v>1</v>
      </c>
      <c r="CF1339">
        <v>0</v>
      </c>
      <c r="CG1339">
        <v>0</v>
      </c>
      <c r="CH1339">
        <v>0</v>
      </c>
      <c r="CI1339">
        <v>0</v>
      </c>
      <c r="CJ1339">
        <v>0</v>
      </c>
      <c r="CK1339">
        <v>2</v>
      </c>
      <c r="CL1339">
        <v>0</v>
      </c>
      <c r="CM1339">
        <v>2</v>
      </c>
      <c r="CN1339">
        <v>0</v>
      </c>
      <c r="CO1339">
        <v>2</v>
      </c>
      <c r="CP1339" t="s">
        <v>119</v>
      </c>
      <c r="CQ1339">
        <v>145</v>
      </c>
      <c r="CR1339">
        <v>1</v>
      </c>
      <c r="CW1339">
        <v>9074214</v>
      </c>
      <c r="CY1339">
        <v>0</v>
      </c>
      <c r="CZ1339">
        <v>0</v>
      </c>
      <c r="DA1339">
        <v>0</v>
      </c>
      <c r="DB1339">
        <v>0</v>
      </c>
      <c r="DC1339">
        <v>0</v>
      </c>
      <c r="DD1339">
        <v>0</v>
      </c>
      <c r="DE1339">
        <v>0</v>
      </c>
      <c r="DF1339">
        <v>0</v>
      </c>
      <c r="DG1339">
        <v>0</v>
      </c>
      <c r="DH1339">
        <v>0</v>
      </c>
      <c r="DI1339">
        <v>0</v>
      </c>
    </row>
    <row r="1340" spans="1:113" x14ac:dyDescent="0.3">
      <c r="A1340" t="str">
        <f>"02/13/2022 18:43:32.591"</f>
        <v>02/13/2022 18:43:32.591</v>
      </c>
      <c r="C1340" t="str">
        <f t="shared" si="128"/>
        <v>FFDFD7C0</v>
      </c>
      <c r="D1340" t="s">
        <v>113</v>
      </c>
      <c r="E1340">
        <v>4</v>
      </c>
      <c r="F1340">
        <v>1004</v>
      </c>
      <c r="G1340" t="s">
        <v>120</v>
      </c>
      <c r="J1340" t="s">
        <v>115</v>
      </c>
      <c r="K1340">
        <v>0</v>
      </c>
      <c r="L1340">
        <v>3</v>
      </c>
      <c r="M1340">
        <v>0</v>
      </c>
      <c r="N1340">
        <v>2</v>
      </c>
      <c r="O1340">
        <v>1</v>
      </c>
      <c r="P1340">
        <v>0</v>
      </c>
      <c r="Q1340">
        <v>0</v>
      </c>
      <c r="S1340" t="str">
        <f>"18:43:32.375"</f>
        <v>18:43:32.375</v>
      </c>
      <c r="T1340" t="str">
        <f>"18:43:31.575"</f>
        <v>18:43:31.575</v>
      </c>
      <c r="U1340" t="str">
        <f t="shared" si="127"/>
        <v>AAB6EE</v>
      </c>
      <c r="V1340">
        <v>0</v>
      </c>
      <c r="W1340">
        <v>0</v>
      </c>
      <c r="X1340">
        <v>4</v>
      </c>
      <c r="Z1340">
        <v>0</v>
      </c>
      <c r="AA1340">
        <v>8</v>
      </c>
      <c r="AB1340">
        <v>3</v>
      </c>
      <c r="AC1340">
        <v>0</v>
      </c>
      <c r="AD1340">
        <v>10</v>
      </c>
      <c r="AE1340">
        <v>0</v>
      </c>
      <c r="AF1340">
        <v>0</v>
      </c>
      <c r="AG1340">
        <v>1</v>
      </c>
      <c r="AH1340">
        <v>1</v>
      </c>
      <c r="AI1340" t="s">
        <v>1013</v>
      </c>
      <c r="AJ1340">
        <v>35.194831000000001</v>
      </c>
      <c r="AK1340" t="s">
        <v>1014</v>
      </c>
      <c r="AL1340">
        <v>-76.231835000000004</v>
      </c>
      <c r="AM1340">
        <v>25</v>
      </c>
      <c r="AN1340">
        <v>3200</v>
      </c>
      <c r="AO1340" t="s">
        <v>118</v>
      </c>
      <c r="AP1340">
        <v>252</v>
      </c>
      <c r="AQ1340">
        <v>9</v>
      </c>
      <c r="AR1340">
        <v>-512</v>
      </c>
      <c r="AZ1340">
        <v>4516</v>
      </c>
      <c r="BA1340">
        <v>1</v>
      </c>
      <c r="BB1340" t="str">
        <f t="shared" si="129"/>
        <v xml:space="preserve">N79NX   </v>
      </c>
      <c r="BC1340">
        <v>1</v>
      </c>
      <c r="BE1340">
        <v>0</v>
      </c>
      <c r="BF1340">
        <v>0</v>
      </c>
      <c r="BG1340">
        <v>0</v>
      </c>
      <c r="BH1340">
        <v>3075</v>
      </c>
      <c r="BI1340">
        <v>0</v>
      </c>
      <c r="BJ1340">
        <v>0</v>
      </c>
      <c r="BK1340">
        <v>0</v>
      </c>
      <c r="BL1340">
        <v>0</v>
      </c>
      <c r="BO1340">
        <v>0</v>
      </c>
      <c r="BP1340">
        <v>0</v>
      </c>
      <c r="BW1340" t="str">
        <f>"18:43:32.382"</f>
        <v>18:43:32.382</v>
      </c>
      <c r="BZ1340">
        <v>0</v>
      </c>
      <c r="CA1340">
        <v>3008</v>
      </c>
      <c r="CB1340">
        <v>216</v>
      </c>
      <c r="CC1340">
        <v>428.90629999999999</v>
      </c>
      <c r="CD1340">
        <v>1</v>
      </c>
      <c r="CE1340">
        <v>1</v>
      </c>
      <c r="CF1340">
        <v>0</v>
      </c>
      <c r="CG1340">
        <v>0</v>
      </c>
      <c r="CH1340">
        <v>0</v>
      </c>
      <c r="CI1340">
        <v>0</v>
      </c>
      <c r="CJ1340">
        <v>0</v>
      </c>
      <c r="CK1340">
        <v>2</v>
      </c>
      <c r="CL1340">
        <v>0</v>
      </c>
      <c r="CM1340">
        <v>2</v>
      </c>
      <c r="CN1340">
        <v>0</v>
      </c>
      <c r="CO1340">
        <v>2</v>
      </c>
      <c r="CP1340" t="s">
        <v>119</v>
      </c>
      <c r="CQ1340">
        <v>145</v>
      </c>
      <c r="CR1340">
        <v>1</v>
      </c>
      <c r="CW1340">
        <v>9074214</v>
      </c>
      <c r="CY1340">
        <v>0</v>
      </c>
      <c r="CZ1340">
        <v>0</v>
      </c>
      <c r="DA1340">
        <v>1</v>
      </c>
      <c r="DB1340">
        <v>0</v>
      </c>
      <c r="DC1340">
        <v>0</v>
      </c>
      <c r="DD1340">
        <v>0</v>
      </c>
      <c r="DE1340">
        <v>0</v>
      </c>
      <c r="DF1340">
        <v>0</v>
      </c>
      <c r="DG1340">
        <v>0</v>
      </c>
      <c r="DH1340">
        <v>0</v>
      </c>
      <c r="DI1340">
        <v>0</v>
      </c>
    </row>
    <row r="1341" spans="1:113" x14ac:dyDescent="0.3">
      <c r="A1341" t="str">
        <f>"02/13/2022 18:43:32.653"</f>
        <v>02/13/2022 18:43:32.653</v>
      </c>
      <c r="C1341" t="str">
        <f t="shared" si="128"/>
        <v>FFDFD7C0</v>
      </c>
      <c r="D1341" t="s">
        <v>121</v>
      </c>
      <c r="E1341">
        <v>2</v>
      </c>
      <c r="H1341">
        <v>158</v>
      </c>
      <c r="I1341" t="s">
        <v>120</v>
      </c>
      <c r="J1341" t="s">
        <v>122</v>
      </c>
      <c r="K1341">
        <v>0</v>
      </c>
      <c r="L1341">
        <v>3</v>
      </c>
      <c r="M1341">
        <v>0</v>
      </c>
      <c r="N1341">
        <v>2</v>
      </c>
      <c r="O1341">
        <v>1</v>
      </c>
      <c r="P1341">
        <v>0</v>
      </c>
      <c r="Q1341">
        <v>0</v>
      </c>
      <c r="S1341" t="str">
        <f>"18:43:32.375"</f>
        <v>18:43:32.375</v>
      </c>
      <c r="T1341" t="str">
        <f>"18:43:31.575"</f>
        <v>18:43:31.575</v>
      </c>
      <c r="U1341" t="str">
        <f t="shared" si="127"/>
        <v>AAB6EE</v>
      </c>
      <c r="V1341">
        <v>0</v>
      </c>
      <c r="W1341">
        <v>0</v>
      </c>
      <c r="X1341">
        <v>4</v>
      </c>
      <c r="Z1341">
        <v>0</v>
      </c>
      <c r="AA1341">
        <v>8</v>
      </c>
      <c r="AB1341">
        <v>3</v>
      </c>
      <c r="AC1341">
        <v>0</v>
      </c>
      <c r="AD1341">
        <v>10</v>
      </c>
      <c r="AE1341">
        <v>0</v>
      </c>
      <c r="AF1341">
        <v>0</v>
      </c>
      <c r="AG1341">
        <v>1</v>
      </c>
      <c r="AH1341">
        <v>1</v>
      </c>
      <c r="AI1341" t="s">
        <v>1013</v>
      </c>
      <c r="AJ1341">
        <v>35.194831000000001</v>
      </c>
      <c r="AK1341" t="s">
        <v>1014</v>
      </c>
      <c r="AL1341">
        <v>-76.231835000000004</v>
      </c>
      <c r="AM1341">
        <v>25</v>
      </c>
      <c r="AN1341">
        <v>3200</v>
      </c>
      <c r="AO1341" t="s">
        <v>118</v>
      </c>
      <c r="AP1341">
        <v>252</v>
      </c>
      <c r="AQ1341">
        <v>9</v>
      </c>
      <c r="AR1341">
        <v>-512</v>
      </c>
      <c r="AZ1341">
        <v>4516</v>
      </c>
      <c r="BA1341">
        <v>1</v>
      </c>
      <c r="BB1341" t="str">
        <f t="shared" si="129"/>
        <v xml:space="preserve">N79NX   </v>
      </c>
      <c r="BC1341">
        <v>1</v>
      </c>
      <c r="BE1341">
        <v>0</v>
      </c>
      <c r="BF1341">
        <v>0</v>
      </c>
      <c r="BG1341">
        <v>0</v>
      </c>
      <c r="BH1341">
        <v>3075</v>
      </c>
      <c r="BI1341">
        <v>0</v>
      </c>
      <c r="BJ1341">
        <v>0</v>
      </c>
      <c r="BK1341">
        <v>0</v>
      </c>
      <c r="BL1341">
        <v>0</v>
      </c>
      <c r="BO1341">
        <v>0</v>
      </c>
      <c r="BP1341">
        <v>0</v>
      </c>
      <c r="BW1341" t="str">
        <f>"18:43:32.382"</f>
        <v>18:43:32.382</v>
      </c>
      <c r="BZ1341">
        <v>0</v>
      </c>
      <c r="CA1341">
        <v>3008</v>
      </c>
      <c r="CB1341">
        <v>216</v>
      </c>
      <c r="CC1341">
        <v>428.90629999999999</v>
      </c>
      <c r="CD1341">
        <v>1</v>
      </c>
      <c r="CE1341">
        <v>1</v>
      </c>
      <c r="CF1341">
        <v>0</v>
      </c>
      <c r="CG1341">
        <v>0</v>
      </c>
      <c r="CH1341">
        <v>0</v>
      </c>
      <c r="CI1341">
        <v>0</v>
      </c>
      <c r="CJ1341">
        <v>0</v>
      </c>
      <c r="CK1341">
        <v>2</v>
      </c>
      <c r="CL1341">
        <v>0</v>
      </c>
      <c r="CM1341">
        <v>2</v>
      </c>
      <c r="CN1341">
        <v>0</v>
      </c>
      <c r="CO1341">
        <v>2</v>
      </c>
      <c r="CP1341" t="s">
        <v>119</v>
      </c>
      <c r="CQ1341">
        <v>145</v>
      </c>
      <c r="CR1341">
        <v>1</v>
      </c>
      <c r="CW1341">
        <v>9074214</v>
      </c>
      <c r="CY1341">
        <v>0</v>
      </c>
      <c r="CZ1341">
        <v>0</v>
      </c>
      <c r="DA1341">
        <v>1</v>
      </c>
      <c r="DB1341">
        <v>0</v>
      </c>
      <c r="DC1341">
        <v>0</v>
      </c>
      <c r="DD1341">
        <v>0</v>
      </c>
      <c r="DE1341">
        <v>0</v>
      </c>
      <c r="DF1341">
        <v>0</v>
      </c>
      <c r="DG1341">
        <v>0</v>
      </c>
      <c r="DH1341">
        <v>0</v>
      </c>
      <c r="DI1341">
        <v>0</v>
      </c>
    </row>
    <row r="1342" spans="1:113" x14ac:dyDescent="0.3">
      <c r="A1342" t="str">
        <f>"02/13/2022 18:43:33.560"</f>
        <v>02/13/2022 18:43:33.560</v>
      </c>
      <c r="C1342" t="str">
        <f t="shared" si="128"/>
        <v>FFDFD7C0</v>
      </c>
      <c r="D1342" t="s">
        <v>113</v>
      </c>
      <c r="E1342">
        <v>3</v>
      </c>
      <c r="F1342">
        <v>1003</v>
      </c>
      <c r="G1342" t="s">
        <v>114</v>
      </c>
      <c r="J1342" t="s">
        <v>115</v>
      </c>
      <c r="K1342">
        <v>0</v>
      </c>
      <c r="L1342">
        <v>3</v>
      </c>
      <c r="M1342">
        <v>0</v>
      </c>
      <c r="N1342">
        <v>2</v>
      </c>
      <c r="O1342">
        <v>1</v>
      </c>
      <c r="P1342">
        <v>0</v>
      </c>
      <c r="Q1342">
        <v>0</v>
      </c>
      <c r="S1342" t="str">
        <f>"18:43:33.297"</f>
        <v>18:43:33.297</v>
      </c>
      <c r="T1342" t="str">
        <f>"18:43:32.597"</f>
        <v>18:43:32.597</v>
      </c>
      <c r="U1342" t="str">
        <f t="shared" si="127"/>
        <v>AAB6EE</v>
      </c>
      <c r="V1342">
        <v>0</v>
      </c>
      <c r="W1342">
        <v>0</v>
      </c>
      <c r="X1342">
        <v>4</v>
      </c>
      <c r="Z1342">
        <v>0</v>
      </c>
      <c r="AA1342">
        <v>8</v>
      </c>
      <c r="AB1342">
        <v>3</v>
      </c>
      <c r="AC1342">
        <v>0</v>
      </c>
      <c r="AD1342">
        <v>10</v>
      </c>
      <c r="AE1342">
        <v>0</v>
      </c>
      <c r="AF1342">
        <v>0</v>
      </c>
      <c r="AG1342">
        <v>1</v>
      </c>
      <c r="AH1342">
        <v>1</v>
      </c>
      <c r="AI1342" t="s">
        <v>1015</v>
      </c>
      <c r="AJ1342">
        <v>35.194938</v>
      </c>
      <c r="AK1342" t="s">
        <v>1016</v>
      </c>
      <c r="AL1342">
        <v>-76.230525999999998</v>
      </c>
      <c r="AM1342">
        <v>25</v>
      </c>
      <c r="AN1342">
        <v>3200</v>
      </c>
      <c r="AO1342" t="s">
        <v>118</v>
      </c>
      <c r="AP1342">
        <v>252</v>
      </c>
      <c r="AQ1342">
        <v>19</v>
      </c>
      <c r="AR1342">
        <v>-512</v>
      </c>
      <c r="AZ1342">
        <v>4516</v>
      </c>
      <c r="BA1342">
        <v>1</v>
      </c>
      <c r="BB1342" t="str">
        <f t="shared" si="129"/>
        <v xml:space="preserve">N79NX   </v>
      </c>
      <c r="BC1342">
        <v>1</v>
      </c>
      <c r="BE1342">
        <v>0</v>
      </c>
      <c r="BF1342">
        <v>0</v>
      </c>
      <c r="BG1342">
        <v>0</v>
      </c>
      <c r="BH1342">
        <v>3050</v>
      </c>
      <c r="BI1342">
        <v>0</v>
      </c>
      <c r="BJ1342">
        <v>0</v>
      </c>
      <c r="BK1342">
        <v>0</v>
      </c>
      <c r="BL1342">
        <v>0</v>
      </c>
      <c r="BO1342">
        <v>0</v>
      </c>
      <c r="BP1342">
        <v>0</v>
      </c>
      <c r="BW1342" t="str">
        <f>"18:43:33.302"</f>
        <v>18:43:33.302</v>
      </c>
      <c r="BZ1342">
        <v>0</v>
      </c>
      <c r="CA1342">
        <v>3008</v>
      </c>
      <c r="CB1342">
        <v>216</v>
      </c>
      <c r="CC1342">
        <v>428.90629999999999</v>
      </c>
      <c r="CD1342">
        <v>1</v>
      </c>
      <c r="CE1342">
        <v>1</v>
      </c>
      <c r="CF1342">
        <v>0</v>
      </c>
      <c r="CG1342">
        <v>0</v>
      </c>
      <c r="CH1342">
        <v>0</v>
      </c>
      <c r="CI1342">
        <v>0</v>
      </c>
      <c r="CJ1342">
        <v>0</v>
      </c>
      <c r="CK1342">
        <v>2</v>
      </c>
      <c r="CL1342">
        <v>0</v>
      </c>
      <c r="CM1342">
        <v>2</v>
      </c>
      <c r="CN1342">
        <v>0</v>
      </c>
      <c r="CO1342">
        <v>2</v>
      </c>
      <c r="CP1342" t="s">
        <v>119</v>
      </c>
      <c r="CQ1342">
        <v>145</v>
      </c>
      <c r="CR1342">
        <v>1</v>
      </c>
      <c r="CW1342">
        <v>9074648</v>
      </c>
      <c r="CY1342">
        <v>0</v>
      </c>
      <c r="CZ1342">
        <v>0</v>
      </c>
      <c r="DA1342">
        <v>0</v>
      </c>
      <c r="DB1342">
        <v>0</v>
      </c>
      <c r="DC1342">
        <v>0</v>
      </c>
      <c r="DD1342">
        <v>0</v>
      </c>
      <c r="DE1342">
        <v>0</v>
      </c>
      <c r="DF1342">
        <v>0</v>
      </c>
      <c r="DG1342">
        <v>0</v>
      </c>
      <c r="DH1342">
        <v>0</v>
      </c>
      <c r="DI1342">
        <v>0</v>
      </c>
    </row>
    <row r="1343" spans="1:113" x14ac:dyDescent="0.3">
      <c r="A1343" t="str">
        <f>"02/13/2022 18:43:33.560"</f>
        <v>02/13/2022 18:43:33.560</v>
      </c>
      <c r="C1343" t="str">
        <f t="shared" si="128"/>
        <v>FFDFD7C0</v>
      </c>
      <c r="D1343" t="s">
        <v>121</v>
      </c>
      <c r="E1343">
        <v>2</v>
      </c>
      <c r="H1343">
        <v>158</v>
      </c>
      <c r="I1343" t="s">
        <v>120</v>
      </c>
      <c r="J1343" t="s">
        <v>122</v>
      </c>
      <c r="K1343">
        <v>0</v>
      </c>
      <c r="L1343">
        <v>3</v>
      </c>
      <c r="M1343">
        <v>0</v>
      </c>
      <c r="N1343">
        <v>2</v>
      </c>
      <c r="O1343">
        <v>1</v>
      </c>
      <c r="P1343">
        <v>0</v>
      </c>
      <c r="Q1343">
        <v>0</v>
      </c>
      <c r="S1343" t="str">
        <f>"18:43:33.297"</f>
        <v>18:43:33.297</v>
      </c>
      <c r="T1343" t="str">
        <f>"18:43:32.597"</f>
        <v>18:43:32.597</v>
      </c>
      <c r="U1343" t="str">
        <f t="shared" si="127"/>
        <v>AAB6EE</v>
      </c>
      <c r="V1343">
        <v>0</v>
      </c>
      <c r="W1343">
        <v>0</v>
      </c>
      <c r="X1343">
        <v>4</v>
      </c>
      <c r="Z1343">
        <v>0</v>
      </c>
      <c r="AA1343">
        <v>8</v>
      </c>
      <c r="AB1343">
        <v>3</v>
      </c>
      <c r="AC1343">
        <v>0</v>
      </c>
      <c r="AD1343">
        <v>10</v>
      </c>
      <c r="AE1343">
        <v>0</v>
      </c>
      <c r="AF1343">
        <v>0</v>
      </c>
      <c r="AG1343">
        <v>1</v>
      </c>
      <c r="AH1343">
        <v>1</v>
      </c>
      <c r="AI1343" t="s">
        <v>1015</v>
      </c>
      <c r="AJ1343">
        <v>35.194938</v>
      </c>
      <c r="AK1343" t="s">
        <v>1016</v>
      </c>
      <c r="AL1343">
        <v>-76.230525999999998</v>
      </c>
      <c r="AM1343">
        <v>25</v>
      </c>
      <c r="AN1343">
        <v>3200</v>
      </c>
      <c r="AO1343" t="s">
        <v>118</v>
      </c>
      <c r="AP1343">
        <v>252</v>
      </c>
      <c r="AQ1343">
        <v>19</v>
      </c>
      <c r="AR1343">
        <v>-512</v>
      </c>
      <c r="AZ1343">
        <v>4516</v>
      </c>
      <c r="BA1343">
        <v>1</v>
      </c>
      <c r="BB1343" t="str">
        <f t="shared" si="129"/>
        <v xml:space="preserve">N79NX   </v>
      </c>
      <c r="BC1343">
        <v>1</v>
      </c>
      <c r="BE1343">
        <v>0</v>
      </c>
      <c r="BF1343">
        <v>0</v>
      </c>
      <c r="BG1343">
        <v>0</v>
      </c>
      <c r="BH1343">
        <v>3050</v>
      </c>
      <c r="BI1343">
        <v>0</v>
      </c>
      <c r="BJ1343">
        <v>0</v>
      </c>
      <c r="BK1343">
        <v>0</v>
      </c>
      <c r="BL1343">
        <v>0</v>
      </c>
      <c r="BO1343">
        <v>0</v>
      </c>
      <c r="BP1343">
        <v>0</v>
      </c>
      <c r="BW1343" t="str">
        <f>"18:43:33.302"</f>
        <v>18:43:33.302</v>
      </c>
      <c r="BZ1343">
        <v>0</v>
      </c>
      <c r="CA1343">
        <v>3008</v>
      </c>
      <c r="CB1343">
        <v>216</v>
      </c>
      <c r="CC1343">
        <v>428.90629999999999</v>
      </c>
      <c r="CD1343">
        <v>1</v>
      </c>
      <c r="CE1343">
        <v>1</v>
      </c>
      <c r="CF1343">
        <v>0</v>
      </c>
      <c r="CG1343">
        <v>0</v>
      </c>
      <c r="CH1343">
        <v>0</v>
      </c>
      <c r="CI1343">
        <v>0</v>
      </c>
      <c r="CJ1343">
        <v>0</v>
      </c>
      <c r="CK1343">
        <v>2</v>
      </c>
      <c r="CL1343">
        <v>0</v>
      </c>
      <c r="CM1343">
        <v>2</v>
      </c>
      <c r="CN1343">
        <v>0</v>
      </c>
      <c r="CO1343">
        <v>2</v>
      </c>
      <c r="CP1343" t="s">
        <v>119</v>
      </c>
      <c r="CQ1343">
        <v>145</v>
      </c>
      <c r="CR1343">
        <v>1</v>
      </c>
      <c r="CW1343">
        <v>9074648</v>
      </c>
      <c r="CY1343">
        <v>0</v>
      </c>
      <c r="CZ1343">
        <v>0</v>
      </c>
      <c r="DA1343">
        <v>1</v>
      </c>
      <c r="DB1343">
        <v>0</v>
      </c>
      <c r="DC1343">
        <v>0</v>
      </c>
      <c r="DD1343">
        <v>0</v>
      </c>
      <c r="DE1343">
        <v>0</v>
      </c>
      <c r="DF1343">
        <v>0</v>
      </c>
      <c r="DG1343">
        <v>0</v>
      </c>
      <c r="DH1343">
        <v>0</v>
      </c>
      <c r="DI1343">
        <v>0</v>
      </c>
    </row>
    <row r="1344" spans="1:113" x14ac:dyDescent="0.3">
      <c r="A1344" t="str">
        <f>"02/13/2022 18:43:33.560"</f>
        <v>02/13/2022 18:43:33.560</v>
      </c>
      <c r="C1344" t="str">
        <f t="shared" si="128"/>
        <v>FFDFD7C0</v>
      </c>
      <c r="D1344" t="s">
        <v>113</v>
      </c>
      <c r="E1344">
        <v>4</v>
      </c>
      <c r="F1344">
        <v>1004</v>
      </c>
      <c r="G1344" t="s">
        <v>120</v>
      </c>
      <c r="J1344" t="s">
        <v>115</v>
      </c>
      <c r="K1344">
        <v>0</v>
      </c>
      <c r="L1344">
        <v>3</v>
      </c>
      <c r="M1344">
        <v>0</v>
      </c>
      <c r="N1344">
        <v>2</v>
      </c>
      <c r="O1344">
        <v>1</v>
      </c>
      <c r="P1344">
        <v>0</v>
      </c>
      <c r="Q1344">
        <v>0</v>
      </c>
      <c r="S1344" t="str">
        <f>"18:43:33.297"</f>
        <v>18:43:33.297</v>
      </c>
      <c r="T1344" t="str">
        <f>"18:43:32.597"</f>
        <v>18:43:32.597</v>
      </c>
      <c r="U1344" t="str">
        <f t="shared" si="127"/>
        <v>AAB6EE</v>
      </c>
      <c r="V1344">
        <v>0</v>
      </c>
      <c r="W1344">
        <v>0</v>
      </c>
      <c r="X1344">
        <v>4</v>
      </c>
      <c r="Z1344">
        <v>0</v>
      </c>
      <c r="AA1344">
        <v>8</v>
      </c>
      <c r="AB1344">
        <v>3</v>
      </c>
      <c r="AC1344">
        <v>0</v>
      </c>
      <c r="AD1344">
        <v>10</v>
      </c>
      <c r="AE1344">
        <v>0</v>
      </c>
      <c r="AF1344">
        <v>0</v>
      </c>
      <c r="AG1344">
        <v>1</v>
      </c>
      <c r="AH1344">
        <v>1</v>
      </c>
      <c r="AI1344" t="s">
        <v>1015</v>
      </c>
      <c r="AJ1344">
        <v>35.194938</v>
      </c>
      <c r="AK1344" t="s">
        <v>1016</v>
      </c>
      <c r="AL1344">
        <v>-76.230525999999998</v>
      </c>
      <c r="AM1344">
        <v>25</v>
      </c>
      <c r="AN1344">
        <v>3200</v>
      </c>
      <c r="AO1344" t="s">
        <v>118</v>
      </c>
      <c r="AP1344">
        <v>252</v>
      </c>
      <c r="AQ1344">
        <v>19</v>
      </c>
      <c r="AR1344">
        <v>-512</v>
      </c>
      <c r="AZ1344">
        <v>4516</v>
      </c>
      <c r="BA1344">
        <v>1</v>
      </c>
      <c r="BB1344" t="str">
        <f t="shared" si="129"/>
        <v xml:space="preserve">N79NX   </v>
      </c>
      <c r="BC1344">
        <v>1</v>
      </c>
      <c r="BE1344">
        <v>0</v>
      </c>
      <c r="BF1344">
        <v>0</v>
      </c>
      <c r="BG1344">
        <v>0</v>
      </c>
      <c r="BH1344">
        <v>3050</v>
      </c>
      <c r="BI1344">
        <v>0</v>
      </c>
      <c r="BJ1344">
        <v>0</v>
      </c>
      <c r="BK1344">
        <v>0</v>
      </c>
      <c r="BL1344">
        <v>0</v>
      </c>
      <c r="BO1344">
        <v>0</v>
      </c>
      <c r="BP1344">
        <v>0</v>
      </c>
      <c r="BW1344" t="str">
        <f>"18:43:33.302"</f>
        <v>18:43:33.302</v>
      </c>
      <c r="BZ1344">
        <v>0</v>
      </c>
      <c r="CA1344">
        <v>3008</v>
      </c>
      <c r="CB1344">
        <v>216</v>
      </c>
      <c r="CC1344">
        <v>428.90629999999999</v>
      </c>
      <c r="CD1344">
        <v>1</v>
      </c>
      <c r="CE1344">
        <v>1</v>
      </c>
      <c r="CF1344">
        <v>0</v>
      </c>
      <c r="CG1344">
        <v>0</v>
      </c>
      <c r="CH1344">
        <v>0</v>
      </c>
      <c r="CI1344">
        <v>0</v>
      </c>
      <c r="CJ1344">
        <v>0</v>
      </c>
      <c r="CK1344">
        <v>2</v>
      </c>
      <c r="CL1344">
        <v>0</v>
      </c>
      <c r="CM1344">
        <v>2</v>
      </c>
      <c r="CN1344">
        <v>0</v>
      </c>
      <c r="CO1344">
        <v>2</v>
      </c>
      <c r="CP1344" t="s">
        <v>119</v>
      </c>
      <c r="CQ1344">
        <v>145</v>
      </c>
      <c r="CR1344">
        <v>1</v>
      </c>
      <c r="CW1344">
        <v>9074648</v>
      </c>
      <c r="CY1344">
        <v>0</v>
      </c>
      <c r="CZ1344">
        <v>0</v>
      </c>
      <c r="DA1344">
        <v>1</v>
      </c>
      <c r="DB1344">
        <v>0</v>
      </c>
      <c r="DC1344">
        <v>0</v>
      </c>
      <c r="DD1344">
        <v>0</v>
      </c>
      <c r="DE1344">
        <v>0</v>
      </c>
      <c r="DF1344">
        <v>0</v>
      </c>
      <c r="DG1344">
        <v>0</v>
      </c>
      <c r="DH1344">
        <v>0</v>
      </c>
      <c r="DI1344">
        <v>0</v>
      </c>
    </row>
    <row r="1345" spans="1:113" x14ac:dyDescent="0.3">
      <c r="A1345" t="str">
        <f>"02/13/2022 18:43:34.498"</f>
        <v>02/13/2022 18:43:34.498</v>
      </c>
      <c r="C1345" t="str">
        <f t="shared" si="128"/>
        <v>FFDFD7C0</v>
      </c>
      <c r="D1345" t="s">
        <v>113</v>
      </c>
      <c r="E1345">
        <v>3</v>
      </c>
      <c r="F1345">
        <v>1003</v>
      </c>
      <c r="G1345" t="s">
        <v>114</v>
      </c>
      <c r="J1345" t="s">
        <v>115</v>
      </c>
      <c r="K1345">
        <v>0</v>
      </c>
      <c r="L1345">
        <v>3</v>
      </c>
      <c r="M1345">
        <v>0</v>
      </c>
      <c r="N1345">
        <v>2</v>
      </c>
      <c r="O1345">
        <v>1</v>
      </c>
      <c r="P1345">
        <v>0</v>
      </c>
      <c r="Q1345">
        <v>0</v>
      </c>
      <c r="S1345" t="str">
        <f>"18:43:34.289"</f>
        <v>18:43:34.289</v>
      </c>
      <c r="T1345" t="str">
        <f>"18:43:33.789"</f>
        <v>18:43:33.789</v>
      </c>
      <c r="U1345" t="str">
        <f t="shared" si="127"/>
        <v>AAB6EE</v>
      </c>
      <c r="V1345">
        <v>0</v>
      </c>
      <c r="W1345">
        <v>0</v>
      </c>
      <c r="X1345">
        <v>4</v>
      </c>
      <c r="Z1345">
        <v>0</v>
      </c>
      <c r="AA1345">
        <v>8</v>
      </c>
      <c r="AB1345">
        <v>3</v>
      </c>
      <c r="AC1345">
        <v>0</v>
      </c>
      <c r="AD1345">
        <v>10</v>
      </c>
      <c r="AE1345">
        <v>0</v>
      </c>
      <c r="AF1345">
        <v>0</v>
      </c>
      <c r="AG1345">
        <v>1</v>
      </c>
      <c r="AH1345">
        <v>1</v>
      </c>
      <c r="AI1345" t="s">
        <v>1017</v>
      </c>
      <c r="AJ1345">
        <v>35.195067000000002</v>
      </c>
      <c r="AK1345" t="s">
        <v>1018</v>
      </c>
      <c r="AL1345">
        <v>-76.229088000000004</v>
      </c>
      <c r="AM1345">
        <v>25</v>
      </c>
      <c r="AN1345">
        <v>3175</v>
      </c>
      <c r="AO1345" t="s">
        <v>118</v>
      </c>
      <c r="AP1345">
        <v>251</v>
      </c>
      <c r="AQ1345">
        <v>30</v>
      </c>
      <c r="AR1345">
        <v>-576</v>
      </c>
      <c r="AZ1345">
        <v>4516</v>
      </c>
      <c r="BA1345">
        <v>1</v>
      </c>
      <c r="BB1345" t="str">
        <f t="shared" si="129"/>
        <v xml:space="preserve">N79NX   </v>
      </c>
      <c r="BC1345">
        <v>1</v>
      </c>
      <c r="BE1345">
        <v>0</v>
      </c>
      <c r="BF1345">
        <v>0</v>
      </c>
      <c r="BG1345">
        <v>0</v>
      </c>
      <c r="BH1345">
        <v>3050</v>
      </c>
      <c r="BI1345">
        <v>0</v>
      </c>
      <c r="BJ1345">
        <v>0</v>
      </c>
      <c r="BK1345">
        <v>0</v>
      </c>
      <c r="BL1345">
        <v>0</v>
      </c>
      <c r="BO1345">
        <v>0</v>
      </c>
      <c r="BP1345">
        <v>0</v>
      </c>
      <c r="BW1345" t="str">
        <f>"18:43:34.292"</f>
        <v>18:43:34.292</v>
      </c>
      <c r="BZ1345">
        <v>0</v>
      </c>
      <c r="CA1345">
        <v>3008</v>
      </c>
      <c r="CB1345">
        <v>216</v>
      </c>
      <c r="CC1345">
        <v>428.90629999999999</v>
      </c>
      <c r="CD1345">
        <v>1</v>
      </c>
      <c r="CE1345">
        <v>1</v>
      </c>
      <c r="CF1345">
        <v>0</v>
      </c>
      <c r="CG1345">
        <v>0</v>
      </c>
      <c r="CH1345">
        <v>0</v>
      </c>
      <c r="CI1345">
        <v>0</v>
      </c>
      <c r="CJ1345">
        <v>0</v>
      </c>
      <c r="CK1345">
        <v>2</v>
      </c>
      <c r="CL1345">
        <v>0</v>
      </c>
      <c r="CM1345">
        <v>2</v>
      </c>
      <c r="CN1345">
        <v>0</v>
      </c>
      <c r="CO1345">
        <v>1</v>
      </c>
      <c r="CP1345" t="s">
        <v>119</v>
      </c>
      <c r="CQ1345">
        <v>145</v>
      </c>
      <c r="CR1345">
        <v>1</v>
      </c>
      <c r="CW1345">
        <v>9075183</v>
      </c>
      <c r="CY1345">
        <v>0</v>
      </c>
      <c r="CZ1345">
        <v>0</v>
      </c>
      <c r="DA1345">
        <v>0</v>
      </c>
      <c r="DB1345">
        <v>0</v>
      </c>
      <c r="DC1345">
        <v>0</v>
      </c>
      <c r="DD1345">
        <v>0</v>
      </c>
      <c r="DE1345">
        <v>0</v>
      </c>
      <c r="DF1345">
        <v>0</v>
      </c>
      <c r="DG1345">
        <v>0</v>
      </c>
      <c r="DH1345">
        <v>0</v>
      </c>
      <c r="DI1345">
        <v>0</v>
      </c>
    </row>
    <row r="1346" spans="1:113" x14ac:dyDescent="0.3">
      <c r="A1346" t="str">
        <f>"02/13/2022 18:43:34.498"</f>
        <v>02/13/2022 18:43:34.498</v>
      </c>
      <c r="C1346" t="str">
        <f t="shared" si="128"/>
        <v>FFDFD7C0</v>
      </c>
      <c r="D1346" t="s">
        <v>113</v>
      </c>
      <c r="E1346">
        <v>4</v>
      </c>
      <c r="F1346">
        <v>1004</v>
      </c>
      <c r="G1346" t="s">
        <v>120</v>
      </c>
      <c r="J1346" t="s">
        <v>115</v>
      </c>
      <c r="K1346">
        <v>0</v>
      </c>
      <c r="L1346">
        <v>3</v>
      </c>
      <c r="M1346">
        <v>0</v>
      </c>
      <c r="N1346">
        <v>2</v>
      </c>
      <c r="O1346">
        <v>1</v>
      </c>
      <c r="P1346">
        <v>0</v>
      </c>
      <c r="Q1346">
        <v>0</v>
      </c>
      <c r="S1346" t="str">
        <f>"18:43:34.289"</f>
        <v>18:43:34.289</v>
      </c>
      <c r="T1346" t="str">
        <f>"18:43:33.789"</f>
        <v>18:43:33.789</v>
      </c>
      <c r="U1346" t="str">
        <f t="shared" ref="U1346:U1409" si="130">"AAB6EE"</f>
        <v>AAB6EE</v>
      </c>
      <c r="V1346">
        <v>0</v>
      </c>
      <c r="W1346">
        <v>0</v>
      </c>
      <c r="X1346">
        <v>4</v>
      </c>
      <c r="Z1346">
        <v>0</v>
      </c>
      <c r="AA1346">
        <v>8</v>
      </c>
      <c r="AB1346">
        <v>3</v>
      </c>
      <c r="AC1346">
        <v>0</v>
      </c>
      <c r="AD1346">
        <v>10</v>
      </c>
      <c r="AE1346">
        <v>0</v>
      </c>
      <c r="AF1346">
        <v>0</v>
      </c>
      <c r="AG1346">
        <v>1</v>
      </c>
      <c r="AH1346">
        <v>1</v>
      </c>
      <c r="AI1346" t="s">
        <v>1017</v>
      </c>
      <c r="AJ1346">
        <v>35.195067000000002</v>
      </c>
      <c r="AK1346" t="s">
        <v>1018</v>
      </c>
      <c r="AL1346">
        <v>-76.229088000000004</v>
      </c>
      <c r="AM1346">
        <v>25</v>
      </c>
      <c r="AN1346">
        <v>3175</v>
      </c>
      <c r="AO1346" t="s">
        <v>118</v>
      </c>
      <c r="AP1346">
        <v>251</v>
      </c>
      <c r="AQ1346">
        <v>30</v>
      </c>
      <c r="AR1346">
        <v>-576</v>
      </c>
      <c r="AZ1346">
        <v>4516</v>
      </c>
      <c r="BA1346">
        <v>1</v>
      </c>
      <c r="BB1346" t="str">
        <f t="shared" si="129"/>
        <v xml:space="preserve">N79NX   </v>
      </c>
      <c r="BC1346">
        <v>1</v>
      </c>
      <c r="BE1346">
        <v>0</v>
      </c>
      <c r="BF1346">
        <v>0</v>
      </c>
      <c r="BG1346">
        <v>0</v>
      </c>
      <c r="BH1346">
        <v>3050</v>
      </c>
      <c r="BI1346">
        <v>0</v>
      </c>
      <c r="BJ1346">
        <v>0</v>
      </c>
      <c r="BK1346">
        <v>0</v>
      </c>
      <c r="BL1346">
        <v>0</v>
      </c>
      <c r="BO1346">
        <v>0</v>
      </c>
      <c r="BP1346">
        <v>0</v>
      </c>
      <c r="BW1346" t="str">
        <f>"18:43:34.292"</f>
        <v>18:43:34.292</v>
      </c>
      <c r="BZ1346">
        <v>0</v>
      </c>
      <c r="CA1346">
        <v>3008</v>
      </c>
      <c r="CB1346">
        <v>216</v>
      </c>
      <c r="CC1346">
        <v>428.90629999999999</v>
      </c>
      <c r="CD1346">
        <v>1</v>
      </c>
      <c r="CE1346">
        <v>1</v>
      </c>
      <c r="CF1346">
        <v>0</v>
      </c>
      <c r="CG1346">
        <v>0</v>
      </c>
      <c r="CH1346">
        <v>0</v>
      </c>
      <c r="CI1346">
        <v>0</v>
      </c>
      <c r="CJ1346">
        <v>0</v>
      </c>
      <c r="CK1346">
        <v>2</v>
      </c>
      <c r="CL1346">
        <v>0</v>
      </c>
      <c r="CM1346">
        <v>2</v>
      </c>
      <c r="CN1346">
        <v>0</v>
      </c>
      <c r="CO1346">
        <v>1</v>
      </c>
      <c r="CP1346" t="s">
        <v>119</v>
      </c>
      <c r="CQ1346">
        <v>145</v>
      </c>
      <c r="CR1346">
        <v>1</v>
      </c>
      <c r="CW1346">
        <v>9075183</v>
      </c>
      <c r="CY1346">
        <v>0</v>
      </c>
      <c r="CZ1346">
        <v>0</v>
      </c>
      <c r="DA1346">
        <v>1</v>
      </c>
      <c r="DB1346">
        <v>0</v>
      </c>
      <c r="DC1346">
        <v>0</v>
      </c>
      <c r="DD1346">
        <v>0</v>
      </c>
      <c r="DE1346">
        <v>0</v>
      </c>
      <c r="DF1346">
        <v>0</v>
      </c>
      <c r="DG1346">
        <v>0</v>
      </c>
      <c r="DH1346">
        <v>0</v>
      </c>
      <c r="DI1346">
        <v>0</v>
      </c>
    </row>
    <row r="1347" spans="1:113" x14ac:dyDescent="0.3">
      <c r="A1347" t="str">
        <f>"02/13/2022 18:43:34.530"</f>
        <v>02/13/2022 18:43:34.530</v>
      </c>
      <c r="C1347" t="str">
        <f t="shared" si="128"/>
        <v>FFDFD7C0</v>
      </c>
      <c r="D1347" t="s">
        <v>121</v>
      </c>
      <c r="E1347">
        <v>2</v>
      </c>
      <c r="H1347">
        <v>158</v>
      </c>
      <c r="I1347" t="s">
        <v>120</v>
      </c>
      <c r="J1347" t="s">
        <v>122</v>
      </c>
      <c r="K1347">
        <v>0</v>
      </c>
      <c r="L1347">
        <v>3</v>
      </c>
      <c r="M1347">
        <v>0</v>
      </c>
      <c r="N1347">
        <v>2</v>
      </c>
      <c r="O1347">
        <v>1</v>
      </c>
      <c r="P1347">
        <v>0</v>
      </c>
      <c r="Q1347">
        <v>0</v>
      </c>
      <c r="S1347" t="str">
        <f>"18:43:34.289"</f>
        <v>18:43:34.289</v>
      </c>
      <c r="T1347" t="str">
        <f>"18:43:33.789"</f>
        <v>18:43:33.789</v>
      </c>
      <c r="U1347" t="str">
        <f t="shared" si="130"/>
        <v>AAB6EE</v>
      </c>
      <c r="V1347">
        <v>0</v>
      </c>
      <c r="W1347">
        <v>0</v>
      </c>
      <c r="X1347">
        <v>4</v>
      </c>
      <c r="Z1347">
        <v>0</v>
      </c>
      <c r="AA1347">
        <v>8</v>
      </c>
      <c r="AB1347">
        <v>3</v>
      </c>
      <c r="AC1347">
        <v>0</v>
      </c>
      <c r="AD1347">
        <v>10</v>
      </c>
      <c r="AE1347">
        <v>0</v>
      </c>
      <c r="AF1347">
        <v>0</v>
      </c>
      <c r="AG1347">
        <v>1</v>
      </c>
      <c r="AH1347">
        <v>1</v>
      </c>
      <c r="AI1347" t="s">
        <v>1017</v>
      </c>
      <c r="AJ1347">
        <v>35.195067000000002</v>
      </c>
      <c r="AK1347" t="s">
        <v>1018</v>
      </c>
      <c r="AL1347">
        <v>-76.229088000000004</v>
      </c>
      <c r="AM1347">
        <v>25</v>
      </c>
      <c r="AN1347">
        <v>3175</v>
      </c>
      <c r="AO1347" t="s">
        <v>118</v>
      </c>
      <c r="AP1347">
        <v>251</v>
      </c>
      <c r="AQ1347">
        <v>30</v>
      </c>
      <c r="AR1347">
        <v>-576</v>
      </c>
      <c r="AZ1347">
        <v>4516</v>
      </c>
      <c r="BA1347">
        <v>1</v>
      </c>
      <c r="BB1347" t="str">
        <f t="shared" si="129"/>
        <v xml:space="preserve">N79NX   </v>
      </c>
      <c r="BC1347">
        <v>1</v>
      </c>
      <c r="BE1347">
        <v>0</v>
      </c>
      <c r="BF1347">
        <v>0</v>
      </c>
      <c r="BG1347">
        <v>0</v>
      </c>
      <c r="BH1347">
        <v>3050</v>
      </c>
      <c r="BI1347">
        <v>0</v>
      </c>
      <c r="BJ1347">
        <v>0</v>
      </c>
      <c r="BK1347">
        <v>0</v>
      </c>
      <c r="BL1347">
        <v>0</v>
      </c>
      <c r="BO1347">
        <v>0</v>
      </c>
      <c r="BP1347">
        <v>0</v>
      </c>
      <c r="BW1347" t="str">
        <f>"18:43:34.292"</f>
        <v>18:43:34.292</v>
      </c>
      <c r="BZ1347">
        <v>0</v>
      </c>
      <c r="CA1347">
        <v>3008</v>
      </c>
      <c r="CB1347">
        <v>216</v>
      </c>
      <c r="CC1347">
        <v>428.90629999999999</v>
      </c>
      <c r="CD1347">
        <v>1</v>
      </c>
      <c r="CE1347">
        <v>1</v>
      </c>
      <c r="CF1347">
        <v>0</v>
      </c>
      <c r="CG1347">
        <v>0</v>
      </c>
      <c r="CH1347">
        <v>0</v>
      </c>
      <c r="CI1347">
        <v>0</v>
      </c>
      <c r="CJ1347">
        <v>0</v>
      </c>
      <c r="CK1347">
        <v>2</v>
      </c>
      <c r="CL1347">
        <v>0</v>
      </c>
      <c r="CM1347">
        <v>2</v>
      </c>
      <c r="CN1347">
        <v>0</v>
      </c>
      <c r="CO1347">
        <v>1</v>
      </c>
      <c r="CP1347" t="s">
        <v>119</v>
      </c>
      <c r="CQ1347">
        <v>145</v>
      </c>
      <c r="CR1347">
        <v>1</v>
      </c>
      <c r="CW1347">
        <v>9075183</v>
      </c>
      <c r="CY1347">
        <v>0</v>
      </c>
      <c r="CZ1347">
        <v>0</v>
      </c>
      <c r="DA1347">
        <v>1</v>
      </c>
      <c r="DB1347">
        <v>0</v>
      </c>
      <c r="DC1347">
        <v>0</v>
      </c>
      <c r="DD1347">
        <v>0</v>
      </c>
      <c r="DE1347">
        <v>0</v>
      </c>
      <c r="DF1347">
        <v>0</v>
      </c>
      <c r="DG1347">
        <v>0</v>
      </c>
      <c r="DH1347">
        <v>0</v>
      </c>
      <c r="DI1347">
        <v>0</v>
      </c>
    </row>
    <row r="1348" spans="1:113" x14ac:dyDescent="0.3">
      <c r="A1348" t="str">
        <f>"02/13/2022 18:43:35.406"</f>
        <v>02/13/2022 18:43:35.406</v>
      </c>
      <c r="C1348" t="str">
        <f t="shared" si="128"/>
        <v>FFDFD7C0</v>
      </c>
      <c r="D1348" t="s">
        <v>121</v>
      </c>
      <c r="E1348">
        <v>2</v>
      </c>
      <c r="H1348">
        <v>158</v>
      </c>
      <c r="I1348" t="s">
        <v>120</v>
      </c>
      <c r="J1348" t="s">
        <v>122</v>
      </c>
      <c r="K1348">
        <v>0</v>
      </c>
      <c r="L1348">
        <v>3</v>
      </c>
      <c r="M1348">
        <v>0</v>
      </c>
      <c r="N1348">
        <v>2</v>
      </c>
      <c r="O1348">
        <v>1</v>
      </c>
      <c r="P1348">
        <v>0</v>
      </c>
      <c r="Q1348">
        <v>0</v>
      </c>
      <c r="S1348" t="str">
        <f>"18:43:35.219"</f>
        <v>18:43:35.219</v>
      </c>
      <c r="T1348" t="str">
        <f>"18:43:33.719"</f>
        <v>18:43:33.719</v>
      </c>
      <c r="U1348" t="str">
        <f t="shared" si="130"/>
        <v>AAB6EE</v>
      </c>
      <c r="V1348">
        <v>0</v>
      </c>
      <c r="W1348">
        <v>0</v>
      </c>
      <c r="X1348">
        <v>4</v>
      </c>
      <c r="Z1348">
        <v>0</v>
      </c>
      <c r="AA1348">
        <v>8</v>
      </c>
      <c r="AB1348">
        <v>3</v>
      </c>
      <c r="AC1348">
        <v>0</v>
      </c>
      <c r="AD1348">
        <v>10</v>
      </c>
      <c r="AE1348">
        <v>0</v>
      </c>
      <c r="AF1348">
        <v>0</v>
      </c>
      <c r="AG1348">
        <v>1</v>
      </c>
      <c r="AH1348">
        <v>1</v>
      </c>
      <c r="AI1348" t="s">
        <v>1019</v>
      </c>
      <c r="AJ1348">
        <v>35.195303000000003</v>
      </c>
      <c r="AK1348" t="s">
        <v>1020</v>
      </c>
      <c r="AL1348">
        <v>-76.227715000000003</v>
      </c>
      <c r="AM1348">
        <v>25</v>
      </c>
      <c r="AN1348">
        <v>3175</v>
      </c>
      <c r="AO1348" t="s">
        <v>118</v>
      </c>
      <c r="AP1348">
        <v>251</v>
      </c>
      <c r="AQ1348">
        <v>30</v>
      </c>
      <c r="AR1348">
        <v>-576</v>
      </c>
      <c r="AZ1348">
        <v>4516</v>
      </c>
      <c r="BA1348">
        <v>1</v>
      </c>
      <c r="BB1348" t="str">
        <f t="shared" si="129"/>
        <v xml:space="preserve">N79NX   </v>
      </c>
      <c r="BC1348">
        <v>1</v>
      </c>
      <c r="BE1348">
        <v>0</v>
      </c>
      <c r="BF1348">
        <v>0</v>
      </c>
      <c r="BG1348">
        <v>0</v>
      </c>
      <c r="BH1348">
        <v>3050</v>
      </c>
      <c r="BI1348">
        <v>0</v>
      </c>
      <c r="BJ1348">
        <v>0</v>
      </c>
      <c r="BK1348">
        <v>0</v>
      </c>
      <c r="BL1348">
        <v>0</v>
      </c>
      <c r="BO1348">
        <v>0</v>
      </c>
      <c r="BP1348">
        <v>0</v>
      </c>
      <c r="BW1348" t="str">
        <f>"18:43:35.222"</f>
        <v>18:43:35.222</v>
      </c>
      <c r="BZ1348">
        <v>0</v>
      </c>
      <c r="CA1348">
        <v>3008</v>
      </c>
      <c r="CB1348">
        <v>216</v>
      </c>
      <c r="CC1348">
        <v>428.90629999999999</v>
      </c>
      <c r="CD1348">
        <v>1</v>
      </c>
      <c r="CE1348">
        <v>1</v>
      </c>
      <c r="CF1348">
        <v>0</v>
      </c>
      <c r="CG1348">
        <v>0</v>
      </c>
      <c r="CH1348">
        <v>0</v>
      </c>
      <c r="CI1348">
        <v>0</v>
      </c>
      <c r="CJ1348">
        <v>0</v>
      </c>
      <c r="CK1348">
        <v>2</v>
      </c>
      <c r="CL1348">
        <v>0</v>
      </c>
      <c r="CM1348">
        <v>2</v>
      </c>
      <c r="CN1348">
        <v>0</v>
      </c>
      <c r="CO1348">
        <v>1</v>
      </c>
      <c r="CP1348" t="s">
        <v>119</v>
      </c>
      <c r="CQ1348">
        <v>145</v>
      </c>
      <c r="CR1348">
        <v>1</v>
      </c>
      <c r="CW1348">
        <v>9075633</v>
      </c>
      <c r="CY1348">
        <v>0</v>
      </c>
      <c r="CZ1348">
        <v>0</v>
      </c>
      <c r="DA1348">
        <v>0</v>
      </c>
      <c r="DB1348">
        <v>0</v>
      </c>
      <c r="DC1348">
        <v>0</v>
      </c>
      <c r="DD1348">
        <v>0</v>
      </c>
      <c r="DE1348">
        <v>0</v>
      </c>
      <c r="DF1348">
        <v>0</v>
      </c>
      <c r="DG1348">
        <v>0</v>
      </c>
      <c r="DH1348">
        <v>0</v>
      </c>
      <c r="DI1348">
        <v>0</v>
      </c>
    </row>
    <row r="1349" spans="1:113" x14ac:dyDescent="0.3">
      <c r="A1349" t="str">
        <f>"02/13/2022 18:43:35.468"</f>
        <v>02/13/2022 18:43:35.468</v>
      </c>
      <c r="C1349" t="str">
        <f t="shared" ref="C1349:C1365" si="131">"FFDFD7C0"</f>
        <v>FFDFD7C0</v>
      </c>
      <c r="D1349" t="s">
        <v>113</v>
      </c>
      <c r="E1349">
        <v>4</v>
      </c>
      <c r="F1349">
        <v>1004</v>
      </c>
      <c r="G1349" t="s">
        <v>120</v>
      </c>
      <c r="J1349" t="s">
        <v>115</v>
      </c>
      <c r="K1349">
        <v>0</v>
      </c>
      <c r="L1349">
        <v>3</v>
      </c>
      <c r="M1349">
        <v>0</v>
      </c>
      <c r="N1349">
        <v>2</v>
      </c>
      <c r="O1349">
        <v>1</v>
      </c>
      <c r="P1349">
        <v>0</v>
      </c>
      <c r="Q1349">
        <v>0</v>
      </c>
      <c r="S1349" t="str">
        <f>"18:43:35.219"</f>
        <v>18:43:35.219</v>
      </c>
      <c r="T1349" t="str">
        <f>"18:43:33.719"</f>
        <v>18:43:33.719</v>
      </c>
      <c r="U1349" t="str">
        <f t="shared" si="130"/>
        <v>AAB6EE</v>
      </c>
      <c r="V1349">
        <v>0</v>
      </c>
      <c r="W1349">
        <v>0</v>
      </c>
      <c r="X1349">
        <v>4</v>
      </c>
      <c r="Z1349">
        <v>0</v>
      </c>
      <c r="AA1349">
        <v>8</v>
      </c>
      <c r="AB1349">
        <v>3</v>
      </c>
      <c r="AC1349">
        <v>0</v>
      </c>
      <c r="AD1349">
        <v>10</v>
      </c>
      <c r="AE1349">
        <v>0</v>
      </c>
      <c r="AF1349">
        <v>0</v>
      </c>
      <c r="AG1349">
        <v>1</v>
      </c>
      <c r="AH1349">
        <v>1</v>
      </c>
      <c r="AI1349" t="s">
        <v>1019</v>
      </c>
      <c r="AJ1349">
        <v>35.195303000000003</v>
      </c>
      <c r="AK1349" t="s">
        <v>1020</v>
      </c>
      <c r="AL1349">
        <v>-76.227715000000003</v>
      </c>
      <c r="AM1349">
        <v>25</v>
      </c>
      <c r="AN1349">
        <v>3175</v>
      </c>
      <c r="AO1349" t="s">
        <v>118</v>
      </c>
      <c r="AP1349">
        <v>251</v>
      </c>
      <c r="AQ1349">
        <v>30</v>
      </c>
      <c r="AR1349">
        <v>-576</v>
      </c>
      <c r="AZ1349">
        <v>4516</v>
      </c>
      <c r="BA1349">
        <v>1</v>
      </c>
      <c r="BB1349" t="str">
        <f t="shared" ref="BB1349:BB1412" si="132">"N79NX   "</f>
        <v xml:space="preserve">N79NX   </v>
      </c>
      <c r="BC1349">
        <v>1</v>
      </c>
      <c r="BE1349">
        <v>0</v>
      </c>
      <c r="BF1349">
        <v>0</v>
      </c>
      <c r="BG1349">
        <v>0</v>
      </c>
      <c r="BH1349">
        <v>3050</v>
      </c>
      <c r="BI1349">
        <v>0</v>
      </c>
      <c r="BJ1349">
        <v>0</v>
      </c>
      <c r="BK1349">
        <v>0</v>
      </c>
      <c r="BL1349">
        <v>0</v>
      </c>
      <c r="BO1349">
        <v>0</v>
      </c>
      <c r="BP1349">
        <v>0</v>
      </c>
      <c r="BW1349" t="str">
        <f>"18:43:35.222"</f>
        <v>18:43:35.222</v>
      </c>
      <c r="BZ1349">
        <v>0</v>
      </c>
      <c r="CA1349">
        <v>3008</v>
      </c>
      <c r="CB1349">
        <v>216</v>
      </c>
      <c r="CC1349">
        <v>428.90629999999999</v>
      </c>
      <c r="CD1349">
        <v>1</v>
      </c>
      <c r="CE1349">
        <v>1</v>
      </c>
      <c r="CF1349">
        <v>0</v>
      </c>
      <c r="CG1349">
        <v>0</v>
      </c>
      <c r="CH1349">
        <v>0</v>
      </c>
      <c r="CI1349">
        <v>0</v>
      </c>
      <c r="CJ1349">
        <v>0</v>
      </c>
      <c r="CK1349">
        <v>2</v>
      </c>
      <c r="CL1349">
        <v>0</v>
      </c>
      <c r="CM1349">
        <v>2</v>
      </c>
      <c r="CN1349">
        <v>0</v>
      </c>
      <c r="CO1349">
        <v>1</v>
      </c>
      <c r="CP1349" t="s">
        <v>119</v>
      </c>
      <c r="CQ1349">
        <v>145</v>
      </c>
      <c r="CR1349">
        <v>1</v>
      </c>
      <c r="CW1349">
        <v>9075633</v>
      </c>
      <c r="CY1349">
        <v>0</v>
      </c>
      <c r="CZ1349">
        <v>0</v>
      </c>
      <c r="DA1349">
        <v>1</v>
      </c>
      <c r="DB1349">
        <v>0</v>
      </c>
      <c r="DC1349">
        <v>0</v>
      </c>
      <c r="DD1349">
        <v>0</v>
      </c>
      <c r="DE1349">
        <v>0</v>
      </c>
      <c r="DF1349">
        <v>0</v>
      </c>
      <c r="DG1349">
        <v>0</v>
      </c>
      <c r="DH1349">
        <v>0</v>
      </c>
      <c r="DI1349">
        <v>0</v>
      </c>
    </row>
    <row r="1350" spans="1:113" x14ac:dyDescent="0.3">
      <c r="A1350" t="str">
        <f>"02/13/2022 18:43:35.468"</f>
        <v>02/13/2022 18:43:35.468</v>
      </c>
      <c r="C1350" t="str">
        <f t="shared" si="131"/>
        <v>FFDFD7C0</v>
      </c>
      <c r="D1350" t="s">
        <v>113</v>
      </c>
      <c r="E1350">
        <v>3</v>
      </c>
      <c r="F1350">
        <v>1003</v>
      </c>
      <c r="G1350" t="s">
        <v>114</v>
      </c>
      <c r="J1350" t="s">
        <v>115</v>
      </c>
      <c r="K1350">
        <v>0</v>
      </c>
      <c r="L1350">
        <v>3</v>
      </c>
      <c r="M1350">
        <v>0</v>
      </c>
      <c r="N1350">
        <v>2</v>
      </c>
      <c r="O1350">
        <v>1</v>
      </c>
      <c r="P1350">
        <v>0</v>
      </c>
      <c r="Q1350">
        <v>0</v>
      </c>
      <c r="S1350" t="str">
        <f>"18:43:35.219"</f>
        <v>18:43:35.219</v>
      </c>
      <c r="T1350" t="str">
        <f>"18:43:33.719"</f>
        <v>18:43:33.719</v>
      </c>
      <c r="U1350" t="str">
        <f t="shared" si="130"/>
        <v>AAB6EE</v>
      </c>
      <c r="V1350">
        <v>0</v>
      </c>
      <c r="W1350">
        <v>0</v>
      </c>
      <c r="X1350">
        <v>4</v>
      </c>
      <c r="Z1350">
        <v>0</v>
      </c>
      <c r="AA1350">
        <v>8</v>
      </c>
      <c r="AB1350">
        <v>3</v>
      </c>
      <c r="AC1350">
        <v>0</v>
      </c>
      <c r="AD1350">
        <v>10</v>
      </c>
      <c r="AE1350">
        <v>0</v>
      </c>
      <c r="AF1350">
        <v>0</v>
      </c>
      <c r="AG1350">
        <v>1</v>
      </c>
      <c r="AH1350">
        <v>1</v>
      </c>
      <c r="AI1350" t="s">
        <v>1019</v>
      </c>
      <c r="AJ1350">
        <v>35.195303000000003</v>
      </c>
      <c r="AK1350" t="s">
        <v>1020</v>
      </c>
      <c r="AL1350">
        <v>-76.227715000000003</v>
      </c>
      <c r="AM1350">
        <v>25</v>
      </c>
      <c r="AN1350">
        <v>3175</v>
      </c>
      <c r="AO1350" t="s">
        <v>118</v>
      </c>
      <c r="AP1350">
        <v>251</v>
      </c>
      <c r="AQ1350">
        <v>30</v>
      </c>
      <c r="AR1350">
        <v>-576</v>
      </c>
      <c r="AZ1350">
        <v>4516</v>
      </c>
      <c r="BA1350">
        <v>1</v>
      </c>
      <c r="BB1350" t="str">
        <f t="shared" si="132"/>
        <v xml:space="preserve">N79NX   </v>
      </c>
      <c r="BC1350">
        <v>1</v>
      </c>
      <c r="BE1350">
        <v>0</v>
      </c>
      <c r="BF1350">
        <v>0</v>
      </c>
      <c r="BG1350">
        <v>0</v>
      </c>
      <c r="BH1350">
        <v>3050</v>
      </c>
      <c r="BI1350">
        <v>0</v>
      </c>
      <c r="BJ1350">
        <v>0</v>
      </c>
      <c r="BK1350">
        <v>0</v>
      </c>
      <c r="BL1350">
        <v>0</v>
      </c>
      <c r="BO1350">
        <v>0</v>
      </c>
      <c r="BP1350">
        <v>0</v>
      </c>
      <c r="BW1350" t="str">
        <f>"18:43:35.222"</f>
        <v>18:43:35.222</v>
      </c>
      <c r="BZ1350">
        <v>0</v>
      </c>
      <c r="CA1350">
        <v>3008</v>
      </c>
      <c r="CB1350">
        <v>216</v>
      </c>
      <c r="CC1350">
        <v>428.90629999999999</v>
      </c>
      <c r="CD1350">
        <v>1</v>
      </c>
      <c r="CE1350">
        <v>1</v>
      </c>
      <c r="CF1350">
        <v>0</v>
      </c>
      <c r="CG1350">
        <v>0</v>
      </c>
      <c r="CH1350">
        <v>0</v>
      </c>
      <c r="CI1350">
        <v>0</v>
      </c>
      <c r="CJ1350">
        <v>0</v>
      </c>
      <c r="CK1350">
        <v>2</v>
      </c>
      <c r="CL1350">
        <v>0</v>
      </c>
      <c r="CM1350">
        <v>2</v>
      </c>
      <c r="CN1350">
        <v>0</v>
      </c>
      <c r="CO1350">
        <v>1</v>
      </c>
      <c r="CP1350" t="s">
        <v>119</v>
      </c>
      <c r="CQ1350">
        <v>145</v>
      </c>
      <c r="CR1350">
        <v>1</v>
      </c>
      <c r="CW1350">
        <v>9075633</v>
      </c>
      <c r="CY1350">
        <v>0</v>
      </c>
      <c r="CZ1350">
        <v>0</v>
      </c>
      <c r="DA1350">
        <v>1</v>
      </c>
      <c r="DB1350">
        <v>0</v>
      </c>
      <c r="DC1350">
        <v>0</v>
      </c>
      <c r="DD1350">
        <v>0</v>
      </c>
      <c r="DE1350">
        <v>0</v>
      </c>
      <c r="DF1350">
        <v>0</v>
      </c>
      <c r="DG1350">
        <v>0</v>
      </c>
      <c r="DH1350">
        <v>0</v>
      </c>
      <c r="DI1350">
        <v>0</v>
      </c>
    </row>
    <row r="1351" spans="1:113" x14ac:dyDescent="0.3">
      <c r="A1351" t="str">
        <f>"02/13/2022 18:43:36.473"</f>
        <v>02/13/2022 18:43:36.473</v>
      </c>
      <c r="C1351" t="str">
        <f t="shared" si="131"/>
        <v>FFDFD7C0</v>
      </c>
      <c r="D1351" t="s">
        <v>113</v>
      </c>
      <c r="E1351">
        <v>3</v>
      </c>
      <c r="F1351">
        <v>1003</v>
      </c>
      <c r="G1351" t="s">
        <v>114</v>
      </c>
      <c r="J1351" t="s">
        <v>115</v>
      </c>
      <c r="K1351">
        <v>0</v>
      </c>
      <c r="L1351">
        <v>3</v>
      </c>
      <c r="M1351">
        <v>0</v>
      </c>
      <c r="N1351">
        <v>2</v>
      </c>
      <c r="O1351">
        <v>1</v>
      </c>
      <c r="P1351">
        <v>0</v>
      </c>
      <c r="Q1351">
        <v>0</v>
      </c>
      <c r="S1351" t="str">
        <f>"18:43:36.289"</f>
        <v>18:43:36.289</v>
      </c>
      <c r="T1351" t="str">
        <f>"18:43:35.789"</f>
        <v>18:43:35.789</v>
      </c>
      <c r="U1351" t="str">
        <f t="shared" si="130"/>
        <v>AAB6EE</v>
      </c>
      <c r="V1351">
        <v>0</v>
      </c>
      <c r="W1351">
        <v>0</v>
      </c>
      <c r="X1351">
        <v>4</v>
      </c>
      <c r="Z1351">
        <v>0</v>
      </c>
      <c r="AA1351">
        <v>8</v>
      </c>
      <c r="AB1351">
        <v>3</v>
      </c>
      <c r="AC1351">
        <v>0</v>
      </c>
      <c r="AD1351">
        <v>10</v>
      </c>
      <c r="AE1351">
        <v>0</v>
      </c>
      <c r="AF1351">
        <v>0</v>
      </c>
      <c r="AG1351">
        <v>1</v>
      </c>
      <c r="AH1351">
        <v>1</v>
      </c>
      <c r="AI1351" t="s">
        <v>1021</v>
      </c>
      <c r="AJ1351">
        <v>35.195538999999997</v>
      </c>
      <c r="AK1351" t="s">
        <v>1022</v>
      </c>
      <c r="AL1351">
        <v>-76.226298999999997</v>
      </c>
      <c r="AM1351">
        <v>25</v>
      </c>
      <c r="AN1351">
        <v>3175</v>
      </c>
      <c r="AO1351" t="s">
        <v>118</v>
      </c>
      <c r="AP1351">
        <v>249</v>
      </c>
      <c r="AQ1351">
        <v>49</v>
      </c>
      <c r="AR1351">
        <v>-512</v>
      </c>
      <c r="AZ1351">
        <v>4516</v>
      </c>
      <c r="BA1351">
        <v>1</v>
      </c>
      <c r="BB1351" t="str">
        <f t="shared" si="132"/>
        <v xml:space="preserve">N79NX   </v>
      </c>
      <c r="BC1351">
        <v>1</v>
      </c>
      <c r="BE1351">
        <v>0</v>
      </c>
      <c r="BF1351">
        <v>0</v>
      </c>
      <c r="BG1351">
        <v>0</v>
      </c>
      <c r="BH1351">
        <v>3050</v>
      </c>
      <c r="BI1351">
        <v>0</v>
      </c>
      <c r="BJ1351">
        <v>0</v>
      </c>
      <c r="BK1351">
        <v>0</v>
      </c>
      <c r="BL1351">
        <v>0</v>
      </c>
      <c r="BO1351">
        <v>0</v>
      </c>
      <c r="BP1351">
        <v>0</v>
      </c>
      <c r="BW1351" t="str">
        <f>"18:43:36.292"</f>
        <v>18:43:36.292</v>
      </c>
      <c r="BZ1351">
        <v>0</v>
      </c>
      <c r="CA1351">
        <v>3008</v>
      </c>
      <c r="CB1351">
        <v>216</v>
      </c>
      <c r="CC1351">
        <v>428.90629999999999</v>
      </c>
      <c r="CD1351">
        <v>1</v>
      </c>
      <c r="CE1351">
        <v>1</v>
      </c>
      <c r="CF1351">
        <v>0</v>
      </c>
      <c r="CG1351">
        <v>0</v>
      </c>
      <c r="CH1351">
        <v>0</v>
      </c>
      <c r="CI1351">
        <v>0</v>
      </c>
      <c r="CJ1351">
        <v>0</v>
      </c>
      <c r="CK1351">
        <v>2</v>
      </c>
      <c r="CL1351">
        <v>0</v>
      </c>
      <c r="CM1351">
        <v>2</v>
      </c>
      <c r="CN1351">
        <v>0</v>
      </c>
      <c r="CO1351">
        <v>2</v>
      </c>
      <c r="CP1351" t="s">
        <v>119</v>
      </c>
      <c r="CQ1351">
        <v>145</v>
      </c>
      <c r="CR1351">
        <v>1</v>
      </c>
      <c r="CW1351">
        <v>9076082</v>
      </c>
      <c r="CY1351">
        <v>0</v>
      </c>
      <c r="CZ1351">
        <v>0</v>
      </c>
      <c r="DA1351">
        <v>0</v>
      </c>
      <c r="DB1351">
        <v>0</v>
      </c>
      <c r="DC1351">
        <v>0</v>
      </c>
      <c r="DD1351">
        <v>0</v>
      </c>
      <c r="DE1351">
        <v>0</v>
      </c>
      <c r="DF1351">
        <v>0</v>
      </c>
      <c r="DG1351">
        <v>0</v>
      </c>
      <c r="DH1351">
        <v>0</v>
      </c>
      <c r="DI1351">
        <v>0</v>
      </c>
    </row>
    <row r="1352" spans="1:113" x14ac:dyDescent="0.3">
      <c r="A1352" t="str">
        <f>"02/13/2022 18:43:36.473"</f>
        <v>02/13/2022 18:43:36.473</v>
      </c>
      <c r="C1352" t="str">
        <f t="shared" si="131"/>
        <v>FFDFD7C0</v>
      </c>
      <c r="D1352" t="s">
        <v>113</v>
      </c>
      <c r="E1352">
        <v>4</v>
      </c>
      <c r="F1352">
        <v>1004</v>
      </c>
      <c r="G1352" t="s">
        <v>120</v>
      </c>
      <c r="J1352" t="s">
        <v>115</v>
      </c>
      <c r="K1352">
        <v>0</v>
      </c>
      <c r="L1352">
        <v>3</v>
      </c>
      <c r="M1352">
        <v>0</v>
      </c>
      <c r="N1352">
        <v>2</v>
      </c>
      <c r="O1352">
        <v>1</v>
      </c>
      <c r="P1352">
        <v>0</v>
      </c>
      <c r="Q1352">
        <v>0</v>
      </c>
      <c r="S1352" t="str">
        <f>"18:43:36.289"</f>
        <v>18:43:36.289</v>
      </c>
      <c r="T1352" t="str">
        <f>"18:43:35.789"</f>
        <v>18:43:35.789</v>
      </c>
      <c r="U1352" t="str">
        <f t="shared" si="130"/>
        <v>AAB6EE</v>
      </c>
      <c r="V1352">
        <v>0</v>
      </c>
      <c r="W1352">
        <v>0</v>
      </c>
      <c r="X1352">
        <v>4</v>
      </c>
      <c r="Z1352">
        <v>0</v>
      </c>
      <c r="AA1352">
        <v>8</v>
      </c>
      <c r="AB1352">
        <v>3</v>
      </c>
      <c r="AC1352">
        <v>0</v>
      </c>
      <c r="AD1352">
        <v>10</v>
      </c>
      <c r="AE1352">
        <v>0</v>
      </c>
      <c r="AF1352">
        <v>0</v>
      </c>
      <c r="AG1352">
        <v>1</v>
      </c>
      <c r="AH1352">
        <v>1</v>
      </c>
      <c r="AI1352" t="s">
        <v>1021</v>
      </c>
      <c r="AJ1352">
        <v>35.195538999999997</v>
      </c>
      <c r="AK1352" t="s">
        <v>1022</v>
      </c>
      <c r="AL1352">
        <v>-76.226298999999997</v>
      </c>
      <c r="AM1352">
        <v>25</v>
      </c>
      <c r="AN1352">
        <v>3175</v>
      </c>
      <c r="AO1352" t="s">
        <v>118</v>
      </c>
      <c r="AP1352">
        <v>249</v>
      </c>
      <c r="AQ1352">
        <v>49</v>
      </c>
      <c r="AR1352">
        <v>-512</v>
      </c>
      <c r="AZ1352">
        <v>4516</v>
      </c>
      <c r="BA1352">
        <v>1</v>
      </c>
      <c r="BB1352" t="str">
        <f t="shared" si="132"/>
        <v xml:space="preserve">N79NX   </v>
      </c>
      <c r="BC1352">
        <v>1</v>
      </c>
      <c r="BE1352">
        <v>0</v>
      </c>
      <c r="BF1352">
        <v>0</v>
      </c>
      <c r="BG1352">
        <v>0</v>
      </c>
      <c r="BH1352">
        <v>3050</v>
      </c>
      <c r="BI1352">
        <v>0</v>
      </c>
      <c r="BJ1352">
        <v>0</v>
      </c>
      <c r="BK1352">
        <v>0</v>
      </c>
      <c r="BL1352">
        <v>0</v>
      </c>
      <c r="BO1352">
        <v>0</v>
      </c>
      <c r="BP1352">
        <v>0</v>
      </c>
      <c r="BW1352" t="str">
        <f>"18:43:36.292"</f>
        <v>18:43:36.292</v>
      </c>
      <c r="BZ1352">
        <v>0</v>
      </c>
      <c r="CA1352">
        <v>3008</v>
      </c>
      <c r="CB1352">
        <v>216</v>
      </c>
      <c r="CC1352">
        <v>428.90629999999999</v>
      </c>
      <c r="CD1352">
        <v>1</v>
      </c>
      <c r="CE1352">
        <v>1</v>
      </c>
      <c r="CF1352">
        <v>0</v>
      </c>
      <c r="CG1352">
        <v>0</v>
      </c>
      <c r="CH1352">
        <v>0</v>
      </c>
      <c r="CI1352">
        <v>0</v>
      </c>
      <c r="CJ1352">
        <v>0</v>
      </c>
      <c r="CK1352">
        <v>2</v>
      </c>
      <c r="CL1352">
        <v>0</v>
      </c>
      <c r="CM1352">
        <v>2</v>
      </c>
      <c r="CN1352">
        <v>0</v>
      </c>
      <c r="CO1352">
        <v>2</v>
      </c>
      <c r="CP1352" t="s">
        <v>119</v>
      </c>
      <c r="CQ1352">
        <v>145</v>
      </c>
      <c r="CR1352">
        <v>1</v>
      </c>
      <c r="CW1352">
        <v>9076082</v>
      </c>
      <c r="CY1352">
        <v>0</v>
      </c>
      <c r="CZ1352">
        <v>0</v>
      </c>
      <c r="DA1352">
        <v>1</v>
      </c>
      <c r="DB1352">
        <v>0</v>
      </c>
      <c r="DC1352">
        <v>0</v>
      </c>
      <c r="DD1352">
        <v>0</v>
      </c>
      <c r="DE1352">
        <v>0</v>
      </c>
      <c r="DF1352">
        <v>0</v>
      </c>
      <c r="DG1352">
        <v>0</v>
      </c>
      <c r="DH1352">
        <v>0</v>
      </c>
      <c r="DI1352">
        <v>0</v>
      </c>
    </row>
    <row r="1353" spans="1:113" x14ac:dyDescent="0.3">
      <c r="A1353" t="str">
        <f>"02/13/2022 18:43:36.505"</f>
        <v>02/13/2022 18:43:36.505</v>
      </c>
      <c r="C1353" t="str">
        <f t="shared" si="131"/>
        <v>FFDFD7C0</v>
      </c>
      <c r="D1353" t="s">
        <v>121</v>
      </c>
      <c r="E1353">
        <v>2</v>
      </c>
      <c r="H1353">
        <v>158</v>
      </c>
      <c r="I1353" t="s">
        <v>120</v>
      </c>
      <c r="J1353" t="s">
        <v>122</v>
      </c>
      <c r="K1353">
        <v>0</v>
      </c>
      <c r="L1353">
        <v>3</v>
      </c>
      <c r="M1353">
        <v>0</v>
      </c>
      <c r="N1353">
        <v>2</v>
      </c>
      <c r="O1353">
        <v>1</v>
      </c>
      <c r="P1353">
        <v>0</v>
      </c>
      <c r="Q1353">
        <v>0</v>
      </c>
      <c r="S1353" t="str">
        <f>"18:43:36.289"</f>
        <v>18:43:36.289</v>
      </c>
      <c r="T1353" t="str">
        <f>"18:43:35.789"</f>
        <v>18:43:35.789</v>
      </c>
      <c r="U1353" t="str">
        <f t="shared" si="130"/>
        <v>AAB6EE</v>
      </c>
      <c r="V1353">
        <v>0</v>
      </c>
      <c r="W1353">
        <v>0</v>
      </c>
      <c r="X1353">
        <v>4</v>
      </c>
      <c r="Z1353">
        <v>0</v>
      </c>
      <c r="AA1353">
        <v>8</v>
      </c>
      <c r="AB1353">
        <v>3</v>
      </c>
      <c r="AC1353">
        <v>0</v>
      </c>
      <c r="AD1353">
        <v>10</v>
      </c>
      <c r="AE1353">
        <v>0</v>
      </c>
      <c r="AF1353">
        <v>0</v>
      </c>
      <c r="AG1353">
        <v>1</v>
      </c>
      <c r="AH1353">
        <v>1</v>
      </c>
      <c r="AI1353" t="s">
        <v>1021</v>
      </c>
      <c r="AJ1353">
        <v>35.195538999999997</v>
      </c>
      <c r="AK1353" t="s">
        <v>1022</v>
      </c>
      <c r="AL1353">
        <v>-76.226298999999997</v>
      </c>
      <c r="AM1353">
        <v>25</v>
      </c>
      <c r="AN1353">
        <v>3175</v>
      </c>
      <c r="AO1353" t="s">
        <v>118</v>
      </c>
      <c r="AP1353">
        <v>249</v>
      </c>
      <c r="AQ1353">
        <v>49</v>
      </c>
      <c r="AR1353">
        <v>-512</v>
      </c>
      <c r="AZ1353">
        <v>4516</v>
      </c>
      <c r="BA1353">
        <v>1</v>
      </c>
      <c r="BB1353" t="str">
        <f t="shared" si="132"/>
        <v xml:space="preserve">N79NX   </v>
      </c>
      <c r="BC1353">
        <v>1</v>
      </c>
      <c r="BE1353">
        <v>0</v>
      </c>
      <c r="BF1353">
        <v>0</v>
      </c>
      <c r="BG1353">
        <v>0</v>
      </c>
      <c r="BH1353">
        <v>3050</v>
      </c>
      <c r="BI1353">
        <v>0</v>
      </c>
      <c r="BJ1353">
        <v>0</v>
      </c>
      <c r="BK1353">
        <v>0</v>
      </c>
      <c r="BL1353">
        <v>0</v>
      </c>
      <c r="BO1353">
        <v>0</v>
      </c>
      <c r="BP1353">
        <v>0</v>
      </c>
      <c r="BW1353" t="str">
        <f>"18:43:36.292"</f>
        <v>18:43:36.292</v>
      </c>
      <c r="BZ1353">
        <v>0</v>
      </c>
      <c r="CA1353">
        <v>3008</v>
      </c>
      <c r="CB1353">
        <v>216</v>
      </c>
      <c r="CC1353">
        <v>428.90629999999999</v>
      </c>
      <c r="CD1353">
        <v>1</v>
      </c>
      <c r="CE1353">
        <v>1</v>
      </c>
      <c r="CF1353">
        <v>0</v>
      </c>
      <c r="CG1353">
        <v>0</v>
      </c>
      <c r="CH1353">
        <v>0</v>
      </c>
      <c r="CI1353">
        <v>0</v>
      </c>
      <c r="CJ1353">
        <v>0</v>
      </c>
      <c r="CK1353">
        <v>2</v>
      </c>
      <c r="CL1353">
        <v>0</v>
      </c>
      <c r="CM1353">
        <v>2</v>
      </c>
      <c r="CN1353">
        <v>0</v>
      </c>
      <c r="CO1353">
        <v>2</v>
      </c>
      <c r="CP1353" t="s">
        <v>119</v>
      </c>
      <c r="CQ1353">
        <v>145</v>
      </c>
      <c r="CR1353">
        <v>1</v>
      </c>
      <c r="CW1353">
        <v>9076082</v>
      </c>
      <c r="CY1353">
        <v>0</v>
      </c>
      <c r="CZ1353">
        <v>0</v>
      </c>
      <c r="DA1353">
        <v>1</v>
      </c>
      <c r="DB1353">
        <v>0</v>
      </c>
      <c r="DC1353">
        <v>0</v>
      </c>
      <c r="DD1353">
        <v>0</v>
      </c>
      <c r="DE1353">
        <v>0</v>
      </c>
      <c r="DF1353">
        <v>0</v>
      </c>
      <c r="DG1353">
        <v>0</v>
      </c>
      <c r="DH1353">
        <v>0</v>
      </c>
      <c r="DI1353">
        <v>0</v>
      </c>
    </row>
    <row r="1354" spans="1:113" x14ac:dyDescent="0.3">
      <c r="A1354" t="str">
        <f>"02/13/2022 18:43:37.380"</f>
        <v>02/13/2022 18:43:37.380</v>
      </c>
      <c r="C1354" t="str">
        <f t="shared" si="131"/>
        <v>FFDFD7C0</v>
      </c>
      <c r="D1354" t="s">
        <v>113</v>
      </c>
      <c r="E1354">
        <v>3</v>
      </c>
      <c r="F1354">
        <v>1003</v>
      </c>
      <c r="G1354" t="s">
        <v>114</v>
      </c>
      <c r="J1354" t="s">
        <v>115</v>
      </c>
      <c r="K1354">
        <v>0</v>
      </c>
      <c r="L1354">
        <v>3</v>
      </c>
      <c r="M1354">
        <v>0</v>
      </c>
      <c r="N1354">
        <v>2</v>
      </c>
      <c r="O1354">
        <v>1</v>
      </c>
      <c r="P1354">
        <v>0</v>
      </c>
      <c r="Q1354">
        <v>0</v>
      </c>
      <c r="S1354" t="str">
        <f>"18:43:37.156"</f>
        <v>18:43:37.156</v>
      </c>
      <c r="T1354" t="str">
        <f>"18:43:36.756"</f>
        <v>18:43:36.756</v>
      </c>
      <c r="U1354" t="str">
        <f t="shared" si="130"/>
        <v>AAB6EE</v>
      </c>
      <c r="V1354">
        <v>0</v>
      </c>
      <c r="W1354">
        <v>0</v>
      </c>
      <c r="X1354">
        <v>4</v>
      </c>
      <c r="Z1354">
        <v>0</v>
      </c>
      <c r="AA1354">
        <v>8</v>
      </c>
      <c r="AB1354">
        <v>3</v>
      </c>
      <c r="AC1354">
        <v>0</v>
      </c>
      <c r="AD1354">
        <v>10</v>
      </c>
      <c r="AE1354">
        <v>0</v>
      </c>
      <c r="AF1354">
        <v>0</v>
      </c>
      <c r="AG1354">
        <v>1</v>
      </c>
      <c r="AH1354">
        <v>1</v>
      </c>
      <c r="AI1354" t="s">
        <v>1023</v>
      </c>
      <c r="AJ1354">
        <v>35.195796000000001</v>
      </c>
      <c r="AK1354" t="s">
        <v>1024</v>
      </c>
      <c r="AL1354">
        <v>-76.225054</v>
      </c>
      <c r="AM1354">
        <v>25</v>
      </c>
      <c r="AN1354">
        <v>3150</v>
      </c>
      <c r="AO1354" t="s">
        <v>118</v>
      </c>
      <c r="AP1354">
        <v>247</v>
      </c>
      <c r="AQ1354">
        <v>59</v>
      </c>
      <c r="AR1354">
        <v>-512</v>
      </c>
      <c r="AZ1354">
        <v>4516</v>
      </c>
      <c r="BA1354">
        <v>1</v>
      </c>
      <c r="BB1354" t="str">
        <f t="shared" si="132"/>
        <v xml:space="preserve">N79NX   </v>
      </c>
      <c r="BC1354">
        <v>1</v>
      </c>
      <c r="BE1354">
        <v>0</v>
      </c>
      <c r="BF1354">
        <v>0</v>
      </c>
      <c r="BG1354">
        <v>0</v>
      </c>
      <c r="BH1354">
        <v>3025</v>
      </c>
      <c r="BI1354">
        <v>0</v>
      </c>
      <c r="BJ1354">
        <v>0</v>
      </c>
      <c r="BK1354">
        <v>0</v>
      </c>
      <c r="BL1354">
        <v>0</v>
      </c>
      <c r="BO1354">
        <v>0</v>
      </c>
      <c r="BP1354">
        <v>0</v>
      </c>
      <c r="BW1354" t="str">
        <f>"18:43:37.162"</f>
        <v>18:43:37.162</v>
      </c>
      <c r="BZ1354">
        <v>0</v>
      </c>
      <c r="CA1354">
        <v>3008</v>
      </c>
      <c r="CB1354">
        <v>216</v>
      </c>
      <c r="CC1354">
        <v>428.90629999999999</v>
      </c>
      <c r="CD1354">
        <v>1</v>
      </c>
      <c r="CE1354">
        <v>1</v>
      </c>
      <c r="CF1354">
        <v>0</v>
      </c>
      <c r="CG1354">
        <v>0</v>
      </c>
      <c r="CH1354">
        <v>0</v>
      </c>
      <c r="CI1354">
        <v>0</v>
      </c>
      <c r="CJ1354">
        <v>0</v>
      </c>
      <c r="CK1354">
        <v>2</v>
      </c>
      <c r="CL1354">
        <v>0</v>
      </c>
      <c r="CM1354">
        <v>2</v>
      </c>
      <c r="CN1354">
        <v>0</v>
      </c>
      <c r="CO1354">
        <v>1</v>
      </c>
      <c r="CP1354" t="s">
        <v>119</v>
      </c>
      <c r="CQ1354">
        <v>145</v>
      </c>
      <c r="CR1354">
        <v>1</v>
      </c>
      <c r="CW1354">
        <v>9076463</v>
      </c>
      <c r="CY1354">
        <v>0</v>
      </c>
      <c r="CZ1354">
        <v>0</v>
      </c>
      <c r="DA1354">
        <v>0</v>
      </c>
      <c r="DB1354">
        <v>0</v>
      </c>
      <c r="DC1354">
        <v>0</v>
      </c>
      <c r="DD1354">
        <v>0</v>
      </c>
      <c r="DE1354">
        <v>0</v>
      </c>
      <c r="DF1354">
        <v>0</v>
      </c>
      <c r="DG1354">
        <v>0</v>
      </c>
      <c r="DH1354">
        <v>0</v>
      </c>
      <c r="DI1354">
        <v>0</v>
      </c>
    </row>
    <row r="1355" spans="1:113" x14ac:dyDescent="0.3">
      <c r="A1355" t="str">
        <f>"02/13/2022 18:43:37.380"</f>
        <v>02/13/2022 18:43:37.380</v>
      </c>
      <c r="C1355" t="str">
        <f t="shared" si="131"/>
        <v>FFDFD7C0</v>
      </c>
      <c r="D1355" t="s">
        <v>113</v>
      </c>
      <c r="E1355">
        <v>4</v>
      </c>
      <c r="F1355">
        <v>1004</v>
      </c>
      <c r="G1355" t="s">
        <v>120</v>
      </c>
      <c r="J1355" t="s">
        <v>115</v>
      </c>
      <c r="K1355">
        <v>0</v>
      </c>
      <c r="L1355">
        <v>3</v>
      </c>
      <c r="M1355">
        <v>0</v>
      </c>
      <c r="N1355">
        <v>2</v>
      </c>
      <c r="O1355">
        <v>1</v>
      </c>
      <c r="P1355">
        <v>0</v>
      </c>
      <c r="Q1355">
        <v>0</v>
      </c>
      <c r="S1355" t="str">
        <f>"18:43:37.156"</f>
        <v>18:43:37.156</v>
      </c>
      <c r="T1355" t="str">
        <f>"18:43:36.756"</f>
        <v>18:43:36.756</v>
      </c>
      <c r="U1355" t="str">
        <f t="shared" si="130"/>
        <v>AAB6EE</v>
      </c>
      <c r="V1355">
        <v>0</v>
      </c>
      <c r="W1355">
        <v>0</v>
      </c>
      <c r="X1355">
        <v>4</v>
      </c>
      <c r="Z1355">
        <v>0</v>
      </c>
      <c r="AA1355">
        <v>8</v>
      </c>
      <c r="AB1355">
        <v>3</v>
      </c>
      <c r="AC1355">
        <v>0</v>
      </c>
      <c r="AD1355">
        <v>10</v>
      </c>
      <c r="AE1355">
        <v>0</v>
      </c>
      <c r="AF1355">
        <v>0</v>
      </c>
      <c r="AG1355">
        <v>1</v>
      </c>
      <c r="AH1355">
        <v>1</v>
      </c>
      <c r="AI1355" t="s">
        <v>1023</v>
      </c>
      <c r="AJ1355">
        <v>35.195796000000001</v>
      </c>
      <c r="AK1355" t="s">
        <v>1024</v>
      </c>
      <c r="AL1355">
        <v>-76.225054</v>
      </c>
      <c r="AM1355">
        <v>25</v>
      </c>
      <c r="AN1355">
        <v>3150</v>
      </c>
      <c r="AO1355" t="s">
        <v>118</v>
      </c>
      <c r="AP1355">
        <v>247</v>
      </c>
      <c r="AQ1355">
        <v>59</v>
      </c>
      <c r="AR1355">
        <v>-512</v>
      </c>
      <c r="AZ1355">
        <v>4516</v>
      </c>
      <c r="BA1355">
        <v>1</v>
      </c>
      <c r="BB1355" t="str">
        <f t="shared" si="132"/>
        <v xml:space="preserve">N79NX   </v>
      </c>
      <c r="BC1355">
        <v>1</v>
      </c>
      <c r="BE1355">
        <v>0</v>
      </c>
      <c r="BF1355">
        <v>0</v>
      </c>
      <c r="BG1355">
        <v>0</v>
      </c>
      <c r="BH1355">
        <v>3025</v>
      </c>
      <c r="BI1355">
        <v>0</v>
      </c>
      <c r="BJ1355">
        <v>0</v>
      </c>
      <c r="BK1355">
        <v>0</v>
      </c>
      <c r="BL1355">
        <v>0</v>
      </c>
      <c r="BO1355">
        <v>0</v>
      </c>
      <c r="BP1355">
        <v>0</v>
      </c>
      <c r="BW1355" t="str">
        <f>"18:43:37.162"</f>
        <v>18:43:37.162</v>
      </c>
      <c r="BZ1355">
        <v>0</v>
      </c>
      <c r="CA1355">
        <v>3008</v>
      </c>
      <c r="CB1355">
        <v>216</v>
      </c>
      <c r="CC1355">
        <v>428.90629999999999</v>
      </c>
      <c r="CD1355">
        <v>1</v>
      </c>
      <c r="CE1355">
        <v>1</v>
      </c>
      <c r="CF1355">
        <v>0</v>
      </c>
      <c r="CG1355">
        <v>0</v>
      </c>
      <c r="CH1355">
        <v>0</v>
      </c>
      <c r="CI1355">
        <v>0</v>
      </c>
      <c r="CJ1355">
        <v>0</v>
      </c>
      <c r="CK1355">
        <v>2</v>
      </c>
      <c r="CL1355">
        <v>0</v>
      </c>
      <c r="CM1355">
        <v>2</v>
      </c>
      <c r="CN1355">
        <v>0</v>
      </c>
      <c r="CO1355">
        <v>1</v>
      </c>
      <c r="CP1355" t="s">
        <v>119</v>
      </c>
      <c r="CQ1355">
        <v>145</v>
      </c>
      <c r="CR1355">
        <v>1</v>
      </c>
      <c r="CW1355">
        <v>9076463</v>
      </c>
      <c r="CY1355">
        <v>0</v>
      </c>
      <c r="CZ1355">
        <v>0</v>
      </c>
      <c r="DA1355">
        <v>1</v>
      </c>
      <c r="DB1355">
        <v>0</v>
      </c>
      <c r="DC1355">
        <v>0</v>
      </c>
      <c r="DD1355">
        <v>0</v>
      </c>
      <c r="DE1355">
        <v>0</v>
      </c>
      <c r="DF1355">
        <v>0</v>
      </c>
      <c r="DG1355">
        <v>0</v>
      </c>
      <c r="DH1355">
        <v>0</v>
      </c>
      <c r="DI1355">
        <v>0</v>
      </c>
    </row>
    <row r="1356" spans="1:113" x14ac:dyDescent="0.3">
      <c r="A1356" t="str">
        <f>"02/13/2022 18:43:37.411"</f>
        <v>02/13/2022 18:43:37.411</v>
      </c>
      <c r="C1356" t="str">
        <f t="shared" si="131"/>
        <v>FFDFD7C0</v>
      </c>
      <c r="D1356" t="s">
        <v>121</v>
      </c>
      <c r="E1356">
        <v>2</v>
      </c>
      <c r="H1356">
        <v>158</v>
      </c>
      <c r="I1356" t="s">
        <v>120</v>
      </c>
      <c r="J1356" t="s">
        <v>122</v>
      </c>
      <c r="K1356">
        <v>0</v>
      </c>
      <c r="L1356">
        <v>3</v>
      </c>
      <c r="M1356">
        <v>0</v>
      </c>
      <c r="N1356">
        <v>2</v>
      </c>
      <c r="O1356">
        <v>1</v>
      </c>
      <c r="P1356">
        <v>0</v>
      </c>
      <c r="Q1356">
        <v>0</v>
      </c>
      <c r="S1356" t="str">
        <f>"18:43:37.156"</f>
        <v>18:43:37.156</v>
      </c>
      <c r="T1356" t="str">
        <f>"18:43:36.756"</f>
        <v>18:43:36.756</v>
      </c>
      <c r="U1356" t="str">
        <f t="shared" si="130"/>
        <v>AAB6EE</v>
      </c>
      <c r="V1356">
        <v>0</v>
      </c>
      <c r="W1356">
        <v>0</v>
      </c>
      <c r="X1356">
        <v>4</v>
      </c>
      <c r="Z1356">
        <v>0</v>
      </c>
      <c r="AA1356">
        <v>8</v>
      </c>
      <c r="AB1356">
        <v>3</v>
      </c>
      <c r="AC1356">
        <v>0</v>
      </c>
      <c r="AD1356">
        <v>10</v>
      </c>
      <c r="AE1356">
        <v>0</v>
      </c>
      <c r="AF1356">
        <v>0</v>
      </c>
      <c r="AG1356">
        <v>1</v>
      </c>
      <c r="AH1356">
        <v>1</v>
      </c>
      <c r="AI1356" t="s">
        <v>1023</v>
      </c>
      <c r="AJ1356">
        <v>35.195796000000001</v>
      </c>
      <c r="AK1356" t="s">
        <v>1024</v>
      </c>
      <c r="AL1356">
        <v>-76.225054</v>
      </c>
      <c r="AM1356">
        <v>25</v>
      </c>
      <c r="AN1356">
        <v>3150</v>
      </c>
      <c r="AO1356" t="s">
        <v>118</v>
      </c>
      <c r="AP1356">
        <v>247</v>
      </c>
      <c r="AQ1356">
        <v>59</v>
      </c>
      <c r="AR1356">
        <v>-512</v>
      </c>
      <c r="AZ1356">
        <v>4516</v>
      </c>
      <c r="BA1356">
        <v>1</v>
      </c>
      <c r="BB1356" t="str">
        <f t="shared" si="132"/>
        <v xml:space="preserve">N79NX   </v>
      </c>
      <c r="BC1356">
        <v>1</v>
      </c>
      <c r="BE1356">
        <v>0</v>
      </c>
      <c r="BF1356">
        <v>0</v>
      </c>
      <c r="BG1356">
        <v>0</v>
      </c>
      <c r="BH1356">
        <v>3025</v>
      </c>
      <c r="BI1356">
        <v>0</v>
      </c>
      <c r="BJ1356">
        <v>0</v>
      </c>
      <c r="BK1356">
        <v>0</v>
      </c>
      <c r="BL1356">
        <v>0</v>
      </c>
      <c r="BO1356">
        <v>0</v>
      </c>
      <c r="BP1356">
        <v>0</v>
      </c>
      <c r="BW1356" t="str">
        <f>"18:43:37.162"</f>
        <v>18:43:37.162</v>
      </c>
      <c r="BZ1356">
        <v>0</v>
      </c>
      <c r="CA1356">
        <v>3008</v>
      </c>
      <c r="CB1356">
        <v>216</v>
      </c>
      <c r="CC1356">
        <v>428.90629999999999</v>
      </c>
      <c r="CD1356">
        <v>1</v>
      </c>
      <c r="CE1356">
        <v>1</v>
      </c>
      <c r="CF1356">
        <v>0</v>
      </c>
      <c r="CG1356">
        <v>0</v>
      </c>
      <c r="CH1356">
        <v>0</v>
      </c>
      <c r="CI1356">
        <v>0</v>
      </c>
      <c r="CJ1356">
        <v>0</v>
      </c>
      <c r="CK1356">
        <v>2</v>
      </c>
      <c r="CL1356">
        <v>0</v>
      </c>
      <c r="CM1356">
        <v>2</v>
      </c>
      <c r="CN1356">
        <v>0</v>
      </c>
      <c r="CO1356">
        <v>1</v>
      </c>
      <c r="CP1356" t="s">
        <v>119</v>
      </c>
      <c r="CQ1356">
        <v>145</v>
      </c>
      <c r="CR1356">
        <v>1</v>
      </c>
      <c r="CW1356">
        <v>9076463</v>
      </c>
      <c r="CY1356">
        <v>0</v>
      </c>
      <c r="CZ1356">
        <v>0</v>
      </c>
      <c r="DA1356">
        <v>1</v>
      </c>
      <c r="DB1356">
        <v>0</v>
      </c>
      <c r="DC1356">
        <v>0</v>
      </c>
      <c r="DD1356">
        <v>0</v>
      </c>
      <c r="DE1356">
        <v>0</v>
      </c>
      <c r="DF1356">
        <v>0</v>
      </c>
      <c r="DG1356">
        <v>0</v>
      </c>
      <c r="DH1356">
        <v>0</v>
      </c>
      <c r="DI1356">
        <v>0</v>
      </c>
    </row>
    <row r="1357" spans="1:113" x14ac:dyDescent="0.3">
      <c r="A1357" t="str">
        <f>"02/13/2022 18:43:38.302"</f>
        <v>02/13/2022 18:43:38.302</v>
      </c>
      <c r="C1357" t="str">
        <f t="shared" si="131"/>
        <v>FFDFD7C0</v>
      </c>
      <c r="D1357" t="s">
        <v>113</v>
      </c>
      <c r="E1357">
        <v>3</v>
      </c>
      <c r="F1357">
        <v>1003</v>
      </c>
      <c r="G1357" t="s">
        <v>114</v>
      </c>
      <c r="J1357" t="s">
        <v>115</v>
      </c>
      <c r="K1357">
        <v>0</v>
      </c>
      <c r="L1357">
        <v>3</v>
      </c>
      <c r="M1357">
        <v>0</v>
      </c>
      <c r="N1357">
        <v>2</v>
      </c>
      <c r="O1357">
        <v>1</v>
      </c>
      <c r="P1357">
        <v>0</v>
      </c>
      <c r="Q1357">
        <v>0</v>
      </c>
      <c r="S1357" t="str">
        <f>"18:43:38.086"</f>
        <v>18:43:38.086</v>
      </c>
      <c r="T1357" t="str">
        <f>"18:43:37.686"</f>
        <v>18:43:37.686</v>
      </c>
      <c r="U1357" t="str">
        <f t="shared" si="130"/>
        <v>AAB6EE</v>
      </c>
      <c r="V1357">
        <v>0</v>
      </c>
      <c r="W1357">
        <v>0</v>
      </c>
      <c r="X1357">
        <v>4</v>
      </c>
      <c r="Z1357">
        <v>0</v>
      </c>
      <c r="AA1357">
        <v>8</v>
      </c>
      <c r="AB1357">
        <v>3</v>
      </c>
      <c r="AC1357">
        <v>0</v>
      </c>
      <c r="AD1357">
        <v>10</v>
      </c>
      <c r="AE1357">
        <v>0</v>
      </c>
      <c r="AF1357">
        <v>0</v>
      </c>
      <c r="AG1357">
        <v>1</v>
      </c>
      <c r="AH1357">
        <v>1</v>
      </c>
      <c r="AI1357" t="s">
        <v>1025</v>
      </c>
      <c r="AJ1357">
        <v>35.196053999999997</v>
      </c>
      <c r="AK1357" t="s">
        <v>1026</v>
      </c>
      <c r="AL1357">
        <v>-76.223766999999995</v>
      </c>
      <c r="AM1357">
        <v>25</v>
      </c>
      <c r="AN1357">
        <v>3150</v>
      </c>
      <c r="AO1357" t="s">
        <v>118</v>
      </c>
      <c r="AP1357">
        <v>245</v>
      </c>
      <c r="AQ1357">
        <v>68</v>
      </c>
      <c r="AR1357">
        <v>-512</v>
      </c>
      <c r="AZ1357">
        <v>4516</v>
      </c>
      <c r="BA1357">
        <v>1</v>
      </c>
      <c r="BB1357" t="str">
        <f t="shared" si="132"/>
        <v xml:space="preserve">N79NX   </v>
      </c>
      <c r="BC1357">
        <v>1</v>
      </c>
      <c r="BE1357">
        <v>0</v>
      </c>
      <c r="BF1357">
        <v>0</v>
      </c>
      <c r="BG1357">
        <v>0</v>
      </c>
      <c r="BH1357">
        <v>3025</v>
      </c>
      <c r="BI1357">
        <v>0</v>
      </c>
      <c r="BJ1357">
        <v>0</v>
      </c>
      <c r="BK1357">
        <v>0</v>
      </c>
      <c r="BL1357">
        <v>0</v>
      </c>
      <c r="BO1357">
        <v>0</v>
      </c>
      <c r="BP1357">
        <v>0</v>
      </c>
      <c r="BW1357" t="str">
        <f>"18:43:38.092"</f>
        <v>18:43:38.092</v>
      </c>
      <c r="BZ1357">
        <v>0</v>
      </c>
      <c r="CA1357">
        <v>3008</v>
      </c>
      <c r="CB1357">
        <v>216</v>
      </c>
      <c r="CC1357">
        <v>428.90629999999999</v>
      </c>
      <c r="CD1357">
        <v>1</v>
      </c>
      <c r="CE1357">
        <v>1</v>
      </c>
      <c r="CF1357">
        <v>0</v>
      </c>
      <c r="CG1357">
        <v>0</v>
      </c>
      <c r="CH1357">
        <v>0</v>
      </c>
      <c r="CI1357">
        <v>0</v>
      </c>
      <c r="CJ1357">
        <v>0</v>
      </c>
      <c r="CK1357">
        <v>2</v>
      </c>
      <c r="CL1357">
        <v>0</v>
      </c>
      <c r="CM1357">
        <v>2</v>
      </c>
      <c r="CN1357">
        <v>0</v>
      </c>
      <c r="CO1357">
        <v>2</v>
      </c>
      <c r="CP1357" t="s">
        <v>119</v>
      </c>
      <c r="CQ1357">
        <v>145</v>
      </c>
      <c r="CR1357">
        <v>1</v>
      </c>
      <c r="CW1357">
        <v>9076977</v>
      </c>
      <c r="CY1357">
        <v>0</v>
      </c>
      <c r="CZ1357">
        <v>0</v>
      </c>
      <c r="DA1357">
        <v>0</v>
      </c>
      <c r="DB1357">
        <v>0</v>
      </c>
      <c r="DC1357">
        <v>0</v>
      </c>
      <c r="DD1357">
        <v>0</v>
      </c>
      <c r="DE1357">
        <v>0</v>
      </c>
      <c r="DF1357">
        <v>0</v>
      </c>
      <c r="DG1357">
        <v>0</v>
      </c>
      <c r="DH1357">
        <v>0</v>
      </c>
      <c r="DI1357">
        <v>0</v>
      </c>
    </row>
    <row r="1358" spans="1:113" x14ac:dyDescent="0.3">
      <c r="A1358" t="str">
        <f>"02/13/2022 18:43:38.302"</f>
        <v>02/13/2022 18:43:38.302</v>
      </c>
      <c r="C1358" t="str">
        <f t="shared" si="131"/>
        <v>FFDFD7C0</v>
      </c>
      <c r="D1358" t="s">
        <v>113</v>
      </c>
      <c r="E1358">
        <v>4</v>
      </c>
      <c r="F1358">
        <v>1004</v>
      </c>
      <c r="G1358" t="s">
        <v>120</v>
      </c>
      <c r="J1358" t="s">
        <v>115</v>
      </c>
      <c r="K1358">
        <v>0</v>
      </c>
      <c r="L1358">
        <v>3</v>
      </c>
      <c r="M1358">
        <v>0</v>
      </c>
      <c r="N1358">
        <v>2</v>
      </c>
      <c r="O1358">
        <v>1</v>
      </c>
      <c r="P1358">
        <v>0</v>
      </c>
      <c r="Q1358">
        <v>0</v>
      </c>
      <c r="S1358" t="str">
        <f>"18:43:38.086"</f>
        <v>18:43:38.086</v>
      </c>
      <c r="T1358" t="str">
        <f>"18:43:37.686"</f>
        <v>18:43:37.686</v>
      </c>
      <c r="U1358" t="str">
        <f t="shared" si="130"/>
        <v>AAB6EE</v>
      </c>
      <c r="V1358">
        <v>0</v>
      </c>
      <c r="W1358">
        <v>0</v>
      </c>
      <c r="X1358">
        <v>4</v>
      </c>
      <c r="Z1358">
        <v>0</v>
      </c>
      <c r="AA1358">
        <v>8</v>
      </c>
      <c r="AB1358">
        <v>3</v>
      </c>
      <c r="AC1358">
        <v>0</v>
      </c>
      <c r="AD1358">
        <v>10</v>
      </c>
      <c r="AE1358">
        <v>0</v>
      </c>
      <c r="AF1358">
        <v>0</v>
      </c>
      <c r="AG1358">
        <v>1</v>
      </c>
      <c r="AH1358">
        <v>1</v>
      </c>
      <c r="AI1358" t="s">
        <v>1025</v>
      </c>
      <c r="AJ1358">
        <v>35.196053999999997</v>
      </c>
      <c r="AK1358" t="s">
        <v>1026</v>
      </c>
      <c r="AL1358">
        <v>-76.223766999999995</v>
      </c>
      <c r="AM1358">
        <v>25</v>
      </c>
      <c r="AN1358">
        <v>3150</v>
      </c>
      <c r="AO1358" t="s">
        <v>118</v>
      </c>
      <c r="AP1358">
        <v>245</v>
      </c>
      <c r="AQ1358">
        <v>68</v>
      </c>
      <c r="AR1358">
        <v>-512</v>
      </c>
      <c r="AZ1358">
        <v>4516</v>
      </c>
      <c r="BA1358">
        <v>1</v>
      </c>
      <c r="BB1358" t="str">
        <f t="shared" si="132"/>
        <v xml:space="preserve">N79NX   </v>
      </c>
      <c r="BC1358">
        <v>1</v>
      </c>
      <c r="BE1358">
        <v>0</v>
      </c>
      <c r="BF1358">
        <v>0</v>
      </c>
      <c r="BG1358">
        <v>0</v>
      </c>
      <c r="BH1358">
        <v>3025</v>
      </c>
      <c r="BI1358">
        <v>0</v>
      </c>
      <c r="BJ1358">
        <v>0</v>
      </c>
      <c r="BK1358">
        <v>0</v>
      </c>
      <c r="BL1358">
        <v>0</v>
      </c>
      <c r="BO1358">
        <v>0</v>
      </c>
      <c r="BP1358">
        <v>0</v>
      </c>
      <c r="BW1358" t="str">
        <f>"18:43:38.092"</f>
        <v>18:43:38.092</v>
      </c>
      <c r="BZ1358">
        <v>0</v>
      </c>
      <c r="CA1358">
        <v>3008</v>
      </c>
      <c r="CB1358">
        <v>216</v>
      </c>
      <c r="CC1358">
        <v>428.90629999999999</v>
      </c>
      <c r="CD1358">
        <v>1</v>
      </c>
      <c r="CE1358">
        <v>1</v>
      </c>
      <c r="CF1358">
        <v>0</v>
      </c>
      <c r="CG1358">
        <v>0</v>
      </c>
      <c r="CH1358">
        <v>0</v>
      </c>
      <c r="CI1358">
        <v>0</v>
      </c>
      <c r="CJ1358">
        <v>0</v>
      </c>
      <c r="CK1358">
        <v>2</v>
      </c>
      <c r="CL1358">
        <v>0</v>
      </c>
      <c r="CM1358">
        <v>2</v>
      </c>
      <c r="CN1358">
        <v>0</v>
      </c>
      <c r="CO1358">
        <v>2</v>
      </c>
      <c r="CP1358" t="s">
        <v>119</v>
      </c>
      <c r="CQ1358">
        <v>145</v>
      </c>
      <c r="CR1358">
        <v>1</v>
      </c>
      <c r="CW1358">
        <v>9076977</v>
      </c>
      <c r="CY1358">
        <v>0</v>
      </c>
      <c r="CZ1358">
        <v>0</v>
      </c>
      <c r="DA1358">
        <v>1</v>
      </c>
      <c r="DB1358">
        <v>0</v>
      </c>
      <c r="DC1358">
        <v>0</v>
      </c>
      <c r="DD1358">
        <v>0</v>
      </c>
      <c r="DE1358">
        <v>0</v>
      </c>
      <c r="DF1358">
        <v>0</v>
      </c>
      <c r="DG1358">
        <v>0</v>
      </c>
      <c r="DH1358">
        <v>0</v>
      </c>
      <c r="DI1358">
        <v>0</v>
      </c>
    </row>
    <row r="1359" spans="1:113" x14ac:dyDescent="0.3">
      <c r="A1359" t="str">
        <f>"02/13/2022 18:43:38.302"</f>
        <v>02/13/2022 18:43:38.302</v>
      </c>
      <c r="C1359" t="str">
        <f t="shared" si="131"/>
        <v>FFDFD7C0</v>
      </c>
      <c r="D1359" t="s">
        <v>121</v>
      </c>
      <c r="E1359">
        <v>2</v>
      </c>
      <c r="H1359">
        <v>158</v>
      </c>
      <c r="I1359" t="s">
        <v>120</v>
      </c>
      <c r="J1359" t="s">
        <v>122</v>
      </c>
      <c r="K1359">
        <v>0</v>
      </c>
      <c r="L1359">
        <v>3</v>
      </c>
      <c r="M1359">
        <v>0</v>
      </c>
      <c r="N1359">
        <v>2</v>
      </c>
      <c r="O1359">
        <v>1</v>
      </c>
      <c r="P1359">
        <v>0</v>
      </c>
      <c r="Q1359">
        <v>0</v>
      </c>
      <c r="S1359" t="str">
        <f>"18:43:38.086"</f>
        <v>18:43:38.086</v>
      </c>
      <c r="T1359" t="str">
        <f>"18:43:37.686"</f>
        <v>18:43:37.686</v>
      </c>
      <c r="U1359" t="str">
        <f t="shared" si="130"/>
        <v>AAB6EE</v>
      </c>
      <c r="V1359">
        <v>0</v>
      </c>
      <c r="W1359">
        <v>0</v>
      </c>
      <c r="X1359">
        <v>4</v>
      </c>
      <c r="Z1359">
        <v>0</v>
      </c>
      <c r="AA1359">
        <v>8</v>
      </c>
      <c r="AB1359">
        <v>3</v>
      </c>
      <c r="AC1359">
        <v>0</v>
      </c>
      <c r="AD1359">
        <v>10</v>
      </c>
      <c r="AE1359">
        <v>0</v>
      </c>
      <c r="AF1359">
        <v>0</v>
      </c>
      <c r="AG1359">
        <v>1</v>
      </c>
      <c r="AH1359">
        <v>1</v>
      </c>
      <c r="AI1359" t="s">
        <v>1025</v>
      </c>
      <c r="AJ1359">
        <v>35.196053999999997</v>
      </c>
      <c r="AK1359" t="s">
        <v>1026</v>
      </c>
      <c r="AL1359">
        <v>-76.223766999999995</v>
      </c>
      <c r="AM1359">
        <v>25</v>
      </c>
      <c r="AN1359">
        <v>3150</v>
      </c>
      <c r="AO1359" t="s">
        <v>118</v>
      </c>
      <c r="AP1359">
        <v>245</v>
      </c>
      <c r="AQ1359">
        <v>68</v>
      </c>
      <c r="AR1359">
        <v>-512</v>
      </c>
      <c r="AZ1359">
        <v>4516</v>
      </c>
      <c r="BA1359">
        <v>1</v>
      </c>
      <c r="BB1359" t="str">
        <f t="shared" si="132"/>
        <v xml:space="preserve">N79NX   </v>
      </c>
      <c r="BC1359">
        <v>1</v>
      </c>
      <c r="BE1359">
        <v>0</v>
      </c>
      <c r="BF1359">
        <v>0</v>
      </c>
      <c r="BG1359">
        <v>0</v>
      </c>
      <c r="BH1359">
        <v>3025</v>
      </c>
      <c r="BI1359">
        <v>0</v>
      </c>
      <c r="BJ1359">
        <v>0</v>
      </c>
      <c r="BK1359">
        <v>0</v>
      </c>
      <c r="BL1359">
        <v>0</v>
      </c>
      <c r="BO1359">
        <v>0</v>
      </c>
      <c r="BP1359">
        <v>0</v>
      </c>
      <c r="BW1359" t="str">
        <f>"18:43:38.092"</f>
        <v>18:43:38.092</v>
      </c>
      <c r="BZ1359">
        <v>0</v>
      </c>
      <c r="CA1359">
        <v>3008</v>
      </c>
      <c r="CB1359">
        <v>216</v>
      </c>
      <c r="CC1359">
        <v>428.90629999999999</v>
      </c>
      <c r="CD1359">
        <v>1</v>
      </c>
      <c r="CE1359">
        <v>1</v>
      </c>
      <c r="CF1359">
        <v>0</v>
      </c>
      <c r="CG1359">
        <v>0</v>
      </c>
      <c r="CH1359">
        <v>0</v>
      </c>
      <c r="CI1359">
        <v>0</v>
      </c>
      <c r="CJ1359">
        <v>0</v>
      </c>
      <c r="CK1359">
        <v>2</v>
      </c>
      <c r="CL1359">
        <v>0</v>
      </c>
      <c r="CM1359">
        <v>2</v>
      </c>
      <c r="CN1359">
        <v>0</v>
      </c>
      <c r="CO1359">
        <v>2</v>
      </c>
      <c r="CP1359" t="s">
        <v>119</v>
      </c>
      <c r="CQ1359">
        <v>145</v>
      </c>
      <c r="CR1359">
        <v>1</v>
      </c>
      <c r="CW1359">
        <v>9076977</v>
      </c>
      <c r="CY1359">
        <v>0</v>
      </c>
      <c r="CZ1359">
        <v>0</v>
      </c>
      <c r="DA1359">
        <v>1</v>
      </c>
      <c r="DB1359">
        <v>0</v>
      </c>
      <c r="DC1359">
        <v>0</v>
      </c>
      <c r="DD1359">
        <v>0</v>
      </c>
      <c r="DE1359">
        <v>0</v>
      </c>
      <c r="DF1359">
        <v>0</v>
      </c>
      <c r="DG1359">
        <v>0</v>
      </c>
      <c r="DH1359">
        <v>0</v>
      </c>
      <c r="DI1359">
        <v>0</v>
      </c>
    </row>
    <row r="1360" spans="1:113" x14ac:dyDescent="0.3">
      <c r="A1360" t="str">
        <f>"02/13/2022 18:43:39.208"</f>
        <v>02/13/2022 18:43:39.208</v>
      </c>
      <c r="C1360" t="str">
        <f t="shared" si="131"/>
        <v>FFDFD7C0</v>
      </c>
      <c r="D1360" t="s">
        <v>121</v>
      </c>
      <c r="E1360">
        <v>2</v>
      </c>
      <c r="H1360">
        <v>158</v>
      </c>
      <c r="I1360" t="s">
        <v>120</v>
      </c>
      <c r="J1360" t="s">
        <v>122</v>
      </c>
      <c r="K1360">
        <v>0</v>
      </c>
      <c r="L1360">
        <v>3</v>
      </c>
      <c r="M1360">
        <v>0</v>
      </c>
      <c r="N1360">
        <v>2</v>
      </c>
      <c r="O1360">
        <v>1</v>
      </c>
      <c r="P1360">
        <v>0</v>
      </c>
      <c r="Q1360">
        <v>0</v>
      </c>
      <c r="S1360" t="str">
        <f>"18:43:39.000"</f>
        <v>18:43:39.000</v>
      </c>
      <c r="T1360" t="str">
        <f>"18:43:38.800"</f>
        <v>18:43:38.800</v>
      </c>
      <c r="U1360" t="str">
        <f t="shared" si="130"/>
        <v>AAB6EE</v>
      </c>
      <c r="V1360">
        <v>0</v>
      </c>
      <c r="W1360">
        <v>0</v>
      </c>
      <c r="X1360">
        <v>4</v>
      </c>
      <c r="Z1360">
        <v>0</v>
      </c>
      <c r="AA1360">
        <v>8</v>
      </c>
      <c r="AB1360">
        <v>3</v>
      </c>
      <c r="AC1360">
        <v>0</v>
      </c>
      <c r="AD1360">
        <v>10</v>
      </c>
      <c r="AE1360">
        <v>0</v>
      </c>
      <c r="AF1360">
        <v>0</v>
      </c>
      <c r="AG1360">
        <v>1</v>
      </c>
      <c r="AH1360">
        <v>1</v>
      </c>
      <c r="AI1360" t="s">
        <v>1027</v>
      </c>
      <c r="AJ1360">
        <v>35.196396999999997</v>
      </c>
      <c r="AK1360" t="s">
        <v>1028</v>
      </c>
      <c r="AL1360">
        <v>-76.222587000000004</v>
      </c>
      <c r="AM1360">
        <v>25</v>
      </c>
      <c r="AN1360">
        <v>3150</v>
      </c>
      <c r="AO1360" t="s">
        <v>118</v>
      </c>
      <c r="AP1360">
        <v>243</v>
      </c>
      <c r="AQ1360">
        <v>77</v>
      </c>
      <c r="AR1360">
        <v>-512</v>
      </c>
      <c r="AZ1360">
        <v>4516</v>
      </c>
      <c r="BA1360">
        <v>1</v>
      </c>
      <c r="BB1360" t="str">
        <f t="shared" si="132"/>
        <v xml:space="preserve">N79NX   </v>
      </c>
      <c r="BC1360">
        <v>1</v>
      </c>
      <c r="BE1360">
        <v>0</v>
      </c>
      <c r="BF1360">
        <v>0</v>
      </c>
      <c r="BG1360">
        <v>0</v>
      </c>
      <c r="BH1360">
        <v>3000</v>
      </c>
      <c r="BI1360">
        <v>0</v>
      </c>
      <c r="BJ1360">
        <v>0</v>
      </c>
      <c r="BK1360">
        <v>0</v>
      </c>
      <c r="BL1360">
        <v>0</v>
      </c>
      <c r="BO1360">
        <v>0</v>
      </c>
      <c r="BP1360">
        <v>0</v>
      </c>
      <c r="BW1360" t="str">
        <f>"18:43:39.002"</f>
        <v>18:43:39.002</v>
      </c>
      <c r="BZ1360">
        <v>0</v>
      </c>
      <c r="CA1360">
        <v>3008</v>
      </c>
      <c r="CB1360">
        <v>216</v>
      </c>
      <c r="CC1360">
        <v>428.90629999999999</v>
      </c>
      <c r="CD1360">
        <v>1</v>
      </c>
      <c r="CE1360">
        <v>1</v>
      </c>
      <c r="CF1360">
        <v>0</v>
      </c>
      <c r="CG1360">
        <v>0</v>
      </c>
      <c r="CH1360">
        <v>0</v>
      </c>
      <c r="CI1360">
        <v>0</v>
      </c>
      <c r="CJ1360">
        <v>0</v>
      </c>
      <c r="CK1360">
        <v>2</v>
      </c>
      <c r="CL1360">
        <v>0</v>
      </c>
      <c r="CM1360">
        <v>2</v>
      </c>
      <c r="CN1360">
        <v>0</v>
      </c>
      <c r="CO1360">
        <v>1</v>
      </c>
      <c r="CP1360" t="s">
        <v>119</v>
      </c>
      <c r="CQ1360">
        <v>145</v>
      </c>
      <c r="CR1360">
        <v>1</v>
      </c>
      <c r="CW1360">
        <v>9077470</v>
      </c>
      <c r="CY1360">
        <v>0</v>
      </c>
      <c r="CZ1360">
        <v>0</v>
      </c>
      <c r="DA1360">
        <v>0</v>
      </c>
      <c r="DB1360">
        <v>0</v>
      </c>
      <c r="DC1360">
        <v>0</v>
      </c>
      <c r="DD1360">
        <v>0</v>
      </c>
      <c r="DE1360">
        <v>0</v>
      </c>
      <c r="DF1360">
        <v>0</v>
      </c>
      <c r="DG1360">
        <v>0</v>
      </c>
      <c r="DH1360">
        <v>0</v>
      </c>
      <c r="DI1360">
        <v>0</v>
      </c>
    </row>
    <row r="1361" spans="1:113" x14ac:dyDescent="0.3">
      <c r="A1361" t="str">
        <f>"02/13/2022 18:43:39.270"</f>
        <v>02/13/2022 18:43:39.270</v>
      </c>
      <c r="C1361" t="str">
        <f t="shared" si="131"/>
        <v>FFDFD7C0</v>
      </c>
      <c r="D1361" t="s">
        <v>113</v>
      </c>
      <c r="E1361">
        <v>3</v>
      </c>
      <c r="F1361">
        <v>1003</v>
      </c>
      <c r="G1361" t="s">
        <v>114</v>
      </c>
      <c r="J1361" t="s">
        <v>115</v>
      </c>
      <c r="K1361">
        <v>0</v>
      </c>
      <c r="L1361">
        <v>3</v>
      </c>
      <c r="M1361">
        <v>0</v>
      </c>
      <c r="N1361">
        <v>2</v>
      </c>
      <c r="O1361">
        <v>1</v>
      </c>
      <c r="P1361">
        <v>0</v>
      </c>
      <c r="Q1361">
        <v>0</v>
      </c>
      <c r="S1361" t="str">
        <f>"18:43:39.000"</f>
        <v>18:43:39.000</v>
      </c>
      <c r="T1361" t="str">
        <f>"18:43:38.800"</f>
        <v>18:43:38.800</v>
      </c>
      <c r="U1361" t="str">
        <f t="shared" si="130"/>
        <v>AAB6EE</v>
      </c>
      <c r="V1361">
        <v>0</v>
      </c>
      <c r="W1361">
        <v>0</v>
      </c>
      <c r="X1361">
        <v>4</v>
      </c>
      <c r="Z1361">
        <v>0</v>
      </c>
      <c r="AA1361">
        <v>8</v>
      </c>
      <c r="AB1361">
        <v>3</v>
      </c>
      <c r="AC1361">
        <v>0</v>
      </c>
      <c r="AD1361">
        <v>10</v>
      </c>
      <c r="AE1361">
        <v>0</v>
      </c>
      <c r="AF1361">
        <v>0</v>
      </c>
      <c r="AG1361">
        <v>1</v>
      </c>
      <c r="AH1361">
        <v>1</v>
      </c>
      <c r="AI1361" t="s">
        <v>1027</v>
      </c>
      <c r="AJ1361">
        <v>35.196396999999997</v>
      </c>
      <c r="AK1361" t="s">
        <v>1028</v>
      </c>
      <c r="AL1361">
        <v>-76.222587000000004</v>
      </c>
      <c r="AM1361">
        <v>25</v>
      </c>
      <c r="AN1361">
        <v>3150</v>
      </c>
      <c r="AO1361" t="s">
        <v>118</v>
      </c>
      <c r="AP1361">
        <v>243</v>
      </c>
      <c r="AQ1361">
        <v>77</v>
      </c>
      <c r="AR1361">
        <v>-512</v>
      </c>
      <c r="AZ1361">
        <v>4516</v>
      </c>
      <c r="BA1361">
        <v>1</v>
      </c>
      <c r="BB1361" t="str">
        <f t="shared" si="132"/>
        <v xml:space="preserve">N79NX   </v>
      </c>
      <c r="BC1361">
        <v>1</v>
      </c>
      <c r="BE1361">
        <v>0</v>
      </c>
      <c r="BF1361">
        <v>0</v>
      </c>
      <c r="BG1361">
        <v>0</v>
      </c>
      <c r="BH1361">
        <v>3000</v>
      </c>
      <c r="BI1361">
        <v>0</v>
      </c>
      <c r="BJ1361">
        <v>0</v>
      </c>
      <c r="BK1361">
        <v>0</v>
      </c>
      <c r="BL1361">
        <v>0</v>
      </c>
      <c r="BO1361">
        <v>0</v>
      </c>
      <c r="BP1361">
        <v>0</v>
      </c>
      <c r="BW1361" t="str">
        <f>"18:43:39.002"</f>
        <v>18:43:39.002</v>
      </c>
      <c r="BZ1361">
        <v>0</v>
      </c>
      <c r="CA1361">
        <v>3008</v>
      </c>
      <c r="CB1361">
        <v>216</v>
      </c>
      <c r="CC1361">
        <v>428.90629999999999</v>
      </c>
      <c r="CD1361">
        <v>1</v>
      </c>
      <c r="CE1361">
        <v>1</v>
      </c>
      <c r="CF1361">
        <v>0</v>
      </c>
      <c r="CG1361">
        <v>0</v>
      </c>
      <c r="CH1361">
        <v>0</v>
      </c>
      <c r="CI1361">
        <v>0</v>
      </c>
      <c r="CJ1361">
        <v>0</v>
      </c>
      <c r="CK1361">
        <v>2</v>
      </c>
      <c r="CL1361">
        <v>0</v>
      </c>
      <c r="CM1361">
        <v>2</v>
      </c>
      <c r="CN1361">
        <v>0</v>
      </c>
      <c r="CO1361">
        <v>1</v>
      </c>
      <c r="CP1361" t="s">
        <v>119</v>
      </c>
      <c r="CQ1361">
        <v>145</v>
      </c>
      <c r="CR1361">
        <v>1</v>
      </c>
      <c r="CW1361">
        <v>9077470</v>
      </c>
      <c r="CY1361">
        <v>0</v>
      </c>
      <c r="CZ1361">
        <v>0</v>
      </c>
      <c r="DA1361">
        <v>1</v>
      </c>
      <c r="DB1361">
        <v>0</v>
      </c>
      <c r="DC1361">
        <v>0</v>
      </c>
      <c r="DD1361">
        <v>0</v>
      </c>
      <c r="DE1361">
        <v>0</v>
      </c>
      <c r="DF1361">
        <v>0</v>
      </c>
      <c r="DG1361">
        <v>0</v>
      </c>
      <c r="DH1361">
        <v>0</v>
      </c>
      <c r="DI1361">
        <v>0</v>
      </c>
    </row>
    <row r="1362" spans="1:113" x14ac:dyDescent="0.3">
      <c r="A1362" t="str">
        <f>"02/13/2022 18:43:39.270"</f>
        <v>02/13/2022 18:43:39.270</v>
      </c>
      <c r="C1362" t="str">
        <f t="shared" si="131"/>
        <v>FFDFD7C0</v>
      </c>
      <c r="D1362" t="s">
        <v>113</v>
      </c>
      <c r="E1362">
        <v>4</v>
      </c>
      <c r="F1362">
        <v>1004</v>
      </c>
      <c r="G1362" t="s">
        <v>120</v>
      </c>
      <c r="J1362" t="s">
        <v>115</v>
      </c>
      <c r="K1362">
        <v>0</v>
      </c>
      <c r="L1362">
        <v>3</v>
      </c>
      <c r="M1362">
        <v>0</v>
      </c>
      <c r="N1362">
        <v>2</v>
      </c>
      <c r="O1362">
        <v>1</v>
      </c>
      <c r="P1362">
        <v>0</v>
      </c>
      <c r="Q1362">
        <v>0</v>
      </c>
      <c r="S1362" t="str">
        <f>"18:43:39.000"</f>
        <v>18:43:39.000</v>
      </c>
      <c r="T1362" t="str">
        <f>"18:43:38.800"</f>
        <v>18:43:38.800</v>
      </c>
      <c r="U1362" t="str">
        <f t="shared" si="130"/>
        <v>AAB6EE</v>
      </c>
      <c r="V1362">
        <v>0</v>
      </c>
      <c r="W1362">
        <v>0</v>
      </c>
      <c r="X1362">
        <v>4</v>
      </c>
      <c r="Z1362">
        <v>0</v>
      </c>
      <c r="AA1362">
        <v>8</v>
      </c>
      <c r="AB1362">
        <v>3</v>
      </c>
      <c r="AC1362">
        <v>0</v>
      </c>
      <c r="AD1362">
        <v>10</v>
      </c>
      <c r="AE1362">
        <v>0</v>
      </c>
      <c r="AF1362">
        <v>0</v>
      </c>
      <c r="AG1362">
        <v>1</v>
      </c>
      <c r="AH1362">
        <v>1</v>
      </c>
      <c r="AI1362" t="s">
        <v>1027</v>
      </c>
      <c r="AJ1362">
        <v>35.196396999999997</v>
      </c>
      <c r="AK1362" t="s">
        <v>1028</v>
      </c>
      <c r="AL1362">
        <v>-76.222587000000004</v>
      </c>
      <c r="AM1362">
        <v>25</v>
      </c>
      <c r="AN1362">
        <v>3150</v>
      </c>
      <c r="AO1362" t="s">
        <v>118</v>
      </c>
      <c r="AP1362">
        <v>243</v>
      </c>
      <c r="AQ1362">
        <v>77</v>
      </c>
      <c r="AR1362">
        <v>-512</v>
      </c>
      <c r="AZ1362">
        <v>4516</v>
      </c>
      <c r="BA1362">
        <v>1</v>
      </c>
      <c r="BB1362" t="str">
        <f t="shared" si="132"/>
        <v xml:space="preserve">N79NX   </v>
      </c>
      <c r="BC1362">
        <v>1</v>
      </c>
      <c r="BE1362">
        <v>0</v>
      </c>
      <c r="BF1362">
        <v>0</v>
      </c>
      <c r="BG1362">
        <v>0</v>
      </c>
      <c r="BH1362">
        <v>3000</v>
      </c>
      <c r="BI1362">
        <v>0</v>
      </c>
      <c r="BJ1362">
        <v>0</v>
      </c>
      <c r="BK1362">
        <v>0</v>
      </c>
      <c r="BL1362">
        <v>0</v>
      </c>
      <c r="BO1362">
        <v>0</v>
      </c>
      <c r="BP1362">
        <v>0</v>
      </c>
      <c r="BW1362" t="str">
        <f>"18:43:39.002"</f>
        <v>18:43:39.002</v>
      </c>
      <c r="BZ1362">
        <v>0</v>
      </c>
      <c r="CA1362">
        <v>3008</v>
      </c>
      <c r="CB1362">
        <v>216</v>
      </c>
      <c r="CC1362">
        <v>428.90629999999999</v>
      </c>
      <c r="CD1362">
        <v>1</v>
      </c>
      <c r="CE1362">
        <v>1</v>
      </c>
      <c r="CF1362">
        <v>0</v>
      </c>
      <c r="CG1362">
        <v>0</v>
      </c>
      <c r="CH1362">
        <v>0</v>
      </c>
      <c r="CI1362">
        <v>0</v>
      </c>
      <c r="CJ1362">
        <v>0</v>
      </c>
      <c r="CK1362">
        <v>2</v>
      </c>
      <c r="CL1362">
        <v>0</v>
      </c>
      <c r="CM1362">
        <v>2</v>
      </c>
      <c r="CN1362">
        <v>0</v>
      </c>
      <c r="CO1362">
        <v>1</v>
      </c>
      <c r="CP1362" t="s">
        <v>119</v>
      </c>
      <c r="CQ1362">
        <v>145</v>
      </c>
      <c r="CR1362">
        <v>1</v>
      </c>
      <c r="CW1362">
        <v>9077470</v>
      </c>
      <c r="CY1362">
        <v>0</v>
      </c>
      <c r="CZ1362">
        <v>0</v>
      </c>
      <c r="DA1362">
        <v>1</v>
      </c>
      <c r="DB1362">
        <v>0</v>
      </c>
      <c r="DC1362">
        <v>0</v>
      </c>
      <c r="DD1362">
        <v>0</v>
      </c>
      <c r="DE1362">
        <v>0</v>
      </c>
      <c r="DF1362">
        <v>0</v>
      </c>
      <c r="DG1362">
        <v>0</v>
      </c>
      <c r="DH1362">
        <v>0</v>
      </c>
      <c r="DI1362">
        <v>0</v>
      </c>
    </row>
    <row r="1363" spans="1:113" x14ac:dyDescent="0.3">
      <c r="A1363" t="str">
        <f>"02/13/2022 18:43:41.431"</f>
        <v>02/13/2022 18:43:41.431</v>
      </c>
      <c r="C1363" t="str">
        <f t="shared" si="131"/>
        <v>FFDFD7C0</v>
      </c>
      <c r="D1363" t="s">
        <v>113</v>
      </c>
      <c r="E1363">
        <v>3</v>
      </c>
      <c r="F1363">
        <v>1003</v>
      </c>
      <c r="G1363" t="s">
        <v>114</v>
      </c>
      <c r="J1363" t="s">
        <v>115</v>
      </c>
      <c r="K1363">
        <v>0</v>
      </c>
      <c r="L1363">
        <v>3</v>
      </c>
      <c r="M1363">
        <v>0</v>
      </c>
      <c r="N1363">
        <v>2</v>
      </c>
      <c r="O1363">
        <v>1</v>
      </c>
      <c r="P1363">
        <v>0</v>
      </c>
      <c r="Q1363">
        <v>0</v>
      </c>
      <c r="S1363" t="str">
        <f>"18:43:41.227"</f>
        <v>18:43:41.227</v>
      </c>
      <c r="T1363" t="str">
        <f>"18:43:40.627"</f>
        <v>18:43:40.627</v>
      </c>
      <c r="U1363" t="str">
        <f t="shared" si="130"/>
        <v>AAB6EE</v>
      </c>
      <c r="V1363">
        <v>0</v>
      </c>
      <c r="W1363">
        <v>0</v>
      </c>
      <c r="X1363">
        <v>4</v>
      </c>
      <c r="Z1363">
        <v>0</v>
      </c>
      <c r="AA1363">
        <v>8</v>
      </c>
      <c r="AB1363">
        <v>3</v>
      </c>
      <c r="AC1363">
        <v>0</v>
      </c>
      <c r="AD1363">
        <v>10</v>
      </c>
      <c r="AE1363">
        <v>0</v>
      </c>
      <c r="AF1363">
        <v>0</v>
      </c>
      <c r="AG1363">
        <v>1</v>
      </c>
      <c r="AH1363">
        <v>1</v>
      </c>
      <c r="AI1363" t="s">
        <v>1029</v>
      </c>
      <c r="AJ1363">
        <v>35.197363000000003</v>
      </c>
      <c r="AK1363" t="s">
        <v>1030</v>
      </c>
      <c r="AL1363">
        <v>-76.219475000000003</v>
      </c>
      <c r="AM1363">
        <v>25</v>
      </c>
      <c r="AN1363">
        <v>3125</v>
      </c>
      <c r="AO1363" t="s">
        <v>118</v>
      </c>
      <c r="AP1363">
        <v>238</v>
      </c>
      <c r="AQ1363">
        <v>94</v>
      </c>
      <c r="AR1363">
        <v>-384</v>
      </c>
      <c r="AZ1363">
        <v>4516</v>
      </c>
      <c r="BA1363">
        <v>1</v>
      </c>
      <c r="BB1363" t="str">
        <f t="shared" si="132"/>
        <v xml:space="preserve">N79NX   </v>
      </c>
      <c r="BC1363">
        <v>1</v>
      </c>
      <c r="BE1363">
        <v>0</v>
      </c>
      <c r="BF1363">
        <v>0</v>
      </c>
      <c r="BG1363">
        <v>0</v>
      </c>
      <c r="BH1363">
        <v>3000</v>
      </c>
      <c r="BI1363">
        <v>0</v>
      </c>
      <c r="BJ1363">
        <v>0</v>
      </c>
      <c r="BK1363">
        <v>0</v>
      </c>
      <c r="BL1363">
        <v>0</v>
      </c>
      <c r="BO1363">
        <v>0</v>
      </c>
      <c r="BP1363">
        <v>0</v>
      </c>
      <c r="BW1363" t="str">
        <f>"18:43:41.232"</f>
        <v>18:43:41.232</v>
      </c>
      <c r="BZ1363">
        <v>0</v>
      </c>
      <c r="CA1363">
        <v>3008</v>
      </c>
      <c r="CB1363">
        <v>216</v>
      </c>
      <c r="CC1363">
        <v>428.90629999999999</v>
      </c>
      <c r="CD1363">
        <v>1</v>
      </c>
      <c r="CE1363">
        <v>1</v>
      </c>
      <c r="CF1363">
        <v>0</v>
      </c>
      <c r="CG1363">
        <v>0</v>
      </c>
      <c r="CH1363">
        <v>0</v>
      </c>
      <c r="CI1363">
        <v>0</v>
      </c>
      <c r="CJ1363">
        <v>0</v>
      </c>
      <c r="CK1363">
        <v>2</v>
      </c>
      <c r="CL1363">
        <v>0</v>
      </c>
      <c r="CM1363">
        <v>2</v>
      </c>
      <c r="CN1363">
        <v>0</v>
      </c>
      <c r="CO1363">
        <v>1</v>
      </c>
      <c r="CP1363" t="s">
        <v>119</v>
      </c>
      <c r="CQ1363">
        <v>145</v>
      </c>
      <c r="CR1363">
        <v>1</v>
      </c>
      <c r="CW1363">
        <v>9078496</v>
      </c>
      <c r="CY1363">
        <v>0</v>
      </c>
      <c r="CZ1363">
        <v>0</v>
      </c>
      <c r="DA1363">
        <v>0</v>
      </c>
      <c r="DB1363">
        <v>0</v>
      </c>
      <c r="DC1363">
        <v>0</v>
      </c>
      <c r="DD1363">
        <v>0</v>
      </c>
      <c r="DE1363">
        <v>0</v>
      </c>
      <c r="DF1363">
        <v>0</v>
      </c>
      <c r="DG1363">
        <v>0</v>
      </c>
      <c r="DH1363">
        <v>1</v>
      </c>
      <c r="DI1363">
        <v>0</v>
      </c>
    </row>
    <row r="1364" spans="1:113" x14ac:dyDescent="0.3">
      <c r="A1364" t="str">
        <f>"02/13/2022 18:43:41.431"</f>
        <v>02/13/2022 18:43:41.431</v>
      </c>
      <c r="C1364" t="str">
        <f t="shared" si="131"/>
        <v>FFDFD7C0</v>
      </c>
      <c r="D1364" t="s">
        <v>113</v>
      </c>
      <c r="E1364">
        <v>4</v>
      </c>
      <c r="F1364">
        <v>1004</v>
      </c>
      <c r="G1364" t="s">
        <v>120</v>
      </c>
      <c r="J1364" t="s">
        <v>115</v>
      </c>
      <c r="K1364">
        <v>0</v>
      </c>
      <c r="L1364">
        <v>3</v>
      </c>
      <c r="M1364">
        <v>0</v>
      </c>
      <c r="N1364">
        <v>2</v>
      </c>
      <c r="O1364">
        <v>1</v>
      </c>
      <c r="P1364">
        <v>0</v>
      </c>
      <c r="Q1364">
        <v>0</v>
      </c>
      <c r="S1364" t="str">
        <f>"18:43:41.227"</f>
        <v>18:43:41.227</v>
      </c>
      <c r="T1364" t="str">
        <f>"18:43:40.627"</f>
        <v>18:43:40.627</v>
      </c>
      <c r="U1364" t="str">
        <f t="shared" si="130"/>
        <v>AAB6EE</v>
      </c>
      <c r="V1364">
        <v>0</v>
      </c>
      <c r="W1364">
        <v>0</v>
      </c>
      <c r="X1364">
        <v>4</v>
      </c>
      <c r="Z1364">
        <v>0</v>
      </c>
      <c r="AA1364">
        <v>8</v>
      </c>
      <c r="AB1364">
        <v>3</v>
      </c>
      <c r="AC1364">
        <v>0</v>
      </c>
      <c r="AD1364">
        <v>10</v>
      </c>
      <c r="AE1364">
        <v>0</v>
      </c>
      <c r="AF1364">
        <v>0</v>
      </c>
      <c r="AG1364">
        <v>1</v>
      </c>
      <c r="AH1364">
        <v>1</v>
      </c>
      <c r="AI1364" t="s">
        <v>1029</v>
      </c>
      <c r="AJ1364">
        <v>35.197363000000003</v>
      </c>
      <c r="AK1364" t="s">
        <v>1030</v>
      </c>
      <c r="AL1364">
        <v>-76.219475000000003</v>
      </c>
      <c r="AM1364">
        <v>25</v>
      </c>
      <c r="AN1364">
        <v>3125</v>
      </c>
      <c r="AO1364" t="s">
        <v>118</v>
      </c>
      <c r="AP1364">
        <v>238</v>
      </c>
      <c r="AQ1364">
        <v>94</v>
      </c>
      <c r="AR1364">
        <v>-384</v>
      </c>
      <c r="AZ1364">
        <v>4516</v>
      </c>
      <c r="BA1364">
        <v>1</v>
      </c>
      <c r="BB1364" t="str">
        <f t="shared" si="132"/>
        <v xml:space="preserve">N79NX   </v>
      </c>
      <c r="BC1364">
        <v>1</v>
      </c>
      <c r="BE1364">
        <v>0</v>
      </c>
      <c r="BF1364">
        <v>0</v>
      </c>
      <c r="BG1364">
        <v>0</v>
      </c>
      <c r="BH1364">
        <v>3000</v>
      </c>
      <c r="BI1364">
        <v>0</v>
      </c>
      <c r="BJ1364">
        <v>0</v>
      </c>
      <c r="BK1364">
        <v>0</v>
      </c>
      <c r="BL1364">
        <v>0</v>
      </c>
      <c r="BO1364">
        <v>0</v>
      </c>
      <c r="BP1364">
        <v>0</v>
      </c>
      <c r="BW1364" t="str">
        <f>"18:43:41.232"</f>
        <v>18:43:41.232</v>
      </c>
      <c r="BZ1364">
        <v>0</v>
      </c>
      <c r="CA1364">
        <v>3008</v>
      </c>
      <c r="CB1364">
        <v>216</v>
      </c>
      <c r="CC1364">
        <v>428.90629999999999</v>
      </c>
      <c r="CD1364">
        <v>1</v>
      </c>
      <c r="CE1364">
        <v>1</v>
      </c>
      <c r="CF1364">
        <v>0</v>
      </c>
      <c r="CG1364">
        <v>0</v>
      </c>
      <c r="CH1364">
        <v>0</v>
      </c>
      <c r="CI1364">
        <v>0</v>
      </c>
      <c r="CJ1364">
        <v>0</v>
      </c>
      <c r="CK1364">
        <v>2</v>
      </c>
      <c r="CL1364">
        <v>0</v>
      </c>
      <c r="CM1364">
        <v>2</v>
      </c>
      <c r="CN1364">
        <v>0</v>
      </c>
      <c r="CO1364">
        <v>1</v>
      </c>
      <c r="CP1364" t="s">
        <v>119</v>
      </c>
      <c r="CQ1364">
        <v>145</v>
      </c>
      <c r="CR1364">
        <v>1</v>
      </c>
      <c r="CW1364">
        <v>9078496</v>
      </c>
      <c r="CY1364">
        <v>0</v>
      </c>
      <c r="CZ1364">
        <v>0</v>
      </c>
      <c r="DA1364">
        <v>1</v>
      </c>
      <c r="DB1364">
        <v>0</v>
      </c>
      <c r="DC1364">
        <v>0</v>
      </c>
      <c r="DD1364">
        <v>0</v>
      </c>
      <c r="DE1364">
        <v>0</v>
      </c>
      <c r="DF1364">
        <v>0</v>
      </c>
      <c r="DG1364">
        <v>0</v>
      </c>
      <c r="DH1364">
        <v>1</v>
      </c>
      <c r="DI1364">
        <v>0</v>
      </c>
    </row>
    <row r="1365" spans="1:113" x14ac:dyDescent="0.3">
      <c r="A1365" t="str">
        <f>"02/13/2022 18:43:41.447"</f>
        <v>02/13/2022 18:43:41.447</v>
      </c>
      <c r="C1365" t="str">
        <f t="shared" si="131"/>
        <v>FFDFD7C0</v>
      </c>
      <c r="D1365" t="s">
        <v>121</v>
      </c>
      <c r="E1365">
        <v>2</v>
      </c>
      <c r="H1365">
        <v>158</v>
      </c>
      <c r="I1365" t="s">
        <v>120</v>
      </c>
      <c r="J1365" t="s">
        <v>122</v>
      </c>
      <c r="K1365">
        <v>0</v>
      </c>
      <c r="L1365">
        <v>3</v>
      </c>
      <c r="M1365">
        <v>0</v>
      </c>
      <c r="N1365">
        <v>2</v>
      </c>
      <c r="O1365">
        <v>1</v>
      </c>
      <c r="P1365">
        <v>0</v>
      </c>
      <c r="Q1365">
        <v>0</v>
      </c>
      <c r="S1365" t="str">
        <f>"18:43:41.227"</f>
        <v>18:43:41.227</v>
      </c>
      <c r="T1365" t="str">
        <f>"18:43:40.627"</f>
        <v>18:43:40.627</v>
      </c>
      <c r="U1365" t="str">
        <f t="shared" si="130"/>
        <v>AAB6EE</v>
      </c>
      <c r="V1365">
        <v>0</v>
      </c>
      <c r="W1365">
        <v>0</v>
      </c>
      <c r="X1365">
        <v>4</v>
      </c>
      <c r="Z1365">
        <v>0</v>
      </c>
      <c r="AA1365">
        <v>8</v>
      </c>
      <c r="AB1365">
        <v>3</v>
      </c>
      <c r="AC1365">
        <v>0</v>
      </c>
      <c r="AD1365">
        <v>10</v>
      </c>
      <c r="AE1365">
        <v>0</v>
      </c>
      <c r="AF1365">
        <v>0</v>
      </c>
      <c r="AG1365">
        <v>1</v>
      </c>
      <c r="AH1365">
        <v>1</v>
      </c>
      <c r="AI1365" t="s">
        <v>1029</v>
      </c>
      <c r="AJ1365">
        <v>35.197363000000003</v>
      </c>
      <c r="AK1365" t="s">
        <v>1030</v>
      </c>
      <c r="AL1365">
        <v>-76.219475000000003</v>
      </c>
      <c r="AM1365">
        <v>25</v>
      </c>
      <c r="AN1365">
        <v>3125</v>
      </c>
      <c r="AO1365" t="s">
        <v>118</v>
      </c>
      <c r="AP1365">
        <v>238</v>
      </c>
      <c r="AQ1365">
        <v>94</v>
      </c>
      <c r="AR1365">
        <v>-384</v>
      </c>
      <c r="AZ1365">
        <v>4516</v>
      </c>
      <c r="BA1365">
        <v>1</v>
      </c>
      <c r="BB1365" t="str">
        <f t="shared" si="132"/>
        <v xml:space="preserve">N79NX   </v>
      </c>
      <c r="BC1365">
        <v>1</v>
      </c>
      <c r="BE1365">
        <v>0</v>
      </c>
      <c r="BF1365">
        <v>0</v>
      </c>
      <c r="BG1365">
        <v>0</v>
      </c>
      <c r="BH1365">
        <v>3000</v>
      </c>
      <c r="BI1365">
        <v>0</v>
      </c>
      <c r="BJ1365">
        <v>0</v>
      </c>
      <c r="BK1365">
        <v>0</v>
      </c>
      <c r="BL1365">
        <v>0</v>
      </c>
      <c r="BO1365">
        <v>0</v>
      </c>
      <c r="BP1365">
        <v>0</v>
      </c>
      <c r="BW1365" t="str">
        <f>"18:43:41.232"</f>
        <v>18:43:41.232</v>
      </c>
      <c r="BZ1365">
        <v>0</v>
      </c>
      <c r="CA1365">
        <v>3008</v>
      </c>
      <c r="CB1365">
        <v>216</v>
      </c>
      <c r="CC1365">
        <v>428.90629999999999</v>
      </c>
      <c r="CD1365">
        <v>1</v>
      </c>
      <c r="CE1365">
        <v>1</v>
      </c>
      <c r="CF1365">
        <v>0</v>
      </c>
      <c r="CG1365">
        <v>0</v>
      </c>
      <c r="CH1365">
        <v>0</v>
      </c>
      <c r="CI1365">
        <v>0</v>
      </c>
      <c r="CJ1365">
        <v>0</v>
      </c>
      <c r="CK1365">
        <v>2</v>
      </c>
      <c r="CL1365">
        <v>0</v>
      </c>
      <c r="CM1365">
        <v>2</v>
      </c>
      <c r="CN1365">
        <v>0</v>
      </c>
      <c r="CO1365">
        <v>1</v>
      </c>
      <c r="CP1365" t="s">
        <v>119</v>
      </c>
      <c r="CQ1365">
        <v>145</v>
      </c>
      <c r="CR1365">
        <v>1</v>
      </c>
      <c r="CW1365">
        <v>9078496</v>
      </c>
      <c r="CY1365">
        <v>0</v>
      </c>
      <c r="CZ1365">
        <v>0</v>
      </c>
      <c r="DA1365">
        <v>1</v>
      </c>
      <c r="DB1365">
        <v>0</v>
      </c>
      <c r="DC1365">
        <v>0</v>
      </c>
      <c r="DD1365">
        <v>0</v>
      </c>
      <c r="DE1365">
        <v>0</v>
      </c>
      <c r="DF1365">
        <v>0</v>
      </c>
      <c r="DG1365">
        <v>0</v>
      </c>
      <c r="DH1365">
        <v>1</v>
      </c>
      <c r="DI1365">
        <v>0</v>
      </c>
    </row>
    <row r="1366" spans="1:113" x14ac:dyDescent="0.3">
      <c r="A1366" t="str">
        <f>"02/13/2022 18:44:03.101"</f>
        <v>02/13/2022 18:44:03.101</v>
      </c>
      <c r="C1366" t="str">
        <f>"FFDF53C0"</f>
        <v>FFDF53C0</v>
      </c>
      <c r="D1366" t="s">
        <v>113</v>
      </c>
      <c r="E1366">
        <v>3</v>
      </c>
      <c r="F1366">
        <v>1003</v>
      </c>
      <c r="G1366" t="s">
        <v>114</v>
      </c>
      <c r="J1366" t="s">
        <v>115</v>
      </c>
      <c r="K1366">
        <v>0</v>
      </c>
      <c r="L1366">
        <v>3</v>
      </c>
      <c r="M1366">
        <v>0</v>
      </c>
      <c r="N1366">
        <v>2</v>
      </c>
      <c r="O1366">
        <v>1</v>
      </c>
      <c r="P1366">
        <v>0</v>
      </c>
      <c r="Q1366">
        <v>0</v>
      </c>
      <c r="S1366" t="str">
        <f>"18:44:02.625"</f>
        <v>18:44:02.625</v>
      </c>
      <c r="U1366" t="str">
        <f t="shared" si="130"/>
        <v>AAB6EE</v>
      </c>
      <c r="V1366">
        <v>0</v>
      </c>
      <c r="W1366">
        <v>0</v>
      </c>
      <c r="X1366">
        <v>4</v>
      </c>
      <c r="Z1366">
        <v>0</v>
      </c>
      <c r="AA1366">
        <v>8</v>
      </c>
      <c r="AB1366">
        <v>3</v>
      </c>
      <c r="AC1366">
        <v>0</v>
      </c>
      <c r="AD1366">
        <v>10</v>
      </c>
      <c r="AE1366">
        <v>0</v>
      </c>
      <c r="AF1366">
        <v>0</v>
      </c>
      <c r="AG1366">
        <v>1</v>
      </c>
      <c r="AH1366">
        <v>1</v>
      </c>
      <c r="AI1366" t="s">
        <v>1031</v>
      </c>
      <c r="AJ1366">
        <v>35.209079000000003</v>
      </c>
      <c r="AK1366" t="s">
        <v>1032</v>
      </c>
      <c r="AL1366">
        <v>-76.194198</v>
      </c>
      <c r="AM1366">
        <v>25</v>
      </c>
      <c r="AN1366">
        <v>2925</v>
      </c>
      <c r="AO1366" t="s">
        <v>118</v>
      </c>
      <c r="AR1366">
        <v>-256</v>
      </c>
      <c r="AZ1366">
        <v>4516</v>
      </c>
      <c r="BA1366">
        <v>1</v>
      </c>
      <c r="BB1366" t="str">
        <f t="shared" si="132"/>
        <v xml:space="preserve">N79NX   </v>
      </c>
      <c r="BC1366">
        <v>1</v>
      </c>
      <c r="BE1366">
        <v>0</v>
      </c>
      <c r="BF1366">
        <v>0</v>
      </c>
      <c r="BG1366">
        <v>0</v>
      </c>
      <c r="BI1366">
        <v>0</v>
      </c>
      <c r="BJ1366">
        <v>0</v>
      </c>
      <c r="BK1366">
        <v>0</v>
      </c>
      <c r="BL1366">
        <v>0</v>
      </c>
      <c r="BO1366">
        <v>0</v>
      </c>
      <c r="BP1366">
        <v>0</v>
      </c>
      <c r="BW1366" t="str">
        <f>"18:44:02.632"</f>
        <v>18:44:02.632</v>
      </c>
      <c r="CJ1366">
        <v>0</v>
      </c>
      <c r="CK1366">
        <v>2</v>
      </c>
      <c r="CL1366">
        <v>0</v>
      </c>
      <c r="CM1366">
        <v>2</v>
      </c>
      <c r="CN1366">
        <v>0</v>
      </c>
      <c r="CO1366">
        <v>1</v>
      </c>
      <c r="CP1366" t="s">
        <v>119</v>
      </c>
      <c r="CQ1366">
        <v>145</v>
      </c>
      <c r="CR1366">
        <v>1</v>
      </c>
      <c r="CW1366">
        <v>9089108</v>
      </c>
      <c r="CY1366">
        <v>0</v>
      </c>
      <c r="CZ1366">
        <v>0</v>
      </c>
      <c r="DA1366">
        <v>0</v>
      </c>
      <c r="DB1366">
        <v>0</v>
      </c>
      <c r="DC1366">
        <v>0</v>
      </c>
      <c r="DD1366">
        <v>0</v>
      </c>
      <c r="DE1366">
        <v>0</v>
      </c>
      <c r="DF1366">
        <v>1</v>
      </c>
      <c r="DG1366">
        <v>0</v>
      </c>
      <c r="DH1366">
        <v>1</v>
      </c>
      <c r="DI1366">
        <v>0</v>
      </c>
    </row>
    <row r="1367" spans="1:113" x14ac:dyDescent="0.3">
      <c r="A1367" t="str">
        <f>"02/13/2022 18:44:03.101"</f>
        <v>02/13/2022 18:44:03.101</v>
      </c>
      <c r="C1367" t="str">
        <f>"FFDF53C0"</f>
        <v>FFDF53C0</v>
      </c>
      <c r="D1367" t="s">
        <v>113</v>
      </c>
      <c r="E1367">
        <v>4</v>
      </c>
      <c r="F1367">
        <v>1004</v>
      </c>
      <c r="G1367" t="s">
        <v>120</v>
      </c>
      <c r="J1367" t="s">
        <v>115</v>
      </c>
      <c r="K1367">
        <v>0</v>
      </c>
      <c r="L1367">
        <v>3</v>
      </c>
      <c r="M1367">
        <v>0</v>
      </c>
      <c r="N1367">
        <v>2</v>
      </c>
      <c r="O1367">
        <v>1</v>
      </c>
      <c r="P1367">
        <v>0</v>
      </c>
      <c r="Q1367">
        <v>0</v>
      </c>
      <c r="S1367" t="str">
        <f>"18:44:02.625"</f>
        <v>18:44:02.625</v>
      </c>
      <c r="U1367" t="str">
        <f t="shared" si="130"/>
        <v>AAB6EE</v>
      </c>
      <c r="V1367">
        <v>0</v>
      </c>
      <c r="W1367">
        <v>0</v>
      </c>
      <c r="X1367">
        <v>4</v>
      </c>
      <c r="Z1367">
        <v>0</v>
      </c>
      <c r="AA1367">
        <v>8</v>
      </c>
      <c r="AB1367">
        <v>3</v>
      </c>
      <c r="AC1367">
        <v>0</v>
      </c>
      <c r="AD1367">
        <v>10</v>
      </c>
      <c r="AE1367">
        <v>0</v>
      </c>
      <c r="AF1367">
        <v>0</v>
      </c>
      <c r="AG1367">
        <v>1</v>
      </c>
      <c r="AH1367">
        <v>1</v>
      </c>
      <c r="AI1367" t="s">
        <v>1031</v>
      </c>
      <c r="AJ1367">
        <v>35.209079000000003</v>
      </c>
      <c r="AK1367" t="s">
        <v>1032</v>
      </c>
      <c r="AL1367">
        <v>-76.194198</v>
      </c>
      <c r="AM1367">
        <v>25</v>
      </c>
      <c r="AN1367">
        <v>2925</v>
      </c>
      <c r="AO1367" t="s">
        <v>118</v>
      </c>
      <c r="AR1367">
        <v>-256</v>
      </c>
      <c r="AZ1367">
        <v>4516</v>
      </c>
      <c r="BA1367">
        <v>1</v>
      </c>
      <c r="BB1367" t="str">
        <f t="shared" si="132"/>
        <v xml:space="preserve">N79NX   </v>
      </c>
      <c r="BC1367">
        <v>1</v>
      </c>
      <c r="BE1367">
        <v>0</v>
      </c>
      <c r="BF1367">
        <v>0</v>
      </c>
      <c r="BG1367">
        <v>0</v>
      </c>
      <c r="BI1367">
        <v>0</v>
      </c>
      <c r="BJ1367">
        <v>0</v>
      </c>
      <c r="BK1367">
        <v>0</v>
      </c>
      <c r="BL1367">
        <v>0</v>
      </c>
      <c r="BO1367">
        <v>0</v>
      </c>
      <c r="BP1367">
        <v>0</v>
      </c>
      <c r="BW1367" t="str">
        <f>"18:44:02.632"</f>
        <v>18:44:02.632</v>
      </c>
      <c r="CJ1367">
        <v>0</v>
      </c>
      <c r="CK1367">
        <v>2</v>
      </c>
      <c r="CL1367">
        <v>0</v>
      </c>
      <c r="CM1367">
        <v>2</v>
      </c>
      <c r="CN1367">
        <v>0</v>
      </c>
      <c r="CO1367">
        <v>1</v>
      </c>
      <c r="CP1367" t="s">
        <v>119</v>
      </c>
      <c r="CQ1367">
        <v>145</v>
      </c>
      <c r="CR1367">
        <v>1</v>
      </c>
      <c r="CW1367">
        <v>9089108</v>
      </c>
      <c r="CY1367">
        <v>0</v>
      </c>
      <c r="CZ1367">
        <v>0</v>
      </c>
      <c r="DA1367">
        <v>1</v>
      </c>
      <c r="DB1367">
        <v>0</v>
      </c>
      <c r="DC1367">
        <v>0</v>
      </c>
      <c r="DD1367">
        <v>0</v>
      </c>
      <c r="DE1367">
        <v>0</v>
      </c>
      <c r="DF1367">
        <v>1</v>
      </c>
      <c r="DG1367">
        <v>0</v>
      </c>
      <c r="DH1367">
        <v>1</v>
      </c>
      <c r="DI1367">
        <v>0</v>
      </c>
    </row>
    <row r="1368" spans="1:113" x14ac:dyDescent="0.3">
      <c r="A1368" t="str">
        <f>"02/13/2022 18:44:03.195"</f>
        <v>02/13/2022 18:44:03.195</v>
      </c>
      <c r="C1368" t="str">
        <f>"FFDF53C0"</f>
        <v>FFDF53C0</v>
      </c>
      <c r="D1368" t="s">
        <v>121</v>
      </c>
      <c r="E1368">
        <v>2</v>
      </c>
      <c r="H1368">
        <v>158</v>
      </c>
      <c r="I1368" t="s">
        <v>120</v>
      </c>
      <c r="J1368" t="s">
        <v>122</v>
      </c>
      <c r="K1368">
        <v>0</v>
      </c>
      <c r="L1368">
        <v>3</v>
      </c>
      <c r="M1368">
        <v>0</v>
      </c>
      <c r="N1368">
        <v>2</v>
      </c>
      <c r="O1368">
        <v>1</v>
      </c>
      <c r="P1368">
        <v>0</v>
      </c>
      <c r="Q1368">
        <v>0</v>
      </c>
      <c r="S1368" t="str">
        <f>"18:44:02.625"</f>
        <v>18:44:02.625</v>
      </c>
      <c r="U1368" t="str">
        <f t="shared" si="130"/>
        <v>AAB6EE</v>
      </c>
      <c r="V1368">
        <v>0</v>
      </c>
      <c r="W1368">
        <v>0</v>
      </c>
      <c r="X1368">
        <v>4</v>
      </c>
      <c r="Z1368">
        <v>0</v>
      </c>
      <c r="AA1368">
        <v>8</v>
      </c>
      <c r="AB1368">
        <v>3</v>
      </c>
      <c r="AC1368">
        <v>0</v>
      </c>
      <c r="AD1368">
        <v>10</v>
      </c>
      <c r="AE1368">
        <v>0</v>
      </c>
      <c r="AF1368">
        <v>0</v>
      </c>
      <c r="AG1368">
        <v>1</v>
      </c>
      <c r="AH1368">
        <v>1</v>
      </c>
      <c r="AI1368" t="s">
        <v>1031</v>
      </c>
      <c r="AJ1368">
        <v>35.209079000000003</v>
      </c>
      <c r="AK1368" t="s">
        <v>1032</v>
      </c>
      <c r="AL1368">
        <v>-76.194198</v>
      </c>
      <c r="AM1368">
        <v>25</v>
      </c>
      <c r="AN1368">
        <v>2925</v>
      </c>
      <c r="AO1368" t="s">
        <v>118</v>
      </c>
      <c r="AR1368">
        <v>-256</v>
      </c>
      <c r="AZ1368">
        <v>4516</v>
      </c>
      <c r="BA1368">
        <v>1</v>
      </c>
      <c r="BB1368" t="str">
        <f t="shared" si="132"/>
        <v xml:space="preserve">N79NX   </v>
      </c>
      <c r="BC1368">
        <v>1</v>
      </c>
      <c r="BE1368">
        <v>0</v>
      </c>
      <c r="BF1368">
        <v>0</v>
      </c>
      <c r="BG1368">
        <v>0</v>
      </c>
      <c r="BI1368">
        <v>0</v>
      </c>
      <c r="BJ1368">
        <v>0</v>
      </c>
      <c r="BK1368">
        <v>0</v>
      </c>
      <c r="BL1368">
        <v>0</v>
      </c>
      <c r="BO1368">
        <v>0</v>
      </c>
      <c r="BP1368">
        <v>0</v>
      </c>
      <c r="BW1368" t="str">
        <f>"18:44:02.632"</f>
        <v>18:44:02.632</v>
      </c>
      <c r="CJ1368">
        <v>0</v>
      </c>
      <c r="CK1368">
        <v>2</v>
      </c>
      <c r="CL1368">
        <v>0</v>
      </c>
      <c r="CM1368">
        <v>2</v>
      </c>
      <c r="CN1368">
        <v>0</v>
      </c>
      <c r="CO1368">
        <v>1</v>
      </c>
      <c r="CP1368" t="s">
        <v>119</v>
      </c>
      <c r="CQ1368">
        <v>145</v>
      </c>
      <c r="CR1368">
        <v>1</v>
      </c>
      <c r="CW1368">
        <v>9089108</v>
      </c>
      <c r="CY1368">
        <v>0</v>
      </c>
      <c r="CZ1368">
        <v>0</v>
      </c>
      <c r="DA1368">
        <v>1</v>
      </c>
      <c r="DB1368">
        <v>0</v>
      </c>
      <c r="DC1368">
        <v>0</v>
      </c>
      <c r="DD1368">
        <v>0</v>
      </c>
      <c r="DE1368">
        <v>0</v>
      </c>
      <c r="DF1368">
        <v>1</v>
      </c>
      <c r="DG1368">
        <v>0</v>
      </c>
      <c r="DH1368">
        <v>1</v>
      </c>
      <c r="DI1368">
        <v>0</v>
      </c>
    </row>
    <row r="1369" spans="1:113" x14ac:dyDescent="0.3">
      <c r="A1369" t="str">
        <f>"02/13/2022 18:44:28.957"</f>
        <v>02/13/2022 18:44:28.957</v>
      </c>
      <c r="C1369" t="str">
        <f>"FFDF13C0"</f>
        <v>FFDF13C0</v>
      </c>
      <c r="D1369" t="s">
        <v>113</v>
      </c>
      <c r="E1369">
        <v>3</v>
      </c>
      <c r="F1369">
        <v>1003</v>
      </c>
      <c r="G1369" t="s">
        <v>114</v>
      </c>
      <c r="J1369" t="s">
        <v>115</v>
      </c>
      <c r="K1369">
        <v>0</v>
      </c>
      <c r="L1369">
        <v>3</v>
      </c>
      <c r="M1369">
        <v>0</v>
      </c>
      <c r="N1369">
        <v>2</v>
      </c>
      <c r="O1369">
        <v>1</v>
      </c>
      <c r="P1369">
        <v>0</v>
      </c>
      <c r="Q1369">
        <v>0</v>
      </c>
      <c r="S1369" t="str">
        <f>"18:44:28.469"</f>
        <v>18:44:28.469</v>
      </c>
      <c r="T1369" t="str">
        <f>"18:44:28.069"</f>
        <v>18:44:28.069</v>
      </c>
      <c r="U1369" t="str">
        <f t="shared" si="130"/>
        <v>AAB6EE</v>
      </c>
      <c r="V1369">
        <v>0</v>
      </c>
      <c r="W1369">
        <v>0</v>
      </c>
      <c r="X1369">
        <v>4</v>
      </c>
      <c r="Z1369">
        <v>0</v>
      </c>
      <c r="AA1369">
        <v>0</v>
      </c>
      <c r="AB1369">
        <v>0</v>
      </c>
      <c r="AC1369">
        <v>0</v>
      </c>
      <c r="AE1369">
        <v>0</v>
      </c>
      <c r="AF1369">
        <v>0</v>
      </c>
      <c r="AG1369">
        <v>1</v>
      </c>
      <c r="AH1369">
        <v>1</v>
      </c>
      <c r="AI1369" t="s">
        <v>1033</v>
      </c>
      <c r="AJ1369">
        <v>35.216352999999998</v>
      </c>
      <c r="AK1369" t="s">
        <v>1034</v>
      </c>
      <c r="AL1369">
        <v>-76.165465999999995</v>
      </c>
      <c r="AM1369">
        <v>25</v>
      </c>
      <c r="AN1369">
        <v>2925</v>
      </c>
      <c r="AO1369" t="s">
        <v>118</v>
      </c>
      <c r="AP1369">
        <v>184</v>
      </c>
      <c r="AQ1369">
        <v>50</v>
      </c>
      <c r="AR1369">
        <v>64</v>
      </c>
      <c r="AZ1369">
        <v>4516</v>
      </c>
      <c r="BA1369">
        <v>1</v>
      </c>
      <c r="BB1369" t="str">
        <f t="shared" si="132"/>
        <v xml:space="preserve">N79NX   </v>
      </c>
      <c r="BC1369">
        <v>1</v>
      </c>
      <c r="BE1369">
        <v>0</v>
      </c>
      <c r="BF1369">
        <v>0</v>
      </c>
      <c r="BG1369">
        <v>0</v>
      </c>
      <c r="BW1369" t="str">
        <f>"18:44:28.472"</f>
        <v>18:44:28.472</v>
      </c>
      <c r="CJ1369">
        <v>0</v>
      </c>
      <c r="CK1369">
        <v>0</v>
      </c>
      <c r="CL1369">
        <v>0</v>
      </c>
      <c r="CM1369">
        <v>0</v>
      </c>
      <c r="CN1369">
        <v>0</v>
      </c>
      <c r="CO1369">
        <v>1</v>
      </c>
      <c r="CP1369" t="s">
        <v>119</v>
      </c>
      <c r="CQ1369">
        <v>145</v>
      </c>
      <c r="CR1369">
        <v>1</v>
      </c>
      <c r="CW1369">
        <v>9102063</v>
      </c>
      <c r="CY1369">
        <v>0</v>
      </c>
      <c r="CZ1369">
        <v>0</v>
      </c>
      <c r="DA1369">
        <v>0</v>
      </c>
      <c r="DB1369">
        <v>0</v>
      </c>
      <c r="DC1369">
        <v>0</v>
      </c>
      <c r="DD1369">
        <v>0</v>
      </c>
      <c r="DE1369">
        <v>0</v>
      </c>
      <c r="DF1369">
        <v>1</v>
      </c>
      <c r="DG1369">
        <v>1</v>
      </c>
      <c r="DH1369">
        <v>0</v>
      </c>
      <c r="DI1369">
        <v>0</v>
      </c>
    </row>
    <row r="1370" spans="1:113" x14ac:dyDescent="0.3">
      <c r="A1370" t="str">
        <f>"02/13/2022 18:44:28.957"</f>
        <v>02/13/2022 18:44:28.957</v>
      </c>
      <c r="C1370" t="str">
        <f>"FFDF13C0"</f>
        <v>FFDF13C0</v>
      </c>
      <c r="D1370" t="s">
        <v>113</v>
      </c>
      <c r="E1370">
        <v>4</v>
      </c>
      <c r="F1370">
        <v>1004</v>
      </c>
      <c r="G1370" t="s">
        <v>120</v>
      </c>
      <c r="J1370" t="s">
        <v>115</v>
      </c>
      <c r="K1370">
        <v>0</v>
      </c>
      <c r="L1370">
        <v>3</v>
      </c>
      <c r="M1370">
        <v>0</v>
      </c>
      <c r="N1370">
        <v>2</v>
      </c>
      <c r="O1370">
        <v>1</v>
      </c>
      <c r="P1370">
        <v>0</v>
      </c>
      <c r="Q1370">
        <v>0</v>
      </c>
      <c r="S1370" t="str">
        <f>"18:44:28.469"</f>
        <v>18:44:28.469</v>
      </c>
      <c r="T1370" t="str">
        <f>"18:44:28.069"</f>
        <v>18:44:28.069</v>
      </c>
      <c r="U1370" t="str">
        <f t="shared" si="130"/>
        <v>AAB6EE</v>
      </c>
      <c r="V1370">
        <v>0</v>
      </c>
      <c r="W1370">
        <v>0</v>
      </c>
      <c r="X1370">
        <v>4</v>
      </c>
      <c r="Z1370">
        <v>0</v>
      </c>
      <c r="AA1370">
        <v>0</v>
      </c>
      <c r="AB1370">
        <v>0</v>
      </c>
      <c r="AC1370">
        <v>0</v>
      </c>
      <c r="AE1370">
        <v>0</v>
      </c>
      <c r="AF1370">
        <v>0</v>
      </c>
      <c r="AG1370">
        <v>1</v>
      </c>
      <c r="AH1370">
        <v>1</v>
      </c>
      <c r="AI1370" t="s">
        <v>1033</v>
      </c>
      <c r="AJ1370">
        <v>35.216352999999998</v>
      </c>
      <c r="AK1370" t="s">
        <v>1034</v>
      </c>
      <c r="AL1370">
        <v>-76.165465999999995</v>
      </c>
      <c r="AM1370">
        <v>25</v>
      </c>
      <c r="AN1370">
        <v>2925</v>
      </c>
      <c r="AO1370" t="s">
        <v>118</v>
      </c>
      <c r="AP1370">
        <v>184</v>
      </c>
      <c r="AQ1370">
        <v>50</v>
      </c>
      <c r="AR1370">
        <v>64</v>
      </c>
      <c r="AZ1370">
        <v>4516</v>
      </c>
      <c r="BA1370">
        <v>1</v>
      </c>
      <c r="BB1370" t="str">
        <f t="shared" si="132"/>
        <v xml:space="preserve">N79NX   </v>
      </c>
      <c r="BC1370">
        <v>1</v>
      </c>
      <c r="BE1370">
        <v>0</v>
      </c>
      <c r="BF1370">
        <v>0</v>
      </c>
      <c r="BG1370">
        <v>0</v>
      </c>
      <c r="BW1370" t="str">
        <f>"18:44:28.472"</f>
        <v>18:44:28.472</v>
      </c>
      <c r="CJ1370">
        <v>0</v>
      </c>
      <c r="CK1370">
        <v>0</v>
      </c>
      <c r="CL1370">
        <v>0</v>
      </c>
      <c r="CM1370">
        <v>0</v>
      </c>
      <c r="CN1370">
        <v>0</v>
      </c>
      <c r="CO1370">
        <v>1</v>
      </c>
      <c r="CP1370" t="s">
        <v>119</v>
      </c>
      <c r="CQ1370">
        <v>145</v>
      </c>
      <c r="CR1370">
        <v>1</v>
      </c>
      <c r="CW1370">
        <v>9102063</v>
      </c>
      <c r="CY1370">
        <v>0</v>
      </c>
      <c r="CZ1370">
        <v>0</v>
      </c>
      <c r="DA1370">
        <v>1</v>
      </c>
      <c r="DB1370">
        <v>0</v>
      </c>
      <c r="DC1370">
        <v>0</v>
      </c>
      <c r="DD1370">
        <v>0</v>
      </c>
      <c r="DE1370">
        <v>0</v>
      </c>
      <c r="DF1370">
        <v>1</v>
      </c>
      <c r="DG1370">
        <v>1</v>
      </c>
      <c r="DH1370">
        <v>0</v>
      </c>
      <c r="DI1370">
        <v>0</v>
      </c>
    </row>
    <row r="1371" spans="1:113" x14ac:dyDescent="0.3">
      <c r="A1371" t="str">
        <f>"02/13/2022 18:44:29.019"</f>
        <v>02/13/2022 18:44:29.019</v>
      </c>
      <c r="C1371" t="str">
        <f>"FFDF53C0"</f>
        <v>FFDF53C0</v>
      </c>
      <c r="D1371" t="s">
        <v>121</v>
      </c>
      <c r="E1371">
        <v>2</v>
      </c>
      <c r="H1371">
        <v>158</v>
      </c>
      <c r="I1371" t="s">
        <v>120</v>
      </c>
      <c r="J1371" t="s">
        <v>122</v>
      </c>
      <c r="K1371">
        <v>0</v>
      </c>
      <c r="L1371">
        <v>3</v>
      </c>
      <c r="M1371">
        <v>0</v>
      </c>
      <c r="N1371">
        <v>2</v>
      </c>
      <c r="O1371">
        <v>1</v>
      </c>
      <c r="P1371">
        <v>0</v>
      </c>
      <c r="Q1371">
        <v>0</v>
      </c>
      <c r="S1371" t="str">
        <f>"18:44:28.469"</f>
        <v>18:44:28.469</v>
      </c>
      <c r="T1371" t="str">
        <f>"18:44:28.069"</f>
        <v>18:44:28.069</v>
      </c>
      <c r="U1371" t="str">
        <f t="shared" si="130"/>
        <v>AAB6EE</v>
      </c>
      <c r="V1371">
        <v>0</v>
      </c>
      <c r="W1371">
        <v>0</v>
      </c>
      <c r="X1371">
        <v>4</v>
      </c>
      <c r="Z1371">
        <v>0</v>
      </c>
      <c r="AA1371">
        <v>0</v>
      </c>
      <c r="AB1371">
        <v>0</v>
      </c>
      <c r="AC1371">
        <v>0</v>
      </c>
      <c r="AE1371">
        <v>0</v>
      </c>
      <c r="AF1371">
        <v>0</v>
      </c>
      <c r="AG1371">
        <v>1</v>
      </c>
      <c r="AH1371">
        <v>1</v>
      </c>
      <c r="AI1371" t="s">
        <v>1033</v>
      </c>
      <c r="AJ1371">
        <v>35.216352999999998</v>
      </c>
      <c r="AK1371" t="s">
        <v>1034</v>
      </c>
      <c r="AL1371">
        <v>-76.165465999999995</v>
      </c>
      <c r="AM1371">
        <v>25</v>
      </c>
      <c r="AN1371">
        <v>2925</v>
      </c>
      <c r="AO1371" t="s">
        <v>118</v>
      </c>
      <c r="AP1371">
        <v>184</v>
      </c>
      <c r="AQ1371">
        <v>50</v>
      </c>
      <c r="AR1371">
        <v>64</v>
      </c>
      <c r="AZ1371">
        <v>4516</v>
      </c>
      <c r="BA1371">
        <v>1</v>
      </c>
      <c r="BB1371" t="str">
        <f t="shared" si="132"/>
        <v xml:space="preserve">N79NX   </v>
      </c>
      <c r="BC1371">
        <v>1</v>
      </c>
      <c r="BE1371">
        <v>0</v>
      </c>
      <c r="BF1371">
        <v>0</v>
      </c>
      <c r="BG1371">
        <v>0</v>
      </c>
      <c r="BI1371">
        <v>0</v>
      </c>
      <c r="BJ1371">
        <v>0</v>
      </c>
      <c r="BK1371">
        <v>0</v>
      </c>
      <c r="BL1371">
        <v>0</v>
      </c>
      <c r="BO1371">
        <v>0</v>
      </c>
      <c r="BP1371">
        <v>0</v>
      </c>
      <c r="BW1371" t="str">
        <f>"18:44:28.472"</f>
        <v>18:44:28.472</v>
      </c>
      <c r="CJ1371">
        <v>0</v>
      </c>
      <c r="CK1371">
        <v>0</v>
      </c>
      <c r="CL1371">
        <v>0</v>
      </c>
      <c r="CM1371">
        <v>0</v>
      </c>
      <c r="CN1371">
        <v>0</v>
      </c>
      <c r="CO1371">
        <v>1</v>
      </c>
      <c r="CP1371" t="s">
        <v>119</v>
      </c>
      <c r="CQ1371">
        <v>145</v>
      </c>
      <c r="CR1371">
        <v>1</v>
      </c>
      <c r="CW1371">
        <v>9102063</v>
      </c>
      <c r="CY1371">
        <v>0</v>
      </c>
      <c r="CZ1371">
        <v>0</v>
      </c>
      <c r="DA1371">
        <v>1</v>
      </c>
      <c r="DB1371">
        <v>0</v>
      </c>
      <c r="DC1371">
        <v>0</v>
      </c>
      <c r="DD1371">
        <v>0</v>
      </c>
      <c r="DE1371">
        <v>0</v>
      </c>
      <c r="DF1371">
        <v>1</v>
      </c>
      <c r="DG1371">
        <v>1</v>
      </c>
      <c r="DH1371">
        <v>0</v>
      </c>
      <c r="DI1371">
        <v>0</v>
      </c>
    </row>
    <row r="1372" spans="1:113" x14ac:dyDescent="0.3">
      <c r="A1372" t="str">
        <f>"02/13/2022 18:44:30.866"</f>
        <v>02/13/2022 18:44:30.866</v>
      </c>
      <c r="C1372" t="str">
        <f>"FFDFD3C0"</f>
        <v>FFDFD3C0</v>
      </c>
      <c r="D1372" t="s">
        <v>121</v>
      </c>
      <c r="E1372">
        <v>2</v>
      </c>
      <c r="H1372">
        <v>158</v>
      </c>
      <c r="I1372" t="s">
        <v>120</v>
      </c>
      <c r="J1372" t="s">
        <v>122</v>
      </c>
      <c r="K1372">
        <v>0</v>
      </c>
      <c r="L1372">
        <v>3</v>
      </c>
      <c r="M1372">
        <v>0</v>
      </c>
      <c r="N1372">
        <v>2</v>
      </c>
      <c r="O1372">
        <v>1</v>
      </c>
      <c r="P1372">
        <v>0</v>
      </c>
      <c r="Q1372">
        <v>0</v>
      </c>
      <c r="S1372" t="str">
        <f>"18:44:30.336"</f>
        <v>18:44:30.336</v>
      </c>
      <c r="T1372" t="str">
        <f>"18:44:30.036"</f>
        <v>18:44:30.036</v>
      </c>
      <c r="U1372" t="str">
        <f t="shared" si="130"/>
        <v>AAB6EE</v>
      </c>
      <c r="V1372">
        <v>0</v>
      </c>
      <c r="W1372">
        <v>0</v>
      </c>
      <c r="X1372">
        <v>4</v>
      </c>
      <c r="Z1372">
        <v>0</v>
      </c>
      <c r="AA1372">
        <v>8</v>
      </c>
      <c r="AB1372">
        <v>3</v>
      </c>
      <c r="AC1372">
        <v>0</v>
      </c>
      <c r="AD1372">
        <v>10</v>
      </c>
      <c r="AE1372">
        <v>0</v>
      </c>
      <c r="AF1372">
        <v>0</v>
      </c>
      <c r="AG1372">
        <v>1</v>
      </c>
      <c r="AH1372">
        <v>1</v>
      </c>
      <c r="AI1372" t="s">
        <v>1035</v>
      </c>
      <c r="AJ1372">
        <v>35.216718</v>
      </c>
      <c r="AK1372" t="s">
        <v>742</v>
      </c>
      <c r="AL1372">
        <v>-76.163514000000006</v>
      </c>
      <c r="AM1372">
        <v>25</v>
      </c>
      <c r="AN1372">
        <v>2925</v>
      </c>
      <c r="AO1372" t="s">
        <v>118</v>
      </c>
      <c r="AP1372">
        <v>184</v>
      </c>
      <c r="AQ1372">
        <v>41</v>
      </c>
      <c r="AR1372">
        <v>-64</v>
      </c>
      <c r="AZ1372">
        <v>1200</v>
      </c>
      <c r="BA1372">
        <v>0</v>
      </c>
      <c r="BB1372" t="str">
        <f t="shared" si="132"/>
        <v xml:space="preserve">N79NX   </v>
      </c>
      <c r="BC1372">
        <v>1</v>
      </c>
      <c r="BE1372">
        <v>0</v>
      </c>
      <c r="BF1372">
        <v>0</v>
      </c>
      <c r="BG1372">
        <v>0</v>
      </c>
      <c r="BH1372">
        <v>2775</v>
      </c>
      <c r="BI1372">
        <v>0</v>
      </c>
      <c r="BJ1372">
        <v>0</v>
      </c>
      <c r="BK1372">
        <v>0</v>
      </c>
      <c r="BL1372">
        <v>0</v>
      </c>
      <c r="BO1372">
        <v>0</v>
      </c>
      <c r="BP1372">
        <v>0</v>
      </c>
      <c r="BW1372" t="str">
        <f>"18:44:30.342"</f>
        <v>18:44:30.342</v>
      </c>
      <c r="CJ1372">
        <v>0</v>
      </c>
      <c r="CK1372">
        <v>2</v>
      </c>
      <c r="CL1372">
        <v>0</v>
      </c>
      <c r="CM1372">
        <v>2</v>
      </c>
      <c r="CN1372">
        <v>0</v>
      </c>
      <c r="CO1372">
        <v>1</v>
      </c>
      <c r="CP1372" t="s">
        <v>119</v>
      </c>
      <c r="CQ1372">
        <v>145</v>
      </c>
      <c r="CR1372">
        <v>1</v>
      </c>
      <c r="CW1372">
        <v>9103081</v>
      </c>
      <c r="CY1372">
        <v>0</v>
      </c>
      <c r="CZ1372">
        <v>0</v>
      </c>
      <c r="DA1372">
        <v>0</v>
      </c>
      <c r="DB1372">
        <v>0</v>
      </c>
      <c r="DC1372">
        <v>0</v>
      </c>
      <c r="DD1372">
        <v>0</v>
      </c>
      <c r="DE1372">
        <v>0</v>
      </c>
      <c r="DF1372">
        <v>0</v>
      </c>
      <c r="DG1372">
        <v>0</v>
      </c>
      <c r="DH1372">
        <v>0</v>
      </c>
      <c r="DI1372">
        <v>1</v>
      </c>
    </row>
    <row r="1373" spans="1:113" x14ac:dyDescent="0.3">
      <c r="A1373" t="str">
        <f>"02/13/2022 18:44:31.694"</f>
        <v>02/13/2022 18:44:31.694</v>
      </c>
      <c r="C1373" t="str">
        <f>"FFDFD3C0"</f>
        <v>FFDFD3C0</v>
      </c>
      <c r="D1373" t="s">
        <v>121</v>
      </c>
      <c r="E1373">
        <v>2</v>
      </c>
      <c r="H1373">
        <v>158</v>
      </c>
      <c r="I1373" t="s">
        <v>120</v>
      </c>
      <c r="J1373" t="s">
        <v>122</v>
      </c>
      <c r="K1373">
        <v>0</v>
      </c>
      <c r="L1373">
        <v>3</v>
      </c>
      <c r="M1373">
        <v>0</v>
      </c>
      <c r="N1373">
        <v>2</v>
      </c>
      <c r="O1373">
        <v>1</v>
      </c>
      <c r="P1373">
        <v>0</v>
      </c>
      <c r="Q1373">
        <v>0</v>
      </c>
      <c r="S1373" t="str">
        <f>"18:44:31.172"</f>
        <v>18:44:31.172</v>
      </c>
      <c r="T1373" t="str">
        <f>"18:44:30.972"</f>
        <v>18:44:30.972</v>
      </c>
      <c r="U1373" t="str">
        <f t="shared" si="130"/>
        <v>AAB6EE</v>
      </c>
      <c r="V1373">
        <v>0</v>
      </c>
      <c r="W1373">
        <v>0</v>
      </c>
      <c r="X1373">
        <v>4</v>
      </c>
      <c r="Z1373">
        <v>0</v>
      </c>
      <c r="AA1373">
        <v>8</v>
      </c>
      <c r="AB1373">
        <v>3</v>
      </c>
      <c r="AC1373">
        <v>0</v>
      </c>
      <c r="AD1373">
        <v>10</v>
      </c>
      <c r="AE1373">
        <v>0</v>
      </c>
      <c r="AF1373">
        <v>0</v>
      </c>
      <c r="AG1373">
        <v>1</v>
      </c>
      <c r="AH1373">
        <v>1</v>
      </c>
      <c r="AI1373" t="s">
        <v>969</v>
      </c>
      <c r="AJ1373">
        <v>35.216867999999998</v>
      </c>
      <c r="AK1373" t="s">
        <v>1036</v>
      </c>
      <c r="AL1373">
        <v>-76.162655000000001</v>
      </c>
      <c r="AM1373">
        <v>25</v>
      </c>
      <c r="AN1373">
        <v>2925</v>
      </c>
      <c r="AO1373" t="s">
        <v>118</v>
      </c>
      <c r="AP1373">
        <v>184</v>
      </c>
      <c r="AQ1373">
        <v>35</v>
      </c>
      <c r="AR1373">
        <v>-128</v>
      </c>
      <c r="AZ1373">
        <v>1200</v>
      </c>
      <c r="BA1373">
        <v>0</v>
      </c>
      <c r="BB1373" t="str">
        <f t="shared" si="132"/>
        <v xml:space="preserve">N79NX   </v>
      </c>
      <c r="BC1373">
        <v>1</v>
      </c>
      <c r="BE1373">
        <v>0</v>
      </c>
      <c r="BF1373">
        <v>0</v>
      </c>
      <c r="BG1373">
        <v>0</v>
      </c>
      <c r="BH1373">
        <v>2775</v>
      </c>
      <c r="BI1373">
        <v>0</v>
      </c>
      <c r="BJ1373">
        <v>0</v>
      </c>
      <c r="BK1373">
        <v>0</v>
      </c>
      <c r="BL1373">
        <v>0</v>
      </c>
      <c r="BO1373">
        <v>0</v>
      </c>
      <c r="BP1373">
        <v>0</v>
      </c>
      <c r="BW1373" t="str">
        <f>"18:44:31.172"</f>
        <v>18:44:31.172</v>
      </c>
      <c r="CJ1373">
        <v>0</v>
      </c>
      <c r="CK1373">
        <v>2</v>
      </c>
      <c r="CL1373">
        <v>0</v>
      </c>
      <c r="CM1373">
        <v>2</v>
      </c>
      <c r="CN1373">
        <v>0</v>
      </c>
      <c r="CO1373">
        <v>1</v>
      </c>
      <c r="CP1373" t="s">
        <v>119</v>
      </c>
      <c r="CQ1373">
        <v>145</v>
      </c>
      <c r="CR1373">
        <v>1</v>
      </c>
      <c r="CW1373">
        <v>9103477</v>
      </c>
      <c r="CY1373">
        <v>0</v>
      </c>
      <c r="CZ1373">
        <v>0</v>
      </c>
      <c r="DA1373">
        <v>0</v>
      </c>
      <c r="DB1373">
        <v>0</v>
      </c>
      <c r="DC1373">
        <v>0</v>
      </c>
      <c r="DD1373">
        <v>0</v>
      </c>
      <c r="DE1373">
        <v>0</v>
      </c>
      <c r="DF1373">
        <v>0</v>
      </c>
      <c r="DG1373">
        <v>0</v>
      </c>
      <c r="DH1373">
        <v>0</v>
      </c>
      <c r="DI1373">
        <v>1</v>
      </c>
    </row>
    <row r="1374" spans="1:113" x14ac:dyDescent="0.3">
      <c r="A1374" t="str">
        <f>"02/13/2022 18:44:33.631"</f>
        <v>02/13/2022 18:44:33.631</v>
      </c>
      <c r="C1374" t="str">
        <f>"FFDFD3C0"</f>
        <v>FFDFD3C0</v>
      </c>
      <c r="D1374" t="s">
        <v>121</v>
      </c>
      <c r="E1374">
        <v>2</v>
      </c>
      <c r="H1374">
        <v>158</v>
      </c>
      <c r="I1374" t="s">
        <v>120</v>
      </c>
      <c r="J1374" t="s">
        <v>122</v>
      </c>
      <c r="K1374">
        <v>0</v>
      </c>
      <c r="L1374">
        <v>3</v>
      </c>
      <c r="M1374">
        <v>0</v>
      </c>
      <c r="N1374">
        <v>2</v>
      </c>
      <c r="O1374">
        <v>1</v>
      </c>
      <c r="P1374">
        <v>0</v>
      </c>
      <c r="Q1374">
        <v>0</v>
      </c>
      <c r="S1374" t="str">
        <f>"18:44:33.141"</f>
        <v>18:44:33.141</v>
      </c>
      <c r="T1374" t="str">
        <f>"18:44:33.041"</f>
        <v>18:44:33.041</v>
      </c>
      <c r="U1374" t="str">
        <f t="shared" si="130"/>
        <v>AAB6EE</v>
      </c>
      <c r="V1374">
        <v>0</v>
      </c>
      <c r="W1374">
        <v>0</v>
      </c>
      <c r="X1374">
        <v>4</v>
      </c>
      <c r="Z1374">
        <v>0</v>
      </c>
      <c r="AA1374">
        <v>8</v>
      </c>
      <c r="AB1374">
        <v>3</v>
      </c>
      <c r="AC1374">
        <v>0</v>
      </c>
      <c r="AD1374">
        <v>10</v>
      </c>
      <c r="AE1374">
        <v>0</v>
      </c>
      <c r="AF1374">
        <v>0</v>
      </c>
      <c r="AG1374">
        <v>1</v>
      </c>
      <c r="AH1374">
        <v>1</v>
      </c>
      <c r="AI1374" t="s">
        <v>1037</v>
      </c>
      <c r="AJ1374">
        <v>35.217083000000002</v>
      </c>
      <c r="AK1374" t="s">
        <v>1038</v>
      </c>
      <c r="AL1374">
        <v>-76.160595000000001</v>
      </c>
      <c r="AM1374">
        <v>25</v>
      </c>
      <c r="AN1374">
        <v>2925</v>
      </c>
      <c r="AO1374" t="s">
        <v>118</v>
      </c>
      <c r="AP1374">
        <v>183</v>
      </c>
      <c r="AQ1374">
        <v>21</v>
      </c>
      <c r="AR1374">
        <v>64</v>
      </c>
      <c r="AZ1374">
        <v>1200</v>
      </c>
      <c r="BA1374">
        <v>0</v>
      </c>
      <c r="BB1374" t="str">
        <f t="shared" si="132"/>
        <v xml:space="preserve">N79NX   </v>
      </c>
      <c r="BC1374">
        <v>1</v>
      </c>
      <c r="BE1374">
        <v>0</v>
      </c>
      <c r="BF1374">
        <v>0</v>
      </c>
      <c r="BG1374">
        <v>0</v>
      </c>
      <c r="BH1374">
        <v>2775</v>
      </c>
      <c r="BI1374">
        <v>0</v>
      </c>
      <c r="BJ1374">
        <v>0</v>
      </c>
      <c r="BK1374">
        <v>0</v>
      </c>
      <c r="BL1374">
        <v>0</v>
      </c>
      <c r="BO1374">
        <v>0</v>
      </c>
      <c r="BP1374">
        <v>0</v>
      </c>
      <c r="BW1374" t="str">
        <f>"18:44:33.142"</f>
        <v>18:44:33.142</v>
      </c>
      <c r="CJ1374">
        <v>0</v>
      </c>
      <c r="CK1374">
        <v>2</v>
      </c>
      <c r="CL1374">
        <v>0</v>
      </c>
      <c r="CM1374">
        <v>2</v>
      </c>
      <c r="CN1374">
        <v>0</v>
      </c>
      <c r="CO1374">
        <v>1</v>
      </c>
      <c r="CP1374" t="s">
        <v>119</v>
      </c>
      <c r="CQ1374">
        <v>145</v>
      </c>
      <c r="CR1374">
        <v>1</v>
      </c>
      <c r="CW1374">
        <v>9104454</v>
      </c>
      <c r="CY1374">
        <v>0</v>
      </c>
      <c r="CZ1374">
        <v>0</v>
      </c>
      <c r="DA1374">
        <v>0</v>
      </c>
      <c r="DB1374">
        <v>0</v>
      </c>
      <c r="DC1374">
        <v>0</v>
      </c>
      <c r="DD1374">
        <v>0</v>
      </c>
      <c r="DE1374">
        <v>0</v>
      </c>
      <c r="DF1374">
        <v>0</v>
      </c>
      <c r="DG1374">
        <v>0</v>
      </c>
      <c r="DH1374">
        <v>0</v>
      </c>
      <c r="DI1374">
        <v>1</v>
      </c>
    </row>
    <row r="1375" spans="1:113" x14ac:dyDescent="0.3">
      <c r="A1375" t="str">
        <f>"02/13/2022 18:44:35.720"</f>
        <v>02/13/2022 18:44:35.720</v>
      </c>
      <c r="C1375" t="str">
        <f>"FFDFD3C0"</f>
        <v>FFDFD3C0</v>
      </c>
      <c r="D1375" t="s">
        <v>121</v>
      </c>
      <c r="E1375">
        <v>2</v>
      </c>
      <c r="H1375">
        <v>158</v>
      </c>
      <c r="I1375" t="s">
        <v>120</v>
      </c>
      <c r="J1375" t="s">
        <v>122</v>
      </c>
      <c r="K1375">
        <v>0</v>
      </c>
      <c r="L1375">
        <v>3</v>
      </c>
      <c r="M1375">
        <v>0</v>
      </c>
      <c r="N1375">
        <v>2</v>
      </c>
      <c r="O1375">
        <v>1</v>
      </c>
      <c r="P1375">
        <v>0</v>
      </c>
      <c r="Q1375">
        <v>0</v>
      </c>
      <c r="S1375" t="str">
        <f>"18:44:35.055"</f>
        <v>18:44:35.055</v>
      </c>
      <c r="T1375" t="str">
        <f>"18:44:32.955"</f>
        <v>18:44:32.955</v>
      </c>
      <c r="U1375" t="str">
        <f t="shared" si="130"/>
        <v>AAB6EE</v>
      </c>
      <c r="V1375">
        <v>0</v>
      </c>
      <c r="W1375">
        <v>0</v>
      </c>
      <c r="X1375">
        <v>4</v>
      </c>
      <c r="Z1375">
        <v>0</v>
      </c>
      <c r="AA1375">
        <v>8</v>
      </c>
      <c r="AB1375">
        <v>3</v>
      </c>
      <c r="AC1375">
        <v>0</v>
      </c>
      <c r="AD1375">
        <v>10</v>
      </c>
      <c r="AE1375">
        <v>0</v>
      </c>
      <c r="AF1375">
        <v>0</v>
      </c>
      <c r="AG1375">
        <v>1</v>
      </c>
      <c r="AH1375">
        <v>1</v>
      </c>
      <c r="AI1375" t="s">
        <v>1039</v>
      </c>
      <c r="AJ1375">
        <v>35.217190000000002</v>
      </c>
      <c r="AK1375" t="s">
        <v>1040</v>
      </c>
      <c r="AL1375">
        <v>-76.158600000000007</v>
      </c>
      <c r="AM1375">
        <v>25</v>
      </c>
      <c r="AN1375">
        <v>2950</v>
      </c>
      <c r="AO1375" t="s">
        <v>118</v>
      </c>
      <c r="AP1375">
        <v>183</v>
      </c>
      <c r="AQ1375">
        <v>21</v>
      </c>
      <c r="AR1375">
        <v>64</v>
      </c>
      <c r="AZ1375">
        <v>1200</v>
      </c>
      <c r="BA1375">
        <v>0</v>
      </c>
      <c r="BB1375" t="str">
        <f t="shared" si="132"/>
        <v xml:space="preserve">N79NX   </v>
      </c>
      <c r="BC1375">
        <v>1</v>
      </c>
      <c r="BE1375">
        <v>0</v>
      </c>
      <c r="BF1375">
        <v>0</v>
      </c>
      <c r="BG1375">
        <v>0</v>
      </c>
      <c r="BH1375">
        <v>2775</v>
      </c>
      <c r="BI1375">
        <v>0</v>
      </c>
      <c r="BJ1375">
        <v>0</v>
      </c>
      <c r="BK1375">
        <v>0</v>
      </c>
      <c r="BL1375">
        <v>0</v>
      </c>
      <c r="BO1375">
        <v>0</v>
      </c>
      <c r="BP1375">
        <v>0</v>
      </c>
      <c r="BW1375" t="str">
        <f>"18:44:35.062"</f>
        <v>18:44:35.062</v>
      </c>
      <c r="CJ1375">
        <v>0</v>
      </c>
      <c r="CK1375">
        <v>2</v>
      </c>
      <c r="CL1375">
        <v>0</v>
      </c>
      <c r="CM1375">
        <v>2</v>
      </c>
      <c r="CN1375">
        <v>0</v>
      </c>
      <c r="CO1375">
        <v>1</v>
      </c>
      <c r="CP1375" t="s">
        <v>119</v>
      </c>
      <c r="CQ1375">
        <v>145</v>
      </c>
      <c r="CR1375">
        <v>1</v>
      </c>
      <c r="CW1375">
        <v>9105525</v>
      </c>
      <c r="CY1375">
        <v>0</v>
      </c>
      <c r="CZ1375">
        <v>0</v>
      </c>
      <c r="DA1375">
        <v>0</v>
      </c>
      <c r="DB1375">
        <v>0</v>
      </c>
      <c r="DC1375">
        <v>0</v>
      </c>
      <c r="DD1375">
        <v>0</v>
      </c>
      <c r="DE1375">
        <v>0</v>
      </c>
      <c r="DF1375">
        <v>0</v>
      </c>
      <c r="DG1375">
        <v>0</v>
      </c>
      <c r="DH1375">
        <v>0</v>
      </c>
      <c r="DI1375">
        <v>1</v>
      </c>
    </row>
    <row r="1376" spans="1:113" x14ac:dyDescent="0.3">
      <c r="A1376" t="str">
        <f>"02/13/2022 18:44:40.117"</f>
        <v>02/13/2022 18:44:40.117</v>
      </c>
      <c r="C1376" t="str">
        <f>"FFDFD7C0"</f>
        <v>FFDFD7C0</v>
      </c>
      <c r="D1376" t="s">
        <v>121</v>
      </c>
      <c r="E1376">
        <v>2</v>
      </c>
      <c r="H1376">
        <v>158</v>
      </c>
      <c r="I1376" t="s">
        <v>120</v>
      </c>
      <c r="J1376" t="s">
        <v>122</v>
      </c>
      <c r="K1376">
        <v>0</v>
      </c>
      <c r="L1376">
        <v>3</v>
      </c>
      <c r="M1376">
        <v>0</v>
      </c>
      <c r="N1376">
        <v>2</v>
      </c>
      <c r="O1376">
        <v>1</v>
      </c>
      <c r="P1376">
        <v>0</v>
      </c>
      <c r="Q1376">
        <v>0</v>
      </c>
      <c r="S1376" t="str">
        <f>"18:44:39.391"</f>
        <v>18:44:39.391</v>
      </c>
      <c r="T1376" t="str">
        <f>"18:44:39.391"</f>
        <v>18:44:39.391</v>
      </c>
      <c r="U1376" t="str">
        <f t="shared" si="130"/>
        <v>AAB6EE</v>
      </c>
      <c r="V1376">
        <v>0</v>
      </c>
      <c r="W1376">
        <v>0</v>
      </c>
      <c r="X1376">
        <v>4</v>
      </c>
      <c r="Z1376">
        <v>0</v>
      </c>
      <c r="AA1376">
        <v>8</v>
      </c>
      <c r="AB1376">
        <v>3</v>
      </c>
      <c r="AC1376">
        <v>0</v>
      </c>
      <c r="AD1376">
        <v>10</v>
      </c>
      <c r="AE1376">
        <v>0</v>
      </c>
      <c r="AF1376">
        <v>0</v>
      </c>
      <c r="AG1376">
        <v>1</v>
      </c>
      <c r="AH1376">
        <v>1</v>
      </c>
      <c r="AI1376" t="s">
        <v>1041</v>
      </c>
      <c r="AJ1376">
        <v>35.217360999999997</v>
      </c>
      <c r="AK1376" t="s">
        <v>1042</v>
      </c>
      <c r="AL1376">
        <v>-76.154264999999995</v>
      </c>
      <c r="AM1376">
        <v>25</v>
      </c>
      <c r="AN1376">
        <v>2925</v>
      </c>
      <c r="AO1376" t="s">
        <v>118</v>
      </c>
      <c r="AP1376">
        <v>178</v>
      </c>
      <c r="AQ1376">
        <v>7</v>
      </c>
      <c r="AR1376">
        <v>-192</v>
      </c>
      <c r="AZ1376">
        <v>1200</v>
      </c>
      <c r="BA1376">
        <v>0</v>
      </c>
      <c r="BB1376" t="str">
        <f t="shared" si="132"/>
        <v xml:space="preserve">N79NX   </v>
      </c>
      <c r="BC1376">
        <v>1</v>
      </c>
      <c r="BE1376">
        <v>0</v>
      </c>
      <c r="BF1376">
        <v>0</v>
      </c>
      <c r="BG1376">
        <v>0</v>
      </c>
      <c r="BH1376">
        <v>2800</v>
      </c>
      <c r="BI1376">
        <v>0</v>
      </c>
      <c r="BJ1376">
        <v>0</v>
      </c>
      <c r="BK1376">
        <v>0</v>
      </c>
      <c r="BL1376">
        <v>0</v>
      </c>
      <c r="BO1376">
        <v>0</v>
      </c>
      <c r="BP1376">
        <v>0</v>
      </c>
      <c r="BW1376" t="str">
        <f>"18:44:39.392"</f>
        <v>18:44:39.392</v>
      </c>
      <c r="BZ1376">
        <v>0</v>
      </c>
      <c r="CA1376">
        <v>3008</v>
      </c>
      <c r="CB1376">
        <v>216</v>
      </c>
      <c r="CC1376">
        <v>431.71879999999999</v>
      </c>
      <c r="CD1376">
        <v>1</v>
      </c>
      <c r="CE1376">
        <v>1</v>
      </c>
      <c r="CF1376">
        <v>0</v>
      </c>
      <c r="CG1376">
        <v>1</v>
      </c>
      <c r="CH1376">
        <v>0</v>
      </c>
      <c r="CI1376">
        <v>0</v>
      </c>
      <c r="CJ1376">
        <v>0</v>
      </c>
      <c r="CK1376">
        <v>2</v>
      </c>
      <c r="CL1376">
        <v>0</v>
      </c>
      <c r="CM1376">
        <v>2</v>
      </c>
      <c r="CN1376">
        <v>0</v>
      </c>
      <c r="CO1376">
        <v>1</v>
      </c>
      <c r="CP1376" t="s">
        <v>119</v>
      </c>
      <c r="CQ1376">
        <v>145</v>
      </c>
      <c r="CR1376">
        <v>1</v>
      </c>
      <c r="CW1376">
        <v>9107798</v>
      </c>
      <c r="CY1376">
        <v>0</v>
      </c>
      <c r="CZ1376">
        <v>0</v>
      </c>
      <c r="DA1376">
        <v>0</v>
      </c>
      <c r="DB1376">
        <v>0</v>
      </c>
      <c r="DC1376">
        <v>0</v>
      </c>
      <c r="DD1376">
        <v>0</v>
      </c>
      <c r="DE1376">
        <v>0</v>
      </c>
      <c r="DF1376">
        <v>0</v>
      </c>
      <c r="DG1376">
        <v>0</v>
      </c>
      <c r="DH1376">
        <v>0</v>
      </c>
      <c r="DI1376">
        <v>1</v>
      </c>
    </row>
    <row r="1377" spans="1:113" x14ac:dyDescent="0.3">
      <c r="A1377" t="str">
        <f>"02/13/2022 18:44:40.977"</f>
        <v>02/13/2022 18:44:40.977</v>
      </c>
      <c r="C1377" t="str">
        <f>"FFDFD7C0"</f>
        <v>FFDFD7C0</v>
      </c>
      <c r="D1377" t="s">
        <v>121</v>
      </c>
      <c r="E1377">
        <v>2</v>
      </c>
      <c r="H1377">
        <v>158</v>
      </c>
      <c r="I1377" t="s">
        <v>120</v>
      </c>
      <c r="J1377" t="s">
        <v>122</v>
      </c>
      <c r="K1377">
        <v>0</v>
      </c>
      <c r="L1377">
        <v>3</v>
      </c>
      <c r="M1377">
        <v>0</v>
      </c>
      <c r="N1377">
        <v>2</v>
      </c>
      <c r="O1377">
        <v>1</v>
      </c>
      <c r="P1377">
        <v>0</v>
      </c>
      <c r="Q1377">
        <v>0</v>
      </c>
      <c r="S1377" t="str">
        <f>"18:44:40.469"</f>
        <v>18:44:40.469</v>
      </c>
      <c r="T1377" t="str">
        <f>"18:44:39.369"</f>
        <v>18:44:39.369</v>
      </c>
      <c r="U1377" t="str">
        <f t="shared" si="130"/>
        <v>AAB6EE</v>
      </c>
      <c r="V1377">
        <v>0</v>
      </c>
      <c r="W1377">
        <v>0</v>
      </c>
      <c r="X1377">
        <v>4</v>
      </c>
      <c r="Z1377">
        <v>0</v>
      </c>
      <c r="AA1377">
        <v>8</v>
      </c>
      <c r="AB1377">
        <v>3</v>
      </c>
      <c r="AC1377">
        <v>0</v>
      </c>
      <c r="AD1377">
        <v>10</v>
      </c>
      <c r="AE1377">
        <v>0</v>
      </c>
      <c r="AF1377">
        <v>0</v>
      </c>
      <c r="AG1377">
        <v>1</v>
      </c>
      <c r="AH1377">
        <v>1</v>
      </c>
      <c r="AI1377" t="s">
        <v>1043</v>
      </c>
      <c r="AJ1377">
        <v>35.217382999999998</v>
      </c>
      <c r="AK1377" t="s">
        <v>1044</v>
      </c>
      <c r="AL1377">
        <v>-76.153171</v>
      </c>
      <c r="AM1377">
        <v>25</v>
      </c>
      <c r="AN1377">
        <v>2925</v>
      </c>
      <c r="AO1377" t="s">
        <v>118</v>
      </c>
      <c r="AP1377">
        <v>178</v>
      </c>
      <c r="AQ1377">
        <v>7</v>
      </c>
      <c r="AR1377">
        <v>-192</v>
      </c>
      <c r="AZ1377">
        <v>1200</v>
      </c>
      <c r="BA1377">
        <v>0</v>
      </c>
      <c r="BB1377" t="str">
        <f t="shared" si="132"/>
        <v xml:space="preserve">N79NX   </v>
      </c>
      <c r="BC1377">
        <v>1</v>
      </c>
      <c r="BE1377">
        <v>0</v>
      </c>
      <c r="BF1377">
        <v>0</v>
      </c>
      <c r="BG1377">
        <v>0</v>
      </c>
      <c r="BH1377">
        <v>2800</v>
      </c>
      <c r="BI1377">
        <v>0</v>
      </c>
      <c r="BJ1377">
        <v>0</v>
      </c>
      <c r="BK1377">
        <v>0</v>
      </c>
      <c r="BL1377">
        <v>0</v>
      </c>
      <c r="BO1377">
        <v>0</v>
      </c>
      <c r="BP1377">
        <v>0</v>
      </c>
      <c r="BW1377" t="str">
        <f>"18:44:40.472"</f>
        <v>18:44:40.472</v>
      </c>
      <c r="BZ1377">
        <v>0</v>
      </c>
      <c r="CA1377">
        <v>3008</v>
      </c>
      <c r="CB1377">
        <v>216</v>
      </c>
      <c r="CC1377">
        <v>431.71879999999999</v>
      </c>
      <c r="CD1377">
        <v>1</v>
      </c>
      <c r="CE1377">
        <v>1</v>
      </c>
      <c r="CF1377">
        <v>0</v>
      </c>
      <c r="CG1377">
        <v>1</v>
      </c>
      <c r="CH1377">
        <v>0</v>
      </c>
      <c r="CI1377">
        <v>0</v>
      </c>
      <c r="CJ1377">
        <v>0</v>
      </c>
      <c r="CK1377">
        <v>2</v>
      </c>
      <c r="CL1377">
        <v>0</v>
      </c>
      <c r="CM1377">
        <v>2</v>
      </c>
      <c r="CN1377">
        <v>0</v>
      </c>
      <c r="CO1377">
        <v>1</v>
      </c>
      <c r="CP1377" t="s">
        <v>119</v>
      </c>
      <c r="CQ1377">
        <v>145</v>
      </c>
      <c r="CR1377">
        <v>1</v>
      </c>
      <c r="CW1377">
        <v>9108331</v>
      </c>
      <c r="CY1377">
        <v>0</v>
      </c>
      <c r="CZ1377">
        <v>0</v>
      </c>
      <c r="DA1377">
        <v>0</v>
      </c>
      <c r="DB1377">
        <v>0</v>
      </c>
      <c r="DC1377">
        <v>0</v>
      </c>
      <c r="DD1377">
        <v>0</v>
      </c>
      <c r="DE1377">
        <v>0</v>
      </c>
      <c r="DF1377">
        <v>0</v>
      </c>
      <c r="DG1377">
        <v>0</v>
      </c>
      <c r="DH1377">
        <v>0</v>
      </c>
      <c r="DI1377">
        <v>1</v>
      </c>
    </row>
    <row r="1378" spans="1:113" x14ac:dyDescent="0.3">
      <c r="A1378" t="str">
        <f>"02/13/2022 18:44:47.200"</f>
        <v>02/13/2022 18:44:47.200</v>
      </c>
      <c r="C1378" t="str">
        <f>"FFDFD7C0"</f>
        <v>FFDFD7C0</v>
      </c>
      <c r="D1378" t="s">
        <v>121</v>
      </c>
      <c r="E1378">
        <v>2</v>
      </c>
      <c r="H1378">
        <v>158</v>
      </c>
      <c r="I1378" t="s">
        <v>120</v>
      </c>
      <c r="J1378" t="s">
        <v>122</v>
      </c>
      <c r="K1378">
        <v>0</v>
      </c>
      <c r="L1378">
        <v>3</v>
      </c>
      <c r="M1378">
        <v>0</v>
      </c>
      <c r="N1378">
        <v>2</v>
      </c>
      <c r="O1378">
        <v>1</v>
      </c>
      <c r="P1378">
        <v>0</v>
      </c>
      <c r="Q1378">
        <v>0</v>
      </c>
      <c r="S1378" t="str">
        <f>"18:44:46.695"</f>
        <v>18:44:46.695</v>
      </c>
      <c r="T1378" t="str">
        <f>"18:44:41.695"</f>
        <v>18:44:41.695</v>
      </c>
      <c r="U1378" t="str">
        <f t="shared" si="130"/>
        <v>AAB6EE</v>
      </c>
      <c r="V1378">
        <v>0</v>
      </c>
      <c r="W1378">
        <v>0</v>
      </c>
      <c r="X1378">
        <v>4</v>
      </c>
      <c r="Z1378">
        <v>0</v>
      </c>
      <c r="AA1378">
        <v>8</v>
      </c>
      <c r="AB1378">
        <v>3</v>
      </c>
      <c r="AC1378">
        <v>0</v>
      </c>
      <c r="AD1378">
        <v>10</v>
      </c>
      <c r="AE1378">
        <v>0</v>
      </c>
      <c r="AF1378">
        <v>0</v>
      </c>
      <c r="AG1378">
        <v>1</v>
      </c>
      <c r="AH1378">
        <v>1</v>
      </c>
      <c r="AI1378" t="s">
        <v>1045</v>
      </c>
      <c r="AJ1378">
        <v>35.218305999999998</v>
      </c>
      <c r="AK1378" t="s">
        <v>1046</v>
      </c>
      <c r="AL1378">
        <v>-76.147098999999997</v>
      </c>
      <c r="AM1378">
        <v>25</v>
      </c>
      <c r="AN1378">
        <v>2925</v>
      </c>
      <c r="AO1378" t="s">
        <v>118</v>
      </c>
      <c r="AP1378">
        <v>176</v>
      </c>
      <c r="AQ1378">
        <v>15</v>
      </c>
      <c r="AR1378">
        <v>128</v>
      </c>
      <c r="AZ1378">
        <v>1200</v>
      </c>
      <c r="BA1378">
        <v>0</v>
      </c>
      <c r="BB1378" t="str">
        <f t="shared" si="132"/>
        <v xml:space="preserve">N79NX   </v>
      </c>
      <c r="BC1378">
        <v>1</v>
      </c>
      <c r="BE1378">
        <v>0</v>
      </c>
      <c r="BF1378">
        <v>0</v>
      </c>
      <c r="BG1378">
        <v>0</v>
      </c>
      <c r="BH1378">
        <v>2775</v>
      </c>
      <c r="BI1378">
        <v>0</v>
      </c>
      <c r="BJ1378">
        <v>0</v>
      </c>
      <c r="BK1378">
        <v>0</v>
      </c>
      <c r="BL1378">
        <v>0</v>
      </c>
      <c r="BO1378">
        <v>0</v>
      </c>
      <c r="BP1378">
        <v>0</v>
      </c>
      <c r="BW1378" t="str">
        <f>"18:44:46.702"</f>
        <v>18:44:46.702</v>
      </c>
      <c r="BZ1378">
        <v>0</v>
      </c>
      <c r="CA1378">
        <v>3008</v>
      </c>
      <c r="CB1378">
        <v>216</v>
      </c>
      <c r="CC1378">
        <v>431.71879999999999</v>
      </c>
      <c r="CD1378">
        <v>1</v>
      </c>
      <c r="CE1378">
        <v>1</v>
      </c>
      <c r="CF1378">
        <v>0</v>
      </c>
      <c r="CG1378">
        <v>1</v>
      </c>
      <c r="CH1378">
        <v>0</v>
      </c>
      <c r="CI1378">
        <v>0</v>
      </c>
      <c r="CJ1378">
        <v>0</v>
      </c>
      <c r="CK1378">
        <v>2</v>
      </c>
      <c r="CL1378">
        <v>0</v>
      </c>
      <c r="CM1378">
        <v>2</v>
      </c>
      <c r="CN1378">
        <v>0</v>
      </c>
      <c r="CO1378">
        <v>1</v>
      </c>
      <c r="CP1378" t="s">
        <v>119</v>
      </c>
      <c r="CQ1378">
        <v>145</v>
      </c>
      <c r="CR1378">
        <v>1</v>
      </c>
      <c r="CW1378">
        <v>9111463</v>
      </c>
      <c r="CY1378">
        <v>0</v>
      </c>
      <c r="CZ1378">
        <v>0</v>
      </c>
      <c r="DA1378">
        <v>0</v>
      </c>
      <c r="DB1378">
        <v>0</v>
      </c>
      <c r="DC1378">
        <v>0</v>
      </c>
      <c r="DD1378">
        <v>0</v>
      </c>
      <c r="DE1378">
        <v>0</v>
      </c>
      <c r="DF1378">
        <v>0</v>
      </c>
      <c r="DG1378">
        <v>0</v>
      </c>
      <c r="DH1378">
        <v>0</v>
      </c>
      <c r="DI1378">
        <v>1</v>
      </c>
    </row>
    <row r="1379" spans="1:113" x14ac:dyDescent="0.3">
      <c r="A1379" t="str">
        <f>"02/13/2022 18:44:49.890"</f>
        <v>02/13/2022 18:44:49.890</v>
      </c>
      <c r="C1379" t="str">
        <f>"FFDFD7C0"</f>
        <v>FFDFD7C0</v>
      </c>
      <c r="D1379" t="s">
        <v>121</v>
      </c>
      <c r="E1379">
        <v>2</v>
      </c>
      <c r="H1379">
        <v>158</v>
      </c>
      <c r="I1379" t="s">
        <v>120</v>
      </c>
      <c r="J1379" t="s">
        <v>122</v>
      </c>
      <c r="K1379">
        <v>0</v>
      </c>
      <c r="L1379">
        <v>3</v>
      </c>
      <c r="M1379">
        <v>0</v>
      </c>
      <c r="N1379">
        <v>2</v>
      </c>
      <c r="O1379">
        <v>1</v>
      </c>
      <c r="P1379">
        <v>0</v>
      </c>
      <c r="Q1379">
        <v>0</v>
      </c>
      <c r="S1379" t="str">
        <f>"18:44:49.398"</f>
        <v>18:44:49.398</v>
      </c>
      <c r="T1379" t="str">
        <f>"18:44:48.598"</f>
        <v>18:44:48.598</v>
      </c>
      <c r="U1379" t="str">
        <f t="shared" si="130"/>
        <v>AAB6EE</v>
      </c>
      <c r="V1379">
        <v>0</v>
      </c>
      <c r="W1379">
        <v>0</v>
      </c>
      <c r="X1379">
        <v>4</v>
      </c>
      <c r="Z1379">
        <v>0</v>
      </c>
      <c r="AA1379">
        <v>8</v>
      </c>
      <c r="AB1379">
        <v>3</v>
      </c>
      <c r="AC1379">
        <v>0</v>
      </c>
      <c r="AD1379">
        <v>10</v>
      </c>
      <c r="AE1379">
        <v>0</v>
      </c>
      <c r="AF1379">
        <v>0</v>
      </c>
      <c r="AG1379">
        <v>1</v>
      </c>
      <c r="AH1379">
        <v>1</v>
      </c>
      <c r="AI1379" t="s">
        <v>1047</v>
      </c>
      <c r="AJ1379">
        <v>35.219099999999997</v>
      </c>
      <c r="AK1379" t="s">
        <v>1048</v>
      </c>
      <c r="AL1379">
        <v>-76.144609000000003</v>
      </c>
      <c r="AM1379">
        <v>25</v>
      </c>
      <c r="AN1379">
        <v>2950</v>
      </c>
      <c r="AO1379" t="s">
        <v>118</v>
      </c>
      <c r="AP1379">
        <v>162</v>
      </c>
      <c r="AQ1379">
        <v>67</v>
      </c>
      <c r="AR1379">
        <v>64</v>
      </c>
      <c r="AZ1379">
        <v>1200</v>
      </c>
      <c r="BA1379">
        <v>0</v>
      </c>
      <c r="BB1379" t="str">
        <f t="shared" si="132"/>
        <v xml:space="preserve">N79NX   </v>
      </c>
      <c r="BC1379">
        <v>1</v>
      </c>
      <c r="BE1379">
        <v>0</v>
      </c>
      <c r="BF1379">
        <v>0</v>
      </c>
      <c r="BG1379">
        <v>0</v>
      </c>
      <c r="BH1379">
        <v>2775</v>
      </c>
      <c r="BI1379">
        <v>0</v>
      </c>
      <c r="BJ1379">
        <v>0</v>
      </c>
      <c r="BK1379">
        <v>0</v>
      </c>
      <c r="BL1379">
        <v>0</v>
      </c>
      <c r="BO1379">
        <v>0</v>
      </c>
      <c r="BP1379">
        <v>0</v>
      </c>
      <c r="BW1379" t="str">
        <f>"18:44:49.402"</f>
        <v>18:44:49.402</v>
      </c>
      <c r="BZ1379">
        <v>0</v>
      </c>
      <c r="CA1379">
        <v>3008</v>
      </c>
      <c r="CB1379">
        <v>216</v>
      </c>
      <c r="CC1379">
        <v>431.71879999999999</v>
      </c>
      <c r="CD1379">
        <v>1</v>
      </c>
      <c r="CE1379">
        <v>1</v>
      </c>
      <c r="CF1379">
        <v>0</v>
      </c>
      <c r="CG1379">
        <v>1</v>
      </c>
      <c r="CH1379">
        <v>0</v>
      </c>
      <c r="CI1379">
        <v>0</v>
      </c>
      <c r="CJ1379">
        <v>0</v>
      </c>
      <c r="CK1379">
        <v>2</v>
      </c>
      <c r="CL1379">
        <v>0</v>
      </c>
      <c r="CM1379">
        <v>2</v>
      </c>
      <c r="CN1379">
        <v>0</v>
      </c>
      <c r="CO1379">
        <v>2</v>
      </c>
      <c r="CP1379" t="s">
        <v>119</v>
      </c>
      <c r="CQ1379">
        <v>145</v>
      </c>
      <c r="CR1379">
        <v>1</v>
      </c>
      <c r="CW1379">
        <v>9112906</v>
      </c>
      <c r="CY1379">
        <v>0</v>
      </c>
      <c r="CZ1379">
        <v>0</v>
      </c>
      <c r="DA1379">
        <v>0</v>
      </c>
      <c r="DB1379">
        <v>0</v>
      </c>
      <c r="DC1379">
        <v>0</v>
      </c>
      <c r="DD1379">
        <v>0</v>
      </c>
      <c r="DE1379">
        <v>0</v>
      </c>
      <c r="DF1379">
        <v>0</v>
      </c>
      <c r="DG1379">
        <v>0</v>
      </c>
      <c r="DH1379">
        <v>0</v>
      </c>
      <c r="DI1379">
        <v>1</v>
      </c>
    </row>
    <row r="1380" spans="1:113" x14ac:dyDescent="0.3">
      <c r="A1380" t="str">
        <f>"02/13/2022 18:45:03.710"</f>
        <v>02/13/2022 18:45:03.710</v>
      </c>
      <c r="C1380" t="str">
        <f>"FFDF57C0"</f>
        <v>FFDF57C0</v>
      </c>
      <c r="D1380" t="s">
        <v>121</v>
      </c>
      <c r="E1380">
        <v>2</v>
      </c>
      <c r="H1380">
        <v>158</v>
      </c>
      <c r="I1380" t="s">
        <v>120</v>
      </c>
      <c r="J1380" t="s">
        <v>122</v>
      </c>
      <c r="K1380">
        <v>0</v>
      </c>
      <c r="L1380">
        <v>3</v>
      </c>
      <c r="M1380">
        <v>0</v>
      </c>
      <c r="N1380">
        <v>2</v>
      </c>
      <c r="O1380">
        <v>1</v>
      </c>
      <c r="P1380">
        <v>0</v>
      </c>
      <c r="Q1380">
        <v>0</v>
      </c>
      <c r="S1380" t="str">
        <f>"18:45:03.195"</f>
        <v>18:45:03.195</v>
      </c>
      <c r="U1380" t="str">
        <f t="shared" si="130"/>
        <v>AAB6EE</v>
      </c>
      <c r="V1380">
        <v>0</v>
      </c>
      <c r="W1380">
        <v>0</v>
      </c>
      <c r="X1380">
        <v>4</v>
      </c>
      <c r="Z1380">
        <v>0</v>
      </c>
      <c r="AA1380">
        <v>8</v>
      </c>
      <c r="AB1380">
        <v>3</v>
      </c>
      <c r="AC1380">
        <v>0</v>
      </c>
      <c r="AD1380">
        <v>10</v>
      </c>
      <c r="AE1380">
        <v>0</v>
      </c>
      <c r="AF1380">
        <v>0</v>
      </c>
      <c r="AG1380">
        <v>1</v>
      </c>
      <c r="AH1380">
        <v>1</v>
      </c>
      <c r="AI1380" t="s">
        <v>1049</v>
      </c>
      <c r="AJ1380">
        <v>35.224550000000001</v>
      </c>
      <c r="AK1380" t="s">
        <v>1050</v>
      </c>
      <c r="AL1380">
        <v>-76.132615000000001</v>
      </c>
      <c r="AM1380">
        <v>25</v>
      </c>
      <c r="AN1380">
        <v>2925</v>
      </c>
      <c r="AO1380" t="s">
        <v>118</v>
      </c>
      <c r="AR1380">
        <v>-320</v>
      </c>
      <c r="AZ1380">
        <v>1200</v>
      </c>
      <c r="BA1380">
        <v>0</v>
      </c>
      <c r="BB1380" t="str">
        <f t="shared" si="132"/>
        <v xml:space="preserve">N79NX   </v>
      </c>
      <c r="BC1380">
        <v>1</v>
      </c>
      <c r="BE1380">
        <v>0</v>
      </c>
      <c r="BF1380">
        <v>0</v>
      </c>
      <c r="BG1380">
        <v>0</v>
      </c>
      <c r="BI1380">
        <v>0</v>
      </c>
      <c r="BJ1380">
        <v>0</v>
      </c>
      <c r="BK1380">
        <v>0</v>
      </c>
      <c r="BL1380">
        <v>0</v>
      </c>
      <c r="BO1380">
        <v>0</v>
      </c>
      <c r="BP1380">
        <v>0</v>
      </c>
      <c r="BW1380" t="str">
        <f>"18:45:03.202"</f>
        <v>18:45:03.202</v>
      </c>
      <c r="BZ1380">
        <v>0</v>
      </c>
      <c r="CA1380">
        <v>3008</v>
      </c>
      <c r="CB1380">
        <v>216</v>
      </c>
      <c r="CC1380">
        <v>431.71879999999999</v>
      </c>
      <c r="CD1380">
        <v>1</v>
      </c>
      <c r="CE1380">
        <v>1</v>
      </c>
      <c r="CF1380">
        <v>0</v>
      </c>
      <c r="CG1380">
        <v>1</v>
      </c>
      <c r="CH1380">
        <v>0</v>
      </c>
      <c r="CI1380">
        <v>0</v>
      </c>
      <c r="CJ1380">
        <v>0</v>
      </c>
      <c r="CK1380">
        <v>2</v>
      </c>
      <c r="CL1380">
        <v>0</v>
      </c>
      <c r="CM1380">
        <v>2</v>
      </c>
      <c r="CN1380">
        <v>0</v>
      </c>
      <c r="CO1380">
        <v>1</v>
      </c>
      <c r="CP1380" t="s">
        <v>119</v>
      </c>
      <c r="CQ1380">
        <v>145</v>
      </c>
      <c r="CR1380">
        <v>1</v>
      </c>
      <c r="CW1380">
        <v>9120078</v>
      </c>
      <c r="CY1380">
        <v>0</v>
      </c>
      <c r="CZ1380">
        <v>0</v>
      </c>
      <c r="DA1380">
        <v>0</v>
      </c>
      <c r="DB1380">
        <v>0</v>
      </c>
      <c r="DC1380">
        <v>0</v>
      </c>
      <c r="DD1380">
        <v>0</v>
      </c>
      <c r="DE1380">
        <v>0</v>
      </c>
      <c r="DF1380">
        <v>1</v>
      </c>
      <c r="DG1380">
        <v>0</v>
      </c>
      <c r="DH1380">
        <v>0</v>
      </c>
      <c r="DI1380">
        <v>1</v>
      </c>
    </row>
    <row r="1381" spans="1:113" x14ac:dyDescent="0.3">
      <c r="A1381" t="str">
        <f>"02/13/2022 18:45:06.729"</f>
        <v>02/13/2022 18:45:06.729</v>
      </c>
      <c r="C1381" t="str">
        <f t="shared" ref="C1381:C1444" si="133">"FFDFD7C0"</f>
        <v>FFDFD7C0</v>
      </c>
      <c r="D1381" t="s">
        <v>121</v>
      </c>
      <c r="E1381">
        <v>2</v>
      </c>
      <c r="H1381">
        <v>158</v>
      </c>
      <c r="I1381" t="s">
        <v>120</v>
      </c>
      <c r="J1381" t="s">
        <v>122</v>
      </c>
      <c r="K1381">
        <v>0</v>
      </c>
      <c r="L1381">
        <v>3</v>
      </c>
      <c r="M1381">
        <v>0</v>
      </c>
      <c r="N1381">
        <v>2</v>
      </c>
      <c r="O1381">
        <v>1</v>
      </c>
      <c r="P1381">
        <v>0</v>
      </c>
      <c r="Q1381">
        <v>0</v>
      </c>
      <c r="S1381" t="str">
        <f>"18:45:06.188"</f>
        <v>18:45:06.188</v>
      </c>
      <c r="T1381" t="str">
        <f>"18:45:05.988"</f>
        <v>18:45:05.988</v>
      </c>
      <c r="U1381" t="str">
        <f t="shared" si="130"/>
        <v>AAB6EE</v>
      </c>
      <c r="V1381">
        <v>0</v>
      </c>
      <c r="W1381">
        <v>0</v>
      </c>
      <c r="X1381">
        <v>4</v>
      </c>
      <c r="Z1381">
        <v>0</v>
      </c>
      <c r="AA1381">
        <v>8</v>
      </c>
      <c r="AB1381">
        <v>3</v>
      </c>
      <c r="AC1381">
        <v>0</v>
      </c>
      <c r="AD1381">
        <v>10</v>
      </c>
      <c r="AE1381">
        <v>0</v>
      </c>
      <c r="AF1381">
        <v>0</v>
      </c>
      <c r="AG1381">
        <v>1</v>
      </c>
      <c r="AH1381">
        <v>1</v>
      </c>
      <c r="AI1381" t="s">
        <v>1051</v>
      </c>
      <c r="AJ1381">
        <v>35.225687000000001</v>
      </c>
      <c r="AK1381" t="s">
        <v>1052</v>
      </c>
      <c r="AL1381">
        <v>-76.130039999999994</v>
      </c>
      <c r="AM1381">
        <v>25</v>
      </c>
      <c r="AN1381">
        <v>2925</v>
      </c>
      <c r="AO1381" t="s">
        <v>118</v>
      </c>
      <c r="AP1381">
        <v>157</v>
      </c>
      <c r="AQ1381">
        <v>75</v>
      </c>
      <c r="AR1381">
        <v>-64</v>
      </c>
      <c r="AZ1381">
        <v>1200</v>
      </c>
      <c r="BA1381">
        <v>0</v>
      </c>
      <c r="BB1381" t="str">
        <f t="shared" si="132"/>
        <v xml:space="preserve">N79NX   </v>
      </c>
      <c r="BC1381">
        <v>1</v>
      </c>
      <c r="BE1381">
        <v>0</v>
      </c>
      <c r="BF1381">
        <v>0</v>
      </c>
      <c r="BG1381">
        <v>0</v>
      </c>
      <c r="BH1381">
        <v>2775</v>
      </c>
      <c r="BI1381">
        <v>0</v>
      </c>
      <c r="BJ1381">
        <v>0</v>
      </c>
      <c r="BK1381">
        <v>0</v>
      </c>
      <c r="BL1381">
        <v>0</v>
      </c>
      <c r="BO1381">
        <v>0</v>
      </c>
      <c r="BP1381">
        <v>0</v>
      </c>
      <c r="BW1381" t="str">
        <f>"18:45:06.192"</f>
        <v>18:45:06.192</v>
      </c>
      <c r="BZ1381">
        <v>0</v>
      </c>
      <c r="CA1381">
        <v>3008</v>
      </c>
      <c r="CB1381">
        <v>216</v>
      </c>
      <c r="CC1381">
        <v>431.71879999999999</v>
      </c>
      <c r="CD1381">
        <v>1</v>
      </c>
      <c r="CE1381">
        <v>1</v>
      </c>
      <c r="CF1381">
        <v>0</v>
      </c>
      <c r="CG1381">
        <v>1</v>
      </c>
      <c r="CH1381">
        <v>0</v>
      </c>
      <c r="CI1381">
        <v>0</v>
      </c>
      <c r="CJ1381">
        <v>0</v>
      </c>
      <c r="CK1381">
        <v>2</v>
      </c>
      <c r="CL1381">
        <v>0</v>
      </c>
      <c r="CM1381">
        <v>2</v>
      </c>
      <c r="CN1381">
        <v>0</v>
      </c>
      <c r="CO1381">
        <v>2</v>
      </c>
      <c r="CP1381" t="s">
        <v>119</v>
      </c>
      <c r="CQ1381">
        <v>145</v>
      </c>
      <c r="CR1381">
        <v>1</v>
      </c>
      <c r="CW1381">
        <v>9121654</v>
      </c>
      <c r="CY1381">
        <v>0</v>
      </c>
      <c r="CZ1381">
        <v>0</v>
      </c>
      <c r="DA1381">
        <v>0</v>
      </c>
      <c r="DB1381">
        <v>0</v>
      </c>
      <c r="DC1381">
        <v>0</v>
      </c>
      <c r="DD1381">
        <v>0</v>
      </c>
      <c r="DE1381">
        <v>0</v>
      </c>
      <c r="DF1381">
        <v>0</v>
      </c>
      <c r="DG1381">
        <v>0</v>
      </c>
      <c r="DH1381">
        <v>0</v>
      </c>
      <c r="DI1381">
        <v>1</v>
      </c>
    </row>
    <row r="1382" spans="1:113" x14ac:dyDescent="0.3">
      <c r="A1382" t="str">
        <f>"02/13/2022 18:45:07.604"</f>
        <v>02/13/2022 18:45:07.604</v>
      </c>
      <c r="C1382" t="str">
        <f t="shared" si="133"/>
        <v>FFDFD7C0</v>
      </c>
      <c r="D1382" t="s">
        <v>121</v>
      </c>
      <c r="E1382">
        <v>2</v>
      </c>
      <c r="H1382">
        <v>158</v>
      </c>
      <c r="I1382" t="s">
        <v>120</v>
      </c>
      <c r="J1382" t="s">
        <v>122</v>
      </c>
      <c r="K1382">
        <v>0</v>
      </c>
      <c r="L1382">
        <v>3</v>
      </c>
      <c r="M1382">
        <v>0</v>
      </c>
      <c r="N1382">
        <v>2</v>
      </c>
      <c r="O1382">
        <v>1</v>
      </c>
      <c r="P1382">
        <v>0</v>
      </c>
      <c r="Q1382">
        <v>0</v>
      </c>
      <c r="S1382" t="str">
        <f>"18:45:07.117"</f>
        <v>18:45:07.117</v>
      </c>
      <c r="T1382" t="str">
        <f>"18:45:07.117"</f>
        <v>18:45:07.117</v>
      </c>
      <c r="U1382" t="str">
        <f t="shared" si="130"/>
        <v>AAB6EE</v>
      </c>
      <c r="V1382">
        <v>0</v>
      </c>
      <c r="W1382">
        <v>0</v>
      </c>
      <c r="X1382">
        <v>4</v>
      </c>
      <c r="Z1382">
        <v>0</v>
      </c>
      <c r="AA1382">
        <v>8</v>
      </c>
      <c r="AB1382">
        <v>3</v>
      </c>
      <c r="AC1382">
        <v>0</v>
      </c>
      <c r="AD1382">
        <v>10</v>
      </c>
      <c r="AE1382">
        <v>0</v>
      </c>
      <c r="AF1382">
        <v>0</v>
      </c>
      <c r="AG1382">
        <v>1</v>
      </c>
      <c r="AH1382">
        <v>1</v>
      </c>
      <c r="AI1382" t="s">
        <v>1053</v>
      </c>
      <c r="AJ1382">
        <v>35.226008999999998</v>
      </c>
      <c r="AK1382" t="s">
        <v>1054</v>
      </c>
      <c r="AL1382">
        <v>-76.129096000000004</v>
      </c>
      <c r="AM1382">
        <v>25</v>
      </c>
      <c r="AN1382">
        <v>2925</v>
      </c>
      <c r="AO1382" t="s">
        <v>118</v>
      </c>
      <c r="AP1382">
        <v>161</v>
      </c>
      <c r="AQ1382">
        <v>67</v>
      </c>
      <c r="AR1382">
        <v>0</v>
      </c>
      <c r="AZ1382">
        <v>1200</v>
      </c>
      <c r="BA1382">
        <v>0</v>
      </c>
      <c r="BB1382" t="str">
        <f t="shared" si="132"/>
        <v xml:space="preserve">N79NX   </v>
      </c>
      <c r="BC1382">
        <v>1</v>
      </c>
      <c r="BE1382">
        <v>0</v>
      </c>
      <c r="BF1382">
        <v>0</v>
      </c>
      <c r="BG1382">
        <v>0</v>
      </c>
      <c r="BH1382">
        <v>2775</v>
      </c>
      <c r="BI1382">
        <v>0</v>
      </c>
      <c r="BJ1382">
        <v>0</v>
      </c>
      <c r="BK1382">
        <v>0</v>
      </c>
      <c r="BL1382">
        <v>0</v>
      </c>
      <c r="BO1382">
        <v>0</v>
      </c>
      <c r="BP1382">
        <v>0</v>
      </c>
      <c r="BW1382" t="str">
        <f>"18:45:07.122"</f>
        <v>18:45:07.122</v>
      </c>
      <c r="BZ1382">
        <v>0</v>
      </c>
      <c r="CA1382">
        <v>3008</v>
      </c>
      <c r="CB1382">
        <v>216</v>
      </c>
      <c r="CC1382">
        <v>458.4375</v>
      </c>
      <c r="CD1382">
        <v>1</v>
      </c>
      <c r="CE1382">
        <v>1</v>
      </c>
      <c r="CF1382">
        <v>0</v>
      </c>
      <c r="CG1382">
        <v>1</v>
      </c>
      <c r="CH1382">
        <v>0</v>
      </c>
      <c r="CI1382">
        <v>0</v>
      </c>
      <c r="CJ1382">
        <v>0</v>
      </c>
      <c r="CK1382">
        <v>2</v>
      </c>
      <c r="CL1382">
        <v>0</v>
      </c>
      <c r="CM1382">
        <v>2</v>
      </c>
      <c r="CN1382">
        <v>0</v>
      </c>
      <c r="CO1382">
        <v>1</v>
      </c>
      <c r="CP1382" t="s">
        <v>119</v>
      </c>
      <c r="CQ1382">
        <v>145</v>
      </c>
      <c r="CR1382">
        <v>1</v>
      </c>
      <c r="CW1382">
        <v>9122178</v>
      </c>
      <c r="CY1382">
        <v>0</v>
      </c>
      <c r="CZ1382">
        <v>0</v>
      </c>
      <c r="DA1382">
        <v>0</v>
      </c>
      <c r="DB1382">
        <v>0</v>
      </c>
      <c r="DC1382">
        <v>0</v>
      </c>
      <c r="DD1382">
        <v>0</v>
      </c>
      <c r="DE1382">
        <v>0</v>
      </c>
      <c r="DF1382">
        <v>0</v>
      </c>
      <c r="DG1382">
        <v>0</v>
      </c>
      <c r="DH1382">
        <v>0</v>
      </c>
      <c r="DI1382">
        <v>1</v>
      </c>
    </row>
    <row r="1383" spans="1:113" x14ac:dyDescent="0.3">
      <c r="A1383" t="str">
        <f>"02/13/2022 18:45:08.666"</f>
        <v>02/13/2022 18:45:08.666</v>
      </c>
      <c r="C1383" t="str">
        <f t="shared" si="133"/>
        <v>FFDFD7C0</v>
      </c>
      <c r="D1383" t="s">
        <v>121</v>
      </c>
      <c r="E1383">
        <v>2</v>
      </c>
      <c r="H1383">
        <v>158</v>
      </c>
      <c r="I1383" t="s">
        <v>120</v>
      </c>
      <c r="J1383" t="s">
        <v>122</v>
      </c>
      <c r="K1383">
        <v>0</v>
      </c>
      <c r="L1383">
        <v>3</v>
      </c>
      <c r="M1383">
        <v>0</v>
      </c>
      <c r="N1383">
        <v>2</v>
      </c>
      <c r="O1383">
        <v>1</v>
      </c>
      <c r="P1383">
        <v>0</v>
      </c>
      <c r="Q1383">
        <v>0</v>
      </c>
      <c r="S1383" t="str">
        <f>"18:45:08.188"</f>
        <v>18:45:08.188</v>
      </c>
      <c r="T1383" t="str">
        <f>"18:45:07.188"</f>
        <v>18:45:07.188</v>
      </c>
      <c r="U1383" t="str">
        <f t="shared" si="130"/>
        <v>AAB6EE</v>
      </c>
      <c r="V1383">
        <v>0</v>
      </c>
      <c r="W1383">
        <v>0</v>
      </c>
      <c r="X1383">
        <v>4</v>
      </c>
      <c r="Z1383">
        <v>0</v>
      </c>
      <c r="AA1383">
        <v>8</v>
      </c>
      <c r="AB1383">
        <v>3</v>
      </c>
      <c r="AC1383">
        <v>0</v>
      </c>
      <c r="AD1383">
        <v>10</v>
      </c>
      <c r="AE1383">
        <v>0</v>
      </c>
      <c r="AF1383">
        <v>0</v>
      </c>
      <c r="AG1383">
        <v>1</v>
      </c>
      <c r="AH1383">
        <v>1</v>
      </c>
      <c r="AI1383" t="s">
        <v>1055</v>
      </c>
      <c r="AJ1383">
        <v>35.226287999999997</v>
      </c>
      <c r="AK1383" t="s">
        <v>1056</v>
      </c>
      <c r="AL1383">
        <v>-76.128193999999993</v>
      </c>
      <c r="AM1383">
        <v>25</v>
      </c>
      <c r="AN1383">
        <v>2925</v>
      </c>
      <c r="AO1383" t="s">
        <v>118</v>
      </c>
      <c r="AP1383">
        <v>161</v>
      </c>
      <c r="AQ1383">
        <v>67</v>
      </c>
      <c r="AR1383">
        <v>0</v>
      </c>
      <c r="AZ1383">
        <v>1200</v>
      </c>
      <c r="BA1383">
        <v>0</v>
      </c>
      <c r="BB1383" t="str">
        <f t="shared" si="132"/>
        <v xml:space="preserve">N79NX   </v>
      </c>
      <c r="BC1383">
        <v>1</v>
      </c>
      <c r="BE1383">
        <v>0</v>
      </c>
      <c r="BF1383">
        <v>0</v>
      </c>
      <c r="BG1383">
        <v>0</v>
      </c>
      <c r="BH1383">
        <v>2775</v>
      </c>
      <c r="BI1383">
        <v>0</v>
      </c>
      <c r="BJ1383">
        <v>0</v>
      </c>
      <c r="BK1383">
        <v>0</v>
      </c>
      <c r="BL1383">
        <v>0</v>
      </c>
      <c r="BO1383">
        <v>0</v>
      </c>
      <c r="BP1383">
        <v>0</v>
      </c>
      <c r="BW1383" t="str">
        <f>"18:45:08.192"</f>
        <v>18:45:08.192</v>
      </c>
      <c r="BZ1383">
        <v>0</v>
      </c>
      <c r="CA1383">
        <v>3008</v>
      </c>
      <c r="CB1383">
        <v>216</v>
      </c>
      <c r="CC1383">
        <v>458.4375</v>
      </c>
      <c r="CD1383">
        <v>1</v>
      </c>
      <c r="CE1383">
        <v>1</v>
      </c>
      <c r="CF1383">
        <v>0</v>
      </c>
      <c r="CG1383">
        <v>1</v>
      </c>
      <c r="CH1383">
        <v>0</v>
      </c>
      <c r="CI1383">
        <v>0</v>
      </c>
      <c r="CJ1383">
        <v>0</v>
      </c>
      <c r="CK1383">
        <v>2</v>
      </c>
      <c r="CL1383">
        <v>0</v>
      </c>
      <c r="CM1383">
        <v>2</v>
      </c>
      <c r="CN1383">
        <v>0</v>
      </c>
      <c r="CO1383">
        <v>2</v>
      </c>
      <c r="CP1383" t="s">
        <v>119</v>
      </c>
      <c r="CQ1383">
        <v>145</v>
      </c>
      <c r="CR1383">
        <v>1</v>
      </c>
      <c r="CW1383">
        <v>9122718</v>
      </c>
      <c r="CY1383">
        <v>0</v>
      </c>
      <c r="CZ1383">
        <v>0</v>
      </c>
      <c r="DA1383">
        <v>0</v>
      </c>
      <c r="DB1383">
        <v>0</v>
      </c>
      <c r="DC1383">
        <v>0</v>
      </c>
      <c r="DD1383">
        <v>0</v>
      </c>
      <c r="DE1383">
        <v>0</v>
      </c>
      <c r="DF1383">
        <v>0</v>
      </c>
      <c r="DG1383">
        <v>0</v>
      </c>
      <c r="DH1383">
        <v>0</v>
      </c>
      <c r="DI1383">
        <v>1</v>
      </c>
    </row>
    <row r="1384" spans="1:113" x14ac:dyDescent="0.3">
      <c r="A1384" t="str">
        <f>"02/13/2022 18:45:11.092"</f>
        <v>02/13/2022 18:45:11.092</v>
      </c>
      <c r="C1384" t="str">
        <f t="shared" si="133"/>
        <v>FFDFD7C0</v>
      </c>
      <c r="D1384" t="s">
        <v>113</v>
      </c>
      <c r="E1384">
        <v>4</v>
      </c>
      <c r="F1384">
        <v>1004</v>
      </c>
      <c r="G1384" t="s">
        <v>120</v>
      </c>
      <c r="J1384" t="s">
        <v>115</v>
      </c>
      <c r="K1384">
        <v>0</v>
      </c>
      <c r="L1384">
        <v>3</v>
      </c>
      <c r="M1384">
        <v>0</v>
      </c>
      <c r="N1384">
        <v>2</v>
      </c>
      <c r="O1384">
        <v>1</v>
      </c>
      <c r="P1384">
        <v>0</v>
      </c>
      <c r="Q1384">
        <v>0</v>
      </c>
      <c r="S1384" t="str">
        <f>"18:45:10.898"</f>
        <v>18:45:10.898</v>
      </c>
      <c r="T1384" t="str">
        <f>"18:45:09.198"</f>
        <v>18:45:09.198</v>
      </c>
      <c r="U1384" t="str">
        <f t="shared" si="130"/>
        <v>AAB6EE</v>
      </c>
      <c r="V1384">
        <v>0</v>
      </c>
      <c r="W1384">
        <v>0</v>
      </c>
      <c r="X1384">
        <v>4</v>
      </c>
      <c r="Z1384">
        <v>0</v>
      </c>
      <c r="AA1384">
        <v>8</v>
      </c>
      <c r="AB1384">
        <v>3</v>
      </c>
      <c r="AC1384">
        <v>0</v>
      </c>
      <c r="AD1384">
        <v>10</v>
      </c>
      <c r="AE1384">
        <v>0</v>
      </c>
      <c r="AF1384">
        <v>0</v>
      </c>
      <c r="AG1384">
        <v>1</v>
      </c>
      <c r="AH1384">
        <v>1</v>
      </c>
      <c r="AI1384" t="s">
        <v>1057</v>
      </c>
      <c r="AJ1384">
        <v>35.226866999999999</v>
      </c>
      <c r="AK1384" t="s">
        <v>1058</v>
      </c>
      <c r="AL1384">
        <v>-76.125641000000002</v>
      </c>
      <c r="AM1384">
        <v>25</v>
      </c>
      <c r="AN1384">
        <v>2925</v>
      </c>
      <c r="AO1384" t="s">
        <v>118</v>
      </c>
      <c r="AP1384">
        <v>165</v>
      </c>
      <c r="AQ1384">
        <v>52</v>
      </c>
      <c r="AR1384">
        <v>192</v>
      </c>
      <c r="AZ1384">
        <v>4516</v>
      </c>
      <c r="BA1384">
        <v>1</v>
      </c>
      <c r="BB1384" t="str">
        <f t="shared" si="132"/>
        <v xml:space="preserve">N79NX   </v>
      </c>
      <c r="BC1384">
        <v>1</v>
      </c>
      <c r="BE1384">
        <v>0</v>
      </c>
      <c r="BF1384">
        <v>0</v>
      </c>
      <c r="BG1384">
        <v>0</v>
      </c>
      <c r="BH1384">
        <v>2775</v>
      </c>
      <c r="BI1384">
        <v>0</v>
      </c>
      <c r="BJ1384">
        <v>0</v>
      </c>
      <c r="BK1384">
        <v>0</v>
      </c>
      <c r="BL1384">
        <v>0</v>
      </c>
      <c r="BO1384">
        <v>0</v>
      </c>
      <c r="BP1384">
        <v>0</v>
      </c>
      <c r="BW1384" t="str">
        <f>"18:45:10.902"</f>
        <v>18:45:10.902</v>
      </c>
      <c r="BZ1384">
        <v>0</v>
      </c>
      <c r="CA1384">
        <v>3008</v>
      </c>
      <c r="CB1384">
        <v>216</v>
      </c>
      <c r="CC1384">
        <v>458.4375</v>
      </c>
      <c r="CD1384">
        <v>1</v>
      </c>
      <c r="CE1384">
        <v>1</v>
      </c>
      <c r="CF1384">
        <v>0</v>
      </c>
      <c r="CG1384">
        <v>1</v>
      </c>
      <c r="CH1384">
        <v>0</v>
      </c>
      <c r="CI1384">
        <v>0</v>
      </c>
      <c r="CJ1384">
        <v>0</v>
      </c>
      <c r="CK1384">
        <v>2</v>
      </c>
      <c r="CL1384">
        <v>0</v>
      </c>
      <c r="CM1384">
        <v>2</v>
      </c>
      <c r="CN1384">
        <v>0</v>
      </c>
      <c r="CO1384">
        <v>1</v>
      </c>
      <c r="CP1384" t="s">
        <v>119</v>
      </c>
      <c r="CQ1384">
        <v>145</v>
      </c>
      <c r="CR1384">
        <v>1</v>
      </c>
      <c r="CW1384">
        <v>9124170</v>
      </c>
      <c r="CY1384">
        <v>0</v>
      </c>
      <c r="CZ1384">
        <v>0</v>
      </c>
      <c r="DA1384">
        <v>0</v>
      </c>
      <c r="DB1384">
        <v>0</v>
      </c>
      <c r="DC1384">
        <v>0</v>
      </c>
      <c r="DD1384">
        <v>0</v>
      </c>
      <c r="DE1384">
        <v>0</v>
      </c>
      <c r="DF1384">
        <v>0</v>
      </c>
      <c r="DG1384">
        <v>0</v>
      </c>
      <c r="DH1384">
        <v>0</v>
      </c>
      <c r="DI1384">
        <v>0</v>
      </c>
    </row>
    <row r="1385" spans="1:113" x14ac:dyDescent="0.3">
      <c r="A1385" t="str">
        <f>"02/13/2022 18:45:11.092"</f>
        <v>02/13/2022 18:45:11.092</v>
      </c>
      <c r="C1385" t="str">
        <f t="shared" si="133"/>
        <v>FFDFD7C0</v>
      </c>
      <c r="D1385" t="s">
        <v>113</v>
      </c>
      <c r="E1385">
        <v>3</v>
      </c>
      <c r="F1385">
        <v>1003</v>
      </c>
      <c r="G1385" t="s">
        <v>114</v>
      </c>
      <c r="J1385" t="s">
        <v>115</v>
      </c>
      <c r="K1385">
        <v>0</v>
      </c>
      <c r="L1385">
        <v>3</v>
      </c>
      <c r="M1385">
        <v>0</v>
      </c>
      <c r="N1385">
        <v>2</v>
      </c>
      <c r="O1385">
        <v>1</v>
      </c>
      <c r="P1385">
        <v>0</v>
      </c>
      <c r="Q1385">
        <v>0</v>
      </c>
      <c r="S1385" t="str">
        <f>"18:45:10.898"</f>
        <v>18:45:10.898</v>
      </c>
      <c r="T1385" t="str">
        <f>"18:45:09.198"</f>
        <v>18:45:09.198</v>
      </c>
      <c r="U1385" t="str">
        <f t="shared" si="130"/>
        <v>AAB6EE</v>
      </c>
      <c r="V1385">
        <v>0</v>
      </c>
      <c r="W1385">
        <v>0</v>
      </c>
      <c r="X1385">
        <v>4</v>
      </c>
      <c r="Z1385">
        <v>0</v>
      </c>
      <c r="AA1385">
        <v>8</v>
      </c>
      <c r="AB1385">
        <v>3</v>
      </c>
      <c r="AC1385">
        <v>0</v>
      </c>
      <c r="AD1385">
        <v>10</v>
      </c>
      <c r="AE1385">
        <v>0</v>
      </c>
      <c r="AF1385">
        <v>0</v>
      </c>
      <c r="AG1385">
        <v>1</v>
      </c>
      <c r="AH1385">
        <v>1</v>
      </c>
      <c r="AI1385" t="s">
        <v>1057</v>
      </c>
      <c r="AJ1385">
        <v>35.226866999999999</v>
      </c>
      <c r="AK1385" t="s">
        <v>1058</v>
      </c>
      <c r="AL1385">
        <v>-76.125641000000002</v>
      </c>
      <c r="AM1385">
        <v>25</v>
      </c>
      <c r="AN1385">
        <v>2925</v>
      </c>
      <c r="AO1385" t="s">
        <v>118</v>
      </c>
      <c r="AP1385">
        <v>165</v>
      </c>
      <c r="AQ1385">
        <v>52</v>
      </c>
      <c r="AR1385">
        <v>192</v>
      </c>
      <c r="AZ1385">
        <v>4516</v>
      </c>
      <c r="BA1385">
        <v>1</v>
      </c>
      <c r="BB1385" t="str">
        <f t="shared" si="132"/>
        <v xml:space="preserve">N79NX   </v>
      </c>
      <c r="BC1385">
        <v>1</v>
      </c>
      <c r="BE1385">
        <v>0</v>
      </c>
      <c r="BF1385">
        <v>0</v>
      </c>
      <c r="BG1385">
        <v>0</v>
      </c>
      <c r="BH1385">
        <v>2775</v>
      </c>
      <c r="BI1385">
        <v>0</v>
      </c>
      <c r="BJ1385">
        <v>0</v>
      </c>
      <c r="BK1385">
        <v>0</v>
      </c>
      <c r="BL1385">
        <v>0</v>
      </c>
      <c r="BO1385">
        <v>0</v>
      </c>
      <c r="BP1385">
        <v>0</v>
      </c>
      <c r="BW1385" t="str">
        <f>"18:45:10.902"</f>
        <v>18:45:10.902</v>
      </c>
      <c r="BZ1385">
        <v>0</v>
      </c>
      <c r="CA1385">
        <v>3008</v>
      </c>
      <c r="CB1385">
        <v>216</v>
      </c>
      <c r="CC1385">
        <v>458.4375</v>
      </c>
      <c r="CD1385">
        <v>1</v>
      </c>
      <c r="CE1385">
        <v>1</v>
      </c>
      <c r="CF1385">
        <v>0</v>
      </c>
      <c r="CG1385">
        <v>1</v>
      </c>
      <c r="CH1385">
        <v>0</v>
      </c>
      <c r="CI1385">
        <v>0</v>
      </c>
      <c r="CJ1385">
        <v>0</v>
      </c>
      <c r="CK1385">
        <v>2</v>
      </c>
      <c r="CL1385">
        <v>0</v>
      </c>
      <c r="CM1385">
        <v>2</v>
      </c>
      <c r="CN1385">
        <v>0</v>
      </c>
      <c r="CO1385">
        <v>1</v>
      </c>
      <c r="CP1385" t="s">
        <v>119</v>
      </c>
      <c r="CQ1385">
        <v>145</v>
      </c>
      <c r="CR1385">
        <v>1</v>
      </c>
      <c r="CW1385">
        <v>9124170</v>
      </c>
      <c r="CY1385">
        <v>0</v>
      </c>
      <c r="CZ1385">
        <v>0</v>
      </c>
      <c r="DA1385">
        <v>1</v>
      </c>
      <c r="DB1385">
        <v>0</v>
      </c>
      <c r="DC1385">
        <v>0</v>
      </c>
      <c r="DD1385">
        <v>0</v>
      </c>
      <c r="DE1385">
        <v>0</v>
      </c>
      <c r="DF1385">
        <v>0</v>
      </c>
      <c r="DG1385">
        <v>0</v>
      </c>
      <c r="DH1385">
        <v>0</v>
      </c>
      <c r="DI1385">
        <v>0</v>
      </c>
    </row>
    <row r="1386" spans="1:113" x14ac:dyDescent="0.3">
      <c r="A1386" t="str">
        <f>"02/13/2022 18:45:11.092"</f>
        <v>02/13/2022 18:45:11.092</v>
      </c>
      <c r="C1386" t="str">
        <f t="shared" si="133"/>
        <v>FFDFD7C0</v>
      </c>
      <c r="D1386" t="s">
        <v>121</v>
      </c>
      <c r="E1386">
        <v>2</v>
      </c>
      <c r="H1386">
        <v>158</v>
      </c>
      <c r="I1386" t="s">
        <v>120</v>
      </c>
      <c r="J1386" t="s">
        <v>122</v>
      </c>
      <c r="K1386">
        <v>0</v>
      </c>
      <c r="L1386">
        <v>3</v>
      </c>
      <c r="M1386">
        <v>0</v>
      </c>
      <c r="N1386">
        <v>2</v>
      </c>
      <c r="O1386">
        <v>1</v>
      </c>
      <c r="P1386">
        <v>0</v>
      </c>
      <c r="Q1386">
        <v>0</v>
      </c>
      <c r="S1386" t="str">
        <f>"18:45:10.898"</f>
        <v>18:45:10.898</v>
      </c>
      <c r="T1386" t="str">
        <f>"18:45:09.198"</f>
        <v>18:45:09.198</v>
      </c>
      <c r="U1386" t="str">
        <f t="shared" si="130"/>
        <v>AAB6EE</v>
      </c>
      <c r="V1386">
        <v>0</v>
      </c>
      <c r="W1386">
        <v>0</v>
      </c>
      <c r="X1386">
        <v>4</v>
      </c>
      <c r="Z1386">
        <v>0</v>
      </c>
      <c r="AA1386">
        <v>8</v>
      </c>
      <c r="AB1386">
        <v>3</v>
      </c>
      <c r="AC1386">
        <v>0</v>
      </c>
      <c r="AD1386">
        <v>10</v>
      </c>
      <c r="AE1386">
        <v>0</v>
      </c>
      <c r="AF1386">
        <v>0</v>
      </c>
      <c r="AG1386">
        <v>1</v>
      </c>
      <c r="AH1386">
        <v>1</v>
      </c>
      <c r="AI1386" t="s">
        <v>1057</v>
      </c>
      <c r="AJ1386">
        <v>35.226866999999999</v>
      </c>
      <c r="AK1386" t="s">
        <v>1058</v>
      </c>
      <c r="AL1386">
        <v>-76.125641000000002</v>
      </c>
      <c r="AM1386">
        <v>25</v>
      </c>
      <c r="AN1386">
        <v>2925</v>
      </c>
      <c r="AO1386" t="s">
        <v>118</v>
      </c>
      <c r="AP1386">
        <v>165</v>
      </c>
      <c r="AQ1386">
        <v>52</v>
      </c>
      <c r="AR1386">
        <v>192</v>
      </c>
      <c r="AZ1386">
        <v>4516</v>
      </c>
      <c r="BA1386">
        <v>1</v>
      </c>
      <c r="BB1386" t="str">
        <f t="shared" si="132"/>
        <v xml:space="preserve">N79NX   </v>
      </c>
      <c r="BC1386">
        <v>1</v>
      </c>
      <c r="BE1386">
        <v>0</v>
      </c>
      <c r="BF1386">
        <v>0</v>
      </c>
      <c r="BG1386">
        <v>0</v>
      </c>
      <c r="BH1386">
        <v>2775</v>
      </c>
      <c r="BI1386">
        <v>0</v>
      </c>
      <c r="BJ1386">
        <v>0</v>
      </c>
      <c r="BK1386">
        <v>0</v>
      </c>
      <c r="BL1386">
        <v>0</v>
      </c>
      <c r="BO1386">
        <v>0</v>
      </c>
      <c r="BP1386">
        <v>0</v>
      </c>
      <c r="BW1386" t="str">
        <f>"18:45:10.902"</f>
        <v>18:45:10.902</v>
      </c>
      <c r="BZ1386">
        <v>0</v>
      </c>
      <c r="CA1386">
        <v>3008</v>
      </c>
      <c r="CB1386">
        <v>216</v>
      </c>
      <c r="CC1386">
        <v>458.4375</v>
      </c>
      <c r="CD1386">
        <v>1</v>
      </c>
      <c r="CE1386">
        <v>1</v>
      </c>
      <c r="CF1386">
        <v>0</v>
      </c>
      <c r="CG1386">
        <v>1</v>
      </c>
      <c r="CH1386">
        <v>0</v>
      </c>
      <c r="CI1386">
        <v>0</v>
      </c>
      <c r="CJ1386">
        <v>0</v>
      </c>
      <c r="CK1386">
        <v>2</v>
      </c>
      <c r="CL1386">
        <v>0</v>
      </c>
      <c r="CM1386">
        <v>2</v>
      </c>
      <c r="CN1386">
        <v>0</v>
      </c>
      <c r="CO1386">
        <v>1</v>
      </c>
      <c r="CP1386" t="s">
        <v>119</v>
      </c>
      <c r="CQ1386">
        <v>145</v>
      </c>
      <c r="CR1386">
        <v>1</v>
      </c>
      <c r="CW1386">
        <v>9124170</v>
      </c>
      <c r="CY1386">
        <v>0</v>
      </c>
      <c r="CZ1386">
        <v>0</v>
      </c>
      <c r="DA1386">
        <v>1</v>
      </c>
      <c r="DB1386">
        <v>0</v>
      </c>
      <c r="DC1386">
        <v>0</v>
      </c>
      <c r="DD1386">
        <v>0</v>
      </c>
      <c r="DE1386">
        <v>0</v>
      </c>
      <c r="DF1386">
        <v>0</v>
      </c>
      <c r="DG1386">
        <v>0</v>
      </c>
      <c r="DH1386">
        <v>0</v>
      </c>
      <c r="DI1386">
        <v>0</v>
      </c>
    </row>
    <row r="1387" spans="1:113" x14ac:dyDescent="0.3">
      <c r="A1387" t="str">
        <f>"02/13/2022 18:45:22.210"</f>
        <v>02/13/2022 18:45:22.210</v>
      </c>
      <c r="C1387" t="str">
        <f t="shared" si="133"/>
        <v>FFDFD7C0</v>
      </c>
      <c r="D1387" t="s">
        <v>113</v>
      </c>
      <c r="E1387">
        <v>3</v>
      </c>
      <c r="F1387">
        <v>1003</v>
      </c>
      <c r="G1387" t="s">
        <v>114</v>
      </c>
      <c r="J1387" t="s">
        <v>115</v>
      </c>
      <c r="K1387">
        <v>0</v>
      </c>
      <c r="L1387">
        <v>3</v>
      </c>
      <c r="M1387">
        <v>0</v>
      </c>
      <c r="N1387">
        <v>2</v>
      </c>
      <c r="O1387">
        <v>1</v>
      </c>
      <c r="P1387">
        <v>0</v>
      </c>
      <c r="Q1387">
        <v>0</v>
      </c>
      <c r="S1387" t="str">
        <f t="shared" ref="S1387:T1389" si="134">"18:45:21.961"</f>
        <v>18:45:21.961</v>
      </c>
      <c r="T1387" t="str">
        <f t="shared" si="134"/>
        <v>18:45:21.961</v>
      </c>
      <c r="U1387" t="str">
        <f t="shared" si="130"/>
        <v>AAB6EE</v>
      </c>
      <c r="V1387">
        <v>0</v>
      </c>
      <c r="W1387">
        <v>0</v>
      </c>
      <c r="X1387">
        <v>4</v>
      </c>
      <c r="Z1387">
        <v>0</v>
      </c>
      <c r="AA1387">
        <v>8</v>
      </c>
      <c r="AB1387">
        <v>3</v>
      </c>
      <c r="AC1387">
        <v>0</v>
      </c>
      <c r="AD1387">
        <v>10</v>
      </c>
      <c r="AE1387">
        <v>0</v>
      </c>
      <c r="AF1387">
        <v>0</v>
      </c>
      <c r="AG1387">
        <v>1</v>
      </c>
      <c r="AH1387">
        <v>1</v>
      </c>
      <c r="AI1387" t="s">
        <v>1059</v>
      </c>
      <c r="AJ1387">
        <v>35.228262000000001</v>
      </c>
      <c r="AK1387" t="s">
        <v>1060</v>
      </c>
      <c r="AL1387">
        <v>-76.115083999999996</v>
      </c>
      <c r="AM1387">
        <v>25</v>
      </c>
      <c r="AN1387">
        <v>2925</v>
      </c>
      <c r="AO1387" t="s">
        <v>118</v>
      </c>
      <c r="AP1387">
        <v>169</v>
      </c>
      <c r="AQ1387">
        <v>18</v>
      </c>
      <c r="AR1387">
        <v>-64</v>
      </c>
      <c r="AZ1387">
        <v>4516</v>
      </c>
      <c r="BA1387">
        <v>1</v>
      </c>
      <c r="BB1387" t="str">
        <f t="shared" si="132"/>
        <v xml:space="preserve">N79NX   </v>
      </c>
      <c r="BC1387">
        <v>1</v>
      </c>
      <c r="BE1387">
        <v>0</v>
      </c>
      <c r="BF1387">
        <v>0</v>
      </c>
      <c r="BG1387">
        <v>0</v>
      </c>
      <c r="BH1387">
        <v>2775</v>
      </c>
      <c r="BI1387">
        <v>0</v>
      </c>
      <c r="BJ1387">
        <v>0</v>
      </c>
      <c r="BK1387">
        <v>0</v>
      </c>
      <c r="BL1387">
        <v>0</v>
      </c>
      <c r="BO1387">
        <v>0</v>
      </c>
      <c r="BP1387">
        <v>0</v>
      </c>
      <c r="BW1387" t="str">
        <f>"18:45:21.962"</f>
        <v>18:45:21.962</v>
      </c>
      <c r="BZ1387">
        <v>0</v>
      </c>
      <c r="CA1387">
        <v>3008</v>
      </c>
      <c r="CB1387">
        <v>216</v>
      </c>
      <c r="CC1387">
        <v>458.4375</v>
      </c>
      <c r="CD1387">
        <v>1</v>
      </c>
      <c r="CE1387">
        <v>1</v>
      </c>
      <c r="CF1387">
        <v>0</v>
      </c>
      <c r="CG1387">
        <v>1</v>
      </c>
      <c r="CH1387">
        <v>0</v>
      </c>
      <c r="CI1387">
        <v>0</v>
      </c>
      <c r="CJ1387">
        <v>0</v>
      </c>
      <c r="CK1387">
        <v>2</v>
      </c>
      <c r="CL1387">
        <v>0</v>
      </c>
      <c r="CM1387">
        <v>2</v>
      </c>
      <c r="CN1387">
        <v>0</v>
      </c>
      <c r="CO1387">
        <v>1</v>
      </c>
      <c r="CP1387" t="s">
        <v>119</v>
      </c>
      <c r="CQ1387">
        <v>145</v>
      </c>
      <c r="CR1387">
        <v>1</v>
      </c>
      <c r="CW1387">
        <v>9129954</v>
      </c>
      <c r="CY1387">
        <v>0</v>
      </c>
      <c r="CZ1387">
        <v>0</v>
      </c>
      <c r="DA1387">
        <v>0</v>
      </c>
      <c r="DB1387">
        <v>0</v>
      </c>
      <c r="DC1387">
        <v>0</v>
      </c>
      <c r="DD1387">
        <v>0</v>
      </c>
      <c r="DE1387">
        <v>0</v>
      </c>
      <c r="DF1387">
        <v>0</v>
      </c>
      <c r="DG1387">
        <v>0</v>
      </c>
      <c r="DH1387">
        <v>0</v>
      </c>
      <c r="DI1387">
        <v>0</v>
      </c>
    </row>
    <row r="1388" spans="1:113" x14ac:dyDescent="0.3">
      <c r="A1388" t="str">
        <f>"02/13/2022 18:45:22.210"</f>
        <v>02/13/2022 18:45:22.210</v>
      </c>
      <c r="C1388" t="str">
        <f t="shared" si="133"/>
        <v>FFDFD7C0</v>
      </c>
      <c r="D1388" t="s">
        <v>113</v>
      </c>
      <c r="E1388">
        <v>4</v>
      </c>
      <c r="F1388">
        <v>1004</v>
      </c>
      <c r="G1388" t="s">
        <v>120</v>
      </c>
      <c r="J1388" t="s">
        <v>115</v>
      </c>
      <c r="K1388">
        <v>0</v>
      </c>
      <c r="L1388">
        <v>3</v>
      </c>
      <c r="M1388">
        <v>0</v>
      </c>
      <c r="N1388">
        <v>2</v>
      </c>
      <c r="O1388">
        <v>1</v>
      </c>
      <c r="P1388">
        <v>0</v>
      </c>
      <c r="Q1388">
        <v>0</v>
      </c>
      <c r="S1388" t="str">
        <f t="shared" si="134"/>
        <v>18:45:21.961</v>
      </c>
      <c r="T1388" t="str">
        <f t="shared" si="134"/>
        <v>18:45:21.961</v>
      </c>
      <c r="U1388" t="str">
        <f t="shared" si="130"/>
        <v>AAB6EE</v>
      </c>
      <c r="V1388">
        <v>0</v>
      </c>
      <c r="W1388">
        <v>0</v>
      </c>
      <c r="X1388">
        <v>4</v>
      </c>
      <c r="Z1388">
        <v>0</v>
      </c>
      <c r="AA1388">
        <v>8</v>
      </c>
      <c r="AB1388">
        <v>3</v>
      </c>
      <c r="AC1388">
        <v>0</v>
      </c>
      <c r="AD1388">
        <v>10</v>
      </c>
      <c r="AE1388">
        <v>0</v>
      </c>
      <c r="AF1388">
        <v>0</v>
      </c>
      <c r="AG1388">
        <v>1</v>
      </c>
      <c r="AH1388">
        <v>1</v>
      </c>
      <c r="AI1388" t="s">
        <v>1059</v>
      </c>
      <c r="AJ1388">
        <v>35.228262000000001</v>
      </c>
      <c r="AK1388" t="s">
        <v>1060</v>
      </c>
      <c r="AL1388">
        <v>-76.115083999999996</v>
      </c>
      <c r="AM1388">
        <v>25</v>
      </c>
      <c r="AN1388">
        <v>2925</v>
      </c>
      <c r="AO1388" t="s">
        <v>118</v>
      </c>
      <c r="AP1388">
        <v>169</v>
      </c>
      <c r="AQ1388">
        <v>18</v>
      </c>
      <c r="AR1388">
        <v>-64</v>
      </c>
      <c r="AZ1388">
        <v>4516</v>
      </c>
      <c r="BA1388">
        <v>1</v>
      </c>
      <c r="BB1388" t="str">
        <f t="shared" si="132"/>
        <v xml:space="preserve">N79NX   </v>
      </c>
      <c r="BC1388">
        <v>1</v>
      </c>
      <c r="BE1388">
        <v>0</v>
      </c>
      <c r="BF1388">
        <v>0</v>
      </c>
      <c r="BG1388">
        <v>0</v>
      </c>
      <c r="BH1388">
        <v>2775</v>
      </c>
      <c r="BI1388">
        <v>0</v>
      </c>
      <c r="BJ1388">
        <v>0</v>
      </c>
      <c r="BK1388">
        <v>0</v>
      </c>
      <c r="BL1388">
        <v>0</v>
      </c>
      <c r="BO1388">
        <v>0</v>
      </c>
      <c r="BP1388">
        <v>0</v>
      </c>
      <c r="BW1388" t="str">
        <f>"18:45:21.962"</f>
        <v>18:45:21.962</v>
      </c>
      <c r="BZ1388">
        <v>0</v>
      </c>
      <c r="CA1388">
        <v>3008</v>
      </c>
      <c r="CB1388">
        <v>216</v>
      </c>
      <c r="CC1388">
        <v>458.4375</v>
      </c>
      <c r="CD1388">
        <v>1</v>
      </c>
      <c r="CE1388">
        <v>1</v>
      </c>
      <c r="CF1388">
        <v>0</v>
      </c>
      <c r="CG1388">
        <v>1</v>
      </c>
      <c r="CH1388">
        <v>0</v>
      </c>
      <c r="CI1388">
        <v>0</v>
      </c>
      <c r="CJ1388">
        <v>0</v>
      </c>
      <c r="CK1388">
        <v>2</v>
      </c>
      <c r="CL1388">
        <v>0</v>
      </c>
      <c r="CM1388">
        <v>2</v>
      </c>
      <c r="CN1388">
        <v>0</v>
      </c>
      <c r="CO1388">
        <v>1</v>
      </c>
      <c r="CP1388" t="s">
        <v>119</v>
      </c>
      <c r="CQ1388">
        <v>145</v>
      </c>
      <c r="CR1388">
        <v>1</v>
      </c>
      <c r="CW1388">
        <v>9129954</v>
      </c>
      <c r="CY1388">
        <v>0</v>
      </c>
      <c r="CZ1388">
        <v>0</v>
      </c>
      <c r="DA1388">
        <v>1</v>
      </c>
      <c r="DB1388">
        <v>0</v>
      </c>
      <c r="DC1388">
        <v>0</v>
      </c>
      <c r="DD1388">
        <v>0</v>
      </c>
      <c r="DE1388">
        <v>0</v>
      </c>
      <c r="DF1388">
        <v>0</v>
      </c>
      <c r="DG1388">
        <v>0</v>
      </c>
      <c r="DH1388">
        <v>0</v>
      </c>
      <c r="DI1388">
        <v>0</v>
      </c>
    </row>
    <row r="1389" spans="1:113" x14ac:dyDescent="0.3">
      <c r="A1389" t="str">
        <f>"02/13/2022 18:45:22.319"</f>
        <v>02/13/2022 18:45:22.319</v>
      </c>
      <c r="C1389" t="str">
        <f t="shared" si="133"/>
        <v>FFDFD7C0</v>
      </c>
      <c r="D1389" t="s">
        <v>121</v>
      </c>
      <c r="E1389">
        <v>2</v>
      </c>
      <c r="H1389">
        <v>158</v>
      </c>
      <c r="I1389" t="s">
        <v>120</v>
      </c>
      <c r="J1389" t="s">
        <v>122</v>
      </c>
      <c r="K1389">
        <v>0</v>
      </c>
      <c r="L1389">
        <v>3</v>
      </c>
      <c r="M1389">
        <v>0</v>
      </c>
      <c r="N1389">
        <v>2</v>
      </c>
      <c r="O1389">
        <v>1</v>
      </c>
      <c r="P1389">
        <v>0</v>
      </c>
      <c r="Q1389">
        <v>0</v>
      </c>
      <c r="S1389" t="str">
        <f t="shared" si="134"/>
        <v>18:45:21.961</v>
      </c>
      <c r="T1389" t="str">
        <f t="shared" si="134"/>
        <v>18:45:21.961</v>
      </c>
      <c r="U1389" t="str">
        <f t="shared" si="130"/>
        <v>AAB6EE</v>
      </c>
      <c r="V1389">
        <v>0</v>
      </c>
      <c r="W1389">
        <v>0</v>
      </c>
      <c r="X1389">
        <v>4</v>
      </c>
      <c r="Z1389">
        <v>0</v>
      </c>
      <c r="AA1389">
        <v>8</v>
      </c>
      <c r="AB1389">
        <v>3</v>
      </c>
      <c r="AC1389">
        <v>0</v>
      </c>
      <c r="AD1389">
        <v>10</v>
      </c>
      <c r="AE1389">
        <v>0</v>
      </c>
      <c r="AF1389">
        <v>0</v>
      </c>
      <c r="AG1389">
        <v>1</v>
      </c>
      <c r="AH1389">
        <v>1</v>
      </c>
      <c r="AI1389" t="s">
        <v>1059</v>
      </c>
      <c r="AJ1389">
        <v>35.228262000000001</v>
      </c>
      <c r="AK1389" t="s">
        <v>1060</v>
      </c>
      <c r="AL1389">
        <v>-76.115083999999996</v>
      </c>
      <c r="AM1389">
        <v>25</v>
      </c>
      <c r="AN1389">
        <v>2925</v>
      </c>
      <c r="AO1389" t="s">
        <v>118</v>
      </c>
      <c r="AP1389">
        <v>169</v>
      </c>
      <c r="AQ1389">
        <v>18</v>
      </c>
      <c r="AR1389">
        <v>-64</v>
      </c>
      <c r="AZ1389">
        <v>4516</v>
      </c>
      <c r="BA1389">
        <v>1</v>
      </c>
      <c r="BB1389" t="str">
        <f t="shared" si="132"/>
        <v xml:space="preserve">N79NX   </v>
      </c>
      <c r="BC1389">
        <v>1</v>
      </c>
      <c r="BE1389">
        <v>0</v>
      </c>
      <c r="BF1389">
        <v>0</v>
      </c>
      <c r="BG1389">
        <v>0</v>
      </c>
      <c r="BH1389">
        <v>2775</v>
      </c>
      <c r="BI1389">
        <v>0</v>
      </c>
      <c r="BJ1389">
        <v>0</v>
      </c>
      <c r="BK1389">
        <v>0</v>
      </c>
      <c r="BL1389">
        <v>0</v>
      </c>
      <c r="BO1389">
        <v>0</v>
      </c>
      <c r="BP1389">
        <v>0</v>
      </c>
      <c r="BW1389" t="str">
        <f>"18:45:21.962"</f>
        <v>18:45:21.962</v>
      </c>
      <c r="BZ1389">
        <v>0</v>
      </c>
      <c r="CA1389">
        <v>3008</v>
      </c>
      <c r="CB1389">
        <v>216</v>
      </c>
      <c r="CC1389">
        <v>458.4375</v>
      </c>
      <c r="CD1389">
        <v>1</v>
      </c>
      <c r="CE1389">
        <v>1</v>
      </c>
      <c r="CF1389">
        <v>0</v>
      </c>
      <c r="CG1389">
        <v>1</v>
      </c>
      <c r="CH1389">
        <v>0</v>
      </c>
      <c r="CI1389">
        <v>0</v>
      </c>
      <c r="CJ1389">
        <v>0</v>
      </c>
      <c r="CK1389">
        <v>2</v>
      </c>
      <c r="CL1389">
        <v>0</v>
      </c>
      <c r="CM1389">
        <v>2</v>
      </c>
      <c r="CN1389">
        <v>0</v>
      </c>
      <c r="CO1389">
        <v>1</v>
      </c>
      <c r="CP1389" t="s">
        <v>119</v>
      </c>
      <c r="CQ1389">
        <v>145</v>
      </c>
      <c r="CR1389">
        <v>1</v>
      </c>
      <c r="CW1389">
        <v>9129954</v>
      </c>
      <c r="CY1389">
        <v>0</v>
      </c>
      <c r="CZ1389">
        <v>0</v>
      </c>
      <c r="DA1389">
        <v>1</v>
      </c>
      <c r="DB1389">
        <v>0</v>
      </c>
      <c r="DC1389">
        <v>0</v>
      </c>
      <c r="DD1389">
        <v>0</v>
      </c>
      <c r="DE1389">
        <v>0</v>
      </c>
      <c r="DF1389">
        <v>0</v>
      </c>
      <c r="DG1389">
        <v>0</v>
      </c>
      <c r="DH1389">
        <v>0</v>
      </c>
      <c r="DI1389">
        <v>0</v>
      </c>
    </row>
    <row r="1390" spans="1:113" x14ac:dyDescent="0.3">
      <c r="A1390" t="str">
        <f>"02/13/2022 18:45:24.476"</f>
        <v>02/13/2022 18:45:24.476</v>
      </c>
      <c r="C1390" t="str">
        <f t="shared" si="133"/>
        <v>FFDFD7C0</v>
      </c>
      <c r="D1390" t="s">
        <v>113</v>
      </c>
      <c r="E1390">
        <v>3</v>
      </c>
      <c r="F1390">
        <v>1003</v>
      </c>
      <c r="G1390" t="s">
        <v>114</v>
      </c>
      <c r="J1390" t="s">
        <v>115</v>
      </c>
      <c r="K1390">
        <v>0</v>
      </c>
      <c r="L1390">
        <v>3</v>
      </c>
      <c r="M1390">
        <v>0</v>
      </c>
      <c r="N1390">
        <v>2</v>
      </c>
      <c r="O1390">
        <v>1</v>
      </c>
      <c r="P1390">
        <v>0</v>
      </c>
      <c r="Q1390">
        <v>0</v>
      </c>
      <c r="S1390" t="str">
        <f>"18:45:24.211"</f>
        <v>18:45:24.211</v>
      </c>
      <c r="T1390" t="str">
        <f>"18:45:21.911"</f>
        <v>18:45:21.911</v>
      </c>
      <c r="U1390" t="str">
        <f t="shared" si="130"/>
        <v>AAB6EE</v>
      </c>
      <c r="V1390">
        <v>0</v>
      </c>
      <c r="W1390">
        <v>0</v>
      </c>
      <c r="X1390">
        <v>4</v>
      </c>
      <c r="Z1390">
        <v>0</v>
      </c>
      <c r="AA1390">
        <v>8</v>
      </c>
      <c r="AB1390">
        <v>3</v>
      </c>
      <c r="AC1390">
        <v>0</v>
      </c>
      <c r="AD1390">
        <v>10</v>
      </c>
      <c r="AE1390">
        <v>0</v>
      </c>
      <c r="AF1390">
        <v>0</v>
      </c>
      <c r="AG1390">
        <v>1</v>
      </c>
      <c r="AH1390">
        <v>1</v>
      </c>
      <c r="AI1390" t="s">
        <v>1061</v>
      </c>
      <c r="AJ1390">
        <v>35.228411999999999</v>
      </c>
      <c r="AK1390" t="s">
        <v>1062</v>
      </c>
      <c r="AL1390">
        <v>-76.112874000000005</v>
      </c>
      <c r="AM1390">
        <v>25</v>
      </c>
      <c r="AN1390">
        <v>2925</v>
      </c>
      <c r="AO1390" t="s">
        <v>118</v>
      </c>
      <c r="AP1390">
        <v>169</v>
      </c>
      <c r="AQ1390">
        <v>18</v>
      </c>
      <c r="AR1390">
        <v>-64</v>
      </c>
      <c r="AZ1390">
        <v>4516</v>
      </c>
      <c r="BA1390">
        <v>1</v>
      </c>
      <c r="BB1390" t="str">
        <f t="shared" si="132"/>
        <v xml:space="preserve">N79NX   </v>
      </c>
      <c r="BC1390">
        <v>1</v>
      </c>
      <c r="BE1390">
        <v>0</v>
      </c>
      <c r="BF1390">
        <v>0</v>
      </c>
      <c r="BG1390">
        <v>0</v>
      </c>
      <c r="BH1390">
        <v>2775</v>
      </c>
      <c r="BI1390">
        <v>0</v>
      </c>
      <c r="BJ1390">
        <v>0</v>
      </c>
      <c r="BK1390">
        <v>0</v>
      </c>
      <c r="BL1390">
        <v>0</v>
      </c>
      <c r="BO1390">
        <v>0</v>
      </c>
      <c r="BP1390">
        <v>0</v>
      </c>
      <c r="BW1390" t="str">
        <f>"18:45:24.212"</f>
        <v>18:45:24.212</v>
      </c>
      <c r="BZ1390">
        <v>0</v>
      </c>
      <c r="CA1390">
        <v>3008</v>
      </c>
      <c r="CB1390">
        <v>216</v>
      </c>
      <c r="CC1390">
        <v>458.4375</v>
      </c>
      <c r="CD1390">
        <v>1</v>
      </c>
      <c r="CE1390">
        <v>1</v>
      </c>
      <c r="CF1390">
        <v>0</v>
      </c>
      <c r="CG1390">
        <v>1</v>
      </c>
      <c r="CH1390">
        <v>0</v>
      </c>
      <c r="CI1390">
        <v>0</v>
      </c>
      <c r="CJ1390">
        <v>0</v>
      </c>
      <c r="CK1390">
        <v>2</v>
      </c>
      <c r="CL1390">
        <v>0</v>
      </c>
      <c r="CM1390">
        <v>2</v>
      </c>
      <c r="CN1390">
        <v>0</v>
      </c>
      <c r="CO1390">
        <v>1</v>
      </c>
      <c r="CP1390" t="s">
        <v>119</v>
      </c>
      <c r="CQ1390">
        <v>145</v>
      </c>
      <c r="CR1390">
        <v>1</v>
      </c>
      <c r="CW1390">
        <v>9131076</v>
      </c>
      <c r="CY1390">
        <v>0</v>
      </c>
      <c r="CZ1390">
        <v>0</v>
      </c>
      <c r="DA1390">
        <v>0</v>
      </c>
      <c r="DB1390">
        <v>0</v>
      </c>
      <c r="DC1390">
        <v>0</v>
      </c>
      <c r="DD1390">
        <v>0</v>
      </c>
      <c r="DE1390">
        <v>0</v>
      </c>
      <c r="DF1390">
        <v>0</v>
      </c>
      <c r="DG1390">
        <v>0</v>
      </c>
      <c r="DH1390">
        <v>0</v>
      </c>
      <c r="DI1390">
        <v>0</v>
      </c>
    </row>
    <row r="1391" spans="1:113" x14ac:dyDescent="0.3">
      <c r="A1391" t="str">
        <f>"02/13/2022 18:45:24.476"</f>
        <v>02/13/2022 18:45:24.476</v>
      </c>
      <c r="C1391" t="str">
        <f t="shared" si="133"/>
        <v>FFDFD7C0</v>
      </c>
      <c r="D1391" t="s">
        <v>113</v>
      </c>
      <c r="E1391">
        <v>4</v>
      </c>
      <c r="F1391">
        <v>1004</v>
      </c>
      <c r="G1391" t="s">
        <v>120</v>
      </c>
      <c r="J1391" t="s">
        <v>115</v>
      </c>
      <c r="K1391">
        <v>0</v>
      </c>
      <c r="L1391">
        <v>3</v>
      </c>
      <c r="M1391">
        <v>0</v>
      </c>
      <c r="N1391">
        <v>2</v>
      </c>
      <c r="O1391">
        <v>1</v>
      </c>
      <c r="P1391">
        <v>0</v>
      </c>
      <c r="Q1391">
        <v>0</v>
      </c>
      <c r="S1391" t="str">
        <f>"18:45:24.211"</f>
        <v>18:45:24.211</v>
      </c>
      <c r="T1391" t="str">
        <f>"18:45:21.911"</f>
        <v>18:45:21.911</v>
      </c>
      <c r="U1391" t="str">
        <f t="shared" si="130"/>
        <v>AAB6EE</v>
      </c>
      <c r="V1391">
        <v>0</v>
      </c>
      <c r="W1391">
        <v>0</v>
      </c>
      <c r="X1391">
        <v>4</v>
      </c>
      <c r="Z1391">
        <v>0</v>
      </c>
      <c r="AA1391">
        <v>8</v>
      </c>
      <c r="AB1391">
        <v>3</v>
      </c>
      <c r="AC1391">
        <v>0</v>
      </c>
      <c r="AD1391">
        <v>10</v>
      </c>
      <c r="AE1391">
        <v>0</v>
      </c>
      <c r="AF1391">
        <v>0</v>
      </c>
      <c r="AG1391">
        <v>1</v>
      </c>
      <c r="AH1391">
        <v>1</v>
      </c>
      <c r="AI1391" t="s">
        <v>1061</v>
      </c>
      <c r="AJ1391">
        <v>35.228411999999999</v>
      </c>
      <c r="AK1391" t="s">
        <v>1062</v>
      </c>
      <c r="AL1391">
        <v>-76.112874000000005</v>
      </c>
      <c r="AM1391">
        <v>25</v>
      </c>
      <c r="AN1391">
        <v>2925</v>
      </c>
      <c r="AO1391" t="s">
        <v>118</v>
      </c>
      <c r="AP1391">
        <v>169</v>
      </c>
      <c r="AQ1391">
        <v>18</v>
      </c>
      <c r="AR1391">
        <v>-64</v>
      </c>
      <c r="AZ1391">
        <v>4516</v>
      </c>
      <c r="BA1391">
        <v>1</v>
      </c>
      <c r="BB1391" t="str">
        <f t="shared" si="132"/>
        <v xml:space="preserve">N79NX   </v>
      </c>
      <c r="BC1391">
        <v>1</v>
      </c>
      <c r="BE1391">
        <v>0</v>
      </c>
      <c r="BF1391">
        <v>0</v>
      </c>
      <c r="BG1391">
        <v>0</v>
      </c>
      <c r="BH1391">
        <v>2775</v>
      </c>
      <c r="BI1391">
        <v>0</v>
      </c>
      <c r="BJ1391">
        <v>0</v>
      </c>
      <c r="BK1391">
        <v>0</v>
      </c>
      <c r="BL1391">
        <v>0</v>
      </c>
      <c r="BO1391">
        <v>0</v>
      </c>
      <c r="BP1391">
        <v>0</v>
      </c>
      <c r="BW1391" t="str">
        <f>"18:45:24.212"</f>
        <v>18:45:24.212</v>
      </c>
      <c r="BZ1391">
        <v>0</v>
      </c>
      <c r="CA1391">
        <v>3008</v>
      </c>
      <c r="CB1391">
        <v>216</v>
      </c>
      <c r="CC1391">
        <v>458.4375</v>
      </c>
      <c r="CD1391">
        <v>1</v>
      </c>
      <c r="CE1391">
        <v>1</v>
      </c>
      <c r="CF1391">
        <v>0</v>
      </c>
      <c r="CG1391">
        <v>1</v>
      </c>
      <c r="CH1391">
        <v>0</v>
      </c>
      <c r="CI1391">
        <v>0</v>
      </c>
      <c r="CJ1391">
        <v>0</v>
      </c>
      <c r="CK1391">
        <v>2</v>
      </c>
      <c r="CL1391">
        <v>0</v>
      </c>
      <c r="CM1391">
        <v>2</v>
      </c>
      <c r="CN1391">
        <v>0</v>
      </c>
      <c r="CO1391">
        <v>1</v>
      </c>
      <c r="CP1391" t="s">
        <v>119</v>
      </c>
      <c r="CQ1391">
        <v>145</v>
      </c>
      <c r="CR1391">
        <v>1</v>
      </c>
      <c r="CW1391">
        <v>9131076</v>
      </c>
      <c r="CY1391">
        <v>0</v>
      </c>
      <c r="CZ1391">
        <v>0</v>
      </c>
      <c r="DA1391">
        <v>1</v>
      </c>
      <c r="DB1391">
        <v>0</v>
      </c>
      <c r="DC1391">
        <v>0</v>
      </c>
      <c r="DD1391">
        <v>0</v>
      </c>
      <c r="DE1391">
        <v>0</v>
      </c>
      <c r="DF1391">
        <v>0</v>
      </c>
      <c r="DG1391">
        <v>0</v>
      </c>
      <c r="DH1391">
        <v>0</v>
      </c>
      <c r="DI1391">
        <v>0</v>
      </c>
    </row>
    <row r="1392" spans="1:113" x14ac:dyDescent="0.3">
      <c r="A1392" t="str">
        <f>"02/13/2022 18:45:24.476"</f>
        <v>02/13/2022 18:45:24.476</v>
      </c>
      <c r="C1392" t="str">
        <f t="shared" si="133"/>
        <v>FFDFD7C0</v>
      </c>
      <c r="D1392" t="s">
        <v>121</v>
      </c>
      <c r="E1392">
        <v>2</v>
      </c>
      <c r="H1392">
        <v>158</v>
      </c>
      <c r="I1392" t="s">
        <v>120</v>
      </c>
      <c r="J1392" t="s">
        <v>122</v>
      </c>
      <c r="K1392">
        <v>0</v>
      </c>
      <c r="L1392">
        <v>3</v>
      </c>
      <c r="M1392">
        <v>0</v>
      </c>
      <c r="N1392">
        <v>2</v>
      </c>
      <c r="O1392">
        <v>1</v>
      </c>
      <c r="P1392">
        <v>0</v>
      </c>
      <c r="Q1392">
        <v>0</v>
      </c>
      <c r="S1392" t="str">
        <f>"18:45:24.211"</f>
        <v>18:45:24.211</v>
      </c>
      <c r="T1392" t="str">
        <f>"18:45:21.911"</f>
        <v>18:45:21.911</v>
      </c>
      <c r="U1392" t="str">
        <f t="shared" si="130"/>
        <v>AAB6EE</v>
      </c>
      <c r="V1392">
        <v>0</v>
      </c>
      <c r="W1392">
        <v>0</v>
      </c>
      <c r="X1392">
        <v>4</v>
      </c>
      <c r="Z1392">
        <v>0</v>
      </c>
      <c r="AA1392">
        <v>8</v>
      </c>
      <c r="AB1392">
        <v>3</v>
      </c>
      <c r="AC1392">
        <v>0</v>
      </c>
      <c r="AD1392">
        <v>10</v>
      </c>
      <c r="AE1392">
        <v>0</v>
      </c>
      <c r="AF1392">
        <v>0</v>
      </c>
      <c r="AG1392">
        <v>1</v>
      </c>
      <c r="AH1392">
        <v>1</v>
      </c>
      <c r="AI1392" t="s">
        <v>1061</v>
      </c>
      <c r="AJ1392">
        <v>35.228411999999999</v>
      </c>
      <c r="AK1392" t="s">
        <v>1062</v>
      </c>
      <c r="AL1392">
        <v>-76.112874000000005</v>
      </c>
      <c r="AM1392">
        <v>25</v>
      </c>
      <c r="AN1392">
        <v>2925</v>
      </c>
      <c r="AO1392" t="s">
        <v>118</v>
      </c>
      <c r="AP1392">
        <v>169</v>
      </c>
      <c r="AQ1392">
        <v>18</v>
      </c>
      <c r="AR1392">
        <v>-64</v>
      </c>
      <c r="AZ1392">
        <v>4516</v>
      </c>
      <c r="BA1392">
        <v>1</v>
      </c>
      <c r="BB1392" t="str">
        <f t="shared" si="132"/>
        <v xml:space="preserve">N79NX   </v>
      </c>
      <c r="BC1392">
        <v>1</v>
      </c>
      <c r="BE1392">
        <v>0</v>
      </c>
      <c r="BF1392">
        <v>0</v>
      </c>
      <c r="BG1392">
        <v>0</v>
      </c>
      <c r="BH1392">
        <v>2775</v>
      </c>
      <c r="BI1392">
        <v>0</v>
      </c>
      <c r="BJ1392">
        <v>0</v>
      </c>
      <c r="BK1392">
        <v>0</v>
      </c>
      <c r="BL1392">
        <v>0</v>
      </c>
      <c r="BO1392">
        <v>0</v>
      </c>
      <c r="BP1392">
        <v>0</v>
      </c>
      <c r="BW1392" t="str">
        <f>"18:45:24.212"</f>
        <v>18:45:24.212</v>
      </c>
      <c r="BZ1392">
        <v>0</v>
      </c>
      <c r="CA1392">
        <v>3008</v>
      </c>
      <c r="CB1392">
        <v>216</v>
      </c>
      <c r="CC1392">
        <v>458.4375</v>
      </c>
      <c r="CD1392">
        <v>1</v>
      </c>
      <c r="CE1392">
        <v>1</v>
      </c>
      <c r="CF1392">
        <v>0</v>
      </c>
      <c r="CG1392">
        <v>1</v>
      </c>
      <c r="CH1392">
        <v>0</v>
      </c>
      <c r="CI1392">
        <v>0</v>
      </c>
      <c r="CJ1392">
        <v>0</v>
      </c>
      <c r="CK1392">
        <v>2</v>
      </c>
      <c r="CL1392">
        <v>0</v>
      </c>
      <c r="CM1392">
        <v>2</v>
      </c>
      <c r="CN1392">
        <v>0</v>
      </c>
      <c r="CO1392">
        <v>1</v>
      </c>
      <c r="CP1392" t="s">
        <v>119</v>
      </c>
      <c r="CQ1392">
        <v>145</v>
      </c>
      <c r="CR1392">
        <v>1</v>
      </c>
      <c r="CW1392">
        <v>9131076</v>
      </c>
      <c r="CY1392">
        <v>0</v>
      </c>
      <c r="CZ1392">
        <v>0</v>
      </c>
      <c r="DA1392">
        <v>0</v>
      </c>
      <c r="DB1392">
        <v>0</v>
      </c>
      <c r="DC1392">
        <v>0</v>
      </c>
      <c r="DD1392">
        <v>0</v>
      </c>
      <c r="DE1392">
        <v>0</v>
      </c>
      <c r="DF1392">
        <v>0</v>
      </c>
      <c r="DG1392">
        <v>0</v>
      </c>
      <c r="DH1392">
        <v>0</v>
      </c>
      <c r="DI1392">
        <v>0</v>
      </c>
    </row>
    <row r="1393" spans="1:113" x14ac:dyDescent="0.3">
      <c r="A1393" t="str">
        <f>"02/13/2022 18:45:26.979"</f>
        <v>02/13/2022 18:45:26.979</v>
      </c>
      <c r="C1393" t="str">
        <f t="shared" si="133"/>
        <v>FFDFD7C0</v>
      </c>
      <c r="D1393" t="s">
        <v>121</v>
      </c>
      <c r="E1393">
        <v>2</v>
      </c>
      <c r="H1393">
        <v>158</v>
      </c>
      <c r="I1393" t="s">
        <v>120</v>
      </c>
      <c r="J1393" t="s">
        <v>122</v>
      </c>
      <c r="K1393">
        <v>0</v>
      </c>
      <c r="L1393">
        <v>3</v>
      </c>
      <c r="M1393">
        <v>0</v>
      </c>
      <c r="N1393">
        <v>2</v>
      </c>
      <c r="O1393">
        <v>1</v>
      </c>
      <c r="P1393">
        <v>0</v>
      </c>
      <c r="Q1393">
        <v>0</v>
      </c>
      <c r="S1393" t="str">
        <f>"18:45:26.727"</f>
        <v>18:45:26.727</v>
      </c>
      <c r="T1393" t="str">
        <f>"18:45:26.027"</f>
        <v>18:45:26.027</v>
      </c>
      <c r="U1393" t="str">
        <f t="shared" si="130"/>
        <v>AAB6EE</v>
      </c>
      <c r="V1393">
        <v>0</v>
      </c>
      <c r="W1393">
        <v>0</v>
      </c>
      <c r="X1393">
        <v>4</v>
      </c>
      <c r="Z1393">
        <v>0</v>
      </c>
      <c r="AA1393">
        <v>8</v>
      </c>
      <c r="AB1393">
        <v>3</v>
      </c>
      <c r="AC1393">
        <v>0</v>
      </c>
      <c r="AD1393">
        <v>10</v>
      </c>
      <c r="AE1393">
        <v>0</v>
      </c>
      <c r="AF1393">
        <v>0</v>
      </c>
      <c r="AG1393">
        <v>1</v>
      </c>
      <c r="AH1393">
        <v>1</v>
      </c>
      <c r="AI1393" t="s">
        <v>1063</v>
      </c>
      <c r="AJ1393">
        <v>35.228627000000003</v>
      </c>
      <c r="AK1393" t="s">
        <v>1064</v>
      </c>
      <c r="AL1393">
        <v>-76.110534999999999</v>
      </c>
      <c r="AM1393">
        <v>25</v>
      </c>
      <c r="AN1393">
        <v>2925</v>
      </c>
      <c r="AO1393" t="s">
        <v>118</v>
      </c>
      <c r="AP1393">
        <v>169</v>
      </c>
      <c r="AQ1393">
        <v>15</v>
      </c>
      <c r="AR1393">
        <v>0</v>
      </c>
      <c r="AZ1393">
        <v>4516</v>
      </c>
      <c r="BA1393">
        <v>1</v>
      </c>
      <c r="BB1393" t="str">
        <f t="shared" si="132"/>
        <v xml:space="preserve">N79NX   </v>
      </c>
      <c r="BC1393">
        <v>1</v>
      </c>
      <c r="BE1393">
        <v>0</v>
      </c>
      <c r="BF1393">
        <v>0</v>
      </c>
      <c r="BG1393">
        <v>0</v>
      </c>
      <c r="BH1393">
        <v>2775</v>
      </c>
      <c r="BI1393">
        <v>0</v>
      </c>
      <c r="BJ1393">
        <v>0</v>
      </c>
      <c r="BK1393">
        <v>0</v>
      </c>
      <c r="BL1393">
        <v>0</v>
      </c>
      <c r="BO1393">
        <v>0</v>
      </c>
      <c r="BP1393">
        <v>0</v>
      </c>
      <c r="BW1393" t="str">
        <f>"18:45:26.732"</f>
        <v>18:45:26.732</v>
      </c>
      <c r="BZ1393">
        <v>0</v>
      </c>
      <c r="CA1393">
        <v>3008</v>
      </c>
      <c r="CB1393">
        <v>216</v>
      </c>
      <c r="CC1393">
        <v>458.4375</v>
      </c>
      <c r="CD1393">
        <v>1</v>
      </c>
      <c r="CE1393">
        <v>1</v>
      </c>
      <c r="CF1393">
        <v>0</v>
      </c>
      <c r="CG1393">
        <v>1</v>
      </c>
      <c r="CH1393">
        <v>0</v>
      </c>
      <c r="CI1393">
        <v>0</v>
      </c>
      <c r="CJ1393">
        <v>0</v>
      </c>
      <c r="CK1393">
        <v>2</v>
      </c>
      <c r="CL1393">
        <v>0</v>
      </c>
      <c r="CM1393">
        <v>2</v>
      </c>
      <c r="CN1393">
        <v>0</v>
      </c>
      <c r="CO1393">
        <v>1</v>
      </c>
      <c r="CP1393" t="s">
        <v>119</v>
      </c>
      <c r="CQ1393">
        <v>145</v>
      </c>
      <c r="CR1393">
        <v>1</v>
      </c>
      <c r="CW1393">
        <v>9132404</v>
      </c>
      <c r="CY1393">
        <v>0</v>
      </c>
      <c r="CZ1393">
        <v>0</v>
      </c>
      <c r="DA1393">
        <v>0</v>
      </c>
      <c r="DB1393">
        <v>0</v>
      </c>
      <c r="DC1393">
        <v>0</v>
      </c>
      <c r="DD1393">
        <v>0</v>
      </c>
      <c r="DE1393">
        <v>0</v>
      </c>
      <c r="DF1393">
        <v>0</v>
      </c>
      <c r="DG1393">
        <v>0</v>
      </c>
      <c r="DH1393">
        <v>0</v>
      </c>
      <c r="DI1393">
        <v>0</v>
      </c>
    </row>
    <row r="1394" spans="1:113" x14ac:dyDescent="0.3">
      <c r="A1394" t="str">
        <f>"02/13/2022 18:45:26.979"</f>
        <v>02/13/2022 18:45:26.979</v>
      </c>
      <c r="C1394" t="str">
        <f t="shared" si="133"/>
        <v>FFDFD7C0</v>
      </c>
      <c r="D1394" t="s">
        <v>113</v>
      </c>
      <c r="E1394">
        <v>3</v>
      </c>
      <c r="F1394">
        <v>1003</v>
      </c>
      <c r="G1394" t="s">
        <v>114</v>
      </c>
      <c r="J1394" t="s">
        <v>115</v>
      </c>
      <c r="K1394">
        <v>0</v>
      </c>
      <c r="L1394">
        <v>3</v>
      </c>
      <c r="M1394">
        <v>0</v>
      </c>
      <c r="N1394">
        <v>2</v>
      </c>
      <c r="O1394">
        <v>1</v>
      </c>
      <c r="P1394">
        <v>0</v>
      </c>
      <c r="Q1394">
        <v>0</v>
      </c>
      <c r="S1394" t="str">
        <f>"18:45:26.727"</f>
        <v>18:45:26.727</v>
      </c>
      <c r="T1394" t="str">
        <f>"18:45:26.027"</f>
        <v>18:45:26.027</v>
      </c>
      <c r="U1394" t="str">
        <f t="shared" si="130"/>
        <v>AAB6EE</v>
      </c>
      <c r="V1394">
        <v>0</v>
      </c>
      <c r="W1394">
        <v>0</v>
      </c>
      <c r="X1394">
        <v>4</v>
      </c>
      <c r="Z1394">
        <v>0</v>
      </c>
      <c r="AA1394">
        <v>8</v>
      </c>
      <c r="AB1394">
        <v>3</v>
      </c>
      <c r="AC1394">
        <v>0</v>
      </c>
      <c r="AD1394">
        <v>10</v>
      </c>
      <c r="AE1394">
        <v>0</v>
      </c>
      <c r="AF1394">
        <v>0</v>
      </c>
      <c r="AG1394">
        <v>1</v>
      </c>
      <c r="AH1394">
        <v>1</v>
      </c>
      <c r="AI1394" t="s">
        <v>1063</v>
      </c>
      <c r="AJ1394">
        <v>35.228627000000003</v>
      </c>
      <c r="AK1394" t="s">
        <v>1064</v>
      </c>
      <c r="AL1394">
        <v>-76.110534999999999</v>
      </c>
      <c r="AM1394">
        <v>25</v>
      </c>
      <c r="AN1394">
        <v>2925</v>
      </c>
      <c r="AO1394" t="s">
        <v>118</v>
      </c>
      <c r="AP1394">
        <v>169</v>
      </c>
      <c r="AQ1394">
        <v>15</v>
      </c>
      <c r="AR1394">
        <v>0</v>
      </c>
      <c r="AZ1394">
        <v>4516</v>
      </c>
      <c r="BA1394">
        <v>1</v>
      </c>
      <c r="BB1394" t="str">
        <f t="shared" si="132"/>
        <v xml:space="preserve">N79NX   </v>
      </c>
      <c r="BC1394">
        <v>1</v>
      </c>
      <c r="BE1394">
        <v>0</v>
      </c>
      <c r="BF1394">
        <v>0</v>
      </c>
      <c r="BG1394">
        <v>0</v>
      </c>
      <c r="BH1394">
        <v>2775</v>
      </c>
      <c r="BI1394">
        <v>0</v>
      </c>
      <c r="BJ1394">
        <v>0</v>
      </c>
      <c r="BK1394">
        <v>0</v>
      </c>
      <c r="BL1394">
        <v>0</v>
      </c>
      <c r="BO1394">
        <v>0</v>
      </c>
      <c r="BP1394">
        <v>0</v>
      </c>
      <c r="BW1394" t="str">
        <f>"18:45:26.732"</f>
        <v>18:45:26.732</v>
      </c>
      <c r="BZ1394">
        <v>0</v>
      </c>
      <c r="CA1394">
        <v>3008</v>
      </c>
      <c r="CB1394">
        <v>216</v>
      </c>
      <c r="CC1394">
        <v>458.4375</v>
      </c>
      <c r="CD1394">
        <v>1</v>
      </c>
      <c r="CE1394">
        <v>1</v>
      </c>
      <c r="CF1394">
        <v>0</v>
      </c>
      <c r="CG1394">
        <v>1</v>
      </c>
      <c r="CH1394">
        <v>0</v>
      </c>
      <c r="CI1394">
        <v>0</v>
      </c>
      <c r="CJ1394">
        <v>0</v>
      </c>
      <c r="CK1394">
        <v>2</v>
      </c>
      <c r="CL1394">
        <v>0</v>
      </c>
      <c r="CM1394">
        <v>2</v>
      </c>
      <c r="CN1394">
        <v>0</v>
      </c>
      <c r="CO1394">
        <v>1</v>
      </c>
      <c r="CP1394" t="s">
        <v>119</v>
      </c>
      <c r="CQ1394">
        <v>145</v>
      </c>
      <c r="CR1394">
        <v>1</v>
      </c>
      <c r="CW1394">
        <v>9132404</v>
      </c>
      <c r="CY1394">
        <v>0</v>
      </c>
      <c r="CZ1394">
        <v>0</v>
      </c>
      <c r="DA1394">
        <v>1</v>
      </c>
      <c r="DB1394">
        <v>0</v>
      </c>
      <c r="DC1394">
        <v>0</v>
      </c>
      <c r="DD1394">
        <v>0</v>
      </c>
      <c r="DE1394">
        <v>0</v>
      </c>
      <c r="DF1394">
        <v>0</v>
      </c>
      <c r="DG1394">
        <v>0</v>
      </c>
      <c r="DH1394">
        <v>0</v>
      </c>
      <c r="DI1394">
        <v>0</v>
      </c>
    </row>
    <row r="1395" spans="1:113" x14ac:dyDescent="0.3">
      <c r="A1395" t="str">
        <f>"02/13/2022 18:45:26.979"</f>
        <v>02/13/2022 18:45:26.979</v>
      </c>
      <c r="C1395" t="str">
        <f t="shared" si="133"/>
        <v>FFDFD7C0</v>
      </c>
      <c r="D1395" t="s">
        <v>113</v>
      </c>
      <c r="E1395">
        <v>4</v>
      </c>
      <c r="F1395">
        <v>1004</v>
      </c>
      <c r="G1395" t="s">
        <v>120</v>
      </c>
      <c r="J1395" t="s">
        <v>115</v>
      </c>
      <c r="K1395">
        <v>0</v>
      </c>
      <c r="L1395">
        <v>3</v>
      </c>
      <c r="M1395">
        <v>0</v>
      </c>
      <c r="N1395">
        <v>2</v>
      </c>
      <c r="O1395">
        <v>1</v>
      </c>
      <c r="P1395">
        <v>0</v>
      </c>
      <c r="Q1395">
        <v>0</v>
      </c>
      <c r="S1395" t="str">
        <f>"18:45:26.727"</f>
        <v>18:45:26.727</v>
      </c>
      <c r="T1395" t="str">
        <f>"18:45:26.027"</f>
        <v>18:45:26.027</v>
      </c>
      <c r="U1395" t="str">
        <f t="shared" si="130"/>
        <v>AAB6EE</v>
      </c>
      <c r="V1395">
        <v>0</v>
      </c>
      <c r="W1395">
        <v>0</v>
      </c>
      <c r="X1395">
        <v>4</v>
      </c>
      <c r="Z1395">
        <v>0</v>
      </c>
      <c r="AA1395">
        <v>8</v>
      </c>
      <c r="AB1395">
        <v>3</v>
      </c>
      <c r="AC1395">
        <v>0</v>
      </c>
      <c r="AD1395">
        <v>10</v>
      </c>
      <c r="AE1395">
        <v>0</v>
      </c>
      <c r="AF1395">
        <v>0</v>
      </c>
      <c r="AG1395">
        <v>1</v>
      </c>
      <c r="AH1395">
        <v>1</v>
      </c>
      <c r="AI1395" t="s">
        <v>1063</v>
      </c>
      <c r="AJ1395">
        <v>35.228627000000003</v>
      </c>
      <c r="AK1395" t="s">
        <v>1064</v>
      </c>
      <c r="AL1395">
        <v>-76.110534999999999</v>
      </c>
      <c r="AM1395">
        <v>25</v>
      </c>
      <c r="AN1395">
        <v>2925</v>
      </c>
      <c r="AO1395" t="s">
        <v>118</v>
      </c>
      <c r="AP1395">
        <v>169</v>
      </c>
      <c r="AQ1395">
        <v>15</v>
      </c>
      <c r="AR1395">
        <v>0</v>
      </c>
      <c r="AZ1395">
        <v>4516</v>
      </c>
      <c r="BA1395">
        <v>1</v>
      </c>
      <c r="BB1395" t="str">
        <f t="shared" si="132"/>
        <v xml:space="preserve">N79NX   </v>
      </c>
      <c r="BC1395">
        <v>1</v>
      </c>
      <c r="BE1395">
        <v>0</v>
      </c>
      <c r="BF1395">
        <v>0</v>
      </c>
      <c r="BG1395">
        <v>0</v>
      </c>
      <c r="BH1395">
        <v>2775</v>
      </c>
      <c r="BI1395">
        <v>0</v>
      </c>
      <c r="BJ1395">
        <v>0</v>
      </c>
      <c r="BK1395">
        <v>0</v>
      </c>
      <c r="BL1395">
        <v>0</v>
      </c>
      <c r="BO1395">
        <v>0</v>
      </c>
      <c r="BP1395">
        <v>0</v>
      </c>
      <c r="BW1395" t="str">
        <f>"18:45:26.732"</f>
        <v>18:45:26.732</v>
      </c>
      <c r="BZ1395">
        <v>0</v>
      </c>
      <c r="CA1395">
        <v>3008</v>
      </c>
      <c r="CB1395">
        <v>216</v>
      </c>
      <c r="CC1395">
        <v>458.4375</v>
      </c>
      <c r="CD1395">
        <v>1</v>
      </c>
      <c r="CE1395">
        <v>1</v>
      </c>
      <c r="CF1395">
        <v>0</v>
      </c>
      <c r="CG1395">
        <v>1</v>
      </c>
      <c r="CH1395">
        <v>0</v>
      </c>
      <c r="CI1395">
        <v>0</v>
      </c>
      <c r="CJ1395">
        <v>0</v>
      </c>
      <c r="CK1395">
        <v>2</v>
      </c>
      <c r="CL1395">
        <v>0</v>
      </c>
      <c r="CM1395">
        <v>2</v>
      </c>
      <c r="CN1395">
        <v>0</v>
      </c>
      <c r="CO1395">
        <v>1</v>
      </c>
      <c r="CP1395" t="s">
        <v>119</v>
      </c>
      <c r="CQ1395">
        <v>145</v>
      </c>
      <c r="CR1395">
        <v>1</v>
      </c>
      <c r="CW1395">
        <v>9132404</v>
      </c>
      <c r="CY1395">
        <v>0</v>
      </c>
      <c r="CZ1395">
        <v>0</v>
      </c>
      <c r="DA1395">
        <v>1</v>
      </c>
      <c r="DB1395">
        <v>0</v>
      </c>
      <c r="DC1395">
        <v>0</v>
      </c>
      <c r="DD1395">
        <v>0</v>
      </c>
      <c r="DE1395">
        <v>0</v>
      </c>
      <c r="DF1395">
        <v>0</v>
      </c>
      <c r="DG1395">
        <v>0</v>
      </c>
      <c r="DH1395">
        <v>0</v>
      </c>
      <c r="DI1395">
        <v>0</v>
      </c>
    </row>
    <row r="1396" spans="1:113" x14ac:dyDescent="0.3">
      <c r="A1396" t="str">
        <f>"02/13/2022 18:45:28.745"</f>
        <v>02/13/2022 18:45:28.745</v>
      </c>
      <c r="C1396" t="str">
        <f t="shared" si="133"/>
        <v>FFDFD7C0</v>
      </c>
      <c r="D1396" t="s">
        <v>113</v>
      </c>
      <c r="E1396">
        <v>4</v>
      </c>
      <c r="F1396">
        <v>1004</v>
      </c>
      <c r="G1396" t="s">
        <v>120</v>
      </c>
      <c r="J1396" t="s">
        <v>115</v>
      </c>
      <c r="K1396">
        <v>0</v>
      </c>
      <c r="L1396">
        <v>3</v>
      </c>
      <c r="M1396">
        <v>0</v>
      </c>
      <c r="N1396">
        <v>2</v>
      </c>
      <c r="O1396">
        <v>1</v>
      </c>
      <c r="P1396">
        <v>0</v>
      </c>
      <c r="Q1396">
        <v>0</v>
      </c>
      <c r="S1396" t="str">
        <f>"18:45:28.531"</f>
        <v>18:45:28.531</v>
      </c>
      <c r="T1396" t="str">
        <f>"18:45:27.931"</f>
        <v>18:45:27.931</v>
      </c>
      <c r="U1396" t="str">
        <f t="shared" si="130"/>
        <v>AAB6EE</v>
      </c>
      <c r="V1396">
        <v>0</v>
      </c>
      <c r="W1396">
        <v>0</v>
      </c>
      <c r="X1396">
        <v>4</v>
      </c>
      <c r="Z1396">
        <v>0</v>
      </c>
      <c r="AA1396">
        <v>8</v>
      </c>
      <c r="AB1396">
        <v>3</v>
      </c>
      <c r="AC1396">
        <v>0</v>
      </c>
      <c r="AD1396">
        <v>10</v>
      </c>
      <c r="AE1396">
        <v>0</v>
      </c>
      <c r="AF1396">
        <v>0</v>
      </c>
      <c r="AG1396">
        <v>1</v>
      </c>
      <c r="AH1396">
        <v>1</v>
      </c>
      <c r="AI1396" t="s">
        <v>1065</v>
      </c>
      <c r="AJ1396">
        <v>35.228712999999999</v>
      </c>
      <c r="AK1396" t="s">
        <v>1066</v>
      </c>
      <c r="AL1396">
        <v>-76.108796999999996</v>
      </c>
      <c r="AM1396">
        <v>25</v>
      </c>
      <c r="AN1396">
        <v>2925</v>
      </c>
      <c r="AO1396" t="s">
        <v>118</v>
      </c>
      <c r="AP1396">
        <v>169</v>
      </c>
      <c r="AQ1396">
        <v>15</v>
      </c>
      <c r="AR1396">
        <v>0</v>
      </c>
      <c r="AZ1396">
        <v>4516</v>
      </c>
      <c r="BA1396">
        <v>1</v>
      </c>
      <c r="BB1396" t="str">
        <f t="shared" si="132"/>
        <v xml:space="preserve">N79NX   </v>
      </c>
      <c r="BC1396">
        <v>1</v>
      </c>
      <c r="BE1396">
        <v>0</v>
      </c>
      <c r="BF1396">
        <v>0</v>
      </c>
      <c r="BG1396">
        <v>0</v>
      </c>
      <c r="BH1396">
        <v>2775</v>
      </c>
      <c r="BI1396">
        <v>0</v>
      </c>
      <c r="BJ1396">
        <v>0</v>
      </c>
      <c r="BK1396">
        <v>0</v>
      </c>
      <c r="BL1396">
        <v>0</v>
      </c>
      <c r="BO1396">
        <v>0</v>
      </c>
      <c r="BP1396">
        <v>0</v>
      </c>
      <c r="BW1396" t="str">
        <f>"18:45:28.532"</f>
        <v>18:45:28.532</v>
      </c>
      <c r="BZ1396">
        <v>0</v>
      </c>
      <c r="CA1396">
        <v>3008</v>
      </c>
      <c r="CB1396">
        <v>216</v>
      </c>
      <c r="CC1396">
        <v>458.4375</v>
      </c>
      <c r="CD1396">
        <v>1</v>
      </c>
      <c r="CE1396">
        <v>1</v>
      </c>
      <c r="CF1396">
        <v>0</v>
      </c>
      <c r="CG1396">
        <v>1</v>
      </c>
      <c r="CH1396">
        <v>0</v>
      </c>
      <c r="CI1396">
        <v>0</v>
      </c>
      <c r="CJ1396">
        <v>0</v>
      </c>
      <c r="CK1396">
        <v>2</v>
      </c>
      <c r="CL1396">
        <v>0</v>
      </c>
      <c r="CM1396">
        <v>2</v>
      </c>
      <c r="CN1396">
        <v>0</v>
      </c>
      <c r="CO1396">
        <v>1</v>
      </c>
      <c r="CP1396" t="s">
        <v>119</v>
      </c>
      <c r="CQ1396">
        <v>145</v>
      </c>
      <c r="CR1396">
        <v>1</v>
      </c>
      <c r="CW1396">
        <v>9133325</v>
      </c>
      <c r="CY1396">
        <v>0</v>
      </c>
      <c r="CZ1396">
        <v>0</v>
      </c>
      <c r="DA1396">
        <v>0</v>
      </c>
      <c r="DB1396">
        <v>0</v>
      </c>
      <c r="DC1396">
        <v>0</v>
      </c>
      <c r="DD1396">
        <v>0</v>
      </c>
      <c r="DE1396">
        <v>0</v>
      </c>
      <c r="DF1396">
        <v>0</v>
      </c>
      <c r="DG1396">
        <v>0</v>
      </c>
      <c r="DH1396">
        <v>0</v>
      </c>
      <c r="DI1396">
        <v>0</v>
      </c>
    </row>
    <row r="1397" spans="1:113" x14ac:dyDescent="0.3">
      <c r="A1397" t="str">
        <f>"02/13/2022 18:45:28.745"</f>
        <v>02/13/2022 18:45:28.745</v>
      </c>
      <c r="C1397" t="str">
        <f t="shared" si="133"/>
        <v>FFDFD7C0</v>
      </c>
      <c r="D1397" t="s">
        <v>113</v>
      </c>
      <c r="E1397">
        <v>3</v>
      </c>
      <c r="F1397">
        <v>1003</v>
      </c>
      <c r="G1397" t="s">
        <v>114</v>
      </c>
      <c r="J1397" t="s">
        <v>115</v>
      </c>
      <c r="K1397">
        <v>0</v>
      </c>
      <c r="L1397">
        <v>3</v>
      </c>
      <c r="M1397">
        <v>0</v>
      </c>
      <c r="N1397">
        <v>2</v>
      </c>
      <c r="O1397">
        <v>1</v>
      </c>
      <c r="P1397">
        <v>0</v>
      </c>
      <c r="Q1397">
        <v>0</v>
      </c>
      <c r="S1397" t="str">
        <f>"18:45:28.531"</f>
        <v>18:45:28.531</v>
      </c>
      <c r="T1397" t="str">
        <f>"18:45:27.931"</f>
        <v>18:45:27.931</v>
      </c>
      <c r="U1397" t="str">
        <f t="shared" si="130"/>
        <v>AAB6EE</v>
      </c>
      <c r="V1397">
        <v>0</v>
      </c>
      <c r="W1397">
        <v>0</v>
      </c>
      <c r="X1397">
        <v>4</v>
      </c>
      <c r="Z1397">
        <v>0</v>
      </c>
      <c r="AA1397">
        <v>8</v>
      </c>
      <c r="AB1397">
        <v>3</v>
      </c>
      <c r="AC1397">
        <v>0</v>
      </c>
      <c r="AD1397">
        <v>10</v>
      </c>
      <c r="AE1397">
        <v>0</v>
      </c>
      <c r="AF1397">
        <v>0</v>
      </c>
      <c r="AG1397">
        <v>1</v>
      </c>
      <c r="AH1397">
        <v>1</v>
      </c>
      <c r="AI1397" t="s">
        <v>1065</v>
      </c>
      <c r="AJ1397">
        <v>35.228712999999999</v>
      </c>
      <c r="AK1397" t="s">
        <v>1066</v>
      </c>
      <c r="AL1397">
        <v>-76.108796999999996</v>
      </c>
      <c r="AM1397">
        <v>25</v>
      </c>
      <c r="AN1397">
        <v>2925</v>
      </c>
      <c r="AO1397" t="s">
        <v>118</v>
      </c>
      <c r="AP1397">
        <v>169</v>
      </c>
      <c r="AQ1397">
        <v>15</v>
      </c>
      <c r="AR1397">
        <v>0</v>
      </c>
      <c r="AZ1397">
        <v>4516</v>
      </c>
      <c r="BA1397">
        <v>1</v>
      </c>
      <c r="BB1397" t="str">
        <f t="shared" si="132"/>
        <v xml:space="preserve">N79NX   </v>
      </c>
      <c r="BC1397">
        <v>1</v>
      </c>
      <c r="BE1397">
        <v>0</v>
      </c>
      <c r="BF1397">
        <v>0</v>
      </c>
      <c r="BG1397">
        <v>0</v>
      </c>
      <c r="BH1397">
        <v>2775</v>
      </c>
      <c r="BI1397">
        <v>0</v>
      </c>
      <c r="BJ1397">
        <v>0</v>
      </c>
      <c r="BK1397">
        <v>0</v>
      </c>
      <c r="BL1397">
        <v>0</v>
      </c>
      <c r="BO1397">
        <v>0</v>
      </c>
      <c r="BP1397">
        <v>0</v>
      </c>
      <c r="BW1397" t="str">
        <f>"18:45:28.532"</f>
        <v>18:45:28.532</v>
      </c>
      <c r="BZ1397">
        <v>0</v>
      </c>
      <c r="CA1397">
        <v>3008</v>
      </c>
      <c r="CB1397">
        <v>216</v>
      </c>
      <c r="CC1397">
        <v>458.4375</v>
      </c>
      <c r="CD1397">
        <v>1</v>
      </c>
      <c r="CE1397">
        <v>1</v>
      </c>
      <c r="CF1397">
        <v>0</v>
      </c>
      <c r="CG1397">
        <v>1</v>
      </c>
      <c r="CH1397">
        <v>0</v>
      </c>
      <c r="CI1397">
        <v>0</v>
      </c>
      <c r="CJ1397">
        <v>0</v>
      </c>
      <c r="CK1397">
        <v>2</v>
      </c>
      <c r="CL1397">
        <v>0</v>
      </c>
      <c r="CM1397">
        <v>2</v>
      </c>
      <c r="CN1397">
        <v>0</v>
      </c>
      <c r="CO1397">
        <v>1</v>
      </c>
      <c r="CP1397" t="s">
        <v>119</v>
      </c>
      <c r="CQ1397">
        <v>145</v>
      </c>
      <c r="CR1397">
        <v>1</v>
      </c>
      <c r="CW1397">
        <v>9133325</v>
      </c>
      <c r="CY1397">
        <v>0</v>
      </c>
      <c r="CZ1397">
        <v>0</v>
      </c>
      <c r="DA1397">
        <v>1</v>
      </c>
      <c r="DB1397">
        <v>0</v>
      </c>
      <c r="DC1397">
        <v>0</v>
      </c>
      <c r="DD1397">
        <v>0</v>
      </c>
      <c r="DE1397">
        <v>0</v>
      </c>
      <c r="DF1397">
        <v>0</v>
      </c>
      <c r="DG1397">
        <v>0</v>
      </c>
      <c r="DH1397">
        <v>0</v>
      </c>
      <c r="DI1397">
        <v>0</v>
      </c>
    </row>
    <row r="1398" spans="1:113" x14ac:dyDescent="0.3">
      <c r="A1398" t="str">
        <f>"02/13/2022 18:45:28.745"</f>
        <v>02/13/2022 18:45:28.745</v>
      </c>
      <c r="C1398" t="str">
        <f t="shared" si="133"/>
        <v>FFDFD7C0</v>
      </c>
      <c r="D1398" t="s">
        <v>121</v>
      </c>
      <c r="E1398">
        <v>2</v>
      </c>
      <c r="H1398">
        <v>158</v>
      </c>
      <c r="I1398" t="s">
        <v>120</v>
      </c>
      <c r="J1398" t="s">
        <v>122</v>
      </c>
      <c r="K1398">
        <v>0</v>
      </c>
      <c r="L1398">
        <v>3</v>
      </c>
      <c r="M1398">
        <v>0</v>
      </c>
      <c r="N1398">
        <v>2</v>
      </c>
      <c r="O1398">
        <v>1</v>
      </c>
      <c r="P1398">
        <v>0</v>
      </c>
      <c r="Q1398">
        <v>0</v>
      </c>
      <c r="S1398" t="str">
        <f>"18:45:28.531"</f>
        <v>18:45:28.531</v>
      </c>
      <c r="T1398" t="str">
        <f>"18:45:27.931"</f>
        <v>18:45:27.931</v>
      </c>
      <c r="U1398" t="str">
        <f t="shared" si="130"/>
        <v>AAB6EE</v>
      </c>
      <c r="V1398">
        <v>0</v>
      </c>
      <c r="W1398">
        <v>0</v>
      </c>
      <c r="X1398">
        <v>4</v>
      </c>
      <c r="Z1398">
        <v>0</v>
      </c>
      <c r="AA1398">
        <v>8</v>
      </c>
      <c r="AB1398">
        <v>3</v>
      </c>
      <c r="AC1398">
        <v>0</v>
      </c>
      <c r="AD1398">
        <v>10</v>
      </c>
      <c r="AE1398">
        <v>0</v>
      </c>
      <c r="AF1398">
        <v>0</v>
      </c>
      <c r="AG1398">
        <v>1</v>
      </c>
      <c r="AH1398">
        <v>1</v>
      </c>
      <c r="AI1398" t="s">
        <v>1065</v>
      </c>
      <c r="AJ1398">
        <v>35.228712999999999</v>
      </c>
      <c r="AK1398" t="s">
        <v>1066</v>
      </c>
      <c r="AL1398">
        <v>-76.108796999999996</v>
      </c>
      <c r="AM1398">
        <v>25</v>
      </c>
      <c r="AN1398">
        <v>2925</v>
      </c>
      <c r="AO1398" t="s">
        <v>118</v>
      </c>
      <c r="AP1398">
        <v>169</v>
      </c>
      <c r="AQ1398">
        <v>15</v>
      </c>
      <c r="AR1398">
        <v>0</v>
      </c>
      <c r="AZ1398">
        <v>4516</v>
      </c>
      <c r="BA1398">
        <v>1</v>
      </c>
      <c r="BB1398" t="str">
        <f t="shared" si="132"/>
        <v xml:space="preserve">N79NX   </v>
      </c>
      <c r="BC1398">
        <v>1</v>
      </c>
      <c r="BE1398">
        <v>0</v>
      </c>
      <c r="BF1398">
        <v>0</v>
      </c>
      <c r="BG1398">
        <v>0</v>
      </c>
      <c r="BH1398">
        <v>2775</v>
      </c>
      <c r="BI1398">
        <v>0</v>
      </c>
      <c r="BJ1398">
        <v>0</v>
      </c>
      <c r="BK1398">
        <v>0</v>
      </c>
      <c r="BL1398">
        <v>0</v>
      </c>
      <c r="BO1398">
        <v>0</v>
      </c>
      <c r="BP1398">
        <v>0</v>
      </c>
      <c r="BW1398" t="str">
        <f>"18:45:28.532"</f>
        <v>18:45:28.532</v>
      </c>
      <c r="BZ1398">
        <v>0</v>
      </c>
      <c r="CA1398">
        <v>3008</v>
      </c>
      <c r="CB1398">
        <v>216</v>
      </c>
      <c r="CC1398">
        <v>458.4375</v>
      </c>
      <c r="CD1398">
        <v>1</v>
      </c>
      <c r="CE1398">
        <v>1</v>
      </c>
      <c r="CF1398">
        <v>0</v>
      </c>
      <c r="CG1398">
        <v>1</v>
      </c>
      <c r="CH1398">
        <v>0</v>
      </c>
      <c r="CI1398">
        <v>0</v>
      </c>
      <c r="CJ1398">
        <v>0</v>
      </c>
      <c r="CK1398">
        <v>2</v>
      </c>
      <c r="CL1398">
        <v>0</v>
      </c>
      <c r="CM1398">
        <v>2</v>
      </c>
      <c r="CN1398">
        <v>0</v>
      </c>
      <c r="CO1398">
        <v>1</v>
      </c>
      <c r="CP1398" t="s">
        <v>119</v>
      </c>
      <c r="CQ1398">
        <v>145</v>
      </c>
      <c r="CR1398">
        <v>1</v>
      </c>
      <c r="CW1398">
        <v>9133325</v>
      </c>
      <c r="CY1398">
        <v>0</v>
      </c>
      <c r="CZ1398">
        <v>0</v>
      </c>
      <c r="DA1398">
        <v>1</v>
      </c>
      <c r="DB1398">
        <v>0</v>
      </c>
      <c r="DC1398">
        <v>0</v>
      </c>
      <c r="DD1398">
        <v>0</v>
      </c>
      <c r="DE1398">
        <v>0</v>
      </c>
      <c r="DF1398">
        <v>0</v>
      </c>
      <c r="DG1398">
        <v>0</v>
      </c>
      <c r="DH1398">
        <v>0</v>
      </c>
      <c r="DI1398">
        <v>0</v>
      </c>
    </row>
    <row r="1399" spans="1:113" x14ac:dyDescent="0.3">
      <c r="A1399" t="str">
        <f>"02/13/2022 18:45:29.716"</f>
        <v>02/13/2022 18:45:29.716</v>
      </c>
      <c r="C1399" t="str">
        <f t="shared" si="133"/>
        <v>FFDFD7C0</v>
      </c>
      <c r="D1399" t="s">
        <v>113</v>
      </c>
      <c r="E1399">
        <v>4</v>
      </c>
      <c r="F1399">
        <v>1004</v>
      </c>
      <c r="G1399" t="s">
        <v>120</v>
      </c>
      <c r="J1399" t="s">
        <v>115</v>
      </c>
      <c r="K1399">
        <v>0</v>
      </c>
      <c r="L1399">
        <v>3</v>
      </c>
      <c r="M1399">
        <v>0</v>
      </c>
      <c r="N1399">
        <v>2</v>
      </c>
      <c r="O1399">
        <v>1</v>
      </c>
      <c r="P1399">
        <v>0</v>
      </c>
      <c r="Q1399">
        <v>0</v>
      </c>
      <c r="S1399" t="str">
        <f>"18:45:29.438"</f>
        <v>18:45:29.438</v>
      </c>
      <c r="T1399" t="str">
        <f>"18:45:28.938"</f>
        <v>18:45:28.938</v>
      </c>
      <c r="U1399" t="str">
        <f t="shared" si="130"/>
        <v>AAB6EE</v>
      </c>
      <c r="V1399">
        <v>0</v>
      </c>
      <c r="W1399">
        <v>0</v>
      </c>
      <c r="X1399">
        <v>4</v>
      </c>
      <c r="Z1399">
        <v>0</v>
      </c>
      <c r="AA1399">
        <v>8</v>
      </c>
      <c r="AB1399">
        <v>3</v>
      </c>
      <c r="AC1399">
        <v>0</v>
      </c>
      <c r="AD1399">
        <v>10</v>
      </c>
      <c r="AE1399">
        <v>0</v>
      </c>
      <c r="AF1399">
        <v>0</v>
      </c>
      <c r="AG1399">
        <v>1</v>
      </c>
      <c r="AH1399">
        <v>1</v>
      </c>
      <c r="AI1399" t="s">
        <v>1067</v>
      </c>
      <c r="AJ1399">
        <v>35.228777000000001</v>
      </c>
      <c r="AK1399" t="s">
        <v>1068</v>
      </c>
      <c r="AL1399">
        <v>-76.107960000000006</v>
      </c>
      <c r="AM1399">
        <v>25</v>
      </c>
      <c r="AN1399">
        <v>2925</v>
      </c>
      <c r="AO1399" t="s">
        <v>118</v>
      </c>
      <c r="AP1399">
        <v>169</v>
      </c>
      <c r="AQ1399">
        <v>15</v>
      </c>
      <c r="AR1399">
        <v>-64</v>
      </c>
      <c r="AZ1399">
        <v>4516</v>
      </c>
      <c r="BA1399">
        <v>1</v>
      </c>
      <c r="BB1399" t="str">
        <f t="shared" si="132"/>
        <v xml:space="preserve">N79NX   </v>
      </c>
      <c r="BC1399">
        <v>1</v>
      </c>
      <c r="BE1399">
        <v>0</v>
      </c>
      <c r="BF1399">
        <v>0</v>
      </c>
      <c r="BG1399">
        <v>0</v>
      </c>
      <c r="BH1399">
        <v>2775</v>
      </c>
      <c r="BI1399">
        <v>0</v>
      </c>
      <c r="BJ1399">
        <v>0</v>
      </c>
      <c r="BK1399">
        <v>0</v>
      </c>
      <c r="BL1399">
        <v>0</v>
      </c>
      <c r="BO1399">
        <v>0</v>
      </c>
      <c r="BP1399">
        <v>0</v>
      </c>
      <c r="BW1399" t="str">
        <f>"18:45:29.442"</f>
        <v>18:45:29.442</v>
      </c>
      <c r="BZ1399">
        <v>0</v>
      </c>
      <c r="CA1399">
        <v>3008</v>
      </c>
      <c r="CB1399">
        <v>216</v>
      </c>
      <c r="CC1399">
        <v>458.4375</v>
      </c>
      <c r="CD1399">
        <v>1</v>
      </c>
      <c r="CE1399">
        <v>1</v>
      </c>
      <c r="CF1399">
        <v>0</v>
      </c>
      <c r="CG1399">
        <v>1</v>
      </c>
      <c r="CH1399">
        <v>0</v>
      </c>
      <c r="CI1399">
        <v>0</v>
      </c>
      <c r="CJ1399">
        <v>0</v>
      </c>
      <c r="CK1399">
        <v>2</v>
      </c>
      <c r="CL1399">
        <v>0</v>
      </c>
      <c r="CM1399">
        <v>2</v>
      </c>
      <c r="CN1399">
        <v>0</v>
      </c>
      <c r="CO1399">
        <v>1</v>
      </c>
      <c r="CP1399" t="s">
        <v>119</v>
      </c>
      <c r="CQ1399">
        <v>145</v>
      </c>
      <c r="CR1399">
        <v>1</v>
      </c>
      <c r="CW1399">
        <v>9133838</v>
      </c>
      <c r="CY1399">
        <v>0</v>
      </c>
      <c r="CZ1399">
        <v>0</v>
      </c>
      <c r="DA1399">
        <v>0</v>
      </c>
      <c r="DB1399">
        <v>0</v>
      </c>
      <c r="DC1399">
        <v>0</v>
      </c>
      <c r="DD1399">
        <v>0</v>
      </c>
      <c r="DE1399">
        <v>0</v>
      </c>
      <c r="DF1399">
        <v>0</v>
      </c>
      <c r="DG1399">
        <v>0</v>
      </c>
      <c r="DH1399">
        <v>0</v>
      </c>
      <c r="DI1399">
        <v>0</v>
      </c>
    </row>
    <row r="1400" spans="1:113" x14ac:dyDescent="0.3">
      <c r="A1400" t="str">
        <f>"02/13/2022 18:45:29.716"</f>
        <v>02/13/2022 18:45:29.716</v>
      </c>
      <c r="C1400" t="str">
        <f t="shared" si="133"/>
        <v>FFDFD7C0</v>
      </c>
      <c r="D1400" t="s">
        <v>121</v>
      </c>
      <c r="E1400">
        <v>2</v>
      </c>
      <c r="H1400">
        <v>158</v>
      </c>
      <c r="I1400" t="s">
        <v>120</v>
      </c>
      <c r="J1400" t="s">
        <v>122</v>
      </c>
      <c r="K1400">
        <v>0</v>
      </c>
      <c r="L1400">
        <v>3</v>
      </c>
      <c r="M1400">
        <v>0</v>
      </c>
      <c r="N1400">
        <v>2</v>
      </c>
      <c r="O1400">
        <v>1</v>
      </c>
      <c r="P1400">
        <v>0</v>
      </c>
      <c r="Q1400">
        <v>0</v>
      </c>
      <c r="S1400" t="str">
        <f>"18:45:29.438"</f>
        <v>18:45:29.438</v>
      </c>
      <c r="T1400" t="str">
        <f>"18:45:28.938"</f>
        <v>18:45:28.938</v>
      </c>
      <c r="U1400" t="str">
        <f t="shared" si="130"/>
        <v>AAB6EE</v>
      </c>
      <c r="V1400">
        <v>0</v>
      </c>
      <c r="W1400">
        <v>0</v>
      </c>
      <c r="X1400">
        <v>4</v>
      </c>
      <c r="Z1400">
        <v>0</v>
      </c>
      <c r="AA1400">
        <v>8</v>
      </c>
      <c r="AB1400">
        <v>3</v>
      </c>
      <c r="AC1400">
        <v>0</v>
      </c>
      <c r="AD1400">
        <v>10</v>
      </c>
      <c r="AE1400">
        <v>0</v>
      </c>
      <c r="AF1400">
        <v>0</v>
      </c>
      <c r="AG1400">
        <v>1</v>
      </c>
      <c r="AH1400">
        <v>1</v>
      </c>
      <c r="AI1400" t="s">
        <v>1067</v>
      </c>
      <c r="AJ1400">
        <v>35.228777000000001</v>
      </c>
      <c r="AK1400" t="s">
        <v>1068</v>
      </c>
      <c r="AL1400">
        <v>-76.107960000000006</v>
      </c>
      <c r="AM1400">
        <v>25</v>
      </c>
      <c r="AN1400">
        <v>2925</v>
      </c>
      <c r="AO1400" t="s">
        <v>118</v>
      </c>
      <c r="AP1400">
        <v>169</v>
      </c>
      <c r="AQ1400">
        <v>15</v>
      </c>
      <c r="AR1400">
        <v>-64</v>
      </c>
      <c r="AZ1400">
        <v>4516</v>
      </c>
      <c r="BA1400">
        <v>1</v>
      </c>
      <c r="BB1400" t="str">
        <f t="shared" si="132"/>
        <v xml:space="preserve">N79NX   </v>
      </c>
      <c r="BC1400">
        <v>1</v>
      </c>
      <c r="BE1400">
        <v>0</v>
      </c>
      <c r="BF1400">
        <v>0</v>
      </c>
      <c r="BG1400">
        <v>0</v>
      </c>
      <c r="BH1400">
        <v>2775</v>
      </c>
      <c r="BI1400">
        <v>0</v>
      </c>
      <c r="BJ1400">
        <v>0</v>
      </c>
      <c r="BK1400">
        <v>0</v>
      </c>
      <c r="BL1400">
        <v>0</v>
      </c>
      <c r="BO1400">
        <v>0</v>
      </c>
      <c r="BP1400">
        <v>0</v>
      </c>
      <c r="BW1400" t="str">
        <f>"18:45:29.442"</f>
        <v>18:45:29.442</v>
      </c>
      <c r="BZ1400">
        <v>0</v>
      </c>
      <c r="CA1400">
        <v>3008</v>
      </c>
      <c r="CB1400">
        <v>216</v>
      </c>
      <c r="CC1400">
        <v>458.4375</v>
      </c>
      <c r="CD1400">
        <v>1</v>
      </c>
      <c r="CE1400">
        <v>1</v>
      </c>
      <c r="CF1400">
        <v>0</v>
      </c>
      <c r="CG1400">
        <v>1</v>
      </c>
      <c r="CH1400">
        <v>0</v>
      </c>
      <c r="CI1400">
        <v>0</v>
      </c>
      <c r="CJ1400">
        <v>0</v>
      </c>
      <c r="CK1400">
        <v>2</v>
      </c>
      <c r="CL1400">
        <v>0</v>
      </c>
      <c r="CM1400">
        <v>2</v>
      </c>
      <c r="CN1400">
        <v>0</v>
      </c>
      <c r="CO1400">
        <v>1</v>
      </c>
      <c r="CP1400" t="s">
        <v>119</v>
      </c>
      <c r="CQ1400">
        <v>145</v>
      </c>
      <c r="CR1400">
        <v>1</v>
      </c>
      <c r="CW1400">
        <v>9133838</v>
      </c>
      <c r="CY1400">
        <v>0</v>
      </c>
      <c r="CZ1400">
        <v>0</v>
      </c>
      <c r="DA1400">
        <v>1</v>
      </c>
      <c r="DB1400">
        <v>0</v>
      </c>
      <c r="DC1400">
        <v>0</v>
      </c>
      <c r="DD1400">
        <v>0</v>
      </c>
      <c r="DE1400">
        <v>0</v>
      </c>
      <c r="DF1400">
        <v>0</v>
      </c>
      <c r="DG1400">
        <v>0</v>
      </c>
      <c r="DH1400">
        <v>0</v>
      </c>
      <c r="DI1400">
        <v>0</v>
      </c>
    </row>
    <row r="1401" spans="1:113" x14ac:dyDescent="0.3">
      <c r="A1401" t="str">
        <f>"02/13/2022 18:45:29.716"</f>
        <v>02/13/2022 18:45:29.716</v>
      </c>
      <c r="C1401" t="str">
        <f t="shared" si="133"/>
        <v>FFDFD7C0</v>
      </c>
      <c r="D1401" t="s">
        <v>113</v>
      </c>
      <c r="E1401">
        <v>3</v>
      </c>
      <c r="F1401">
        <v>1003</v>
      </c>
      <c r="G1401" t="s">
        <v>114</v>
      </c>
      <c r="J1401" t="s">
        <v>115</v>
      </c>
      <c r="K1401">
        <v>0</v>
      </c>
      <c r="L1401">
        <v>3</v>
      </c>
      <c r="M1401">
        <v>0</v>
      </c>
      <c r="N1401">
        <v>2</v>
      </c>
      <c r="O1401">
        <v>1</v>
      </c>
      <c r="P1401">
        <v>0</v>
      </c>
      <c r="Q1401">
        <v>0</v>
      </c>
      <c r="S1401" t="str">
        <f>"18:45:29.438"</f>
        <v>18:45:29.438</v>
      </c>
      <c r="T1401" t="str">
        <f>"18:45:28.938"</f>
        <v>18:45:28.938</v>
      </c>
      <c r="U1401" t="str">
        <f t="shared" si="130"/>
        <v>AAB6EE</v>
      </c>
      <c r="V1401">
        <v>0</v>
      </c>
      <c r="W1401">
        <v>0</v>
      </c>
      <c r="X1401">
        <v>4</v>
      </c>
      <c r="Z1401">
        <v>0</v>
      </c>
      <c r="AA1401">
        <v>8</v>
      </c>
      <c r="AB1401">
        <v>3</v>
      </c>
      <c r="AC1401">
        <v>0</v>
      </c>
      <c r="AD1401">
        <v>10</v>
      </c>
      <c r="AE1401">
        <v>0</v>
      </c>
      <c r="AF1401">
        <v>0</v>
      </c>
      <c r="AG1401">
        <v>1</v>
      </c>
      <c r="AH1401">
        <v>1</v>
      </c>
      <c r="AI1401" t="s">
        <v>1067</v>
      </c>
      <c r="AJ1401">
        <v>35.228777000000001</v>
      </c>
      <c r="AK1401" t="s">
        <v>1068</v>
      </c>
      <c r="AL1401">
        <v>-76.107960000000006</v>
      </c>
      <c r="AM1401">
        <v>25</v>
      </c>
      <c r="AN1401">
        <v>2925</v>
      </c>
      <c r="AO1401" t="s">
        <v>118</v>
      </c>
      <c r="AP1401">
        <v>169</v>
      </c>
      <c r="AQ1401">
        <v>15</v>
      </c>
      <c r="AR1401">
        <v>-64</v>
      </c>
      <c r="AZ1401">
        <v>4516</v>
      </c>
      <c r="BA1401">
        <v>1</v>
      </c>
      <c r="BB1401" t="str">
        <f t="shared" si="132"/>
        <v xml:space="preserve">N79NX   </v>
      </c>
      <c r="BC1401">
        <v>1</v>
      </c>
      <c r="BE1401">
        <v>0</v>
      </c>
      <c r="BF1401">
        <v>0</v>
      </c>
      <c r="BG1401">
        <v>0</v>
      </c>
      <c r="BH1401">
        <v>2775</v>
      </c>
      <c r="BI1401">
        <v>0</v>
      </c>
      <c r="BJ1401">
        <v>0</v>
      </c>
      <c r="BK1401">
        <v>0</v>
      </c>
      <c r="BL1401">
        <v>0</v>
      </c>
      <c r="BO1401">
        <v>0</v>
      </c>
      <c r="BP1401">
        <v>0</v>
      </c>
      <c r="BW1401" t="str">
        <f>"18:45:29.442"</f>
        <v>18:45:29.442</v>
      </c>
      <c r="BZ1401">
        <v>0</v>
      </c>
      <c r="CA1401">
        <v>3008</v>
      </c>
      <c r="CB1401">
        <v>216</v>
      </c>
      <c r="CC1401">
        <v>458.4375</v>
      </c>
      <c r="CD1401">
        <v>1</v>
      </c>
      <c r="CE1401">
        <v>1</v>
      </c>
      <c r="CF1401">
        <v>0</v>
      </c>
      <c r="CG1401">
        <v>1</v>
      </c>
      <c r="CH1401">
        <v>0</v>
      </c>
      <c r="CI1401">
        <v>0</v>
      </c>
      <c r="CJ1401">
        <v>0</v>
      </c>
      <c r="CK1401">
        <v>2</v>
      </c>
      <c r="CL1401">
        <v>0</v>
      </c>
      <c r="CM1401">
        <v>2</v>
      </c>
      <c r="CN1401">
        <v>0</v>
      </c>
      <c r="CO1401">
        <v>1</v>
      </c>
      <c r="CP1401" t="s">
        <v>119</v>
      </c>
      <c r="CQ1401">
        <v>145</v>
      </c>
      <c r="CR1401">
        <v>1</v>
      </c>
      <c r="CW1401">
        <v>9133838</v>
      </c>
      <c r="CY1401">
        <v>0</v>
      </c>
      <c r="CZ1401">
        <v>0</v>
      </c>
      <c r="DA1401">
        <v>1</v>
      </c>
      <c r="DB1401">
        <v>0</v>
      </c>
      <c r="DC1401">
        <v>0</v>
      </c>
      <c r="DD1401">
        <v>0</v>
      </c>
      <c r="DE1401">
        <v>0</v>
      </c>
      <c r="DF1401">
        <v>0</v>
      </c>
      <c r="DG1401">
        <v>0</v>
      </c>
      <c r="DH1401">
        <v>0</v>
      </c>
      <c r="DI1401">
        <v>0</v>
      </c>
    </row>
    <row r="1402" spans="1:113" x14ac:dyDescent="0.3">
      <c r="A1402" t="str">
        <f>"02/13/2022 18:45:30.837"</f>
        <v>02/13/2022 18:45:30.837</v>
      </c>
      <c r="C1402" t="str">
        <f t="shared" si="133"/>
        <v>FFDFD7C0</v>
      </c>
      <c r="D1402" t="s">
        <v>113</v>
      </c>
      <c r="E1402">
        <v>4</v>
      </c>
      <c r="F1402">
        <v>1004</v>
      </c>
      <c r="G1402" t="s">
        <v>120</v>
      </c>
      <c r="J1402" t="s">
        <v>115</v>
      </c>
      <c r="K1402">
        <v>0</v>
      </c>
      <c r="L1402">
        <v>3</v>
      </c>
      <c r="M1402">
        <v>0</v>
      </c>
      <c r="N1402">
        <v>2</v>
      </c>
      <c r="O1402">
        <v>1</v>
      </c>
      <c r="P1402">
        <v>0</v>
      </c>
      <c r="Q1402">
        <v>0</v>
      </c>
      <c r="S1402" t="str">
        <f>"18:45:30.586"</f>
        <v>18:45:30.586</v>
      </c>
      <c r="T1402" t="str">
        <f>"18:45:30.086"</f>
        <v>18:45:30.086</v>
      </c>
      <c r="U1402" t="str">
        <f t="shared" si="130"/>
        <v>AAB6EE</v>
      </c>
      <c r="V1402">
        <v>0</v>
      </c>
      <c r="W1402">
        <v>0</v>
      </c>
      <c r="X1402">
        <v>4</v>
      </c>
      <c r="Z1402">
        <v>0</v>
      </c>
      <c r="AA1402">
        <v>8</v>
      </c>
      <c r="AB1402">
        <v>3</v>
      </c>
      <c r="AC1402">
        <v>0</v>
      </c>
      <c r="AD1402">
        <v>10</v>
      </c>
      <c r="AE1402">
        <v>0</v>
      </c>
      <c r="AF1402">
        <v>0</v>
      </c>
      <c r="AG1402">
        <v>1</v>
      </c>
      <c r="AH1402">
        <v>1</v>
      </c>
      <c r="AI1402" t="s">
        <v>1069</v>
      </c>
      <c r="AJ1402">
        <v>35.228841000000003</v>
      </c>
      <c r="AK1402" t="s">
        <v>1070</v>
      </c>
      <c r="AL1402">
        <v>-76.106887</v>
      </c>
      <c r="AM1402">
        <v>25</v>
      </c>
      <c r="AN1402">
        <v>2925</v>
      </c>
      <c r="AO1402" t="s">
        <v>118</v>
      </c>
      <c r="AP1402">
        <v>168</v>
      </c>
      <c r="AQ1402">
        <v>15</v>
      </c>
      <c r="AR1402">
        <v>-128</v>
      </c>
      <c r="AZ1402">
        <v>4516</v>
      </c>
      <c r="BA1402">
        <v>1</v>
      </c>
      <c r="BB1402" t="str">
        <f t="shared" si="132"/>
        <v xml:space="preserve">N79NX   </v>
      </c>
      <c r="BC1402">
        <v>1</v>
      </c>
      <c r="BE1402">
        <v>0</v>
      </c>
      <c r="BF1402">
        <v>0</v>
      </c>
      <c r="BG1402">
        <v>0</v>
      </c>
      <c r="BH1402">
        <v>2775</v>
      </c>
      <c r="BI1402">
        <v>0</v>
      </c>
      <c r="BJ1402">
        <v>0</v>
      </c>
      <c r="BK1402">
        <v>0</v>
      </c>
      <c r="BL1402">
        <v>0</v>
      </c>
      <c r="BO1402">
        <v>0</v>
      </c>
      <c r="BP1402">
        <v>0</v>
      </c>
      <c r="BW1402" t="str">
        <f>"18:45:30.592"</f>
        <v>18:45:30.592</v>
      </c>
      <c r="BZ1402">
        <v>0</v>
      </c>
      <c r="CA1402">
        <v>3008</v>
      </c>
      <c r="CB1402">
        <v>216</v>
      </c>
      <c r="CC1402">
        <v>458.4375</v>
      </c>
      <c r="CD1402">
        <v>1</v>
      </c>
      <c r="CE1402">
        <v>1</v>
      </c>
      <c r="CF1402">
        <v>0</v>
      </c>
      <c r="CG1402">
        <v>1</v>
      </c>
      <c r="CH1402">
        <v>0</v>
      </c>
      <c r="CI1402">
        <v>0</v>
      </c>
      <c r="CJ1402">
        <v>0</v>
      </c>
      <c r="CK1402">
        <v>2</v>
      </c>
      <c r="CL1402">
        <v>0</v>
      </c>
      <c r="CM1402">
        <v>2</v>
      </c>
      <c r="CN1402">
        <v>0</v>
      </c>
      <c r="CO1402">
        <v>1</v>
      </c>
      <c r="CP1402" t="s">
        <v>119</v>
      </c>
      <c r="CQ1402">
        <v>145</v>
      </c>
      <c r="CR1402">
        <v>1</v>
      </c>
      <c r="CW1402">
        <v>9134443</v>
      </c>
      <c r="CY1402">
        <v>0</v>
      </c>
      <c r="CZ1402">
        <v>0</v>
      </c>
      <c r="DA1402">
        <v>0</v>
      </c>
      <c r="DB1402">
        <v>0</v>
      </c>
      <c r="DC1402">
        <v>0</v>
      </c>
      <c r="DD1402">
        <v>0</v>
      </c>
      <c r="DE1402">
        <v>0</v>
      </c>
      <c r="DF1402">
        <v>0</v>
      </c>
      <c r="DG1402">
        <v>0</v>
      </c>
      <c r="DH1402">
        <v>0</v>
      </c>
      <c r="DI1402">
        <v>0</v>
      </c>
    </row>
    <row r="1403" spans="1:113" x14ac:dyDescent="0.3">
      <c r="A1403" t="str">
        <f>"02/13/2022 18:45:30.837"</f>
        <v>02/13/2022 18:45:30.837</v>
      </c>
      <c r="C1403" t="str">
        <f t="shared" si="133"/>
        <v>FFDFD7C0</v>
      </c>
      <c r="D1403" t="s">
        <v>121</v>
      </c>
      <c r="E1403">
        <v>2</v>
      </c>
      <c r="H1403">
        <v>158</v>
      </c>
      <c r="I1403" t="s">
        <v>120</v>
      </c>
      <c r="J1403" t="s">
        <v>122</v>
      </c>
      <c r="K1403">
        <v>0</v>
      </c>
      <c r="L1403">
        <v>3</v>
      </c>
      <c r="M1403">
        <v>0</v>
      </c>
      <c r="N1403">
        <v>2</v>
      </c>
      <c r="O1403">
        <v>1</v>
      </c>
      <c r="P1403">
        <v>0</v>
      </c>
      <c r="Q1403">
        <v>0</v>
      </c>
      <c r="S1403" t="str">
        <f>"18:45:30.586"</f>
        <v>18:45:30.586</v>
      </c>
      <c r="T1403" t="str">
        <f>"18:45:30.086"</f>
        <v>18:45:30.086</v>
      </c>
      <c r="U1403" t="str">
        <f t="shared" si="130"/>
        <v>AAB6EE</v>
      </c>
      <c r="V1403">
        <v>0</v>
      </c>
      <c r="W1403">
        <v>0</v>
      </c>
      <c r="X1403">
        <v>4</v>
      </c>
      <c r="Z1403">
        <v>0</v>
      </c>
      <c r="AA1403">
        <v>8</v>
      </c>
      <c r="AB1403">
        <v>3</v>
      </c>
      <c r="AC1403">
        <v>0</v>
      </c>
      <c r="AD1403">
        <v>10</v>
      </c>
      <c r="AE1403">
        <v>0</v>
      </c>
      <c r="AF1403">
        <v>0</v>
      </c>
      <c r="AG1403">
        <v>1</v>
      </c>
      <c r="AH1403">
        <v>1</v>
      </c>
      <c r="AI1403" t="s">
        <v>1069</v>
      </c>
      <c r="AJ1403">
        <v>35.228841000000003</v>
      </c>
      <c r="AK1403" t="s">
        <v>1070</v>
      </c>
      <c r="AL1403">
        <v>-76.106887</v>
      </c>
      <c r="AM1403">
        <v>25</v>
      </c>
      <c r="AN1403">
        <v>2925</v>
      </c>
      <c r="AO1403" t="s">
        <v>118</v>
      </c>
      <c r="AP1403">
        <v>168</v>
      </c>
      <c r="AQ1403">
        <v>15</v>
      </c>
      <c r="AR1403">
        <v>-128</v>
      </c>
      <c r="AZ1403">
        <v>4516</v>
      </c>
      <c r="BA1403">
        <v>1</v>
      </c>
      <c r="BB1403" t="str">
        <f t="shared" si="132"/>
        <v xml:space="preserve">N79NX   </v>
      </c>
      <c r="BC1403">
        <v>1</v>
      </c>
      <c r="BE1403">
        <v>0</v>
      </c>
      <c r="BF1403">
        <v>0</v>
      </c>
      <c r="BG1403">
        <v>0</v>
      </c>
      <c r="BH1403">
        <v>2775</v>
      </c>
      <c r="BI1403">
        <v>0</v>
      </c>
      <c r="BJ1403">
        <v>0</v>
      </c>
      <c r="BK1403">
        <v>0</v>
      </c>
      <c r="BL1403">
        <v>0</v>
      </c>
      <c r="BO1403">
        <v>0</v>
      </c>
      <c r="BP1403">
        <v>0</v>
      </c>
      <c r="BW1403" t="str">
        <f>"18:45:30.592"</f>
        <v>18:45:30.592</v>
      </c>
      <c r="BZ1403">
        <v>0</v>
      </c>
      <c r="CA1403">
        <v>3008</v>
      </c>
      <c r="CB1403">
        <v>216</v>
      </c>
      <c r="CC1403">
        <v>458.4375</v>
      </c>
      <c r="CD1403">
        <v>1</v>
      </c>
      <c r="CE1403">
        <v>1</v>
      </c>
      <c r="CF1403">
        <v>0</v>
      </c>
      <c r="CG1403">
        <v>1</v>
      </c>
      <c r="CH1403">
        <v>0</v>
      </c>
      <c r="CI1403">
        <v>0</v>
      </c>
      <c r="CJ1403">
        <v>0</v>
      </c>
      <c r="CK1403">
        <v>2</v>
      </c>
      <c r="CL1403">
        <v>0</v>
      </c>
      <c r="CM1403">
        <v>2</v>
      </c>
      <c r="CN1403">
        <v>0</v>
      </c>
      <c r="CO1403">
        <v>1</v>
      </c>
      <c r="CP1403" t="s">
        <v>119</v>
      </c>
      <c r="CQ1403">
        <v>145</v>
      </c>
      <c r="CR1403">
        <v>1</v>
      </c>
      <c r="CW1403">
        <v>9134443</v>
      </c>
      <c r="CY1403">
        <v>0</v>
      </c>
      <c r="CZ1403">
        <v>0</v>
      </c>
      <c r="DA1403">
        <v>1</v>
      </c>
      <c r="DB1403">
        <v>0</v>
      </c>
      <c r="DC1403">
        <v>0</v>
      </c>
      <c r="DD1403">
        <v>0</v>
      </c>
      <c r="DE1403">
        <v>0</v>
      </c>
      <c r="DF1403">
        <v>0</v>
      </c>
      <c r="DG1403">
        <v>0</v>
      </c>
      <c r="DH1403">
        <v>0</v>
      </c>
      <c r="DI1403">
        <v>0</v>
      </c>
    </row>
    <row r="1404" spans="1:113" x14ac:dyDescent="0.3">
      <c r="A1404" t="str">
        <f>"02/13/2022 18:45:30.837"</f>
        <v>02/13/2022 18:45:30.837</v>
      </c>
      <c r="C1404" t="str">
        <f t="shared" si="133"/>
        <v>FFDFD7C0</v>
      </c>
      <c r="D1404" t="s">
        <v>113</v>
      </c>
      <c r="E1404">
        <v>3</v>
      </c>
      <c r="F1404">
        <v>1003</v>
      </c>
      <c r="G1404" t="s">
        <v>114</v>
      </c>
      <c r="J1404" t="s">
        <v>115</v>
      </c>
      <c r="K1404">
        <v>0</v>
      </c>
      <c r="L1404">
        <v>3</v>
      </c>
      <c r="M1404">
        <v>0</v>
      </c>
      <c r="N1404">
        <v>2</v>
      </c>
      <c r="O1404">
        <v>1</v>
      </c>
      <c r="P1404">
        <v>0</v>
      </c>
      <c r="Q1404">
        <v>0</v>
      </c>
      <c r="S1404" t="str">
        <f>"18:45:30.586"</f>
        <v>18:45:30.586</v>
      </c>
      <c r="T1404" t="str">
        <f>"18:45:30.086"</f>
        <v>18:45:30.086</v>
      </c>
      <c r="U1404" t="str">
        <f t="shared" si="130"/>
        <v>AAB6EE</v>
      </c>
      <c r="V1404">
        <v>0</v>
      </c>
      <c r="W1404">
        <v>0</v>
      </c>
      <c r="X1404">
        <v>4</v>
      </c>
      <c r="Z1404">
        <v>0</v>
      </c>
      <c r="AA1404">
        <v>8</v>
      </c>
      <c r="AB1404">
        <v>3</v>
      </c>
      <c r="AC1404">
        <v>0</v>
      </c>
      <c r="AD1404">
        <v>10</v>
      </c>
      <c r="AE1404">
        <v>0</v>
      </c>
      <c r="AF1404">
        <v>0</v>
      </c>
      <c r="AG1404">
        <v>1</v>
      </c>
      <c r="AH1404">
        <v>1</v>
      </c>
      <c r="AI1404" t="s">
        <v>1069</v>
      </c>
      <c r="AJ1404">
        <v>35.228841000000003</v>
      </c>
      <c r="AK1404" t="s">
        <v>1070</v>
      </c>
      <c r="AL1404">
        <v>-76.106887</v>
      </c>
      <c r="AM1404">
        <v>25</v>
      </c>
      <c r="AN1404">
        <v>2925</v>
      </c>
      <c r="AO1404" t="s">
        <v>118</v>
      </c>
      <c r="AP1404">
        <v>168</v>
      </c>
      <c r="AQ1404">
        <v>15</v>
      </c>
      <c r="AR1404">
        <v>-128</v>
      </c>
      <c r="AZ1404">
        <v>4516</v>
      </c>
      <c r="BA1404">
        <v>1</v>
      </c>
      <c r="BB1404" t="str">
        <f t="shared" si="132"/>
        <v xml:space="preserve">N79NX   </v>
      </c>
      <c r="BC1404">
        <v>1</v>
      </c>
      <c r="BE1404">
        <v>0</v>
      </c>
      <c r="BF1404">
        <v>0</v>
      </c>
      <c r="BG1404">
        <v>0</v>
      </c>
      <c r="BH1404">
        <v>2775</v>
      </c>
      <c r="BI1404">
        <v>0</v>
      </c>
      <c r="BJ1404">
        <v>0</v>
      </c>
      <c r="BK1404">
        <v>0</v>
      </c>
      <c r="BL1404">
        <v>0</v>
      </c>
      <c r="BO1404">
        <v>0</v>
      </c>
      <c r="BP1404">
        <v>0</v>
      </c>
      <c r="BW1404" t="str">
        <f>"18:45:30.592"</f>
        <v>18:45:30.592</v>
      </c>
      <c r="BZ1404">
        <v>0</v>
      </c>
      <c r="CA1404">
        <v>3008</v>
      </c>
      <c r="CB1404">
        <v>216</v>
      </c>
      <c r="CC1404">
        <v>458.4375</v>
      </c>
      <c r="CD1404">
        <v>1</v>
      </c>
      <c r="CE1404">
        <v>1</v>
      </c>
      <c r="CF1404">
        <v>0</v>
      </c>
      <c r="CG1404">
        <v>1</v>
      </c>
      <c r="CH1404">
        <v>0</v>
      </c>
      <c r="CI1404">
        <v>0</v>
      </c>
      <c r="CJ1404">
        <v>0</v>
      </c>
      <c r="CK1404">
        <v>2</v>
      </c>
      <c r="CL1404">
        <v>0</v>
      </c>
      <c r="CM1404">
        <v>2</v>
      </c>
      <c r="CN1404">
        <v>0</v>
      </c>
      <c r="CO1404">
        <v>1</v>
      </c>
      <c r="CP1404" t="s">
        <v>119</v>
      </c>
      <c r="CQ1404">
        <v>145</v>
      </c>
      <c r="CR1404">
        <v>1</v>
      </c>
      <c r="CW1404">
        <v>9134443</v>
      </c>
      <c r="CY1404">
        <v>0</v>
      </c>
      <c r="CZ1404">
        <v>0</v>
      </c>
      <c r="DA1404">
        <v>1</v>
      </c>
      <c r="DB1404">
        <v>0</v>
      </c>
      <c r="DC1404">
        <v>0</v>
      </c>
      <c r="DD1404">
        <v>0</v>
      </c>
      <c r="DE1404">
        <v>0</v>
      </c>
      <c r="DF1404">
        <v>0</v>
      </c>
      <c r="DG1404">
        <v>0</v>
      </c>
      <c r="DH1404">
        <v>0</v>
      </c>
      <c r="DI1404">
        <v>0</v>
      </c>
    </row>
    <row r="1405" spans="1:113" x14ac:dyDescent="0.3">
      <c r="A1405" t="str">
        <f>"02/13/2022 18:45:31.823"</f>
        <v>02/13/2022 18:45:31.823</v>
      </c>
      <c r="C1405" t="str">
        <f t="shared" si="133"/>
        <v>FFDFD7C0</v>
      </c>
      <c r="D1405" t="s">
        <v>113</v>
      </c>
      <c r="E1405">
        <v>3</v>
      </c>
      <c r="F1405">
        <v>1003</v>
      </c>
      <c r="G1405" t="s">
        <v>114</v>
      </c>
      <c r="J1405" t="s">
        <v>115</v>
      </c>
      <c r="K1405">
        <v>0</v>
      </c>
      <c r="L1405">
        <v>3</v>
      </c>
      <c r="M1405">
        <v>0</v>
      </c>
      <c r="N1405">
        <v>2</v>
      </c>
      <c r="O1405">
        <v>1</v>
      </c>
      <c r="P1405">
        <v>0</v>
      </c>
      <c r="Q1405">
        <v>0</v>
      </c>
      <c r="S1405" t="str">
        <f>"18:45:31.602"</f>
        <v>18:45:31.602</v>
      </c>
      <c r="T1405" t="str">
        <f>"18:45:31.202"</f>
        <v>18:45:31.202</v>
      </c>
      <c r="U1405" t="str">
        <f t="shared" si="130"/>
        <v>AAB6EE</v>
      </c>
      <c r="V1405">
        <v>0</v>
      </c>
      <c r="W1405">
        <v>0</v>
      </c>
      <c r="X1405">
        <v>4</v>
      </c>
      <c r="Z1405">
        <v>0</v>
      </c>
      <c r="AA1405">
        <v>8</v>
      </c>
      <c r="AB1405">
        <v>3</v>
      </c>
      <c r="AC1405">
        <v>0</v>
      </c>
      <c r="AD1405">
        <v>10</v>
      </c>
      <c r="AE1405">
        <v>0</v>
      </c>
      <c r="AF1405">
        <v>0</v>
      </c>
      <c r="AG1405">
        <v>1</v>
      </c>
      <c r="AH1405">
        <v>1</v>
      </c>
      <c r="AI1405" t="s">
        <v>1071</v>
      </c>
      <c r="AJ1405">
        <v>35.228949</v>
      </c>
      <c r="AK1405" t="s">
        <v>1072</v>
      </c>
      <c r="AL1405">
        <v>-76.105942999999996</v>
      </c>
      <c r="AM1405">
        <v>25</v>
      </c>
      <c r="AN1405">
        <v>2925</v>
      </c>
      <c r="AO1405" t="s">
        <v>118</v>
      </c>
      <c r="AP1405">
        <v>168</v>
      </c>
      <c r="AQ1405">
        <v>15</v>
      </c>
      <c r="AR1405">
        <v>-64</v>
      </c>
      <c r="AZ1405">
        <v>4516</v>
      </c>
      <c r="BA1405">
        <v>1</v>
      </c>
      <c r="BB1405" t="str">
        <f t="shared" si="132"/>
        <v xml:space="preserve">N79NX   </v>
      </c>
      <c r="BC1405">
        <v>1</v>
      </c>
      <c r="BE1405">
        <v>0</v>
      </c>
      <c r="BF1405">
        <v>0</v>
      </c>
      <c r="BG1405">
        <v>0</v>
      </c>
      <c r="BH1405">
        <v>2775</v>
      </c>
      <c r="BI1405">
        <v>0</v>
      </c>
      <c r="BJ1405">
        <v>0</v>
      </c>
      <c r="BK1405">
        <v>0</v>
      </c>
      <c r="BL1405">
        <v>0</v>
      </c>
      <c r="BO1405">
        <v>0</v>
      </c>
      <c r="BP1405">
        <v>0</v>
      </c>
      <c r="BW1405" t="str">
        <f>"18:45:31.602"</f>
        <v>18:45:31.602</v>
      </c>
      <c r="BZ1405">
        <v>0</v>
      </c>
      <c r="CA1405">
        <v>3008</v>
      </c>
      <c r="CB1405">
        <v>216</v>
      </c>
      <c r="CC1405">
        <v>458.4375</v>
      </c>
      <c r="CD1405">
        <v>1</v>
      </c>
      <c r="CE1405">
        <v>1</v>
      </c>
      <c r="CF1405">
        <v>0</v>
      </c>
      <c r="CG1405">
        <v>1</v>
      </c>
      <c r="CH1405">
        <v>0</v>
      </c>
      <c r="CI1405">
        <v>0</v>
      </c>
      <c r="CJ1405">
        <v>0</v>
      </c>
      <c r="CK1405">
        <v>2</v>
      </c>
      <c r="CL1405">
        <v>0</v>
      </c>
      <c r="CM1405">
        <v>2</v>
      </c>
      <c r="CN1405">
        <v>0</v>
      </c>
      <c r="CO1405">
        <v>1</v>
      </c>
      <c r="CP1405" t="s">
        <v>119</v>
      </c>
      <c r="CQ1405">
        <v>145</v>
      </c>
      <c r="CR1405">
        <v>1</v>
      </c>
      <c r="CW1405">
        <v>9134874</v>
      </c>
      <c r="CY1405">
        <v>0</v>
      </c>
      <c r="CZ1405">
        <v>0</v>
      </c>
      <c r="DA1405">
        <v>0</v>
      </c>
      <c r="DB1405">
        <v>0</v>
      </c>
      <c r="DC1405">
        <v>0</v>
      </c>
      <c r="DD1405">
        <v>0</v>
      </c>
      <c r="DE1405">
        <v>0</v>
      </c>
      <c r="DF1405">
        <v>0</v>
      </c>
      <c r="DG1405">
        <v>0</v>
      </c>
      <c r="DH1405">
        <v>0</v>
      </c>
      <c r="DI1405">
        <v>0</v>
      </c>
    </row>
    <row r="1406" spans="1:113" x14ac:dyDescent="0.3">
      <c r="A1406" t="str">
        <f>"02/13/2022 18:45:31.823"</f>
        <v>02/13/2022 18:45:31.823</v>
      </c>
      <c r="C1406" t="str">
        <f t="shared" si="133"/>
        <v>FFDFD7C0</v>
      </c>
      <c r="D1406" t="s">
        <v>121</v>
      </c>
      <c r="E1406">
        <v>2</v>
      </c>
      <c r="H1406">
        <v>158</v>
      </c>
      <c r="I1406" t="s">
        <v>120</v>
      </c>
      <c r="J1406" t="s">
        <v>122</v>
      </c>
      <c r="K1406">
        <v>0</v>
      </c>
      <c r="L1406">
        <v>3</v>
      </c>
      <c r="M1406">
        <v>0</v>
      </c>
      <c r="N1406">
        <v>2</v>
      </c>
      <c r="O1406">
        <v>1</v>
      </c>
      <c r="P1406">
        <v>0</v>
      </c>
      <c r="Q1406">
        <v>0</v>
      </c>
      <c r="S1406" t="str">
        <f>"18:45:31.602"</f>
        <v>18:45:31.602</v>
      </c>
      <c r="T1406" t="str">
        <f>"18:45:31.202"</f>
        <v>18:45:31.202</v>
      </c>
      <c r="U1406" t="str">
        <f t="shared" si="130"/>
        <v>AAB6EE</v>
      </c>
      <c r="V1406">
        <v>0</v>
      </c>
      <c r="W1406">
        <v>0</v>
      </c>
      <c r="X1406">
        <v>4</v>
      </c>
      <c r="Z1406">
        <v>0</v>
      </c>
      <c r="AA1406">
        <v>8</v>
      </c>
      <c r="AB1406">
        <v>3</v>
      </c>
      <c r="AC1406">
        <v>0</v>
      </c>
      <c r="AD1406">
        <v>10</v>
      </c>
      <c r="AE1406">
        <v>0</v>
      </c>
      <c r="AF1406">
        <v>0</v>
      </c>
      <c r="AG1406">
        <v>1</v>
      </c>
      <c r="AH1406">
        <v>1</v>
      </c>
      <c r="AI1406" t="s">
        <v>1071</v>
      </c>
      <c r="AJ1406">
        <v>35.228949</v>
      </c>
      <c r="AK1406" t="s">
        <v>1072</v>
      </c>
      <c r="AL1406">
        <v>-76.105942999999996</v>
      </c>
      <c r="AM1406">
        <v>25</v>
      </c>
      <c r="AN1406">
        <v>2925</v>
      </c>
      <c r="AO1406" t="s">
        <v>118</v>
      </c>
      <c r="AP1406">
        <v>168</v>
      </c>
      <c r="AQ1406">
        <v>15</v>
      </c>
      <c r="AR1406">
        <v>-64</v>
      </c>
      <c r="AZ1406">
        <v>4516</v>
      </c>
      <c r="BA1406">
        <v>1</v>
      </c>
      <c r="BB1406" t="str">
        <f t="shared" si="132"/>
        <v xml:space="preserve">N79NX   </v>
      </c>
      <c r="BC1406">
        <v>1</v>
      </c>
      <c r="BE1406">
        <v>0</v>
      </c>
      <c r="BF1406">
        <v>0</v>
      </c>
      <c r="BG1406">
        <v>0</v>
      </c>
      <c r="BH1406">
        <v>2775</v>
      </c>
      <c r="BI1406">
        <v>0</v>
      </c>
      <c r="BJ1406">
        <v>0</v>
      </c>
      <c r="BK1406">
        <v>0</v>
      </c>
      <c r="BL1406">
        <v>0</v>
      </c>
      <c r="BO1406">
        <v>0</v>
      </c>
      <c r="BP1406">
        <v>0</v>
      </c>
      <c r="BW1406" t="str">
        <f>"18:45:31.602"</f>
        <v>18:45:31.602</v>
      </c>
      <c r="BZ1406">
        <v>0</v>
      </c>
      <c r="CA1406">
        <v>3008</v>
      </c>
      <c r="CB1406">
        <v>216</v>
      </c>
      <c r="CC1406">
        <v>458.4375</v>
      </c>
      <c r="CD1406">
        <v>1</v>
      </c>
      <c r="CE1406">
        <v>1</v>
      </c>
      <c r="CF1406">
        <v>0</v>
      </c>
      <c r="CG1406">
        <v>1</v>
      </c>
      <c r="CH1406">
        <v>0</v>
      </c>
      <c r="CI1406">
        <v>0</v>
      </c>
      <c r="CJ1406">
        <v>0</v>
      </c>
      <c r="CK1406">
        <v>2</v>
      </c>
      <c r="CL1406">
        <v>0</v>
      </c>
      <c r="CM1406">
        <v>2</v>
      </c>
      <c r="CN1406">
        <v>0</v>
      </c>
      <c r="CO1406">
        <v>1</v>
      </c>
      <c r="CP1406" t="s">
        <v>119</v>
      </c>
      <c r="CQ1406">
        <v>145</v>
      </c>
      <c r="CR1406">
        <v>1</v>
      </c>
      <c r="CW1406">
        <v>9134874</v>
      </c>
      <c r="CY1406">
        <v>0</v>
      </c>
      <c r="CZ1406">
        <v>0</v>
      </c>
      <c r="DA1406">
        <v>1</v>
      </c>
      <c r="DB1406">
        <v>0</v>
      </c>
      <c r="DC1406">
        <v>0</v>
      </c>
      <c r="DD1406">
        <v>0</v>
      </c>
      <c r="DE1406">
        <v>0</v>
      </c>
      <c r="DF1406">
        <v>0</v>
      </c>
      <c r="DG1406">
        <v>0</v>
      </c>
      <c r="DH1406">
        <v>0</v>
      </c>
      <c r="DI1406">
        <v>0</v>
      </c>
    </row>
    <row r="1407" spans="1:113" x14ac:dyDescent="0.3">
      <c r="A1407" t="str">
        <f>"02/13/2022 18:45:31.823"</f>
        <v>02/13/2022 18:45:31.823</v>
      </c>
      <c r="C1407" t="str">
        <f t="shared" si="133"/>
        <v>FFDFD7C0</v>
      </c>
      <c r="D1407" t="s">
        <v>113</v>
      </c>
      <c r="E1407">
        <v>4</v>
      </c>
      <c r="F1407">
        <v>1004</v>
      </c>
      <c r="G1407" t="s">
        <v>120</v>
      </c>
      <c r="J1407" t="s">
        <v>115</v>
      </c>
      <c r="K1407">
        <v>0</v>
      </c>
      <c r="L1407">
        <v>3</v>
      </c>
      <c r="M1407">
        <v>0</v>
      </c>
      <c r="N1407">
        <v>2</v>
      </c>
      <c r="O1407">
        <v>1</v>
      </c>
      <c r="P1407">
        <v>0</v>
      </c>
      <c r="Q1407">
        <v>0</v>
      </c>
      <c r="S1407" t="str">
        <f>"18:45:31.602"</f>
        <v>18:45:31.602</v>
      </c>
      <c r="T1407" t="str">
        <f>"18:45:31.202"</f>
        <v>18:45:31.202</v>
      </c>
      <c r="U1407" t="str">
        <f t="shared" si="130"/>
        <v>AAB6EE</v>
      </c>
      <c r="V1407">
        <v>0</v>
      </c>
      <c r="W1407">
        <v>0</v>
      </c>
      <c r="X1407">
        <v>4</v>
      </c>
      <c r="Z1407">
        <v>0</v>
      </c>
      <c r="AA1407">
        <v>8</v>
      </c>
      <c r="AB1407">
        <v>3</v>
      </c>
      <c r="AC1407">
        <v>0</v>
      </c>
      <c r="AD1407">
        <v>10</v>
      </c>
      <c r="AE1407">
        <v>0</v>
      </c>
      <c r="AF1407">
        <v>0</v>
      </c>
      <c r="AG1407">
        <v>1</v>
      </c>
      <c r="AH1407">
        <v>1</v>
      </c>
      <c r="AI1407" t="s">
        <v>1071</v>
      </c>
      <c r="AJ1407">
        <v>35.228949</v>
      </c>
      <c r="AK1407" t="s">
        <v>1072</v>
      </c>
      <c r="AL1407">
        <v>-76.105942999999996</v>
      </c>
      <c r="AM1407">
        <v>25</v>
      </c>
      <c r="AN1407">
        <v>2925</v>
      </c>
      <c r="AO1407" t="s">
        <v>118</v>
      </c>
      <c r="AP1407">
        <v>168</v>
      </c>
      <c r="AQ1407">
        <v>15</v>
      </c>
      <c r="AR1407">
        <v>-64</v>
      </c>
      <c r="AZ1407">
        <v>4516</v>
      </c>
      <c r="BA1407">
        <v>1</v>
      </c>
      <c r="BB1407" t="str">
        <f t="shared" si="132"/>
        <v xml:space="preserve">N79NX   </v>
      </c>
      <c r="BC1407">
        <v>1</v>
      </c>
      <c r="BE1407">
        <v>0</v>
      </c>
      <c r="BF1407">
        <v>0</v>
      </c>
      <c r="BG1407">
        <v>0</v>
      </c>
      <c r="BH1407">
        <v>2775</v>
      </c>
      <c r="BI1407">
        <v>0</v>
      </c>
      <c r="BJ1407">
        <v>0</v>
      </c>
      <c r="BK1407">
        <v>0</v>
      </c>
      <c r="BL1407">
        <v>0</v>
      </c>
      <c r="BO1407">
        <v>0</v>
      </c>
      <c r="BP1407">
        <v>0</v>
      </c>
      <c r="BW1407" t="str">
        <f>"18:45:31.602"</f>
        <v>18:45:31.602</v>
      </c>
      <c r="BZ1407">
        <v>0</v>
      </c>
      <c r="CA1407">
        <v>3008</v>
      </c>
      <c r="CB1407">
        <v>216</v>
      </c>
      <c r="CC1407">
        <v>458.4375</v>
      </c>
      <c r="CD1407">
        <v>1</v>
      </c>
      <c r="CE1407">
        <v>1</v>
      </c>
      <c r="CF1407">
        <v>0</v>
      </c>
      <c r="CG1407">
        <v>1</v>
      </c>
      <c r="CH1407">
        <v>0</v>
      </c>
      <c r="CI1407">
        <v>0</v>
      </c>
      <c r="CJ1407">
        <v>0</v>
      </c>
      <c r="CK1407">
        <v>2</v>
      </c>
      <c r="CL1407">
        <v>0</v>
      </c>
      <c r="CM1407">
        <v>2</v>
      </c>
      <c r="CN1407">
        <v>0</v>
      </c>
      <c r="CO1407">
        <v>1</v>
      </c>
      <c r="CP1407" t="s">
        <v>119</v>
      </c>
      <c r="CQ1407">
        <v>145</v>
      </c>
      <c r="CR1407">
        <v>1</v>
      </c>
      <c r="CW1407">
        <v>9134874</v>
      </c>
      <c r="CY1407">
        <v>0</v>
      </c>
      <c r="CZ1407">
        <v>0</v>
      </c>
      <c r="DA1407">
        <v>1</v>
      </c>
      <c r="DB1407">
        <v>0</v>
      </c>
      <c r="DC1407">
        <v>0</v>
      </c>
      <c r="DD1407">
        <v>0</v>
      </c>
      <c r="DE1407">
        <v>0</v>
      </c>
      <c r="DF1407">
        <v>0</v>
      </c>
      <c r="DG1407">
        <v>0</v>
      </c>
      <c r="DH1407">
        <v>0</v>
      </c>
      <c r="DI1407">
        <v>0</v>
      </c>
    </row>
    <row r="1408" spans="1:113" x14ac:dyDescent="0.3">
      <c r="A1408" t="str">
        <f>"02/13/2022 18:45:32.980"</f>
        <v>02/13/2022 18:45:32.980</v>
      </c>
      <c r="C1408" t="str">
        <f t="shared" si="133"/>
        <v>FFDFD7C0</v>
      </c>
      <c r="D1408" t="s">
        <v>113</v>
      </c>
      <c r="E1408">
        <v>3</v>
      </c>
      <c r="F1408">
        <v>1003</v>
      </c>
      <c r="G1408" t="s">
        <v>114</v>
      </c>
      <c r="J1408" t="s">
        <v>115</v>
      </c>
      <c r="K1408">
        <v>0</v>
      </c>
      <c r="L1408">
        <v>3</v>
      </c>
      <c r="M1408">
        <v>0</v>
      </c>
      <c r="N1408">
        <v>2</v>
      </c>
      <c r="O1408">
        <v>1</v>
      </c>
      <c r="P1408">
        <v>0</v>
      </c>
      <c r="Q1408">
        <v>0</v>
      </c>
      <c r="S1408" t="str">
        <f>"18:45:32.758"</f>
        <v>18:45:32.758</v>
      </c>
      <c r="T1408" t="str">
        <f>"18:45:31.758"</f>
        <v>18:45:31.758</v>
      </c>
      <c r="U1408" t="str">
        <f t="shared" si="130"/>
        <v>AAB6EE</v>
      </c>
      <c r="V1408">
        <v>0</v>
      </c>
      <c r="W1408">
        <v>0</v>
      </c>
      <c r="X1408">
        <v>4</v>
      </c>
      <c r="Z1408">
        <v>0</v>
      </c>
      <c r="AA1408">
        <v>8</v>
      </c>
      <c r="AB1408">
        <v>3</v>
      </c>
      <c r="AC1408">
        <v>0</v>
      </c>
      <c r="AD1408">
        <v>10</v>
      </c>
      <c r="AE1408">
        <v>0</v>
      </c>
      <c r="AF1408">
        <v>0</v>
      </c>
      <c r="AG1408">
        <v>1</v>
      </c>
      <c r="AH1408">
        <v>1</v>
      </c>
      <c r="AI1408" t="s">
        <v>1073</v>
      </c>
      <c r="AJ1408">
        <v>35.228991999999998</v>
      </c>
      <c r="AK1408" t="s">
        <v>1074</v>
      </c>
      <c r="AL1408">
        <v>-76.104827</v>
      </c>
      <c r="AM1408">
        <v>25</v>
      </c>
      <c r="AN1408">
        <v>2925</v>
      </c>
      <c r="AO1408" t="s">
        <v>118</v>
      </c>
      <c r="AP1408">
        <v>168</v>
      </c>
      <c r="AQ1408">
        <v>15</v>
      </c>
      <c r="AR1408">
        <v>0</v>
      </c>
      <c r="AZ1408">
        <v>4516</v>
      </c>
      <c r="BA1408">
        <v>1</v>
      </c>
      <c r="BB1408" t="str">
        <f t="shared" si="132"/>
        <v xml:space="preserve">N79NX   </v>
      </c>
      <c r="BC1408">
        <v>1</v>
      </c>
      <c r="BE1408">
        <v>0</v>
      </c>
      <c r="BF1408">
        <v>0</v>
      </c>
      <c r="BG1408">
        <v>0</v>
      </c>
      <c r="BH1408">
        <v>2775</v>
      </c>
      <c r="BI1408">
        <v>0</v>
      </c>
      <c r="BJ1408">
        <v>0</v>
      </c>
      <c r="BK1408">
        <v>0</v>
      </c>
      <c r="BL1408">
        <v>0</v>
      </c>
      <c r="BO1408">
        <v>0</v>
      </c>
      <c r="BP1408">
        <v>0</v>
      </c>
      <c r="BW1408" t="str">
        <f>"18:45:32.762"</f>
        <v>18:45:32.762</v>
      </c>
      <c r="BZ1408">
        <v>0</v>
      </c>
      <c r="CA1408">
        <v>3008</v>
      </c>
      <c r="CB1408">
        <v>216</v>
      </c>
      <c r="CC1408">
        <v>458.4375</v>
      </c>
      <c r="CD1408">
        <v>1</v>
      </c>
      <c r="CE1408">
        <v>1</v>
      </c>
      <c r="CF1408">
        <v>0</v>
      </c>
      <c r="CG1408">
        <v>1</v>
      </c>
      <c r="CH1408">
        <v>0</v>
      </c>
      <c r="CI1408">
        <v>0</v>
      </c>
      <c r="CJ1408">
        <v>0</v>
      </c>
      <c r="CK1408">
        <v>2</v>
      </c>
      <c r="CL1408">
        <v>0</v>
      </c>
      <c r="CM1408">
        <v>2</v>
      </c>
      <c r="CN1408">
        <v>0</v>
      </c>
      <c r="CO1408">
        <v>1</v>
      </c>
      <c r="CP1408" t="s">
        <v>119</v>
      </c>
      <c r="CQ1408">
        <v>145</v>
      </c>
      <c r="CR1408">
        <v>1</v>
      </c>
      <c r="CW1408">
        <v>9135452</v>
      </c>
      <c r="CY1408">
        <v>0</v>
      </c>
      <c r="CZ1408">
        <v>0</v>
      </c>
      <c r="DA1408">
        <v>0</v>
      </c>
      <c r="DB1408">
        <v>0</v>
      </c>
      <c r="DC1408">
        <v>0</v>
      </c>
      <c r="DD1408">
        <v>0</v>
      </c>
      <c r="DE1408">
        <v>0</v>
      </c>
      <c r="DF1408">
        <v>0</v>
      </c>
      <c r="DG1408">
        <v>0</v>
      </c>
      <c r="DH1408">
        <v>0</v>
      </c>
      <c r="DI1408">
        <v>0</v>
      </c>
    </row>
    <row r="1409" spans="1:113" x14ac:dyDescent="0.3">
      <c r="A1409" t="str">
        <f>"02/13/2022 18:45:32.980"</f>
        <v>02/13/2022 18:45:32.980</v>
      </c>
      <c r="C1409" t="str">
        <f t="shared" si="133"/>
        <v>FFDFD7C0</v>
      </c>
      <c r="D1409" t="s">
        <v>113</v>
      </c>
      <c r="E1409">
        <v>4</v>
      </c>
      <c r="F1409">
        <v>1004</v>
      </c>
      <c r="G1409" t="s">
        <v>120</v>
      </c>
      <c r="J1409" t="s">
        <v>115</v>
      </c>
      <c r="K1409">
        <v>0</v>
      </c>
      <c r="L1409">
        <v>3</v>
      </c>
      <c r="M1409">
        <v>0</v>
      </c>
      <c r="N1409">
        <v>2</v>
      </c>
      <c r="O1409">
        <v>1</v>
      </c>
      <c r="P1409">
        <v>0</v>
      </c>
      <c r="Q1409">
        <v>0</v>
      </c>
      <c r="S1409" t="str">
        <f>"18:45:32.758"</f>
        <v>18:45:32.758</v>
      </c>
      <c r="T1409" t="str">
        <f>"18:45:31.758"</f>
        <v>18:45:31.758</v>
      </c>
      <c r="U1409" t="str">
        <f t="shared" si="130"/>
        <v>AAB6EE</v>
      </c>
      <c r="V1409">
        <v>0</v>
      </c>
      <c r="W1409">
        <v>0</v>
      </c>
      <c r="X1409">
        <v>4</v>
      </c>
      <c r="Z1409">
        <v>0</v>
      </c>
      <c r="AA1409">
        <v>8</v>
      </c>
      <c r="AB1409">
        <v>3</v>
      </c>
      <c r="AC1409">
        <v>0</v>
      </c>
      <c r="AD1409">
        <v>10</v>
      </c>
      <c r="AE1409">
        <v>0</v>
      </c>
      <c r="AF1409">
        <v>0</v>
      </c>
      <c r="AG1409">
        <v>1</v>
      </c>
      <c r="AH1409">
        <v>1</v>
      </c>
      <c r="AI1409" t="s">
        <v>1073</v>
      </c>
      <c r="AJ1409">
        <v>35.228991999999998</v>
      </c>
      <c r="AK1409" t="s">
        <v>1074</v>
      </c>
      <c r="AL1409">
        <v>-76.104827</v>
      </c>
      <c r="AM1409">
        <v>25</v>
      </c>
      <c r="AN1409">
        <v>2925</v>
      </c>
      <c r="AO1409" t="s">
        <v>118</v>
      </c>
      <c r="AP1409">
        <v>168</v>
      </c>
      <c r="AQ1409">
        <v>15</v>
      </c>
      <c r="AR1409">
        <v>0</v>
      </c>
      <c r="AZ1409">
        <v>4516</v>
      </c>
      <c r="BA1409">
        <v>1</v>
      </c>
      <c r="BB1409" t="str">
        <f t="shared" si="132"/>
        <v xml:space="preserve">N79NX   </v>
      </c>
      <c r="BC1409">
        <v>1</v>
      </c>
      <c r="BE1409">
        <v>0</v>
      </c>
      <c r="BF1409">
        <v>0</v>
      </c>
      <c r="BG1409">
        <v>0</v>
      </c>
      <c r="BH1409">
        <v>2775</v>
      </c>
      <c r="BI1409">
        <v>0</v>
      </c>
      <c r="BJ1409">
        <v>0</v>
      </c>
      <c r="BK1409">
        <v>0</v>
      </c>
      <c r="BL1409">
        <v>0</v>
      </c>
      <c r="BO1409">
        <v>0</v>
      </c>
      <c r="BP1409">
        <v>0</v>
      </c>
      <c r="BW1409" t="str">
        <f>"18:45:32.762"</f>
        <v>18:45:32.762</v>
      </c>
      <c r="BZ1409">
        <v>0</v>
      </c>
      <c r="CA1409">
        <v>3008</v>
      </c>
      <c r="CB1409">
        <v>216</v>
      </c>
      <c r="CC1409">
        <v>458.4375</v>
      </c>
      <c r="CD1409">
        <v>1</v>
      </c>
      <c r="CE1409">
        <v>1</v>
      </c>
      <c r="CF1409">
        <v>0</v>
      </c>
      <c r="CG1409">
        <v>1</v>
      </c>
      <c r="CH1409">
        <v>0</v>
      </c>
      <c r="CI1409">
        <v>0</v>
      </c>
      <c r="CJ1409">
        <v>0</v>
      </c>
      <c r="CK1409">
        <v>2</v>
      </c>
      <c r="CL1409">
        <v>0</v>
      </c>
      <c r="CM1409">
        <v>2</v>
      </c>
      <c r="CN1409">
        <v>0</v>
      </c>
      <c r="CO1409">
        <v>1</v>
      </c>
      <c r="CP1409" t="s">
        <v>119</v>
      </c>
      <c r="CQ1409">
        <v>145</v>
      </c>
      <c r="CR1409">
        <v>1</v>
      </c>
      <c r="CW1409">
        <v>9135452</v>
      </c>
      <c r="CY1409">
        <v>0</v>
      </c>
      <c r="CZ1409">
        <v>0</v>
      </c>
      <c r="DA1409">
        <v>1</v>
      </c>
      <c r="DB1409">
        <v>0</v>
      </c>
      <c r="DC1409">
        <v>0</v>
      </c>
      <c r="DD1409">
        <v>0</v>
      </c>
      <c r="DE1409">
        <v>0</v>
      </c>
      <c r="DF1409">
        <v>0</v>
      </c>
      <c r="DG1409">
        <v>0</v>
      </c>
      <c r="DH1409">
        <v>0</v>
      </c>
      <c r="DI1409">
        <v>0</v>
      </c>
    </row>
    <row r="1410" spans="1:113" x14ac:dyDescent="0.3">
      <c r="A1410" t="str">
        <f>"02/13/2022 18:45:32.980"</f>
        <v>02/13/2022 18:45:32.980</v>
      </c>
      <c r="C1410" t="str">
        <f t="shared" si="133"/>
        <v>FFDFD7C0</v>
      </c>
      <c r="D1410" t="s">
        <v>121</v>
      </c>
      <c r="E1410">
        <v>2</v>
      </c>
      <c r="H1410">
        <v>158</v>
      </c>
      <c r="I1410" t="s">
        <v>120</v>
      </c>
      <c r="J1410" t="s">
        <v>122</v>
      </c>
      <c r="K1410">
        <v>0</v>
      </c>
      <c r="L1410">
        <v>3</v>
      </c>
      <c r="M1410">
        <v>0</v>
      </c>
      <c r="N1410">
        <v>2</v>
      </c>
      <c r="O1410">
        <v>1</v>
      </c>
      <c r="P1410">
        <v>0</v>
      </c>
      <c r="Q1410">
        <v>0</v>
      </c>
      <c r="S1410" t="str">
        <f>"18:45:32.758"</f>
        <v>18:45:32.758</v>
      </c>
      <c r="T1410" t="str">
        <f>"18:45:31.758"</f>
        <v>18:45:31.758</v>
      </c>
      <c r="U1410" t="str">
        <f t="shared" ref="U1410:U1473" si="135">"AAB6EE"</f>
        <v>AAB6EE</v>
      </c>
      <c r="V1410">
        <v>0</v>
      </c>
      <c r="W1410">
        <v>0</v>
      </c>
      <c r="X1410">
        <v>4</v>
      </c>
      <c r="Z1410">
        <v>0</v>
      </c>
      <c r="AA1410">
        <v>8</v>
      </c>
      <c r="AB1410">
        <v>3</v>
      </c>
      <c r="AC1410">
        <v>0</v>
      </c>
      <c r="AD1410">
        <v>10</v>
      </c>
      <c r="AE1410">
        <v>0</v>
      </c>
      <c r="AF1410">
        <v>0</v>
      </c>
      <c r="AG1410">
        <v>1</v>
      </c>
      <c r="AH1410">
        <v>1</v>
      </c>
      <c r="AI1410" t="s">
        <v>1073</v>
      </c>
      <c r="AJ1410">
        <v>35.228991999999998</v>
      </c>
      <c r="AK1410" t="s">
        <v>1074</v>
      </c>
      <c r="AL1410">
        <v>-76.104827</v>
      </c>
      <c r="AM1410">
        <v>25</v>
      </c>
      <c r="AN1410">
        <v>2925</v>
      </c>
      <c r="AO1410" t="s">
        <v>118</v>
      </c>
      <c r="AP1410">
        <v>168</v>
      </c>
      <c r="AQ1410">
        <v>15</v>
      </c>
      <c r="AR1410">
        <v>0</v>
      </c>
      <c r="AZ1410">
        <v>4516</v>
      </c>
      <c r="BA1410">
        <v>1</v>
      </c>
      <c r="BB1410" t="str">
        <f t="shared" si="132"/>
        <v xml:space="preserve">N79NX   </v>
      </c>
      <c r="BC1410">
        <v>1</v>
      </c>
      <c r="BE1410">
        <v>0</v>
      </c>
      <c r="BF1410">
        <v>0</v>
      </c>
      <c r="BG1410">
        <v>0</v>
      </c>
      <c r="BH1410">
        <v>2775</v>
      </c>
      <c r="BI1410">
        <v>0</v>
      </c>
      <c r="BJ1410">
        <v>0</v>
      </c>
      <c r="BK1410">
        <v>0</v>
      </c>
      <c r="BL1410">
        <v>0</v>
      </c>
      <c r="BO1410">
        <v>0</v>
      </c>
      <c r="BP1410">
        <v>0</v>
      </c>
      <c r="BW1410" t="str">
        <f>"18:45:32.762"</f>
        <v>18:45:32.762</v>
      </c>
      <c r="BZ1410">
        <v>0</v>
      </c>
      <c r="CA1410">
        <v>3008</v>
      </c>
      <c r="CB1410">
        <v>216</v>
      </c>
      <c r="CC1410">
        <v>458.4375</v>
      </c>
      <c r="CD1410">
        <v>1</v>
      </c>
      <c r="CE1410">
        <v>1</v>
      </c>
      <c r="CF1410">
        <v>0</v>
      </c>
      <c r="CG1410">
        <v>1</v>
      </c>
      <c r="CH1410">
        <v>0</v>
      </c>
      <c r="CI1410">
        <v>0</v>
      </c>
      <c r="CJ1410">
        <v>0</v>
      </c>
      <c r="CK1410">
        <v>2</v>
      </c>
      <c r="CL1410">
        <v>0</v>
      </c>
      <c r="CM1410">
        <v>2</v>
      </c>
      <c r="CN1410">
        <v>0</v>
      </c>
      <c r="CO1410">
        <v>1</v>
      </c>
      <c r="CP1410" t="s">
        <v>119</v>
      </c>
      <c r="CQ1410">
        <v>145</v>
      </c>
      <c r="CR1410">
        <v>1</v>
      </c>
      <c r="CW1410">
        <v>9135452</v>
      </c>
      <c r="CY1410">
        <v>0</v>
      </c>
      <c r="CZ1410">
        <v>0</v>
      </c>
      <c r="DA1410">
        <v>1</v>
      </c>
      <c r="DB1410">
        <v>0</v>
      </c>
      <c r="DC1410">
        <v>0</v>
      </c>
      <c r="DD1410">
        <v>0</v>
      </c>
      <c r="DE1410">
        <v>0</v>
      </c>
      <c r="DF1410">
        <v>0</v>
      </c>
      <c r="DG1410">
        <v>0</v>
      </c>
      <c r="DH1410">
        <v>0</v>
      </c>
      <c r="DI1410">
        <v>0</v>
      </c>
    </row>
    <row r="1411" spans="1:113" x14ac:dyDescent="0.3">
      <c r="A1411" t="str">
        <f>"02/13/2022 18:45:34.042"</f>
        <v>02/13/2022 18:45:34.042</v>
      </c>
      <c r="C1411" t="str">
        <f t="shared" si="133"/>
        <v>FFDFD7C0</v>
      </c>
      <c r="D1411" t="s">
        <v>113</v>
      </c>
      <c r="E1411">
        <v>3</v>
      </c>
      <c r="F1411">
        <v>1003</v>
      </c>
      <c r="G1411" t="s">
        <v>114</v>
      </c>
      <c r="J1411" t="s">
        <v>115</v>
      </c>
      <c r="K1411">
        <v>0</v>
      </c>
      <c r="L1411">
        <v>3</v>
      </c>
      <c r="M1411">
        <v>0</v>
      </c>
      <c r="N1411">
        <v>2</v>
      </c>
      <c r="O1411">
        <v>1</v>
      </c>
      <c r="P1411">
        <v>0</v>
      </c>
      <c r="Q1411">
        <v>0</v>
      </c>
      <c r="S1411" t="str">
        <f>"18:45:33.836"</f>
        <v>18:45:33.836</v>
      </c>
      <c r="T1411" t="str">
        <f>"18:45:33.636"</f>
        <v>18:45:33.636</v>
      </c>
      <c r="U1411" t="str">
        <f t="shared" si="135"/>
        <v>AAB6EE</v>
      </c>
      <c r="V1411">
        <v>0</v>
      </c>
      <c r="W1411">
        <v>0</v>
      </c>
      <c r="X1411">
        <v>4</v>
      </c>
      <c r="Z1411">
        <v>0</v>
      </c>
      <c r="AA1411">
        <v>8</v>
      </c>
      <c r="AB1411">
        <v>3</v>
      </c>
      <c r="AC1411">
        <v>0</v>
      </c>
      <c r="AD1411">
        <v>10</v>
      </c>
      <c r="AE1411">
        <v>0</v>
      </c>
      <c r="AF1411">
        <v>0</v>
      </c>
      <c r="AG1411">
        <v>1</v>
      </c>
      <c r="AH1411">
        <v>1</v>
      </c>
      <c r="AI1411" t="s">
        <v>1075</v>
      </c>
      <c r="AJ1411">
        <v>35.229098999999998</v>
      </c>
      <c r="AK1411" t="s">
        <v>1076</v>
      </c>
      <c r="AL1411">
        <v>-76.103753999999995</v>
      </c>
      <c r="AM1411">
        <v>25</v>
      </c>
      <c r="AN1411">
        <v>2925</v>
      </c>
      <c r="AO1411" t="s">
        <v>118</v>
      </c>
      <c r="AP1411">
        <v>168</v>
      </c>
      <c r="AQ1411">
        <v>15</v>
      </c>
      <c r="AR1411">
        <v>-128</v>
      </c>
      <c r="AZ1411">
        <v>4516</v>
      </c>
      <c r="BA1411">
        <v>1</v>
      </c>
      <c r="BB1411" t="str">
        <f t="shared" si="132"/>
        <v xml:space="preserve">N79NX   </v>
      </c>
      <c r="BC1411">
        <v>1</v>
      </c>
      <c r="BE1411">
        <v>0</v>
      </c>
      <c r="BF1411">
        <v>0</v>
      </c>
      <c r="BG1411">
        <v>0</v>
      </c>
      <c r="BH1411">
        <v>2775</v>
      </c>
      <c r="BI1411">
        <v>0</v>
      </c>
      <c r="BJ1411">
        <v>0</v>
      </c>
      <c r="BK1411">
        <v>0</v>
      </c>
      <c r="BL1411">
        <v>0</v>
      </c>
      <c r="BO1411">
        <v>0</v>
      </c>
      <c r="BP1411">
        <v>0</v>
      </c>
      <c r="BW1411" t="str">
        <f>"18:45:33.842"</f>
        <v>18:45:33.842</v>
      </c>
      <c r="BZ1411">
        <v>0</v>
      </c>
      <c r="CA1411">
        <v>3008</v>
      </c>
      <c r="CB1411">
        <v>216</v>
      </c>
      <c r="CC1411">
        <v>458.4375</v>
      </c>
      <c r="CD1411">
        <v>1</v>
      </c>
      <c r="CE1411">
        <v>1</v>
      </c>
      <c r="CF1411">
        <v>0</v>
      </c>
      <c r="CG1411">
        <v>1</v>
      </c>
      <c r="CH1411">
        <v>0</v>
      </c>
      <c r="CI1411">
        <v>0</v>
      </c>
      <c r="CJ1411">
        <v>0</v>
      </c>
      <c r="CK1411">
        <v>2</v>
      </c>
      <c r="CL1411">
        <v>0</v>
      </c>
      <c r="CM1411">
        <v>2</v>
      </c>
      <c r="CN1411">
        <v>0</v>
      </c>
      <c r="CO1411">
        <v>1</v>
      </c>
      <c r="CP1411" t="s">
        <v>119</v>
      </c>
      <c r="CQ1411">
        <v>145</v>
      </c>
      <c r="CR1411">
        <v>1</v>
      </c>
      <c r="CW1411">
        <v>9136055</v>
      </c>
      <c r="CY1411">
        <v>0</v>
      </c>
      <c r="CZ1411">
        <v>0</v>
      </c>
      <c r="DA1411">
        <v>0</v>
      </c>
      <c r="DB1411">
        <v>0</v>
      </c>
      <c r="DC1411">
        <v>0</v>
      </c>
      <c r="DD1411">
        <v>0</v>
      </c>
      <c r="DE1411">
        <v>0</v>
      </c>
      <c r="DF1411">
        <v>0</v>
      </c>
      <c r="DG1411">
        <v>0</v>
      </c>
      <c r="DH1411">
        <v>0</v>
      </c>
      <c r="DI1411">
        <v>0</v>
      </c>
    </row>
    <row r="1412" spans="1:113" x14ac:dyDescent="0.3">
      <c r="A1412" t="str">
        <f>"02/13/2022 18:45:34.042"</f>
        <v>02/13/2022 18:45:34.042</v>
      </c>
      <c r="C1412" t="str">
        <f t="shared" si="133"/>
        <v>FFDFD7C0</v>
      </c>
      <c r="D1412" t="s">
        <v>113</v>
      </c>
      <c r="E1412">
        <v>4</v>
      </c>
      <c r="F1412">
        <v>1004</v>
      </c>
      <c r="G1412" t="s">
        <v>120</v>
      </c>
      <c r="J1412" t="s">
        <v>115</v>
      </c>
      <c r="K1412">
        <v>0</v>
      </c>
      <c r="L1412">
        <v>3</v>
      </c>
      <c r="M1412">
        <v>0</v>
      </c>
      <c r="N1412">
        <v>2</v>
      </c>
      <c r="O1412">
        <v>1</v>
      </c>
      <c r="P1412">
        <v>0</v>
      </c>
      <c r="Q1412">
        <v>0</v>
      </c>
      <c r="S1412" t="str">
        <f>"18:45:33.836"</f>
        <v>18:45:33.836</v>
      </c>
      <c r="T1412" t="str">
        <f>"18:45:33.636"</f>
        <v>18:45:33.636</v>
      </c>
      <c r="U1412" t="str">
        <f t="shared" si="135"/>
        <v>AAB6EE</v>
      </c>
      <c r="V1412">
        <v>0</v>
      </c>
      <c r="W1412">
        <v>0</v>
      </c>
      <c r="X1412">
        <v>4</v>
      </c>
      <c r="Z1412">
        <v>0</v>
      </c>
      <c r="AA1412">
        <v>8</v>
      </c>
      <c r="AB1412">
        <v>3</v>
      </c>
      <c r="AC1412">
        <v>0</v>
      </c>
      <c r="AD1412">
        <v>10</v>
      </c>
      <c r="AE1412">
        <v>0</v>
      </c>
      <c r="AF1412">
        <v>0</v>
      </c>
      <c r="AG1412">
        <v>1</v>
      </c>
      <c r="AH1412">
        <v>1</v>
      </c>
      <c r="AI1412" t="s">
        <v>1075</v>
      </c>
      <c r="AJ1412">
        <v>35.229098999999998</v>
      </c>
      <c r="AK1412" t="s">
        <v>1076</v>
      </c>
      <c r="AL1412">
        <v>-76.103753999999995</v>
      </c>
      <c r="AM1412">
        <v>25</v>
      </c>
      <c r="AN1412">
        <v>2925</v>
      </c>
      <c r="AO1412" t="s">
        <v>118</v>
      </c>
      <c r="AP1412">
        <v>168</v>
      </c>
      <c r="AQ1412">
        <v>15</v>
      </c>
      <c r="AR1412">
        <v>-128</v>
      </c>
      <c r="AZ1412">
        <v>4516</v>
      </c>
      <c r="BA1412">
        <v>1</v>
      </c>
      <c r="BB1412" t="str">
        <f t="shared" si="132"/>
        <v xml:space="preserve">N79NX   </v>
      </c>
      <c r="BC1412">
        <v>1</v>
      </c>
      <c r="BE1412">
        <v>0</v>
      </c>
      <c r="BF1412">
        <v>0</v>
      </c>
      <c r="BG1412">
        <v>0</v>
      </c>
      <c r="BH1412">
        <v>2775</v>
      </c>
      <c r="BI1412">
        <v>0</v>
      </c>
      <c r="BJ1412">
        <v>0</v>
      </c>
      <c r="BK1412">
        <v>0</v>
      </c>
      <c r="BL1412">
        <v>0</v>
      </c>
      <c r="BO1412">
        <v>0</v>
      </c>
      <c r="BP1412">
        <v>0</v>
      </c>
      <c r="BW1412" t="str">
        <f>"18:45:33.842"</f>
        <v>18:45:33.842</v>
      </c>
      <c r="BZ1412">
        <v>0</v>
      </c>
      <c r="CA1412">
        <v>3008</v>
      </c>
      <c r="CB1412">
        <v>216</v>
      </c>
      <c r="CC1412">
        <v>458.4375</v>
      </c>
      <c r="CD1412">
        <v>1</v>
      </c>
      <c r="CE1412">
        <v>1</v>
      </c>
      <c r="CF1412">
        <v>0</v>
      </c>
      <c r="CG1412">
        <v>1</v>
      </c>
      <c r="CH1412">
        <v>0</v>
      </c>
      <c r="CI1412">
        <v>0</v>
      </c>
      <c r="CJ1412">
        <v>0</v>
      </c>
      <c r="CK1412">
        <v>2</v>
      </c>
      <c r="CL1412">
        <v>0</v>
      </c>
      <c r="CM1412">
        <v>2</v>
      </c>
      <c r="CN1412">
        <v>0</v>
      </c>
      <c r="CO1412">
        <v>1</v>
      </c>
      <c r="CP1412" t="s">
        <v>119</v>
      </c>
      <c r="CQ1412">
        <v>145</v>
      </c>
      <c r="CR1412">
        <v>1</v>
      </c>
      <c r="CW1412">
        <v>9136055</v>
      </c>
      <c r="CY1412">
        <v>0</v>
      </c>
      <c r="CZ1412">
        <v>0</v>
      </c>
      <c r="DA1412">
        <v>1</v>
      </c>
      <c r="DB1412">
        <v>0</v>
      </c>
      <c r="DC1412">
        <v>0</v>
      </c>
      <c r="DD1412">
        <v>0</v>
      </c>
      <c r="DE1412">
        <v>0</v>
      </c>
      <c r="DF1412">
        <v>0</v>
      </c>
      <c r="DG1412">
        <v>0</v>
      </c>
      <c r="DH1412">
        <v>0</v>
      </c>
      <c r="DI1412">
        <v>0</v>
      </c>
    </row>
    <row r="1413" spans="1:113" x14ac:dyDescent="0.3">
      <c r="A1413" t="str">
        <f>"02/13/2022 18:45:34.042"</f>
        <v>02/13/2022 18:45:34.042</v>
      </c>
      <c r="C1413" t="str">
        <f t="shared" si="133"/>
        <v>FFDFD7C0</v>
      </c>
      <c r="D1413" t="s">
        <v>121</v>
      </c>
      <c r="E1413">
        <v>2</v>
      </c>
      <c r="H1413">
        <v>158</v>
      </c>
      <c r="I1413" t="s">
        <v>120</v>
      </c>
      <c r="J1413" t="s">
        <v>122</v>
      </c>
      <c r="K1413">
        <v>0</v>
      </c>
      <c r="L1413">
        <v>3</v>
      </c>
      <c r="M1413">
        <v>0</v>
      </c>
      <c r="N1413">
        <v>2</v>
      </c>
      <c r="O1413">
        <v>1</v>
      </c>
      <c r="P1413">
        <v>0</v>
      </c>
      <c r="Q1413">
        <v>0</v>
      </c>
      <c r="S1413" t="str">
        <f>"18:45:33.836"</f>
        <v>18:45:33.836</v>
      </c>
      <c r="T1413" t="str">
        <f>"18:45:33.636"</f>
        <v>18:45:33.636</v>
      </c>
      <c r="U1413" t="str">
        <f t="shared" si="135"/>
        <v>AAB6EE</v>
      </c>
      <c r="V1413">
        <v>0</v>
      </c>
      <c r="W1413">
        <v>0</v>
      </c>
      <c r="X1413">
        <v>4</v>
      </c>
      <c r="Z1413">
        <v>0</v>
      </c>
      <c r="AA1413">
        <v>8</v>
      </c>
      <c r="AB1413">
        <v>3</v>
      </c>
      <c r="AC1413">
        <v>0</v>
      </c>
      <c r="AD1413">
        <v>10</v>
      </c>
      <c r="AE1413">
        <v>0</v>
      </c>
      <c r="AF1413">
        <v>0</v>
      </c>
      <c r="AG1413">
        <v>1</v>
      </c>
      <c r="AH1413">
        <v>1</v>
      </c>
      <c r="AI1413" t="s">
        <v>1075</v>
      </c>
      <c r="AJ1413">
        <v>35.229098999999998</v>
      </c>
      <c r="AK1413" t="s">
        <v>1076</v>
      </c>
      <c r="AL1413">
        <v>-76.103753999999995</v>
      </c>
      <c r="AM1413">
        <v>25</v>
      </c>
      <c r="AN1413">
        <v>2925</v>
      </c>
      <c r="AO1413" t="s">
        <v>118</v>
      </c>
      <c r="AP1413">
        <v>168</v>
      </c>
      <c r="AQ1413">
        <v>15</v>
      </c>
      <c r="AR1413">
        <v>-128</v>
      </c>
      <c r="AZ1413">
        <v>4516</v>
      </c>
      <c r="BA1413">
        <v>1</v>
      </c>
      <c r="BB1413" t="str">
        <f t="shared" ref="BB1413:BB1476" si="136">"N79NX   "</f>
        <v xml:space="preserve">N79NX   </v>
      </c>
      <c r="BC1413">
        <v>1</v>
      </c>
      <c r="BE1413">
        <v>0</v>
      </c>
      <c r="BF1413">
        <v>0</v>
      </c>
      <c r="BG1413">
        <v>0</v>
      </c>
      <c r="BH1413">
        <v>2775</v>
      </c>
      <c r="BI1413">
        <v>0</v>
      </c>
      <c r="BJ1413">
        <v>0</v>
      </c>
      <c r="BK1413">
        <v>0</v>
      </c>
      <c r="BL1413">
        <v>0</v>
      </c>
      <c r="BO1413">
        <v>0</v>
      </c>
      <c r="BP1413">
        <v>0</v>
      </c>
      <c r="BW1413" t="str">
        <f>"18:45:33.842"</f>
        <v>18:45:33.842</v>
      </c>
      <c r="BZ1413">
        <v>0</v>
      </c>
      <c r="CA1413">
        <v>3008</v>
      </c>
      <c r="CB1413">
        <v>216</v>
      </c>
      <c r="CC1413">
        <v>458.4375</v>
      </c>
      <c r="CD1413">
        <v>1</v>
      </c>
      <c r="CE1413">
        <v>1</v>
      </c>
      <c r="CF1413">
        <v>0</v>
      </c>
      <c r="CG1413">
        <v>1</v>
      </c>
      <c r="CH1413">
        <v>0</v>
      </c>
      <c r="CI1413">
        <v>0</v>
      </c>
      <c r="CJ1413">
        <v>0</v>
      </c>
      <c r="CK1413">
        <v>2</v>
      </c>
      <c r="CL1413">
        <v>0</v>
      </c>
      <c r="CM1413">
        <v>2</v>
      </c>
      <c r="CN1413">
        <v>0</v>
      </c>
      <c r="CO1413">
        <v>1</v>
      </c>
      <c r="CP1413" t="s">
        <v>119</v>
      </c>
      <c r="CQ1413">
        <v>145</v>
      </c>
      <c r="CR1413">
        <v>1</v>
      </c>
      <c r="CW1413">
        <v>9136055</v>
      </c>
      <c r="CY1413">
        <v>0</v>
      </c>
      <c r="CZ1413">
        <v>0</v>
      </c>
      <c r="DA1413">
        <v>1</v>
      </c>
      <c r="DB1413">
        <v>0</v>
      </c>
      <c r="DC1413">
        <v>0</v>
      </c>
      <c r="DD1413">
        <v>0</v>
      </c>
      <c r="DE1413">
        <v>0</v>
      </c>
      <c r="DF1413">
        <v>0</v>
      </c>
      <c r="DG1413">
        <v>0</v>
      </c>
      <c r="DH1413">
        <v>0</v>
      </c>
      <c r="DI1413">
        <v>0</v>
      </c>
    </row>
    <row r="1414" spans="1:113" x14ac:dyDescent="0.3">
      <c r="A1414" t="str">
        <f>"02/13/2022 18:45:35.909"</f>
        <v>02/13/2022 18:45:35.909</v>
      </c>
      <c r="C1414" t="str">
        <f t="shared" si="133"/>
        <v>FFDFD7C0</v>
      </c>
      <c r="D1414" t="s">
        <v>113</v>
      </c>
      <c r="E1414">
        <v>3</v>
      </c>
      <c r="F1414">
        <v>1003</v>
      </c>
      <c r="G1414" t="s">
        <v>114</v>
      </c>
      <c r="J1414" t="s">
        <v>115</v>
      </c>
      <c r="K1414">
        <v>0</v>
      </c>
      <c r="L1414">
        <v>3</v>
      </c>
      <c r="M1414">
        <v>0</v>
      </c>
      <c r="N1414">
        <v>2</v>
      </c>
      <c r="O1414">
        <v>1</v>
      </c>
      <c r="P1414">
        <v>0</v>
      </c>
      <c r="Q1414">
        <v>0</v>
      </c>
      <c r="S1414" t="str">
        <f>"18:45:35.734"</f>
        <v>18:45:35.734</v>
      </c>
      <c r="T1414" t="str">
        <f>"18:45:34.634"</f>
        <v>18:45:34.634</v>
      </c>
      <c r="U1414" t="str">
        <f t="shared" si="135"/>
        <v>AAB6EE</v>
      </c>
      <c r="V1414">
        <v>0</v>
      </c>
      <c r="W1414">
        <v>0</v>
      </c>
      <c r="X1414">
        <v>4</v>
      </c>
      <c r="Z1414">
        <v>0</v>
      </c>
      <c r="AA1414">
        <v>8</v>
      </c>
      <c r="AB1414">
        <v>3</v>
      </c>
      <c r="AC1414">
        <v>0</v>
      </c>
      <c r="AD1414">
        <v>10</v>
      </c>
      <c r="AE1414">
        <v>0</v>
      </c>
      <c r="AF1414">
        <v>0</v>
      </c>
      <c r="AG1414">
        <v>1</v>
      </c>
      <c r="AH1414">
        <v>1</v>
      </c>
      <c r="AI1414" t="s">
        <v>1077</v>
      </c>
      <c r="AJ1414">
        <v>35.229227999999999</v>
      </c>
      <c r="AK1414" t="s">
        <v>1078</v>
      </c>
      <c r="AL1414">
        <v>-76.101951999999997</v>
      </c>
      <c r="AM1414">
        <v>25</v>
      </c>
      <c r="AN1414">
        <v>2925</v>
      </c>
      <c r="AO1414" t="s">
        <v>118</v>
      </c>
      <c r="AP1414">
        <v>168</v>
      </c>
      <c r="AQ1414">
        <v>15</v>
      </c>
      <c r="AR1414">
        <v>-192</v>
      </c>
      <c r="AZ1414">
        <v>4516</v>
      </c>
      <c r="BA1414">
        <v>1</v>
      </c>
      <c r="BB1414" t="str">
        <f t="shared" si="136"/>
        <v xml:space="preserve">N79NX   </v>
      </c>
      <c r="BC1414">
        <v>1</v>
      </c>
      <c r="BE1414">
        <v>0</v>
      </c>
      <c r="BF1414">
        <v>0</v>
      </c>
      <c r="BG1414">
        <v>0</v>
      </c>
      <c r="BH1414">
        <v>2775</v>
      </c>
      <c r="BI1414">
        <v>0</v>
      </c>
      <c r="BJ1414">
        <v>0</v>
      </c>
      <c r="BK1414">
        <v>0</v>
      </c>
      <c r="BL1414">
        <v>0</v>
      </c>
      <c r="BO1414">
        <v>0</v>
      </c>
      <c r="BP1414">
        <v>0</v>
      </c>
      <c r="BW1414" t="str">
        <f>"18:45:35.742"</f>
        <v>18:45:35.742</v>
      </c>
      <c r="BZ1414">
        <v>0</v>
      </c>
      <c r="CA1414">
        <v>3008</v>
      </c>
      <c r="CB1414">
        <v>216</v>
      </c>
      <c r="CC1414">
        <v>458.4375</v>
      </c>
      <c r="CD1414">
        <v>1</v>
      </c>
      <c r="CE1414">
        <v>1</v>
      </c>
      <c r="CF1414">
        <v>0</v>
      </c>
      <c r="CG1414">
        <v>1</v>
      </c>
      <c r="CH1414">
        <v>0</v>
      </c>
      <c r="CI1414">
        <v>0</v>
      </c>
      <c r="CJ1414">
        <v>0</v>
      </c>
      <c r="CK1414">
        <v>2</v>
      </c>
      <c r="CL1414">
        <v>0</v>
      </c>
      <c r="CM1414">
        <v>2</v>
      </c>
      <c r="CN1414">
        <v>0</v>
      </c>
      <c r="CO1414">
        <v>1</v>
      </c>
      <c r="CP1414" t="s">
        <v>119</v>
      </c>
      <c r="CQ1414">
        <v>145</v>
      </c>
      <c r="CR1414">
        <v>1</v>
      </c>
      <c r="CW1414">
        <v>9137009</v>
      </c>
      <c r="CY1414">
        <v>0</v>
      </c>
      <c r="CZ1414">
        <v>0</v>
      </c>
      <c r="DA1414">
        <v>0</v>
      </c>
      <c r="DB1414">
        <v>0</v>
      </c>
      <c r="DC1414">
        <v>0</v>
      </c>
      <c r="DD1414">
        <v>0</v>
      </c>
      <c r="DE1414">
        <v>0</v>
      </c>
      <c r="DF1414">
        <v>0</v>
      </c>
      <c r="DG1414">
        <v>0</v>
      </c>
      <c r="DH1414">
        <v>0</v>
      </c>
      <c r="DI1414">
        <v>0</v>
      </c>
    </row>
    <row r="1415" spans="1:113" x14ac:dyDescent="0.3">
      <c r="A1415" t="str">
        <f>"02/13/2022 18:45:35.909"</f>
        <v>02/13/2022 18:45:35.909</v>
      </c>
      <c r="C1415" t="str">
        <f t="shared" si="133"/>
        <v>FFDFD7C0</v>
      </c>
      <c r="D1415" t="s">
        <v>113</v>
      </c>
      <c r="E1415">
        <v>4</v>
      </c>
      <c r="F1415">
        <v>1004</v>
      </c>
      <c r="G1415" t="s">
        <v>120</v>
      </c>
      <c r="J1415" t="s">
        <v>115</v>
      </c>
      <c r="K1415">
        <v>0</v>
      </c>
      <c r="L1415">
        <v>3</v>
      </c>
      <c r="M1415">
        <v>0</v>
      </c>
      <c r="N1415">
        <v>2</v>
      </c>
      <c r="O1415">
        <v>1</v>
      </c>
      <c r="P1415">
        <v>0</v>
      </c>
      <c r="Q1415">
        <v>0</v>
      </c>
      <c r="S1415" t="str">
        <f>"18:45:35.734"</f>
        <v>18:45:35.734</v>
      </c>
      <c r="T1415" t="str">
        <f>"18:45:34.634"</f>
        <v>18:45:34.634</v>
      </c>
      <c r="U1415" t="str">
        <f t="shared" si="135"/>
        <v>AAB6EE</v>
      </c>
      <c r="V1415">
        <v>0</v>
      </c>
      <c r="W1415">
        <v>0</v>
      </c>
      <c r="X1415">
        <v>4</v>
      </c>
      <c r="Z1415">
        <v>0</v>
      </c>
      <c r="AA1415">
        <v>8</v>
      </c>
      <c r="AB1415">
        <v>3</v>
      </c>
      <c r="AC1415">
        <v>0</v>
      </c>
      <c r="AD1415">
        <v>10</v>
      </c>
      <c r="AE1415">
        <v>0</v>
      </c>
      <c r="AF1415">
        <v>0</v>
      </c>
      <c r="AG1415">
        <v>1</v>
      </c>
      <c r="AH1415">
        <v>1</v>
      </c>
      <c r="AI1415" t="s">
        <v>1077</v>
      </c>
      <c r="AJ1415">
        <v>35.229227999999999</v>
      </c>
      <c r="AK1415" t="s">
        <v>1078</v>
      </c>
      <c r="AL1415">
        <v>-76.101951999999997</v>
      </c>
      <c r="AM1415">
        <v>25</v>
      </c>
      <c r="AN1415">
        <v>2925</v>
      </c>
      <c r="AO1415" t="s">
        <v>118</v>
      </c>
      <c r="AP1415">
        <v>168</v>
      </c>
      <c r="AQ1415">
        <v>15</v>
      </c>
      <c r="AR1415">
        <v>-192</v>
      </c>
      <c r="AZ1415">
        <v>4516</v>
      </c>
      <c r="BA1415">
        <v>1</v>
      </c>
      <c r="BB1415" t="str">
        <f t="shared" si="136"/>
        <v xml:space="preserve">N79NX   </v>
      </c>
      <c r="BC1415">
        <v>1</v>
      </c>
      <c r="BE1415">
        <v>0</v>
      </c>
      <c r="BF1415">
        <v>0</v>
      </c>
      <c r="BG1415">
        <v>0</v>
      </c>
      <c r="BH1415">
        <v>2775</v>
      </c>
      <c r="BI1415">
        <v>0</v>
      </c>
      <c r="BJ1415">
        <v>0</v>
      </c>
      <c r="BK1415">
        <v>0</v>
      </c>
      <c r="BL1415">
        <v>0</v>
      </c>
      <c r="BO1415">
        <v>0</v>
      </c>
      <c r="BP1415">
        <v>0</v>
      </c>
      <c r="BW1415" t="str">
        <f>"18:45:35.742"</f>
        <v>18:45:35.742</v>
      </c>
      <c r="BZ1415">
        <v>0</v>
      </c>
      <c r="CA1415">
        <v>3008</v>
      </c>
      <c r="CB1415">
        <v>216</v>
      </c>
      <c r="CC1415">
        <v>458.4375</v>
      </c>
      <c r="CD1415">
        <v>1</v>
      </c>
      <c r="CE1415">
        <v>1</v>
      </c>
      <c r="CF1415">
        <v>0</v>
      </c>
      <c r="CG1415">
        <v>1</v>
      </c>
      <c r="CH1415">
        <v>0</v>
      </c>
      <c r="CI1415">
        <v>0</v>
      </c>
      <c r="CJ1415">
        <v>0</v>
      </c>
      <c r="CK1415">
        <v>2</v>
      </c>
      <c r="CL1415">
        <v>0</v>
      </c>
      <c r="CM1415">
        <v>2</v>
      </c>
      <c r="CN1415">
        <v>0</v>
      </c>
      <c r="CO1415">
        <v>1</v>
      </c>
      <c r="CP1415" t="s">
        <v>119</v>
      </c>
      <c r="CQ1415">
        <v>145</v>
      </c>
      <c r="CR1415">
        <v>1</v>
      </c>
      <c r="CW1415">
        <v>9137009</v>
      </c>
      <c r="CY1415">
        <v>0</v>
      </c>
      <c r="CZ1415">
        <v>0</v>
      </c>
      <c r="DA1415">
        <v>1</v>
      </c>
      <c r="DB1415">
        <v>0</v>
      </c>
      <c r="DC1415">
        <v>0</v>
      </c>
      <c r="DD1415">
        <v>0</v>
      </c>
      <c r="DE1415">
        <v>0</v>
      </c>
      <c r="DF1415">
        <v>0</v>
      </c>
      <c r="DG1415">
        <v>0</v>
      </c>
      <c r="DH1415">
        <v>0</v>
      </c>
      <c r="DI1415">
        <v>0</v>
      </c>
    </row>
    <row r="1416" spans="1:113" x14ac:dyDescent="0.3">
      <c r="A1416" t="str">
        <f>"02/13/2022 18:45:35.925"</f>
        <v>02/13/2022 18:45:35.925</v>
      </c>
      <c r="C1416" t="str">
        <f t="shared" si="133"/>
        <v>FFDFD7C0</v>
      </c>
      <c r="D1416" t="s">
        <v>121</v>
      </c>
      <c r="E1416">
        <v>2</v>
      </c>
      <c r="H1416">
        <v>158</v>
      </c>
      <c r="I1416" t="s">
        <v>120</v>
      </c>
      <c r="J1416" t="s">
        <v>122</v>
      </c>
      <c r="K1416">
        <v>0</v>
      </c>
      <c r="L1416">
        <v>3</v>
      </c>
      <c r="M1416">
        <v>0</v>
      </c>
      <c r="N1416">
        <v>2</v>
      </c>
      <c r="O1416">
        <v>1</v>
      </c>
      <c r="P1416">
        <v>0</v>
      </c>
      <c r="Q1416">
        <v>0</v>
      </c>
      <c r="S1416" t="str">
        <f>"18:45:35.734"</f>
        <v>18:45:35.734</v>
      </c>
      <c r="T1416" t="str">
        <f>"18:45:34.634"</f>
        <v>18:45:34.634</v>
      </c>
      <c r="U1416" t="str">
        <f t="shared" si="135"/>
        <v>AAB6EE</v>
      </c>
      <c r="V1416">
        <v>0</v>
      </c>
      <c r="W1416">
        <v>0</v>
      </c>
      <c r="X1416">
        <v>4</v>
      </c>
      <c r="Z1416">
        <v>0</v>
      </c>
      <c r="AA1416">
        <v>8</v>
      </c>
      <c r="AB1416">
        <v>3</v>
      </c>
      <c r="AC1416">
        <v>0</v>
      </c>
      <c r="AD1416">
        <v>10</v>
      </c>
      <c r="AE1416">
        <v>0</v>
      </c>
      <c r="AF1416">
        <v>0</v>
      </c>
      <c r="AG1416">
        <v>1</v>
      </c>
      <c r="AH1416">
        <v>1</v>
      </c>
      <c r="AI1416" t="s">
        <v>1077</v>
      </c>
      <c r="AJ1416">
        <v>35.229227999999999</v>
      </c>
      <c r="AK1416" t="s">
        <v>1078</v>
      </c>
      <c r="AL1416">
        <v>-76.101951999999997</v>
      </c>
      <c r="AM1416">
        <v>25</v>
      </c>
      <c r="AN1416">
        <v>2925</v>
      </c>
      <c r="AO1416" t="s">
        <v>118</v>
      </c>
      <c r="AP1416">
        <v>168</v>
      </c>
      <c r="AQ1416">
        <v>15</v>
      </c>
      <c r="AR1416">
        <v>-192</v>
      </c>
      <c r="AZ1416">
        <v>4516</v>
      </c>
      <c r="BA1416">
        <v>1</v>
      </c>
      <c r="BB1416" t="str">
        <f t="shared" si="136"/>
        <v xml:space="preserve">N79NX   </v>
      </c>
      <c r="BC1416">
        <v>1</v>
      </c>
      <c r="BE1416">
        <v>0</v>
      </c>
      <c r="BF1416">
        <v>0</v>
      </c>
      <c r="BG1416">
        <v>0</v>
      </c>
      <c r="BH1416">
        <v>2775</v>
      </c>
      <c r="BI1416">
        <v>0</v>
      </c>
      <c r="BJ1416">
        <v>0</v>
      </c>
      <c r="BK1416">
        <v>0</v>
      </c>
      <c r="BL1416">
        <v>0</v>
      </c>
      <c r="BO1416">
        <v>0</v>
      </c>
      <c r="BP1416">
        <v>0</v>
      </c>
      <c r="BW1416" t="str">
        <f>"18:45:35.742"</f>
        <v>18:45:35.742</v>
      </c>
      <c r="BZ1416">
        <v>0</v>
      </c>
      <c r="CA1416">
        <v>3008</v>
      </c>
      <c r="CB1416">
        <v>216</v>
      </c>
      <c r="CC1416">
        <v>458.4375</v>
      </c>
      <c r="CD1416">
        <v>1</v>
      </c>
      <c r="CE1416">
        <v>1</v>
      </c>
      <c r="CF1416">
        <v>0</v>
      </c>
      <c r="CG1416">
        <v>1</v>
      </c>
      <c r="CH1416">
        <v>0</v>
      </c>
      <c r="CI1416">
        <v>0</v>
      </c>
      <c r="CJ1416">
        <v>0</v>
      </c>
      <c r="CK1416">
        <v>2</v>
      </c>
      <c r="CL1416">
        <v>0</v>
      </c>
      <c r="CM1416">
        <v>2</v>
      </c>
      <c r="CN1416">
        <v>0</v>
      </c>
      <c r="CO1416">
        <v>1</v>
      </c>
      <c r="CP1416" t="s">
        <v>119</v>
      </c>
      <c r="CQ1416">
        <v>145</v>
      </c>
      <c r="CR1416">
        <v>1</v>
      </c>
      <c r="CW1416">
        <v>9137009</v>
      </c>
      <c r="CY1416">
        <v>0</v>
      </c>
      <c r="CZ1416">
        <v>0</v>
      </c>
      <c r="DA1416">
        <v>1</v>
      </c>
      <c r="DB1416">
        <v>0</v>
      </c>
      <c r="DC1416">
        <v>0</v>
      </c>
      <c r="DD1416">
        <v>0</v>
      </c>
      <c r="DE1416">
        <v>0</v>
      </c>
      <c r="DF1416">
        <v>0</v>
      </c>
      <c r="DG1416">
        <v>0</v>
      </c>
      <c r="DH1416">
        <v>0</v>
      </c>
      <c r="DI1416">
        <v>0</v>
      </c>
    </row>
    <row r="1417" spans="1:113" x14ac:dyDescent="0.3">
      <c r="A1417" t="str">
        <f>"02/13/2022 18:45:43.507"</f>
        <v>02/13/2022 18:45:43.507</v>
      </c>
      <c r="C1417" t="str">
        <f t="shared" si="133"/>
        <v>FFDFD7C0</v>
      </c>
      <c r="D1417" t="s">
        <v>121</v>
      </c>
      <c r="E1417">
        <v>2</v>
      </c>
      <c r="H1417">
        <v>158</v>
      </c>
      <c r="I1417" t="s">
        <v>120</v>
      </c>
      <c r="J1417" t="s">
        <v>122</v>
      </c>
      <c r="K1417">
        <v>0</v>
      </c>
      <c r="L1417">
        <v>3</v>
      </c>
      <c r="M1417">
        <v>0</v>
      </c>
      <c r="N1417">
        <v>2</v>
      </c>
      <c r="O1417">
        <v>1</v>
      </c>
      <c r="P1417">
        <v>0</v>
      </c>
      <c r="Q1417">
        <v>0</v>
      </c>
      <c r="S1417" t="str">
        <f>"18:45:43.320"</f>
        <v>18:45:43.320</v>
      </c>
      <c r="T1417" t="str">
        <f>"18:45:43.120"</f>
        <v>18:45:43.120</v>
      </c>
      <c r="U1417" t="str">
        <f t="shared" si="135"/>
        <v>AAB6EE</v>
      </c>
      <c r="V1417">
        <v>0</v>
      </c>
      <c r="W1417">
        <v>0</v>
      </c>
      <c r="X1417">
        <v>4</v>
      </c>
      <c r="Z1417">
        <v>0</v>
      </c>
      <c r="AA1417">
        <v>8</v>
      </c>
      <c r="AB1417">
        <v>3</v>
      </c>
      <c r="AC1417">
        <v>0</v>
      </c>
      <c r="AD1417">
        <v>10</v>
      </c>
      <c r="AE1417">
        <v>0</v>
      </c>
      <c r="AF1417">
        <v>0</v>
      </c>
      <c r="AG1417">
        <v>1</v>
      </c>
      <c r="AH1417">
        <v>1</v>
      </c>
      <c r="AI1417" t="s">
        <v>1079</v>
      </c>
      <c r="AJ1417">
        <v>35.229720999999998</v>
      </c>
      <c r="AK1417" t="s">
        <v>1080</v>
      </c>
      <c r="AL1417">
        <v>-76.094848999999996</v>
      </c>
      <c r="AM1417">
        <v>25</v>
      </c>
      <c r="AN1417">
        <v>2925</v>
      </c>
      <c r="AO1417" t="s">
        <v>118</v>
      </c>
      <c r="AP1417">
        <v>164</v>
      </c>
      <c r="AQ1417">
        <v>13</v>
      </c>
      <c r="AR1417">
        <v>192</v>
      </c>
      <c r="AZ1417">
        <v>4516</v>
      </c>
      <c r="BA1417">
        <v>1</v>
      </c>
      <c r="BB1417" t="str">
        <f t="shared" si="136"/>
        <v xml:space="preserve">N79NX   </v>
      </c>
      <c r="BC1417">
        <v>1</v>
      </c>
      <c r="BE1417">
        <v>0</v>
      </c>
      <c r="BF1417">
        <v>0</v>
      </c>
      <c r="BG1417">
        <v>0</v>
      </c>
      <c r="BH1417">
        <v>2775</v>
      </c>
      <c r="BI1417">
        <v>0</v>
      </c>
      <c r="BJ1417">
        <v>0</v>
      </c>
      <c r="BK1417">
        <v>0</v>
      </c>
      <c r="BL1417">
        <v>0</v>
      </c>
      <c r="BO1417">
        <v>0</v>
      </c>
      <c r="BP1417">
        <v>0</v>
      </c>
      <c r="BW1417" t="str">
        <f>"18:45:43.322"</f>
        <v>18:45:43.322</v>
      </c>
      <c r="BZ1417">
        <v>0</v>
      </c>
      <c r="CA1417">
        <v>3008</v>
      </c>
      <c r="CB1417">
        <v>216</v>
      </c>
      <c r="CC1417">
        <v>458.4375</v>
      </c>
      <c r="CD1417">
        <v>1</v>
      </c>
      <c r="CE1417">
        <v>1</v>
      </c>
      <c r="CF1417">
        <v>0</v>
      </c>
      <c r="CG1417">
        <v>1</v>
      </c>
      <c r="CH1417">
        <v>0</v>
      </c>
      <c r="CI1417">
        <v>0</v>
      </c>
      <c r="CJ1417">
        <v>0</v>
      </c>
      <c r="CK1417">
        <v>2</v>
      </c>
      <c r="CL1417">
        <v>0</v>
      </c>
      <c r="CM1417">
        <v>2</v>
      </c>
      <c r="CN1417">
        <v>0</v>
      </c>
      <c r="CO1417">
        <v>1</v>
      </c>
      <c r="CP1417" t="s">
        <v>119</v>
      </c>
      <c r="CQ1417">
        <v>145</v>
      </c>
      <c r="CR1417">
        <v>1</v>
      </c>
      <c r="CW1417">
        <v>9141045</v>
      </c>
      <c r="CY1417">
        <v>0</v>
      </c>
      <c r="CZ1417">
        <v>0</v>
      </c>
      <c r="DA1417">
        <v>0</v>
      </c>
      <c r="DB1417">
        <v>0</v>
      </c>
      <c r="DC1417">
        <v>0</v>
      </c>
      <c r="DD1417">
        <v>0</v>
      </c>
      <c r="DE1417">
        <v>0</v>
      </c>
      <c r="DF1417">
        <v>0</v>
      </c>
      <c r="DG1417">
        <v>0</v>
      </c>
      <c r="DH1417">
        <v>0</v>
      </c>
      <c r="DI1417">
        <v>0</v>
      </c>
    </row>
    <row r="1418" spans="1:113" x14ac:dyDescent="0.3">
      <c r="A1418" t="str">
        <f>"02/13/2022 18:45:43.522"</f>
        <v>02/13/2022 18:45:43.522</v>
      </c>
      <c r="C1418" t="str">
        <f t="shared" si="133"/>
        <v>FFDFD7C0</v>
      </c>
      <c r="D1418" t="s">
        <v>113</v>
      </c>
      <c r="E1418">
        <v>3</v>
      </c>
      <c r="F1418">
        <v>1003</v>
      </c>
      <c r="G1418" t="s">
        <v>114</v>
      </c>
      <c r="J1418" t="s">
        <v>115</v>
      </c>
      <c r="K1418">
        <v>0</v>
      </c>
      <c r="L1418">
        <v>3</v>
      </c>
      <c r="M1418">
        <v>0</v>
      </c>
      <c r="N1418">
        <v>2</v>
      </c>
      <c r="O1418">
        <v>1</v>
      </c>
      <c r="P1418">
        <v>0</v>
      </c>
      <c r="Q1418">
        <v>0</v>
      </c>
      <c r="S1418" t="str">
        <f>"18:45:43.320"</f>
        <v>18:45:43.320</v>
      </c>
      <c r="T1418" t="str">
        <f>"18:45:43.120"</f>
        <v>18:45:43.120</v>
      </c>
      <c r="U1418" t="str">
        <f t="shared" si="135"/>
        <v>AAB6EE</v>
      </c>
      <c r="V1418">
        <v>0</v>
      </c>
      <c r="W1418">
        <v>0</v>
      </c>
      <c r="X1418">
        <v>4</v>
      </c>
      <c r="Z1418">
        <v>0</v>
      </c>
      <c r="AA1418">
        <v>8</v>
      </c>
      <c r="AB1418">
        <v>3</v>
      </c>
      <c r="AC1418">
        <v>0</v>
      </c>
      <c r="AD1418">
        <v>10</v>
      </c>
      <c r="AE1418">
        <v>0</v>
      </c>
      <c r="AF1418">
        <v>0</v>
      </c>
      <c r="AG1418">
        <v>1</v>
      </c>
      <c r="AH1418">
        <v>1</v>
      </c>
      <c r="AI1418" t="s">
        <v>1079</v>
      </c>
      <c r="AJ1418">
        <v>35.229720999999998</v>
      </c>
      <c r="AK1418" t="s">
        <v>1080</v>
      </c>
      <c r="AL1418">
        <v>-76.094848999999996</v>
      </c>
      <c r="AM1418">
        <v>25</v>
      </c>
      <c r="AN1418">
        <v>2925</v>
      </c>
      <c r="AO1418" t="s">
        <v>118</v>
      </c>
      <c r="AP1418">
        <v>164</v>
      </c>
      <c r="AQ1418">
        <v>13</v>
      </c>
      <c r="AR1418">
        <v>192</v>
      </c>
      <c r="AZ1418">
        <v>4516</v>
      </c>
      <c r="BA1418">
        <v>1</v>
      </c>
      <c r="BB1418" t="str">
        <f t="shared" si="136"/>
        <v xml:space="preserve">N79NX   </v>
      </c>
      <c r="BC1418">
        <v>1</v>
      </c>
      <c r="BE1418">
        <v>0</v>
      </c>
      <c r="BF1418">
        <v>0</v>
      </c>
      <c r="BG1418">
        <v>0</v>
      </c>
      <c r="BH1418">
        <v>2775</v>
      </c>
      <c r="BI1418">
        <v>0</v>
      </c>
      <c r="BJ1418">
        <v>0</v>
      </c>
      <c r="BK1418">
        <v>0</v>
      </c>
      <c r="BL1418">
        <v>0</v>
      </c>
      <c r="BO1418">
        <v>0</v>
      </c>
      <c r="BP1418">
        <v>0</v>
      </c>
      <c r="BW1418" t="str">
        <f>"18:45:43.322"</f>
        <v>18:45:43.322</v>
      </c>
      <c r="BZ1418">
        <v>0</v>
      </c>
      <c r="CA1418">
        <v>3008</v>
      </c>
      <c r="CB1418">
        <v>216</v>
      </c>
      <c r="CC1418">
        <v>458.4375</v>
      </c>
      <c r="CD1418">
        <v>1</v>
      </c>
      <c r="CE1418">
        <v>1</v>
      </c>
      <c r="CF1418">
        <v>0</v>
      </c>
      <c r="CG1418">
        <v>1</v>
      </c>
      <c r="CH1418">
        <v>0</v>
      </c>
      <c r="CI1418">
        <v>0</v>
      </c>
      <c r="CJ1418">
        <v>0</v>
      </c>
      <c r="CK1418">
        <v>2</v>
      </c>
      <c r="CL1418">
        <v>0</v>
      </c>
      <c r="CM1418">
        <v>2</v>
      </c>
      <c r="CN1418">
        <v>0</v>
      </c>
      <c r="CO1418">
        <v>1</v>
      </c>
      <c r="CP1418" t="s">
        <v>119</v>
      </c>
      <c r="CQ1418">
        <v>145</v>
      </c>
      <c r="CR1418">
        <v>1</v>
      </c>
      <c r="CW1418">
        <v>9141045</v>
      </c>
      <c r="CY1418">
        <v>0</v>
      </c>
      <c r="CZ1418">
        <v>0</v>
      </c>
      <c r="DA1418">
        <v>1</v>
      </c>
      <c r="DB1418">
        <v>0</v>
      </c>
      <c r="DC1418">
        <v>0</v>
      </c>
      <c r="DD1418">
        <v>0</v>
      </c>
      <c r="DE1418">
        <v>0</v>
      </c>
      <c r="DF1418">
        <v>0</v>
      </c>
      <c r="DG1418">
        <v>0</v>
      </c>
      <c r="DH1418">
        <v>0</v>
      </c>
      <c r="DI1418">
        <v>0</v>
      </c>
    </row>
    <row r="1419" spans="1:113" x14ac:dyDescent="0.3">
      <c r="A1419" t="str">
        <f>"02/13/2022 18:45:43.522"</f>
        <v>02/13/2022 18:45:43.522</v>
      </c>
      <c r="C1419" t="str">
        <f t="shared" si="133"/>
        <v>FFDFD7C0</v>
      </c>
      <c r="D1419" t="s">
        <v>113</v>
      </c>
      <c r="E1419">
        <v>4</v>
      </c>
      <c r="F1419">
        <v>1004</v>
      </c>
      <c r="G1419" t="s">
        <v>120</v>
      </c>
      <c r="J1419" t="s">
        <v>115</v>
      </c>
      <c r="K1419">
        <v>0</v>
      </c>
      <c r="L1419">
        <v>3</v>
      </c>
      <c r="M1419">
        <v>0</v>
      </c>
      <c r="N1419">
        <v>2</v>
      </c>
      <c r="O1419">
        <v>1</v>
      </c>
      <c r="P1419">
        <v>0</v>
      </c>
      <c r="Q1419">
        <v>0</v>
      </c>
      <c r="S1419" t="str">
        <f>"18:45:43.320"</f>
        <v>18:45:43.320</v>
      </c>
      <c r="T1419" t="str">
        <f>"18:45:43.120"</f>
        <v>18:45:43.120</v>
      </c>
      <c r="U1419" t="str">
        <f t="shared" si="135"/>
        <v>AAB6EE</v>
      </c>
      <c r="V1419">
        <v>0</v>
      </c>
      <c r="W1419">
        <v>0</v>
      </c>
      <c r="X1419">
        <v>4</v>
      </c>
      <c r="Z1419">
        <v>0</v>
      </c>
      <c r="AA1419">
        <v>8</v>
      </c>
      <c r="AB1419">
        <v>3</v>
      </c>
      <c r="AC1419">
        <v>0</v>
      </c>
      <c r="AD1419">
        <v>10</v>
      </c>
      <c r="AE1419">
        <v>0</v>
      </c>
      <c r="AF1419">
        <v>0</v>
      </c>
      <c r="AG1419">
        <v>1</v>
      </c>
      <c r="AH1419">
        <v>1</v>
      </c>
      <c r="AI1419" t="s">
        <v>1079</v>
      </c>
      <c r="AJ1419">
        <v>35.229720999999998</v>
      </c>
      <c r="AK1419" t="s">
        <v>1080</v>
      </c>
      <c r="AL1419">
        <v>-76.094848999999996</v>
      </c>
      <c r="AM1419">
        <v>25</v>
      </c>
      <c r="AN1419">
        <v>2925</v>
      </c>
      <c r="AO1419" t="s">
        <v>118</v>
      </c>
      <c r="AP1419">
        <v>164</v>
      </c>
      <c r="AQ1419">
        <v>13</v>
      </c>
      <c r="AR1419">
        <v>192</v>
      </c>
      <c r="AZ1419">
        <v>4516</v>
      </c>
      <c r="BA1419">
        <v>1</v>
      </c>
      <c r="BB1419" t="str">
        <f t="shared" si="136"/>
        <v xml:space="preserve">N79NX   </v>
      </c>
      <c r="BC1419">
        <v>1</v>
      </c>
      <c r="BE1419">
        <v>0</v>
      </c>
      <c r="BF1419">
        <v>0</v>
      </c>
      <c r="BG1419">
        <v>0</v>
      </c>
      <c r="BH1419">
        <v>2775</v>
      </c>
      <c r="BI1419">
        <v>0</v>
      </c>
      <c r="BJ1419">
        <v>0</v>
      </c>
      <c r="BK1419">
        <v>0</v>
      </c>
      <c r="BL1419">
        <v>0</v>
      </c>
      <c r="BO1419">
        <v>0</v>
      </c>
      <c r="BP1419">
        <v>0</v>
      </c>
      <c r="BW1419" t="str">
        <f>"18:45:43.322"</f>
        <v>18:45:43.322</v>
      </c>
      <c r="BZ1419">
        <v>0</v>
      </c>
      <c r="CA1419">
        <v>3008</v>
      </c>
      <c r="CB1419">
        <v>216</v>
      </c>
      <c r="CC1419">
        <v>458.4375</v>
      </c>
      <c r="CD1419">
        <v>1</v>
      </c>
      <c r="CE1419">
        <v>1</v>
      </c>
      <c r="CF1419">
        <v>0</v>
      </c>
      <c r="CG1419">
        <v>1</v>
      </c>
      <c r="CH1419">
        <v>0</v>
      </c>
      <c r="CI1419">
        <v>0</v>
      </c>
      <c r="CJ1419">
        <v>0</v>
      </c>
      <c r="CK1419">
        <v>2</v>
      </c>
      <c r="CL1419">
        <v>0</v>
      </c>
      <c r="CM1419">
        <v>2</v>
      </c>
      <c r="CN1419">
        <v>0</v>
      </c>
      <c r="CO1419">
        <v>1</v>
      </c>
      <c r="CP1419" t="s">
        <v>119</v>
      </c>
      <c r="CQ1419">
        <v>145</v>
      </c>
      <c r="CR1419">
        <v>1</v>
      </c>
      <c r="CW1419">
        <v>9141045</v>
      </c>
      <c r="CY1419">
        <v>0</v>
      </c>
      <c r="CZ1419">
        <v>0</v>
      </c>
      <c r="DA1419">
        <v>1</v>
      </c>
      <c r="DB1419">
        <v>0</v>
      </c>
      <c r="DC1419">
        <v>0</v>
      </c>
      <c r="DD1419">
        <v>0</v>
      </c>
      <c r="DE1419">
        <v>0</v>
      </c>
      <c r="DF1419">
        <v>0</v>
      </c>
      <c r="DG1419">
        <v>0</v>
      </c>
      <c r="DH1419">
        <v>0</v>
      </c>
      <c r="DI1419">
        <v>0</v>
      </c>
    </row>
    <row r="1420" spans="1:113" x14ac:dyDescent="0.3">
      <c r="A1420" t="str">
        <f>"02/13/2022 18:45:44.571"</f>
        <v>02/13/2022 18:45:44.571</v>
      </c>
      <c r="C1420" t="str">
        <f t="shared" si="133"/>
        <v>FFDFD7C0</v>
      </c>
      <c r="D1420" t="s">
        <v>121</v>
      </c>
      <c r="E1420">
        <v>2</v>
      </c>
      <c r="H1420">
        <v>158</v>
      </c>
      <c r="I1420" t="s">
        <v>120</v>
      </c>
      <c r="J1420" t="s">
        <v>122</v>
      </c>
      <c r="K1420">
        <v>0</v>
      </c>
      <c r="L1420">
        <v>3</v>
      </c>
      <c r="M1420">
        <v>0</v>
      </c>
      <c r="N1420">
        <v>2</v>
      </c>
      <c r="O1420">
        <v>1</v>
      </c>
      <c r="P1420">
        <v>0</v>
      </c>
      <c r="Q1420">
        <v>0</v>
      </c>
      <c r="S1420" t="str">
        <f>"18:45:44.367"</f>
        <v>18:45:44.367</v>
      </c>
      <c r="T1420" t="str">
        <f>"18:45:43.167"</f>
        <v>18:45:43.167</v>
      </c>
      <c r="U1420" t="str">
        <f t="shared" si="135"/>
        <v>AAB6EE</v>
      </c>
      <c r="V1420">
        <v>0</v>
      </c>
      <c r="W1420">
        <v>0</v>
      </c>
      <c r="X1420">
        <v>4</v>
      </c>
      <c r="Z1420">
        <v>0</v>
      </c>
      <c r="AA1420">
        <v>8</v>
      </c>
      <c r="AB1420">
        <v>3</v>
      </c>
      <c r="AC1420">
        <v>0</v>
      </c>
      <c r="AD1420">
        <v>10</v>
      </c>
      <c r="AE1420">
        <v>0</v>
      </c>
      <c r="AF1420">
        <v>0</v>
      </c>
      <c r="AG1420">
        <v>1</v>
      </c>
      <c r="AH1420">
        <v>1</v>
      </c>
      <c r="AI1420" t="s">
        <v>1081</v>
      </c>
      <c r="AJ1420">
        <v>35.229764000000003</v>
      </c>
      <c r="AK1420" t="s">
        <v>514</v>
      </c>
      <c r="AL1420">
        <v>-76.093947999999997</v>
      </c>
      <c r="AM1420">
        <v>25</v>
      </c>
      <c r="AN1420">
        <v>2925</v>
      </c>
      <c r="AO1420" t="s">
        <v>118</v>
      </c>
      <c r="AP1420">
        <v>164</v>
      </c>
      <c r="AQ1420">
        <v>13</v>
      </c>
      <c r="AR1420">
        <v>192</v>
      </c>
      <c r="AZ1420">
        <v>4516</v>
      </c>
      <c r="BA1420">
        <v>1</v>
      </c>
      <c r="BB1420" t="str">
        <f t="shared" si="136"/>
        <v xml:space="preserve">N79NX   </v>
      </c>
      <c r="BC1420">
        <v>1</v>
      </c>
      <c r="BE1420">
        <v>0</v>
      </c>
      <c r="BF1420">
        <v>0</v>
      </c>
      <c r="BG1420">
        <v>0</v>
      </c>
      <c r="BH1420">
        <v>2775</v>
      </c>
      <c r="BI1420">
        <v>0</v>
      </c>
      <c r="BJ1420">
        <v>0</v>
      </c>
      <c r="BK1420">
        <v>0</v>
      </c>
      <c r="BL1420">
        <v>0</v>
      </c>
      <c r="BO1420">
        <v>0</v>
      </c>
      <c r="BP1420">
        <v>0</v>
      </c>
      <c r="BW1420" t="str">
        <f>"18:45:44.372"</f>
        <v>18:45:44.372</v>
      </c>
      <c r="BZ1420">
        <v>0</v>
      </c>
      <c r="CA1420">
        <v>3008</v>
      </c>
      <c r="CB1420">
        <v>216</v>
      </c>
      <c r="CC1420">
        <v>458.4375</v>
      </c>
      <c r="CD1420">
        <v>1</v>
      </c>
      <c r="CE1420">
        <v>1</v>
      </c>
      <c r="CF1420">
        <v>0</v>
      </c>
      <c r="CG1420">
        <v>1</v>
      </c>
      <c r="CH1420">
        <v>0</v>
      </c>
      <c r="CI1420">
        <v>0</v>
      </c>
      <c r="CJ1420">
        <v>0</v>
      </c>
      <c r="CK1420">
        <v>2</v>
      </c>
      <c r="CL1420">
        <v>0</v>
      </c>
      <c r="CM1420">
        <v>2</v>
      </c>
      <c r="CN1420">
        <v>0</v>
      </c>
      <c r="CO1420">
        <v>1</v>
      </c>
      <c r="CP1420" t="s">
        <v>119</v>
      </c>
      <c r="CQ1420">
        <v>145</v>
      </c>
      <c r="CR1420">
        <v>1</v>
      </c>
      <c r="CW1420">
        <v>9141601</v>
      </c>
      <c r="CY1420">
        <v>0</v>
      </c>
      <c r="CZ1420">
        <v>0</v>
      </c>
      <c r="DA1420">
        <v>0</v>
      </c>
      <c r="DB1420">
        <v>0</v>
      </c>
      <c r="DC1420">
        <v>0</v>
      </c>
      <c r="DD1420">
        <v>0</v>
      </c>
      <c r="DE1420">
        <v>0</v>
      </c>
      <c r="DF1420">
        <v>0</v>
      </c>
      <c r="DG1420">
        <v>0</v>
      </c>
      <c r="DH1420">
        <v>0</v>
      </c>
      <c r="DI1420">
        <v>0</v>
      </c>
    </row>
    <row r="1421" spans="1:113" x14ac:dyDescent="0.3">
      <c r="A1421" t="str">
        <f>"02/13/2022 18:45:44.571"</f>
        <v>02/13/2022 18:45:44.571</v>
      </c>
      <c r="C1421" t="str">
        <f t="shared" si="133"/>
        <v>FFDFD7C0</v>
      </c>
      <c r="D1421" t="s">
        <v>113</v>
      </c>
      <c r="E1421">
        <v>4</v>
      </c>
      <c r="F1421">
        <v>1004</v>
      </c>
      <c r="G1421" t="s">
        <v>120</v>
      </c>
      <c r="J1421" t="s">
        <v>115</v>
      </c>
      <c r="K1421">
        <v>0</v>
      </c>
      <c r="L1421">
        <v>3</v>
      </c>
      <c r="M1421">
        <v>0</v>
      </c>
      <c r="N1421">
        <v>2</v>
      </c>
      <c r="O1421">
        <v>1</v>
      </c>
      <c r="P1421">
        <v>0</v>
      </c>
      <c r="Q1421">
        <v>0</v>
      </c>
      <c r="S1421" t="str">
        <f>"18:45:44.367"</f>
        <v>18:45:44.367</v>
      </c>
      <c r="T1421" t="str">
        <f>"18:45:43.167"</f>
        <v>18:45:43.167</v>
      </c>
      <c r="U1421" t="str">
        <f t="shared" si="135"/>
        <v>AAB6EE</v>
      </c>
      <c r="V1421">
        <v>0</v>
      </c>
      <c r="W1421">
        <v>0</v>
      </c>
      <c r="X1421">
        <v>4</v>
      </c>
      <c r="Z1421">
        <v>0</v>
      </c>
      <c r="AA1421">
        <v>8</v>
      </c>
      <c r="AB1421">
        <v>3</v>
      </c>
      <c r="AC1421">
        <v>0</v>
      </c>
      <c r="AD1421">
        <v>10</v>
      </c>
      <c r="AE1421">
        <v>0</v>
      </c>
      <c r="AF1421">
        <v>0</v>
      </c>
      <c r="AG1421">
        <v>1</v>
      </c>
      <c r="AH1421">
        <v>1</v>
      </c>
      <c r="AI1421" t="s">
        <v>1081</v>
      </c>
      <c r="AJ1421">
        <v>35.229764000000003</v>
      </c>
      <c r="AK1421" t="s">
        <v>514</v>
      </c>
      <c r="AL1421">
        <v>-76.093947999999997</v>
      </c>
      <c r="AM1421">
        <v>25</v>
      </c>
      <c r="AN1421">
        <v>2925</v>
      </c>
      <c r="AO1421" t="s">
        <v>118</v>
      </c>
      <c r="AP1421">
        <v>164</v>
      </c>
      <c r="AQ1421">
        <v>13</v>
      </c>
      <c r="AR1421">
        <v>192</v>
      </c>
      <c r="AZ1421">
        <v>4516</v>
      </c>
      <c r="BA1421">
        <v>1</v>
      </c>
      <c r="BB1421" t="str">
        <f t="shared" si="136"/>
        <v xml:space="preserve">N79NX   </v>
      </c>
      <c r="BC1421">
        <v>1</v>
      </c>
      <c r="BE1421">
        <v>0</v>
      </c>
      <c r="BF1421">
        <v>0</v>
      </c>
      <c r="BG1421">
        <v>0</v>
      </c>
      <c r="BH1421">
        <v>2775</v>
      </c>
      <c r="BI1421">
        <v>0</v>
      </c>
      <c r="BJ1421">
        <v>0</v>
      </c>
      <c r="BK1421">
        <v>0</v>
      </c>
      <c r="BL1421">
        <v>0</v>
      </c>
      <c r="BO1421">
        <v>0</v>
      </c>
      <c r="BP1421">
        <v>0</v>
      </c>
      <c r="BW1421" t="str">
        <f>"18:45:44.372"</f>
        <v>18:45:44.372</v>
      </c>
      <c r="BZ1421">
        <v>0</v>
      </c>
      <c r="CA1421">
        <v>3008</v>
      </c>
      <c r="CB1421">
        <v>216</v>
      </c>
      <c r="CC1421">
        <v>458.4375</v>
      </c>
      <c r="CD1421">
        <v>1</v>
      </c>
      <c r="CE1421">
        <v>1</v>
      </c>
      <c r="CF1421">
        <v>0</v>
      </c>
      <c r="CG1421">
        <v>1</v>
      </c>
      <c r="CH1421">
        <v>0</v>
      </c>
      <c r="CI1421">
        <v>0</v>
      </c>
      <c r="CJ1421">
        <v>0</v>
      </c>
      <c r="CK1421">
        <v>2</v>
      </c>
      <c r="CL1421">
        <v>0</v>
      </c>
      <c r="CM1421">
        <v>2</v>
      </c>
      <c r="CN1421">
        <v>0</v>
      </c>
      <c r="CO1421">
        <v>1</v>
      </c>
      <c r="CP1421" t="s">
        <v>119</v>
      </c>
      <c r="CQ1421">
        <v>145</v>
      </c>
      <c r="CR1421">
        <v>1</v>
      </c>
      <c r="CW1421">
        <v>9141601</v>
      </c>
      <c r="CY1421">
        <v>0</v>
      </c>
      <c r="CZ1421">
        <v>0</v>
      </c>
      <c r="DA1421">
        <v>1</v>
      </c>
      <c r="DB1421">
        <v>0</v>
      </c>
      <c r="DC1421">
        <v>0</v>
      </c>
      <c r="DD1421">
        <v>0</v>
      </c>
      <c r="DE1421">
        <v>0</v>
      </c>
      <c r="DF1421">
        <v>0</v>
      </c>
      <c r="DG1421">
        <v>0</v>
      </c>
      <c r="DH1421">
        <v>0</v>
      </c>
      <c r="DI1421">
        <v>0</v>
      </c>
    </row>
    <row r="1422" spans="1:113" x14ac:dyDescent="0.3">
      <c r="A1422" t="str">
        <f>"02/13/2022 18:45:44.571"</f>
        <v>02/13/2022 18:45:44.571</v>
      </c>
      <c r="C1422" t="str">
        <f t="shared" si="133"/>
        <v>FFDFD7C0</v>
      </c>
      <c r="D1422" t="s">
        <v>113</v>
      </c>
      <c r="E1422">
        <v>3</v>
      </c>
      <c r="F1422">
        <v>1003</v>
      </c>
      <c r="G1422" t="s">
        <v>114</v>
      </c>
      <c r="J1422" t="s">
        <v>115</v>
      </c>
      <c r="K1422">
        <v>0</v>
      </c>
      <c r="L1422">
        <v>3</v>
      </c>
      <c r="M1422">
        <v>0</v>
      </c>
      <c r="N1422">
        <v>2</v>
      </c>
      <c r="O1422">
        <v>1</v>
      </c>
      <c r="P1422">
        <v>0</v>
      </c>
      <c r="Q1422">
        <v>0</v>
      </c>
      <c r="S1422" t="str">
        <f>"18:45:44.367"</f>
        <v>18:45:44.367</v>
      </c>
      <c r="T1422" t="str">
        <f>"18:45:43.167"</f>
        <v>18:45:43.167</v>
      </c>
      <c r="U1422" t="str">
        <f t="shared" si="135"/>
        <v>AAB6EE</v>
      </c>
      <c r="V1422">
        <v>0</v>
      </c>
      <c r="W1422">
        <v>0</v>
      </c>
      <c r="X1422">
        <v>4</v>
      </c>
      <c r="Z1422">
        <v>0</v>
      </c>
      <c r="AA1422">
        <v>8</v>
      </c>
      <c r="AB1422">
        <v>3</v>
      </c>
      <c r="AC1422">
        <v>0</v>
      </c>
      <c r="AD1422">
        <v>10</v>
      </c>
      <c r="AE1422">
        <v>0</v>
      </c>
      <c r="AF1422">
        <v>0</v>
      </c>
      <c r="AG1422">
        <v>1</v>
      </c>
      <c r="AH1422">
        <v>1</v>
      </c>
      <c r="AI1422" t="s">
        <v>1081</v>
      </c>
      <c r="AJ1422">
        <v>35.229764000000003</v>
      </c>
      <c r="AK1422" t="s">
        <v>514</v>
      </c>
      <c r="AL1422">
        <v>-76.093947999999997</v>
      </c>
      <c r="AM1422">
        <v>25</v>
      </c>
      <c r="AN1422">
        <v>2925</v>
      </c>
      <c r="AO1422" t="s">
        <v>118</v>
      </c>
      <c r="AP1422">
        <v>164</v>
      </c>
      <c r="AQ1422">
        <v>13</v>
      </c>
      <c r="AR1422">
        <v>192</v>
      </c>
      <c r="AZ1422">
        <v>4516</v>
      </c>
      <c r="BA1422">
        <v>1</v>
      </c>
      <c r="BB1422" t="str">
        <f t="shared" si="136"/>
        <v xml:space="preserve">N79NX   </v>
      </c>
      <c r="BC1422">
        <v>1</v>
      </c>
      <c r="BE1422">
        <v>0</v>
      </c>
      <c r="BF1422">
        <v>0</v>
      </c>
      <c r="BG1422">
        <v>0</v>
      </c>
      <c r="BH1422">
        <v>2775</v>
      </c>
      <c r="BI1422">
        <v>0</v>
      </c>
      <c r="BJ1422">
        <v>0</v>
      </c>
      <c r="BK1422">
        <v>0</v>
      </c>
      <c r="BL1422">
        <v>0</v>
      </c>
      <c r="BO1422">
        <v>0</v>
      </c>
      <c r="BP1422">
        <v>0</v>
      </c>
      <c r="BW1422" t="str">
        <f>"18:45:44.372"</f>
        <v>18:45:44.372</v>
      </c>
      <c r="BZ1422">
        <v>0</v>
      </c>
      <c r="CA1422">
        <v>3008</v>
      </c>
      <c r="CB1422">
        <v>216</v>
      </c>
      <c r="CC1422">
        <v>458.4375</v>
      </c>
      <c r="CD1422">
        <v>1</v>
      </c>
      <c r="CE1422">
        <v>1</v>
      </c>
      <c r="CF1422">
        <v>0</v>
      </c>
      <c r="CG1422">
        <v>1</v>
      </c>
      <c r="CH1422">
        <v>0</v>
      </c>
      <c r="CI1422">
        <v>0</v>
      </c>
      <c r="CJ1422">
        <v>0</v>
      </c>
      <c r="CK1422">
        <v>2</v>
      </c>
      <c r="CL1422">
        <v>0</v>
      </c>
      <c r="CM1422">
        <v>2</v>
      </c>
      <c r="CN1422">
        <v>0</v>
      </c>
      <c r="CO1422">
        <v>1</v>
      </c>
      <c r="CP1422" t="s">
        <v>119</v>
      </c>
      <c r="CQ1422">
        <v>145</v>
      </c>
      <c r="CR1422">
        <v>1</v>
      </c>
      <c r="CW1422">
        <v>9141601</v>
      </c>
      <c r="CY1422">
        <v>0</v>
      </c>
      <c r="CZ1422">
        <v>0</v>
      </c>
      <c r="DA1422">
        <v>1</v>
      </c>
      <c r="DB1422">
        <v>0</v>
      </c>
      <c r="DC1422">
        <v>0</v>
      </c>
      <c r="DD1422">
        <v>0</v>
      </c>
      <c r="DE1422">
        <v>0</v>
      </c>
      <c r="DF1422">
        <v>0</v>
      </c>
      <c r="DG1422">
        <v>0</v>
      </c>
      <c r="DH1422">
        <v>0</v>
      </c>
      <c r="DI1422">
        <v>0</v>
      </c>
    </row>
    <row r="1423" spans="1:113" x14ac:dyDescent="0.3">
      <c r="A1423" t="str">
        <f>"02/13/2022 18:45:45.493"</f>
        <v>02/13/2022 18:45:45.493</v>
      </c>
      <c r="C1423" t="str">
        <f t="shared" si="133"/>
        <v>FFDFD7C0</v>
      </c>
      <c r="D1423" t="s">
        <v>121</v>
      </c>
      <c r="E1423">
        <v>2</v>
      </c>
      <c r="H1423">
        <v>158</v>
      </c>
      <c r="I1423" t="s">
        <v>120</v>
      </c>
      <c r="J1423" t="s">
        <v>122</v>
      </c>
      <c r="K1423">
        <v>0</v>
      </c>
      <c r="L1423">
        <v>3</v>
      </c>
      <c r="M1423">
        <v>0</v>
      </c>
      <c r="N1423">
        <v>2</v>
      </c>
      <c r="O1423">
        <v>1</v>
      </c>
      <c r="P1423">
        <v>0</v>
      </c>
      <c r="Q1423">
        <v>0</v>
      </c>
      <c r="S1423" t="str">
        <f>"18:45:45.297"</f>
        <v>18:45:45.297</v>
      </c>
      <c r="T1423" t="str">
        <f>"18:45:43.197"</f>
        <v>18:45:43.197</v>
      </c>
      <c r="U1423" t="str">
        <f t="shared" si="135"/>
        <v>AAB6EE</v>
      </c>
      <c r="V1423">
        <v>0</v>
      </c>
      <c r="W1423">
        <v>0</v>
      </c>
      <c r="X1423">
        <v>4</v>
      </c>
      <c r="Z1423">
        <v>0</v>
      </c>
      <c r="AA1423">
        <v>8</v>
      </c>
      <c r="AB1423">
        <v>3</v>
      </c>
      <c r="AC1423">
        <v>0</v>
      </c>
      <c r="AD1423">
        <v>10</v>
      </c>
      <c r="AE1423">
        <v>0</v>
      </c>
      <c r="AF1423">
        <v>0</v>
      </c>
      <c r="AG1423">
        <v>1</v>
      </c>
      <c r="AH1423">
        <v>1</v>
      </c>
      <c r="AI1423" t="s">
        <v>1082</v>
      </c>
      <c r="AJ1423">
        <v>35.229807000000001</v>
      </c>
      <c r="AK1423" t="s">
        <v>1083</v>
      </c>
      <c r="AL1423">
        <v>-76.093110999999993</v>
      </c>
      <c r="AM1423">
        <v>25</v>
      </c>
      <c r="AN1423">
        <v>2925</v>
      </c>
      <c r="AO1423" t="s">
        <v>118</v>
      </c>
      <c r="AP1423">
        <v>164</v>
      </c>
      <c r="AQ1423">
        <v>13</v>
      </c>
      <c r="AR1423">
        <v>192</v>
      </c>
      <c r="AZ1423">
        <v>4516</v>
      </c>
      <c r="BA1423">
        <v>1</v>
      </c>
      <c r="BB1423" t="str">
        <f t="shared" si="136"/>
        <v xml:space="preserve">N79NX   </v>
      </c>
      <c r="BC1423">
        <v>1</v>
      </c>
      <c r="BE1423">
        <v>0</v>
      </c>
      <c r="BF1423">
        <v>0</v>
      </c>
      <c r="BG1423">
        <v>0</v>
      </c>
      <c r="BH1423">
        <v>2775</v>
      </c>
      <c r="BI1423">
        <v>0</v>
      </c>
      <c r="BJ1423">
        <v>0</v>
      </c>
      <c r="BK1423">
        <v>0</v>
      </c>
      <c r="BL1423">
        <v>0</v>
      </c>
      <c r="BO1423">
        <v>0</v>
      </c>
      <c r="BP1423">
        <v>0</v>
      </c>
      <c r="BW1423" t="str">
        <f>"18:45:45.302"</f>
        <v>18:45:45.302</v>
      </c>
      <c r="BZ1423">
        <v>0</v>
      </c>
      <c r="CA1423">
        <v>3008</v>
      </c>
      <c r="CB1423">
        <v>216</v>
      </c>
      <c r="CC1423">
        <v>458.4375</v>
      </c>
      <c r="CD1423">
        <v>1</v>
      </c>
      <c r="CE1423">
        <v>1</v>
      </c>
      <c r="CF1423">
        <v>0</v>
      </c>
      <c r="CG1423">
        <v>1</v>
      </c>
      <c r="CH1423">
        <v>0</v>
      </c>
      <c r="CI1423">
        <v>0</v>
      </c>
      <c r="CJ1423">
        <v>0</v>
      </c>
      <c r="CK1423">
        <v>2</v>
      </c>
      <c r="CL1423">
        <v>0</v>
      </c>
      <c r="CM1423">
        <v>2</v>
      </c>
      <c r="CN1423">
        <v>0</v>
      </c>
      <c r="CO1423">
        <v>1</v>
      </c>
      <c r="CP1423" t="s">
        <v>119</v>
      </c>
      <c r="CQ1423">
        <v>145</v>
      </c>
      <c r="CR1423">
        <v>1</v>
      </c>
      <c r="CW1423">
        <v>9142039</v>
      </c>
      <c r="CY1423">
        <v>0</v>
      </c>
      <c r="CZ1423">
        <v>0</v>
      </c>
      <c r="DA1423">
        <v>0</v>
      </c>
      <c r="DB1423">
        <v>0</v>
      </c>
      <c r="DC1423">
        <v>0</v>
      </c>
      <c r="DD1423">
        <v>0</v>
      </c>
      <c r="DE1423">
        <v>0</v>
      </c>
      <c r="DF1423">
        <v>0</v>
      </c>
      <c r="DG1423">
        <v>0</v>
      </c>
      <c r="DH1423">
        <v>0</v>
      </c>
      <c r="DI1423">
        <v>0</v>
      </c>
    </row>
    <row r="1424" spans="1:113" x14ac:dyDescent="0.3">
      <c r="A1424" t="str">
        <f>"02/13/2022 18:45:45.493"</f>
        <v>02/13/2022 18:45:45.493</v>
      </c>
      <c r="C1424" t="str">
        <f t="shared" si="133"/>
        <v>FFDFD7C0</v>
      </c>
      <c r="D1424" t="s">
        <v>113</v>
      </c>
      <c r="E1424">
        <v>3</v>
      </c>
      <c r="F1424">
        <v>1003</v>
      </c>
      <c r="G1424" t="s">
        <v>114</v>
      </c>
      <c r="J1424" t="s">
        <v>115</v>
      </c>
      <c r="K1424">
        <v>0</v>
      </c>
      <c r="L1424">
        <v>3</v>
      </c>
      <c r="M1424">
        <v>0</v>
      </c>
      <c r="N1424">
        <v>2</v>
      </c>
      <c r="O1424">
        <v>1</v>
      </c>
      <c r="P1424">
        <v>0</v>
      </c>
      <c r="Q1424">
        <v>0</v>
      </c>
      <c r="S1424" t="str">
        <f>"18:45:45.297"</f>
        <v>18:45:45.297</v>
      </c>
      <c r="T1424" t="str">
        <f>"18:45:43.197"</f>
        <v>18:45:43.197</v>
      </c>
      <c r="U1424" t="str">
        <f t="shared" si="135"/>
        <v>AAB6EE</v>
      </c>
      <c r="V1424">
        <v>0</v>
      </c>
      <c r="W1424">
        <v>0</v>
      </c>
      <c r="X1424">
        <v>4</v>
      </c>
      <c r="Z1424">
        <v>0</v>
      </c>
      <c r="AA1424">
        <v>8</v>
      </c>
      <c r="AB1424">
        <v>3</v>
      </c>
      <c r="AC1424">
        <v>0</v>
      </c>
      <c r="AD1424">
        <v>10</v>
      </c>
      <c r="AE1424">
        <v>0</v>
      </c>
      <c r="AF1424">
        <v>0</v>
      </c>
      <c r="AG1424">
        <v>1</v>
      </c>
      <c r="AH1424">
        <v>1</v>
      </c>
      <c r="AI1424" t="s">
        <v>1082</v>
      </c>
      <c r="AJ1424">
        <v>35.229807000000001</v>
      </c>
      <c r="AK1424" t="s">
        <v>1083</v>
      </c>
      <c r="AL1424">
        <v>-76.093110999999993</v>
      </c>
      <c r="AM1424">
        <v>25</v>
      </c>
      <c r="AN1424">
        <v>2925</v>
      </c>
      <c r="AO1424" t="s">
        <v>118</v>
      </c>
      <c r="AP1424">
        <v>164</v>
      </c>
      <c r="AQ1424">
        <v>13</v>
      </c>
      <c r="AR1424">
        <v>192</v>
      </c>
      <c r="AZ1424">
        <v>4516</v>
      </c>
      <c r="BA1424">
        <v>1</v>
      </c>
      <c r="BB1424" t="str">
        <f t="shared" si="136"/>
        <v xml:space="preserve">N79NX   </v>
      </c>
      <c r="BC1424">
        <v>1</v>
      </c>
      <c r="BE1424">
        <v>0</v>
      </c>
      <c r="BF1424">
        <v>0</v>
      </c>
      <c r="BG1424">
        <v>0</v>
      </c>
      <c r="BH1424">
        <v>2775</v>
      </c>
      <c r="BI1424">
        <v>0</v>
      </c>
      <c r="BJ1424">
        <v>0</v>
      </c>
      <c r="BK1424">
        <v>0</v>
      </c>
      <c r="BL1424">
        <v>0</v>
      </c>
      <c r="BO1424">
        <v>0</v>
      </c>
      <c r="BP1424">
        <v>0</v>
      </c>
      <c r="BW1424" t="str">
        <f>"18:45:45.302"</f>
        <v>18:45:45.302</v>
      </c>
      <c r="BZ1424">
        <v>0</v>
      </c>
      <c r="CA1424">
        <v>3008</v>
      </c>
      <c r="CB1424">
        <v>216</v>
      </c>
      <c r="CC1424">
        <v>458.4375</v>
      </c>
      <c r="CD1424">
        <v>1</v>
      </c>
      <c r="CE1424">
        <v>1</v>
      </c>
      <c r="CF1424">
        <v>0</v>
      </c>
      <c r="CG1424">
        <v>1</v>
      </c>
      <c r="CH1424">
        <v>0</v>
      </c>
      <c r="CI1424">
        <v>0</v>
      </c>
      <c r="CJ1424">
        <v>0</v>
      </c>
      <c r="CK1424">
        <v>2</v>
      </c>
      <c r="CL1424">
        <v>0</v>
      </c>
      <c r="CM1424">
        <v>2</v>
      </c>
      <c r="CN1424">
        <v>0</v>
      </c>
      <c r="CO1424">
        <v>1</v>
      </c>
      <c r="CP1424" t="s">
        <v>119</v>
      </c>
      <c r="CQ1424">
        <v>145</v>
      </c>
      <c r="CR1424">
        <v>1</v>
      </c>
      <c r="CW1424">
        <v>9142039</v>
      </c>
      <c r="CY1424">
        <v>0</v>
      </c>
      <c r="CZ1424">
        <v>0</v>
      </c>
      <c r="DA1424">
        <v>1</v>
      </c>
      <c r="DB1424">
        <v>0</v>
      </c>
      <c r="DC1424">
        <v>0</v>
      </c>
      <c r="DD1424">
        <v>0</v>
      </c>
      <c r="DE1424">
        <v>0</v>
      </c>
      <c r="DF1424">
        <v>0</v>
      </c>
      <c r="DG1424">
        <v>0</v>
      </c>
      <c r="DH1424">
        <v>0</v>
      </c>
      <c r="DI1424">
        <v>0</v>
      </c>
    </row>
    <row r="1425" spans="1:113" x14ac:dyDescent="0.3">
      <c r="A1425" t="str">
        <f>"02/13/2022 18:45:45.493"</f>
        <v>02/13/2022 18:45:45.493</v>
      </c>
      <c r="C1425" t="str">
        <f t="shared" si="133"/>
        <v>FFDFD7C0</v>
      </c>
      <c r="D1425" t="s">
        <v>113</v>
      </c>
      <c r="E1425">
        <v>4</v>
      </c>
      <c r="F1425">
        <v>1004</v>
      </c>
      <c r="G1425" t="s">
        <v>120</v>
      </c>
      <c r="J1425" t="s">
        <v>115</v>
      </c>
      <c r="K1425">
        <v>0</v>
      </c>
      <c r="L1425">
        <v>3</v>
      </c>
      <c r="M1425">
        <v>0</v>
      </c>
      <c r="N1425">
        <v>2</v>
      </c>
      <c r="O1425">
        <v>1</v>
      </c>
      <c r="P1425">
        <v>0</v>
      </c>
      <c r="Q1425">
        <v>0</v>
      </c>
      <c r="S1425" t="str">
        <f>"18:45:45.297"</f>
        <v>18:45:45.297</v>
      </c>
      <c r="T1425" t="str">
        <f>"18:45:43.197"</f>
        <v>18:45:43.197</v>
      </c>
      <c r="U1425" t="str">
        <f t="shared" si="135"/>
        <v>AAB6EE</v>
      </c>
      <c r="V1425">
        <v>0</v>
      </c>
      <c r="W1425">
        <v>0</v>
      </c>
      <c r="X1425">
        <v>4</v>
      </c>
      <c r="Z1425">
        <v>0</v>
      </c>
      <c r="AA1425">
        <v>8</v>
      </c>
      <c r="AB1425">
        <v>3</v>
      </c>
      <c r="AC1425">
        <v>0</v>
      </c>
      <c r="AD1425">
        <v>10</v>
      </c>
      <c r="AE1425">
        <v>0</v>
      </c>
      <c r="AF1425">
        <v>0</v>
      </c>
      <c r="AG1425">
        <v>1</v>
      </c>
      <c r="AH1425">
        <v>1</v>
      </c>
      <c r="AI1425" t="s">
        <v>1082</v>
      </c>
      <c r="AJ1425">
        <v>35.229807000000001</v>
      </c>
      <c r="AK1425" t="s">
        <v>1083</v>
      </c>
      <c r="AL1425">
        <v>-76.093110999999993</v>
      </c>
      <c r="AM1425">
        <v>25</v>
      </c>
      <c r="AN1425">
        <v>2925</v>
      </c>
      <c r="AO1425" t="s">
        <v>118</v>
      </c>
      <c r="AP1425">
        <v>164</v>
      </c>
      <c r="AQ1425">
        <v>13</v>
      </c>
      <c r="AR1425">
        <v>192</v>
      </c>
      <c r="AZ1425">
        <v>4516</v>
      </c>
      <c r="BA1425">
        <v>1</v>
      </c>
      <c r="BB1425" t="str">
        <f t="shared" si="136"/>
        <v xml:space="preserve">N79NX   </v>
      </c>
      <c r="BC1425">
        <v>1</v>
      </c>
      <c r="BE1425">
        <v>0</v>
      </c>
      <c r="BF1425">
        <v>0</v>
      </c>
      <c r="BG1425">
        <v>0</v>
      </c>
      <c r="BH1425">
        <v>2775</v>
      </c>
      <c r="BI1425">
        <v>0</v>
      </c>
      <c r="BJ1425">
        <v>0</v>
      </c>
      <c r="BK1425">
        <v>0</v>
      </c>
      <c r="BL1425">
        <v>0</v>
      </c>
      <c r="BO1425">
        <v>0</v>
      </c>
      <c r="BP1425">
        <v>0</v>
      </c>
      <c r="BW1425" t="str">
        <f>"18:45:45.302"</f>
        <v>18:45:45.302</v>
      </c>
      <c r="BZ1425">
        <v>0</v>
      </c>
      <c r="CA1425">
        <v>3008</v>
      </c>
      <c r="CB1425">
        <v>216</v>
      </c>
      <c r="CC1425">
        <v>458.4375</v>
      </c>
      <c r="CD1425">
        <v>1</v>
      </c>
      <c r="CE1425">
        <v>1</v>
      </c>
      <c r="CF1425">
        <v>0</v>
      </c>
      <c r="CG1425">
        <v>1</v>
      </c>
      <c r="CH1425">
        <v>0</v>
      </c>
      <c r="CI1425">
        <v>0</v>
      </c>
      <c r="CJ1425">
        <v>0</v>
      </c>
      <c r="CK1425">
        <v>2</v>
      </c>
      <c r="CL1425">
        <v>0</v>
      </c>
      <c r="CM1425">
        <v>2</v>
      </c>
      <c r="CN1425">
        <v>0</v>
      </c>
      <c r="CO1425">
        <v>1</v>
      </c>
      <c r="CP1425" t="s">
        <v>119</v>
      </c>
      <c r="CQ1425">
        <v>145</v>
      </c>
      <c r="CR1425">
        <v>1</v>
      </c>
      <c r="CW1425">
        <v>9142039</v>
      </c>
      <c r="CY1425">
        <v>0</v>
      </c>
      <c r="CZ1425">
        <v>0</v>
      </c>
      <c r="DA1425">
        <v>1</v>
      </c>
      <c r="DB1425">
        <v>0</v>
      </c>
      <c r="DC1425">
        <v>0</v>
      </c>
      <c r="DD1425">
        <v>0</v>
      </c>
      <c r="DE1425">
        <v>0</v>
      </c>
      <c r="DF1425">
        <v>0</v>
      </c>
      <c r="DG1425">
        <v>0</v>
      </c>
      <c r="DH1425">
        <v>0</v>
      </c>
      <c r="DI1425">
        <v>0</v>
      </c>
    </row>
    <row r="1426" spans="1:113" x14ac:dyDescent="0.3">
      <c r="A1426" t="str">
        <f>"02/13/2022 18:45:46.885"</f>
        <v>02/13/2022 18:45:46.885</v>
      </c>
      <c r="C1426" t="str">
        <f t="shared" si="133"/>
        <v>FFDFD7C0</v>
      </c>
      <c r="D1426" t="s">
        <v>121</v>
      </c>
      <c r="E1426">
        <v>2</v>
      </c>
      <c r="H1426">
        <v>158</v>
      </c>
      <c r="I1426" t="s">
        <v>120</v>
      </c>
      <c r="J1426" t="s">
        <v>122</v>
      </c>
      <c r="K1426">
        <v>0</v>
      </c>
      <c r="L1426">
        <v>3</v>
      </c>
      <c r="M1426">
        <v>0</v>
      </c>
      <c r="N1426">
        <v>2</v>
      </c>
      <c r="O1426">
        <v>1</v>
      </c>
      <c r="P1426">
        <v>0</v>
      </c>
      <c r="Q1426">
        <v>0</v>
      </c>
      <c r="S1426" t="str">
        <f>"18:45:46.656"</f>
        <v>18:45:46.656</v>
      </c>
      <c r="T1426" t="str">
        <f>"18:45:45.656"</f>
        <v>18:45:45.656</v>
      </c>
      <c r="U1426" t="str">
        <f t="shared" si="135"/>
        <v>AAB6EE</v>
      </c>
      <c r="V1426">
        <v>0</v>
      </c>
      <c r="W1426">
        <v>0</v>
      </c>
      <c r="X1426">
        <v>4</v>
      </c>
      <c r="Z1426">
        <v>0</v>
      </c>
      <c r="AA1426">
        <v>8</v>
      </c>
      <c r="AB1426">
        <v>3</v>
      </c>
      <c r="AC1426">
        <v>0</v>
      </c>
      <c r="AD1426">
        <v>10</v>
      </c>
      <c r="AE1426">
        <v>0</v>
      </c>
      <c r="AF1426">
        <v>0</v>
      </c>
      <c r="AG1426">
        <v>1</v>
      </c>
      <c r="AH1426">
        <v>1</v>
      </c>
      <c r="AI1426" t="s">
        <v>1084</v>
      </c>
      <c r="AJ1426">
        <v>35.229892999999997</v>
      </c>
      <c r="AK1426" t="s">
        <v>1085</v>
      </c>
      <c r="AL1426">
        <v>-76.091845000000006</v>
      </c>
      <c r="AM1426">
        <v>25</v>
      </c>
      <c r="AN1426">
        <v>2925</v>
      </c>
      <c r="AO1426" t="s">
        <v>118</v>
      </c>
      <c r="AP1426">
        <v>163</v>
      </c>
      <c r="AQ1426">
        <v>12</v>
      </c>
      <c r="AR1426">
        <v>64</v>
      </c>
      <c r="AZ1426">
        <v>4516</v>
      </c>
      <c r="BA1426">
        <v>1</v>
      </c>
      <c r="BB1426" t="str">
        <f t="shared" si="136"/>
        <v xml:space="preserve">N79NX   </v>
      </c>
      <c r="BC1426">
        <v>1</v>
      </c>
      <c r="BE1426">
        <v>0</v>
      </c>
      <c r="BF1426">
        <v>0</v>
      </c>
      <c r="BG1426">
        <v>0</v>
      </c>
      <c r="BH1426">
        <v>2800</v>
      </c>
      <c r="BI1426">
        <v>0</v>
      </c>
      <c r="BJ1426">
        <v>0</v>
      </c>
      <c r="BK1426">
        <v>0</v>
      </c>
      <c r="BL1426">
        <v>0</v>
      </c>
      <c r="BO1426">
        <v>0</v>
      </c>
      <c r="BP1426">
        <v>0</v>
      </c>
      <c r="BW1426" t="str">
        <f>"18:45:46.662"</f>
        <v>18:45:46.662</v>
      </c>
      <c r="BZ1426">
        <v>0</v>
      </c>
      <c r="CA1426">
        <v>3008</v>
      </c>
      <c r="CB1426">
        <v>216</v>
      </c>
      <c r="CC1426">
        <v>458.4375</v>
      </c>
      <c r="CD1426">
        <v>1</v>
      </c>
      <c r="CE1426">
        <v>1</v>
      </c>
      <c r="CF1426">
        <v>0</v>
      </c>
      <c r="CG1426">
        <v>1</v>
      </c>
      <c r="CH1426">
        <v>0</v>
      </c>
      <c r="CI1426">
        <v>0</v>
      </c>
      <c r="CJ1426">
        <v>0</v>
      </c>
      <c r="CK1426">
        <v>2</v>
      </c>
      <c r="CL1426">
        <v>0</v>
      </c>
      <c r="CM1426">
        <v>2</v>
      </c>
      <c r="CN1426">
        <v>0</v>
      </c>
      <c r="CO1426">
        <v>1</v>
      </c>
      <c r="CP1426" t="s">
        <v>119</v>
      </c>
      <c r="CQ1426">
        <v>145</v>
      </c>
      <c r="CR1426">
        <v>1</v>
      </c>
      <c r="CW1426">
        <v>9142773</v>
      </c>
      <c r="CY1426">
        <v>0</v>
      </c>
      <c r="CZ1426">
        <v>0</v>
      </c>
      <c r="DA1426">
        <v>0</v>
      </c>
      <c r="DB1426">
        <v>0</v>
      </c>
      <c r="DC1426">
        <v>0</v>
      </c>
      <c r="DD1426">
        <v>0</v>
      </c>
      <c r="DE1426">
        <v>0</v>
      </c>
      <c r="DF1426">
        <v>0</v>
      </c>
      <c r="DG1426">
        <v>0</v>
      </c>
      <c r="DH1426">
        <v>0</v>
      </c>
      <c r="DI1426">
        <v>0</v>
      </c>
    </row>
    <row r="1427" spans="1:113" x14ac:dyDescent="0.3">
      <c r="A1427" t="str">
        <f>"02/13/2022 18:45:46.885"</f>
        <v>02/13/2022 18:45:46.885</v>
      </c>
      <c r="C1427" t="str">
        <f t="shared" si="133"/>
        <v>FFDFD7C0</v>
      </c>
      <c r="D1427" t="s">
        <v>113</v>
      </c>
      <c r="E1427">
        <v>3</v>
      </c>
      <c r="F1427">
        <v>1003</v>
      </c>
      <c r="G1427" t="s">
        <v>114</v>
      </c>
      <c r="J1427" t="s">
        <v>115</v>
      </c>
      <c r="K1427">
        <v>0</v>
      </c>
      <c r="L1427">
        <v>3</v>
      </c>
      <c r="M1427">
        <v>0</v>
      </c>
      <c r="N1427">
        <v>2</v>
      </c>
      <c r="O1427">
        <v>1</v>
      </c>
      <c r="P1427">
        <v>0</v>
      </c>
      <c r="Q1427">
        <v>0</v>
      </c>
      <c r="S1427" t="str">
        <f>"18:45:46.656"</f>
        <v>18:45:46.656</v>
      </c>
      <c r="T1427" t="str">
        <f>"18:45:45.656"</f>
        <v>18:45:45.656</v>
      </c>
      <c r="U1427" t="str">
        <f t="shared" si="135"/>
        <v>AAB6EE</v>
      </c>
      <c r="V1427">
        <v>0</v>
      </c>
      <c r="W1427">
        <v>0</v>
      </c>
      <c r="X1427">
        <v>4</v>
      </c>
      <c r="Z1427">
        <v>0</v>
      </c>
      <c r="AA1427">
        <v>8</v>
      </c>
      <c r="AB1427">
        <v>3</v>
      </c>
      <c r="AC1427">
        <v>0</v>
      </c>
      <c r="AD1427">
        <v>10</v>
      </c>
      <c r="AE1427">
        <v>0</v>
      </c>
      <c r="AF1427">
        <v>0</v>
      </c>
      <c r="AG1427">
        <v>1</v>
      </c>
      <c r="AH1427">
        <v>1</v>
      </c>
      <c r="AI1427" t="s">
        <v>1084</v>
      </c>
      <c r="AJ1427">
        <v>35.229892999999997</v>
      </c>
      <c r="AK1427" t="s">
        <v>1085</v>
      </c>
      <c r="AL1427">
        <v>-76.091845000000006</v>
      </c>
      <c r="AM1427">
        <v>25</v>
      </c>
      <c r="AN1427">
        <v>2925</v>
      </c>
      <c r="AO1427" t="s">
        <v>118</v>
      </c>
      <c r="AP1427">
        <v>163</v>
      </c>
      <c r="AQ1427">
        <v>12</v>
      </c>
      <c r="AR1427">
        <v>64</v>
      </c>
      <c r="AZ1427">
        <v>4516</v>
      </c>
      <c r="BA1427">
        <v>1</v>
      </c>
      <c r="BB1427" t="str">
        <f t="shared" si="136"/>
        <v xml:space="preserve">N79NX   </v>
      </c>
      <c r="BC1427">
        <v>1</v>
      </c>
      <c r="BE1427">
        <v>0</v>
      </c>
      <c r="BF1427">
        <v>0</v>
      </c>
      <c r="BG1427">
        <v>0</v>
      </c>
      <c r="BH1427">
        <v>2800</v>
      </c>
      <c r="BI1427">
        <v>0</v>
      </c>
      <c r="BJ1427">
        <v>0</v>
      </c>
      <c r="BK1427">
        <v>0</v>
      </c>
      <c r="BL1427">
        <v>0</v>
      </c>
      <c r="BO1427">
        <v>0</v>
      </c>
      <c r="BP1427">
        <v>0</v>
      </c>
      <c r="BW1427" t="str">
        <f>"18:45:46.662"</f>
        <v>18:45:46.662</v>
      </c>
      <c r="BZ1427">
        <v>0</v>
      </c>
      <c r="CA1427">
        <v>3008</v>
      </c>
      <c r="CB1427">
        <v>216</v>
      </c>
      <c r="CC1427">
        <v>458.4375</v>
      </c>
      <c r="CD1427">
        <v>1</v>
      </c>
      <c r="CE1427">
        <v>1</v>
      </c>
      <c r="CF1427">
        <v>0</v>
      </c>
      <c r="CG1427">
        <v>1</v>
      </c>
      <c r="CH1427">
        <v>0</v>
      </c>
      <c r="CI1427">
        <v>0</v>
      </c>
      <c r="CJ1427">
        <v>0</v>
      </c>
      <c r="CK1427">
        <v>2</v>
      </c>
      <c r="CL1427">
        <v>0</v>
      </c>
      <c r="CM1427">
        <v>2</v>
      </c>
      <c r="CN1427">
        <v>0</v>
      </c>
      <c r="CO1427">
        <v>1</v>
      </c>
      <c r="CP1427" t="s">
        <v>119</v>
      </c>
      <c r="CQ1427">
        <v>145</v>
      </c>
      <c r="CR1427">
        <v>1</v>
      </c>
      <c r="CW1427">
        <v>9142773</v>
      </c>
      <c r="CY1427">
        <v>0</v>
      </c>
      <c r="CZ1427">
        <v>0</v>
      </c>
      <c r="DA1427">
        <v>1</v>
      </c>
      <c r="DB1427">
        <v>0</v>
      </c>
      <c r="DC1427">
        <v>0</v>
      </c>
      <c r="DD1427">
        <v>0</v>
      </c>
      <c r="DE1427">
        <v>0</v>
      </c>
      <c r="DF1427">
        <v>0</v>
      </c>
      <c r="DG1427">
        <v>0</v>
      </c>
      <c r="DH1427">
        <v>0</v>
      </c>
      <c r="DI1427">
        <v>0</v>
      </c>
    </row>
    <row r="1428" spans="1:113" x14ac:dyDescent="0.3">
      <c r="A1428" t="str">
        <f>"02/13/2022 18:45:46.885"</f>
        <v>02/13/2022 18:45:46.885</v>
      </c>
      <c r="C1428" t="str">
        <f t="shared" si="133"/>
        <v>FFDFD7C0</v>
      </c>
      <c r="D1428" t="s">
        <v>113</v>
      </c>
      <c r="E1428">
        <v>4</v>
      </c>
      <c r="F1428">
        <v>1004</v>
      </c>
      <c r="G1428" t="s">
        <v>120</v>
      </c>
      <c r="J1428" t="s">
        <v>115</v>
      </c>
      <c r="K1428">
        <v>0</v>
      </c>
      <c r="L1428">
        <v>3</v>
      </c>
      <c r="M1428">
        <v>0</v>
      </c>
      <c r="N1428">
        <v>2</v>
      </c>
      <c r="O1428">
        <v>1</v>
      </c>
      <c r="P1428">
        <v>0</v>
      </c>
      <c r="Q1428">
        <v>0</v>
      </c>
      <c r="S1428" t="str">
        <f>"18:45:46.656"</f>
        <v>18:45:46.656</v>
      </c>
      <c r="T1428" t="str">
        <f>"18:45:45.656"</f>
        <v>18:45:45.656</v>
      </c>
      <c r="U1428" t="str">
        <f t="shared" si="135"/>
        <v>AAB6EE</v>
      </c>
      <c r="V1428">
        <v>0</v>
      </c>
      <c r="W1428">
        <v>0</v>
      </c>
      <c r="X1428">
        <v>4</v>
      </c>
      <c r="Z1428">
        <v>0</v>
      </c>
      <c r="AA1428">
        <v>8</v>
      </c>
      <c r="AB1428">
        <v>3</v>
      </c>
      <c r="AC1428">
        <v>0</v>
      </c>
      <c r="AD1428">
        <v>10</v>
      </c>
      <c r="AE1428">
        <v>0</v>
      </c>
      <c r="AF1428">
        <v>0</v>
      </c>
      <c r="AG1428">
        <v>1</v>
      </c>
      <c r="AH1428">
        <v>1</v>
      </c>
      <c r="AI1428" t="s">
        <v>1084</v>
      </c>
      <c r="AJ1428">
        <v>35.229892999999997</v>
      </c>
      <c r="AK1428" t="s">
        <v>1085</v>
      </c>
      <c r="AL1428">
        <v>-76.091845000000006</v>
      </c>
      <c r="AM1428">
        <v>25</v>
      </c>
      <c r="AN1428">
        <v>2925</v>
      </c>
      <c r="AO1428" t="s">
        <v>118</v>
      </c>
      <c r="AP1428">
        <v>163</v>
      </c>
      <c r="AQ1428">
        <v>12</v>
      </c>
      <c r="AR1428">
        <v>64</v>
      </c>
      <c r="AZ1428">
        <v>4516</v>
      </c>
      <c r="BA1428">
        <v>1</v>
      </c>
      <c r="BB1428" t="str">
        <f t="shared" si="136"/>
        <v xml:space="preserve">N79NX   </v>
      </c>
      <c r="BC1428">
        <v>1</v>
      </c>
      <c r="BE1428">
        <v>0</v>
      </c>
      <c r="BF1428">
        <v>0</v>
      </c>
      <c r="BG1428">
        <v>0</v>
      </c>
      <c r="BH1428">
        <v>2800</v>
      </c>
      <c r="BI1428">
        <v>0</v>
      </c>
      <c r="BJ1428">
        <v>0</v>
      </c>
      <c r="BK1428">
        <v>0</v>
      </c>
      <c r="BL1428">
        <v>0</v>
      </c>
      <c r="BO1428">
        <v>0</v>
      </c>
      <c r="BP1428">
        <v>0</v>
      </c>
      <c r="BW1428" t="str">
        <f>"18:45:46.662"</f>
        <v>18:45:46.662</v>
      </c>
      <c r="BZ1428">
        <v>0</v>
      </c>
      <c r="CA1428">
        <v>3008</v>
      </c>
      <c r="CB1428">
        <v>216</v>
      </c>
      <c r="CC1428">
        <v>458.4375</v>
      </c>
      <c r="CD1428">
        <v>1</v>
      </c>
      <c r="CE1428">
        <v>1</v>
      </c>
      <c r="CF1428">
        <v>0</v>
      </c>
      <c r="CG1428">
        <v>1</v>
      </c>
      <c r="CH1428">
        <v>0</v>
      </c>
      <c r="CI1428">
        <v>0</v>
      </c>
      <c r="CJ1428">
        <v>0</v>
      </c>
      <c r="CK1428">
        <v>2</v>
      </c>
      <c r="CL1428">
        <v>0</v>
      </c>
      <c r="CM1428">
        <v>2</v>
      </c>
      <c r="CN1428">
        <v>0</v>
      </c>
      <c r="CO1428">
        <v>1</v>
      </c>
      <c r="CP1428" t="s">
        <v>119</v>
      </c>
      <c r="CQ1428">
        <v>145</v>
      </c>
      <c r="CR1428">
        <v>1</v>
      </c>
      <c r="CW1428">
        <v>9142773</v>
      </c>
      <c r="CY1428">
        <v>0</v>
      </c>
      <c r="CZ1428">
        <v>0</v>
      </c>
      <c r="DA1428">
        <v>1</v>
      </c>
      <c r="DB1428">
        <v>0</v>
      </c>
      <c r="DC1428">
        <v>0</v>
      </c>
      <c r="DD1428">
        <v>0</v>
      </c>
      <c r="DE1428">
        <v>0</v>
      </c>
      <c r="DF1428">
        <v>0</v>
      </c>
      <c r="DG1428">
        <v>0</v>
      </c>
      <c r="DH1428">
        <v>0</v>
      </c>
      <c r="DI1428">
        <v>0</v>
      </c>
    </row>
    <row r="1429" spans="1:113" x14ac:dyDescent="0.3">
      <c r="A1429" t="str">
        <f>"02/13/2022 18:45:48.370"</f>
        <v>02/13/2022 18:45:48.370</v>
      </c>
      <c r="C1429" t="str">
        <f t="shared" si="133"/>
        <v>FFDFD7C0</v>
      </c>
      <c r="D1429" t="s">
        <v>113</v>
      </c>
      <c r="E1429">
        <v>3</v>
      </c>
      <c r="F1429">
        <v>1003</v>
      </c>
      <c r="G1429" t="s">
        <v>114</v>
      </c>
      <c r="J1429" t="s">
        <v>115</v>
      </c>
      <c r="K1429">
        <v>0</v>
      </c>
      <c r="L1429">
        <v>3</v>
      </c>
      <c r="M1429">
        <v>0</v>
      </c>
      <c r="N1429">
        <v>2</v>
      </c>
      <c r="O1429">
        <v>1</v>
      </c>
      <c r="P1429">
        <v>0</v>
      </c>
      <c r="Q1429">
        <v>0</v>
      </c>
      <c r="S1429" t="str">
        <f>"18:45:48.172"</f>
        <v>18:45:48.172</v>
      </c>
      <c r="T1429" t="str">
        <f>"18:45:47.672"</f>
        <v>18:45:47.672</v>
      </c>
      <c r="U1429" t="str">
        <f t="shared" si="135"/>
        <v>AAB6EE</v>
      </c>
      <c r="V1429">
        <v>0</v>
      </c>
      <c r="W1429">
        <v>0</v>
      </c>
      <c r="X1429">
        <v>4</v>
      </c>
      <c r="Z1429">
        <v>0</v>
      </c>
      <c r="AA1429">
        <v>8</v>
      </c>
      <c r="AB1429">
        <v>3</v>
      </c>
      <c r="AC1429">
        <v>0</v>
      </c>
      <c r="AD1429">
        <v>10</v>
      </c>
      <c r="AE1429">
        <v>0</v>
      </c>
      <c r="AF1429">
        <v>0</v>
      </c>
      <c r="AG1429">
        <v>1</v>
      </c>
      <c r="AH1429">
        <v>1</v>
      </c>
      <c r="AI1429" t="s">
        <v>1086</v>
      </c>
      <c r="AJ1429">
        <v>35.229999999999997</v>
      </c>
      <c r="AK1429" t="s">
        <v>1087</v>
      </c>
      <c r="AL1429">
        <v>-76.090450000000004</v>
      </c>
      <c r="AM1429">
        <v>25</v>
      </c>
      <c r="AN1429">
        <v>2925</v>
      </c>
      <c r="AO1429" t="s">
        <v>118</v>
      </c>
      <c r="AP1429">
        <v>163</v>
      </c>
      <c r="AQ1429">
        <v>12</v>
      </c>
      <c r="AR1429">
        <v>64</v>
      </c>
      <c r="AZ1429">
        <v>4516</v>
      </c>
      <c r="BA1429">
        <v>1</v>
      </c>
      <c r="BB1429" t="str">
        <f t="shared" si="136"/>
        <v xml:space="preserve">N79NX   </v>
      </c>
      <c r="BC1429">
        <v>1</v>
      </c>
      <c r="BE1429">
        <v>0</v>
      </c>
      <c r="BF1429">
        <v>0</v>
      </c>
      <c r="BG1429">
        <v>0</v>
      </c>
      <c r="BH1429">
        <v>2800</v>
      </c>
      <c r="BI1429">
        <v>0</v>
      </c>
      <c r="BJ1429">
        <v>0</v>
      </c>
      <c r="BK1429">
        <v>0</v>
      </c>
      <c r="BL1429">
        <v>0</v>
      </c>
      <c r="BO1429">
        <v>0</v>
      </c>
      <c r="BP1429">
        <v>0</v>
      </c>
      <c r="BW1429" t="str">
        <f>"18:45:48.172"</f>
        <v>18:45:48.172</v>
      </c>
      <c r="BZ1429">
        <v>0</v>
      </c>
      <c r="CA1429">
        <v>3008</v>
      </c>
      <c r="CB1429">
        <v>216</v>
      </c>
      <c r="CC1429">
        <v>458.4375</v>
      </c>
      <c r="CD1429">
        <v>1</v>
      </c>
      <c r="CE1429">
        <v>1</v>
      </c>
      <c r="CF1429">
        <v>0</v>
      </c>
      <c r="CG1429">
        <v>1</v>
      </c>
      <c r="CH1429">
        <v>0</v>
      </c>
      <c r="CI1429">
        <v>0</v>
      </c>
      <c r="CJ1429">
        <v>0</v>
      </c>
      <c r="CK1429">
        <v>2</v>
      </c>
      <c r="CL1429">
        <v>0</v>
      </c>
      <c r="CM1429">
        <v>2</v>
      </c>
      <c r="CN1429">
        <v>0</v>
      </c>
      <c r="CO1429">
        <v>1</v>
      </c>
      <c r="CP1429" t="s">
        <v>119</v>
      </c>
      <c r="CQ1429">
        <v>145</v>
      </c>
      <c r="CR1429">
        <v>1</v>
      </c>
      <c r="CW1429">
        <v>9143552</v>
      </c>
      <c r="CY1429">
        <v>0</v>
      </c>
      <c r="CZ1429">
        <v>0</v>
      </c>
      <c r="DA1429">
        <v>0</v>
      </c>
      <c r="DB1429">
        <v>0</v>
      </c>
      <c r="DC1429">
        <v>0</v>
      </c>
      <c r="DD1429">
        <v>0</v>
      </c>
      <c r="DE1429">
        <v>0</v>
      </c>
      <c r="DF1429">
        <v>0</v>
      </c>
      <c r="DG1429">
        <v>0</v>
      </c>
      <c r="DH1429">
        <v>0</v>
      </c>
      <c r="DI1429">
        <v>0</v>
      </c>
    </row>
    <row r="1430" spans="1:113" x14ac:dyDescent="0.3">
      <c r="A1430" t="str">
        <f>"02/13/2022 18:45:48.370"</f>
        <v>02/13/2022 18:45:48.370</v>
      </c>
      <c r="C1430" t="str">
        <f t="shared" si="133"/>
        <v>FFDFD7C0</v>
      </c>
      <c r="D1430" t="s">
        <v>121</v>
      </c>
      <c r="E1430">
        <v>2</v>
      </c>
      <c r="H1430">
        <v>158</v>
      </c>
      <c r="I1430" t="s">
        <v>120</v>
      </c>
      <c r="J1430" t="s">
        <v>122</v>
      </c>
      <c r="K1430">
        <v>0</v>
      </c>
      <c r="L1430">
        <v>3</v>
      </c>
      <c r="M1430">
        <v>0</v>
      </c>
      <c r="N1430">
        <v>2</v>
      </c>
      <c r="O1430">
        <v>1</v>
      </c>
      <c r="P1430">
        <v>0</v>
      </c>
      <c r="Q1430">
        <v>0</v>
      </c>
      <c r="S1430" t="str">
        <f>"18:45:48.172"</f>
        <v>18:45:48.172</v>
      </c>
      <c r="T1430" t="str">
        <f>"18:45:47.672"</f>
        <v>18:45:47.672</v>
      </c>
      <c r="U1430" t="str">
        <f t="shared" si="135"/>
        <v>AAB6EE</v>
      </c>
      <c r="V1430">
        <v>0</v>
      </c>
      <c r="W1430">
        <v>0</v>
      </c>
      <c r="X1430">
        <v>4</v>
      </c>
      <c r="Z1430">
        <v>0</v>
      </c>
      <c r="AA1430">
        <v>8</v>
      </c>
      <c r="AB1430">
        <v>3</v>
      </c>
      <c r="AC1430">
        <v>0</v>
      </c>
      <c r="AD1430">
        <v>10</v>
      </c>
      <c r="AE1430">
        <v>0</v>
      </c>
      <c r="AF1430">
        <v>0</v>
      </c>
      <c r="AG1430">
        <v>1</v>
      </c>
      <c r="AH1430">
        <v>1</v>
      </c>
      <c r="AI1430" t="s">
        <v>1086</v>
      </c>
      <c r="AJ1430">
        <v>35.229999999999997</v>
      </c>
      <c r="AK1430" t="s">
        <v>1087</v>
      </c>
      <c r="AL1430">
        <v>-76.090450000000004</v>
      </c>
      <c r="AM1430">
        <v>25</v>
      </c>
      <c r="AN1430">
        <v>2925</v>
      </c>
      <c r="AO1430" t="s">
        <v>118</v>
      </c>
      <c r="AP1430">
        <v>163</v>
      </c>
      <c r="AQ1430">
        <v>12</v>
      </c>
      <c r="AR1430">
        <v>64</v>
      </c>
      <c r="AZ1430">
        <v>4516</v>
      </c>
      <c r="BA1430">
        <v>1</v>
      </c>
      <c r="BB1430" t="str">
        <f t="shared" si="136"/>
        <v xml:space="preserve">N79NX   </v>
      </c>
      <c r="BC1430">
        <v>1</v>
      </c>
      <c r="BE1430">
        <v>0</v>
      </c>
      <c r="BF1430">
        <v>0</v>
      </c>
      <c r="BG1430">
        <v>0</v>
      </c>
      <c r="BH1430">
        <v>2800</v>
      </c>
      <c r="BI1430">
        <v>0</v>
      </c>
      <c r="BJ1430">
        <v>0</v>
      </c>
      <c r="BK1430">
        <v>0</v>
      </c>
      <c r="BL1430">
        <v>0</v>
      </c>
      <c r="BO1430">
        <v>0</v>
      </c>
      <c r="BP1430">
        <v>0</v>
      </c>
      <c r="BW1430" t="str">
        <f>"18:45:48.172"</f>
        <v>18:45:48.172</v>
      </c>
      <c r="BZ1430">
        <v>0</v>
      </c>
      <c r="CA1430">
        <v>3008</v>
      </c>
      <c r="CB1430">
        <v>216</v>
      </c>
      <c r="CC1430">
        <v>458.4375</v>
      </c>
      <c r="CD1430">
        <v>1</v>
      </c>
      <c r="CE1430">
        <v>1</v>
      </c>
      <c r="CF1430">
        <v>0</v>
      </c>
      <c r="CG1430">
        <v>1</v>
      </c>
      <c r="CH1430">
        <v>0</v>
      </c>
      <c r="CI1430">
        <v>0</v>
      </c>
      <c r="CJ1430">
        <v>0</v>
      </c>
      <c r="CK1430">
        <v>2</v>
      </c>
      <c r="CL1430">
        <v>0</v>
      </c>
      <c r="CM1430">
        <v>2</v>
      </c>
      <c r="CN1430">
        <v>0</v>
      </c>
      <c r="CO1430">
        <v>1</v>
      </c>
      <c r="CP1430" t="s">
        <v>119</v>
      </c>
      <c r="CQ1430">
        <v>145</v>
      </c>
      <c r="CR1430">
        <v>1</v>
      </c>
      <c r="CW1430">
        <v>9143552</v>
      </c>
      <c r="CY1430">
        <v>0</v>
      </c>
      <c r="CZ1430">
        <v>0</v>
      </c>
      <c r="DA1430">
        <v>1</v>
      </c>
      <c r="DB1430">
        <v>0</v>
      </c>
      <c r="DC1430">
        <v>0</v>
      </c>
      <c r="DD1430">
        <v>0</v>
      </c>
      <c r="DE1430">
        <v>0</v>
      </c>
      <c r="DF1430">
        <v>0</v>
      </c>
      <c r="DG1430">
        <v>0</v>
      </c>
      <c r="DH1430">
        <v>0</v>
      </c>
      <c r="DI1430">
        <v>0</v>
      </c>
    </row>
    <row r="1431" spans="1:113" x14ac:dyDescent="0.3">
      <c r="A1431" t="str">
        <f>"02/13/2022 18:45:48.370"</f>
        <v>02/13/2022 18:45:48.370</v>
      </c>
      <c r="C1431" t="str">
        <f t="shared" si="133"/>
        <v>FFDFD7C0</v>
      </c>
      <c r="D1431" t="s">
        <v>113</v>
      </c>
      <c r="E1431">
        <v>4</v>
      </c>
      <c r="F1431">
        <v>1004</v>
      </c>
      <c r="G1431" t="s">
        <v>120</v>
      </c>
      <c r="J1431" t="s">
        <v>115</v>
      </c>
      <c r="K1431">
        <v>0</v>
      </c>
      <c r="L1431">
        <v>3</v>
      </c>
      <c r="M1431">
        <v>0</v>
      </c>
      <c r="N1431">
        <v>2</v>
      </c>
      <c r="O1431">
        <v>1</v>
      </c>
      <c r="P1431">
        <v>0</v>
      </c>
      <c r="Q1431">
        <v>0</v>
      </c>
      <c r="S1431" t="str">
        <f>"18:45:48.172"</f>
        <v>18:45:48.172</v>
      </c>
      <c r="T1431" t="str">
        <f>"18:45:47.672"</f>
        <v>18:45:47.672</v>
      </c>
      <c r="U1431" t="str">
        <f t="shared" si="135"/>
        <v>AAB6EE</v>
      </c>
      <c r="V1431">
        <v>0</v>
      </c>
      <c r="W1431">
        <v>0</v>
      </c>
      <c r="X1431">
        <v>4</v>
      </c>
      <c r="Z1431">
        <v>0</v>
      </c>
      <c r="AA1431">
        <v>8</v>
      </c>
      <c r="AB1431">
        <v>3</v>
      </c>
      <c r="AC1431">
        <v>0</v>
      </c>
      <c r="AD1431">
        <v>10</v>
      </c>
      <c r="AE1431">
        <v>0</v>
      </c>
      <c r="AF1431">
        <v>0</v>
      </c>
      <c r="AG1431">
        <v>1</v>
      </c>
      <c r="AH1431">
        <v>1</v>
      </c>
      <c r="AI1431" t="s">
        <v>1086</v>
      </c>
      <c r="AJ1431">
        <v>35.229999999999997</v>
      </c>
      <c r="AK1431" t="s">
        <v>1087</v>
      </c>
      <c r="AL1431">
        <v>-76.090450000000004</v>
      </c>
      <c r="AM1431">
        <v>25</v>
      </c>
      <c r="AN1431">
        <v>2925</v>
      </c>
      <c r="AO1431" t="s">
        <v>118</v>
      </c>
      <c r="AP1431">
        <v>163</v>
      </c>
      <c r="AQ1431">
        <v>12</v>
      </c>
      <c r="AR1431">
        <v>64</v>
      </c>
      <c r="AZ1431">
        <v>4516</v>
      </c>
      <c r="BA1431">
        <v>1</v>
      </c>
      <c r="BB1431" t="str">
        <f t="shared" si="136"/>
        <v xml:space="preserve">N79NX   </v>
      </c>
      <c r="BC1431">
        <v>1</v>
      </c>
      <c r="BE1431">
        <v>0</v>
      </c>
      <c r="BF1431">
        <v>0</v>
      </c>
      <c r="BG1431">
        <v>0</v>
      </c>
      <c r="BH1431">
        <v>2800</v>
      </c>
      <c r="BI1431">
        <v>0</v>
      </c>
      <c r="BJ1431">
        <v>0</v>
      </c>
      <c r="BK1431">
        <v>0</v>
      </c>
      <c r="BL1431">
        <v>0</v>
      </c>
      <c r="BO1431">
        <v>0</v>
      </c>
      <c r="BP1431">
        <v>0</v>
      </c>
      <c r="BW1431" t="str">
        <f>"18:45:48.172"</f>
        <v>18:45:48.172</v>
      </c>
      <c r="BZ1431">
        <v>0</v>
      </c>
      <c r="CA1431">
        <v>3008</v>
      </c>
      <c r="CB1431">
        <v>216</v>
      </c>
      <c r="CC1431">
        <v>458.4375</v>
      </c>
      <c r="CD1431">
        <v>1</v>
      </c>
      <c r="CE1431">
        <v>1</v>
      </c>
      <c r="CF1431">
        <v>0</v>
      </c>
      <c r="CG1431">
        <v>1</v>
      </c>
      <c r="CH1431">
        <v>0</v>
      </c>
      <c r="CI1431">
        <v>0</v>
      </c>
      <c r="CJ1431">
        <v>0</v>
      </c>
      <c r="CK1431">
        <v>2</v>
      </c>
      <c r="CL1431">
        <v>0</v>
      </c>
      <c r="CM1431">
        <v>2</v>
      </c>
      <c r="CN1431">
        <v>0</v>
      </c>
      <c r="CO1431">
        <v>1</v>
      </c>
      <c r="CP1431" t="s">
        <v>119</v>
      </c>
      <c r="CQ1431">
        <v>145</v>
      </c>
      <c r="CR1431">
        <v>1</v>
      </c>
      <c r="CW1431">
        <v>9143552</v>
      </c>
      <c r="CY1431">
        <v>0</v>
      </c>
      <c r="CZ1431">
        <v>0</v>
      </c>
      <c r="DA1431">
        <v>1</v>
      </c>
      <c r="DB1431">
        <v>0</v>
      </c>
      <c r="DC1431">
        <v>0</v>
      </c>
      <c r="DD1431">
        <v>0</v>
      </c>
      <c r="DE1431">
        <v>0</v>
      </c>
      <c r="DF1431">
        <v>0</v>
      </c>
      <c r="DG1431">
        <v>0</v>
      </c>
      <c r="DH1431">
        <v>0</v>
      </c>
      <c r="DI1431">
        <v>0</v>
      </c>
    </row>
    <row r="1432" spans="1:113" x14ac:dyDescent="0.3">
      <c r="A1432" t="str">
        <f>"02/13/2022 18:45:50.639"</f>
        <v>02/13/2022 18:45:50.639</v>
      </c>
      <c r="C1432" t="str">
        <f t="shared" si="133"/>
        <v>FFDFD7C0</v>
      </c>
      <c r="D1432" t="s">
        <v>113</v>
      </c>
      <c r="E1432">
        <v>3</v>
      </c>
      <c r="F1432">
        <v>1003</v>
      </c>
      <c r="G1432" t="s">
        <v>114</v>
      </c>
      <c r="J1432" t="s">
        <v>115</v>
      </c>
      <c r="K1432">
        <v>0</v>
      </c>
      <c r="L1432">
        <v>3</v>
      </c>
      <c r="M1432">
        <v>0</v>
      </c>
      <c r="N1432">
        <v>2</v>
      </c>
      <c r="O1432">
        <v>1</v>
      </c>
      <c r="P1432">
        <v>0</v>
      </c>
      <c r="Q1432">
        <v>0</v>
      </c>
      <c r="S1432" t="str">
        <f>"18:45:50.438"</f>
        <v>18:45:50.438</v>
      </c>
      <c r="T1432" t="str">
        <f>"18:45:50.337"</f>
        <v>18:45:50.337</v>
      </c>
      <c r="U1432" t="str">
        <f t="shared" si="135"/>
        <v>AAB6EE</v>
      </c>
      <c r="V1432">
        <v>0</v>
      </c>
      <c r="W1432">
        <v>0</v>
      </c>
      <c r="X1432">
        <v>4</v>
      </c>
      <c r="Z1432">
        <v>0</v>
      </c>
      <c r="AA1432">
        <v>8</v>
      </c>
      <c r="AB1432">
        <v>3</v>
      </c>
      <c r="AC1432">
        <v>0</v>
      </c>
      <c r="AD1432">
        <v>10</v>
      </c>
      <c r="AE1432">
        <v>0</v>
      </c>
      <c r="AF1432">
        <v>0</v>
      </c>
      <c r="AG1432">
        <v>1</v>
      </c>
      <c r="AH1432">
        <v>1</v>
      </c>
      <c r="AI1432" t="s">
        <v>1088</v>
      </c>
      <c r="AJ1432">
        <v>35.230086</v>
      </c>
      <c r="AK1432" t="s">
        <v>494</v>
      </c>
      <c r="AL1432">
        <v>-76.088325999999995</v>
      </c>
      <c r="AM1432">
        <v>25</v>
      </c>
      <c r="AN1432">
        <v>2925</v>
      </c>
      <c r="AO1432" t="s">
        <v>118</v>
      </c>
      <c r="AP1432">
        <v>162</v>
      </c>
      <c r="AQ1432">
        <v>11</v>
      </c>
      <c r="AR1432">
        <v>0</v>
      </c>
      <c r="AZ1432">
        <v>4516</v>
      </c>
      <c r="BA1432">
        <v>1</v>
      </c>
      <c r="BB1432" t="str">
        <f t="shared" si="136"/>
        <v xml:space="preserve">N79NX   </v>
      </c>
      <c r="BC1432">
        <v>1</v>
      </c>
      <c r="BE1432">
        <v>0</v>
      </c>
      <c r="BF1432">
        <v>0</v>
      </c>
      <c r="BG1432">
        <v>0</v>
      </c>
      <c r="BH1432">
        <v>2800</v>
      </c>
      <c r="BI1432">
        <v>0</v>
      </c>
      <c r="BJ1432">
        <v>0</v>
      </c>
      <c r="BK1432">
        <v>0</v>
      </c>
      <c r="BL1432">
        <v>0</v>
      </c>
      <c r="BO1432">
        <v>0</v>
      </c>
      <c r="BP1432">
        <v>0</v>
      </c>
      <c r="BW1432" t="str">
        <f>"18:45:50.442"</f>
        <v>18:45:50.442</v>
      </c>
      <c r="BZ1432">
        <v>0</v>
      </c>
      <c r="CA1432">
        <v>3008</v>
      </c>
      <c r="CB1432">
        <v>216</v>
      </c>
      <c r="CC1432">
        <v>458.4375</v>
      </c>
      <c r="CD1432">
        <v>1</v>
      </c>
      <c r="CE1432">
        <v>1</v>
      </c>
      <c r="CF1432">
        <v>0</v>
      </c>
      <c r="CG1432">
        <v>1</v>
      </c>
      <c r="CH1432">
        <v>0</v>
      </c>
      <c r="CI1432">
        <v>0</v>
      </c>
      <c r="CJ1432">
        <v>0</v>
      </c>
      <c r="CK1432">
        <v>2</v>
      </c>
      <c r="CL1432">
        <v>0</v>
      </c>
      <c r="CM1432">
        <v>2</v>
      </c>
      <c r="CN1432">
        <v>0</v>
      </c>
      <c r="CO1432">
        <v>1</v>
      </c>
      <c r="CP1432" t="s">
        <v>119</v>
      </c>
      <c r="CQ1432">
        <v>145</v>
      </c>
      <c r="CR1432">
        <v>1</v>
      </c>
      <c r="CW1432">
        <v>9144694</v>
      </c>
      <c r="CY1432">
        <v>0</v>
      </c>
      <c r="CZ1432">
        <v>0</v>
      </c>
      <c r="DA1432">
        <v>0</v>
      </c>
      <c r="DB1432">
        <v>0</v>
      </c>
      <c r="DC1432">
        <v>0</v>
      </c>
      <c r="DD1432">
        <v>0</v>
      </c>
      <c r="DE1432">
        <v>0</v>
      </c>
      <c r="DF1432">
        <v>0</v>
      </c>
      <c r="DG1432">
        <v>0</v>
      </c>
      <c r="DH1432">
        <v>0</v>
      </c>
      <c r="DI1432">
        <v>0</v>
      </c>
    </row>
    <row r="1433" spans="1:113" x14ac:dyDescent="0.3">
      <c r="A1433" t="str">
        <f>"02/13/2022 18:45:50.639"</f>
        <v>02/13/2022 18:45:50.639</v>
      </c>
      <c r="C1433" t="str">
        <f t="shared" si="133"/>
        <v>FFDFD7C0</v>
      </c>
      <c r="D1433" t="s">
        <v>113</v>
      </c>
      <c r="E1433">
        <v>4</v>
      </c>
      <c r="F1433">
        <v>1004</v>
      </c>
      <c r="G1433" t="s">
        <v>120</v>
      </c>
      <c r="J1433" t="s">
        <v>115</v>
      </c>
      <c r="K1433">
        <v>0</v>
      </c>
      <c r="L1433">
        <v>3</v>
      </c>
      <c r="M1433">
        <v>0</v>
      </c>
      <c r="N1433">
        <v>2</v>
      </c>
      <c r="O1433">
        <v>1</v>
      </c>
      <c r="P1433">
        <v>0</v>
      </c>
      <c r="Q1433">
        <v>0</v>
      </c>
      <c r="S1433" t="str">
        <f>"18:45:50.438"</f>
        <v>18:45:50.438</v>
      </c>
      <c r="T1433" t="str">
        <f>"18:45:50.337"</f>
        <v>18:45:50.337</v>
      </c>
      <c r="U1433" t="str">
        <f t="shared" si="135"/>
        <v>AAB6EE</v>
      </c>
      <c r="V1433">
        <v>0</v>
      </c>
      <c r="W1433">
        <v>0</v>
      </c>
      <c r="X1433">
        <v>4</v>
      </c>
      <c r="Z1433">
        <v>0</v>
      </c>
      <c r="AA1433">
        <v>8</v>
      </c>
      <c r="AB1433">
        <v>3</v>
      </c>
      <c r="AC1433">
        <v>0</v>
      </c>
      <c r="AD1433">
        <v>10</v>
      </c>
      <c r="AE1433">
        <v>0</v>
      </c>
      <c r="AF1433">
        <v>0</v>
      </c>
      <c r="AG1433">
        <v>1</v>
      </c>
      <c r="AH1433">
        <v>1</v>
      </c>
      <c r="AI1433" t="s">
        <v>1088</v>
      </c>
      <c r="AJ1433">
        <v>35.230086</v>
      </c>
      <c r="AK1433" t="s">
        <v>494</v>
      </c>
      <c r="AL1433">
        <v>-76.088325999999995</v>
      </c>
      <c r="AM1433">
        <v>25</v>
      </c>
      <c r="AN1433">
        <v>2925</v>
      </c>
      <c r="AO1433" t="s">
        <v>118</v>
      </c>
      <c r="AP1433">
        <v>162</v>
      </c>
      <c r="AQ1433">
        <v>11</v>
      </c>
      <c r="AR1433">
        <v>0</v>
      </c>
      <c r="AZ1433">
        <v>4516</v>
      </c>
      <c r="BA1433">
        <v>1</v>
      </c>
      <c r="BB1433" t="str">
        <f t="shared" si="136"/>
        <v xml:space="preserve">N79NX   </v>
      </c>
      <c r="BC1433">
        <v>1</v>
      </c>
      <c r="BE1433">
        <v>0</v>
      </c>
      <c r="BF1433">
        <v>0</v>
      </c>
      <c r="BG1433">
        <v>0</v>
      </c>
      <c r="BH1433">
        <v>2800</v>
      </c>
      <c r="BI1433">
        <v>0</v>
      </c>
      <c r="BJ1433">
        <v>0</v>
      </c>
      <c r="BK1433">
        <v>0</v>
      </c>
      <c r="BL1433">
        <v>0</v>
      </c>
      <c r="BO1433">
        <v>0</v>
      </c>
      <c r="BP1433">
        <v>0</v>
      </c>
      <c r="BW1433" t="str">
        <f>"18:45:50.442"</f>
        <v>18:45:50.442</v>
      </c>
      <c r="BZ1433">
        <v>0</v>
      </c>
      <c r="CA1433">
        <v>3008</v>
      </c>
      <c r="CB1433">
        <v>216</v>
      </c>
      <c r="CC1433">
        <v>458.4375</v>
      </c>
      <c r="CD1433">
        <v>1</v>
      </c>
      <c r="CE1433">
        <v>1</v>
      </c>
      <c r="CF1433">
        <v>0</v>
      </c>
      <c r="CG1433">
        <v>1</v>
      </c>
      <c r="CH1433">
        <v>0</v>
      </c>
      <c r="CI1433">
        <v>0</v>
      </c>
      <c r="CJ1433">
        <v>0</v>
      </c>
      <c r="CK1433">
        <v>2</v>
      </c>
      <c r="CL1433">
        <v>0</v>
      </c>
      <c r="CM1433">
        <v>2</v>
      </c>
      <c r="CN1433">
        <v>0</v>
      </c>
      <c r="CO1433">
        <v>1</v>
      </c>
      <c r="CP1433" t="s">
        <v>119</v>
      </c>
      <c r="CQ1433">
        <v>145</v>
      </c>
      <c r="CR1433">
        <v>1</v>
      </c>
      <c r="CW1433">
        <v>9144694</v>
      </c>
      <c r="CY1433">
        <v>0</v>
      </c>
      <c r="CZ1433">
        <v>0</v>
      </c>
      <c r="DA1433">
        <v>1</v>
      </c>
      <c r="DB1433">
        <v>0</v>
      </c>
      <c r="DC1433">
        <v>0</v>
      </c>
      <c r="DD1433">
        <v>0</v>
      </c>
      <c r="DE1433">
        <v>0</v>
      </c>
      <c r="DF1433">
        <v>0</v>
      </c>
      <c r="DG1433">
        <v>0</v>
      </c>
      <c r="DH1433">
        <v>0</v>
      </c>
      <c r="DI1433">
        <v>0</v>
      </c>
    </row>
    <row r="1434" spans="1:113" x14ac:dyDescent="0.3">
      <c r="A1434" t="str">
        <f>"02/13/2022 18:45:50.639"</f>
        <v>02/13/2022 18:45:50.639</v>
      </c>
      <c r="C1434" t="str">
        <f t="shared" si="133"/>
        <v>FFDFD7C0</v>
      </c>
      <c r="D1434" t="s">
        <v>121</v>
      </c>
      <c r="E1434">
        <v>2</v>
      </c>
      <c r="H1434">
        <v>158</v>
      </c>
      <c r="I1434" t="s">
        <v>120</v>
      </c>
      <c r="J1434" t="s">
        <v>122</v>
      </c>
      <c r="K1434">
        <v>0</v>
      </c>
      <c r="L1434">
        <v>3</v>
      </c>
      <c r="M1434">
        <v>0</v>
      </c>
      <c r="N1434">
        <v>2</v>
      </c>
      <c r="O1434">
        <v>1</v>
      </c>
      <c r="P1434">
        <v>0</v>
      </c>
      <c r="Q1434">
        <v>0</v>
      </c>
      <c r="S1434" t="str">
        <f>"18:45:50.438"</f>
        <v>18:45:50.438</v>
      </c>
      <c r="T1434" t="str">
        <f>"18:45:50.337"</f>
        <v>18:45:50.337</v>
      </c>
      <c r="U1434" t="str">
        <f t="shared" si="135"/>
        <v>AAB6EE</v>
      </c>
      <c r="V1434">
        <v>0</v>
      </c>
      <c r="W1434">
        <v>0</v>
      </c>
      <c r="X1434">
        <v>4</v>
      </c>
      <c r="Z1434">
        <v>0</v>
      </c>
      <c r="AA1434">
        <v>8</v>
      </c>
      <c r="AB1434">
        <v>3</v>
      </c>
      <c r="AC1434">
        <v>0</v>
      </c>
      <c r="AD1434">
        <v>10</v>
      </c>
      <c r="AE1434">
        <v>0</v>
      </c>
      <c r="AF1434">
        <v>0</v>
      </c>
      <c r="AG1434">
        <v>1</v>
      </c>
      <c r="AH1434">
        <v>1</v>
      </c>
      <c r="AI1434" t="s">
        <v>1088</v>
      </c>
      <c r="AJ1434">
        <v>35.230086</v>
      </c>
      <c r="AK1434" t="s">
        <v>494</v>
      </c>
      <c r="AL1434">
        <v>-76.088325999999995</v>
      </c>
      <c r="AM1434">
        <v>25</v>
      </c>
      <c r="AN1434">
        <v>2925</v>
      </c>
      <c r="AO1434" t="s">
        <v>118</v>
      </c>
      <c r="AP1434">
        <v>162</v>
      </c>
      <c r="AQ1434">
        <v>11</v>
      </c>
      <c r="AR1434">
        <v>0</v>
      </c>
      <c r="AZ1434">
        <v>4516</v>
      </c>
      <c r="BA1434">
        <v>1</v>
      </c>
      <c r="BB1434" t="str">
        <f t="shared" si="136"/>
        <v xml:space="preserve">N79NX   </v>
      </c>
      <c r="BC1434">
        <v>1</v>
      </c>
      <c r="BE1434">
        <v>0</v>
      </c>
      <c r="BF1434">
        <v>0</v>
      </c>
      <c r="BG1434">
        <v>0</v>
      </c>
      <c r="BH1434">
        <v>2800</v>
      </c>
      <c r="BI1434">
        <v>0</v>
      </c>
      <c r="BJ1434">
        <v>0</v>
      </c>
      <c r="BK1434">
        <v>0</v>
      </c>
      <c r="BL1434">
        <v>0</v>
      </c>
      <c r="BO1434">
        <v>0</v>
      </c>
      <c r="BP1434">
        <v>0</v>
      </c>
      <c r="BW1434" t="str">
        <f>"18:45:50.442"</f>
        <v>18:45:50.442</v>
      </c>
      <c r="BZ1434">
        <v>0</v>
      </c>
      <c r="CA1434">
        <v>3008</v>
      </c>
      <c r="CB1434">
        <v>216</v>
      </c>
      <c r="CC1434">
        <v>458.4375</v>
      </c>
      <c r="CD1434">
        <v>1</v>
      </c>
      <c r="CE1434">
        <v>1</v>
      </c>
      <c r="CF1434">
        <v>0</v>
      </c>
      <c r="CG1434">
        <v>1</v>
      </c>
      <c r="CH1434">
        <v>0</v>
      </c>
      <c r="CI1434">
        <v>0</v>
      </c>
      <c r="CJ1434">
        <v>0</v>
      </c>
      <c r="CK1434">
        <v>2</v>
      </c>
      <c r="CL1434">
        <v>0</v>
      </c>
      <c r="CM1434">
        <v>2</v>
      </c>
      <c r="CN1434">
        <v>0</v>
      </c>
      <c r="CO1434">
        <v>1</v>
      </c>
      <c r="CP1434" t="s">
        <v>119</v>
      </c>
      <c r="CQ1434">
        <v>145</v>
      </c>
      <c r="CR1434">
        <v>1</v>
      </c>
      <c r="CW1434">
        <v>9144694</v>
      </c>
      <c r="CY1434">
        <v>0</v>
      </c>
      <c r="CZ1434">
        <v>0</v>
      </c>
      <c r="DA1434">
        <v>1</v>
      </c>
      <c r="DB1434">
        <v>0</v>
      </c>
      <c r="DC1434">
        <v>0</v>
      </c>
      <c r="DD1434">
        <v>0</v>
      </c>
      <c r="DE1434">
        <v>0</v>
      </c>
      <c r="DF1434">
        <v>0</v>
      </c>
      <c r="DG1434">
        <v>0</v>
      </c>
      <c r="DH1434">
        <v>0</v>
      </c>
      <c r="DI1434">
        <v>0</v>
      </c>
    </row>
    <row r="1435" spans="1:113" x14ac:dyDescent="0.3">
      <c r="A1435" t="str">
        <f>"02/13/2022 18:45:52.280"</f>
        <v>02/13/2022 18:45:52.280</v>
      </c>
      <c r="C1435" t="str">
        <f t="shared" si="133"/>
        <v>FFDFD7C0</v>
      </c>
      <c r="D1435" t="s">
        <v>113</v>
      </c>
      <c r="E1435">
        <v>3</v>
      </c>
      <c r="F1435">
        <v>1003</v>
      </c>
      <c r="G1435" t="s">
        <v>114</v>
      </c>
      <c r="J1435" t="s">
        <v>115</v>
      </c>
      <c r="K1435">
        <v>0</v>
      </c>
      <c r="L1435">
        <v>3</v>
      </c>
      <c r="M1435">
        <v>0</v>
      </c>
      <c r="N1435">
        <v>2</v>
      </c>
      <c r="O1435">
        <v>1</v>
      </c>
      <c r="P1435">
        <v>0</v>
      </c>
      <c r="Q1435">
        <v>0</v>
      </c>
      <c r="S1435" t="str">
        <f>"18:45:52.070"</f>
        <v>18:45:52.070</v>
      </c>
      <c r="T1435" t="str">
        <f>"18:45:51.770"</f>
        <v>18:45:51.770</v>
      </c>
      <c r="U1435" t="str">
        <f t="shared" si="135"/>
        <v>AAB6EE</v>
      </c>
      <c r="V1435">
        <v>0</v>
      </c>
      <c r="W1435">
        <v>0</v>
      </c>
      <c r="X1435">
        <v>4</v>
      </c>
      <c r="Z1435">
        <v>0</v>
      </c>
      <c r="AA1435">
        <v>8</v>
      </c>
      <c r="AB1435">
        <v>3</v>
      </c>
      <c r="AC1435">
        <v>0</v>
      </c>
      <c r="AD1435">
        <v>10</v>
      </c>
      <c r="AE1435">
        <v>0</v>
      </c>
      <c r="AF1435">
        <v>0</v>
      </c>
      <c r="AG1435">
        <v>1</v>
      </c>
      <c r="AH1435">
        <v>1</v>
      </c>
      <c r="AI1435" t="s">
        <v>1089</v>
      </c>
      <c r="AJ1435">
        <v>35.230172000000003</v>
      </c>
      <c r="AK1435" t="s">
        <v>1090</v>
      </c>
      <c r="AL1435">
        <v>-76.086866999999998</v>
      </c>
      <c r="AM1435">
        <v>25</v>
      </c>
      <c r="AN1435">
        <v>2950</v>
      </c>
      <c r="AO1435" t="s">
        <v>118</v>
      </c>
      <c r="AP1435">
        <v>162</v>
      </c>
      <c r="AQ1435">
        <v>11</v>
      </c>
      <c r="AR1435">
        <v>64</v>
      </c>
      <c r="AZ1435">
        <v>4516</v>
      </c>
      <c r="BA1435">
        <v>1</v>
      </c>
      <c r="BB1435" t="str">
        <f t="shared" si="136"/>
        <v xml:space="preserve">N79NX   </v>
      </c>
      <c r="BC1435">
        <v>1</v>
      </c>
      <c r="BE1435">
        <v>0</v>
      </c>
      <c r="BF1435">
        <v>0</v>
      </c>
      <c r="BG1435">
        <v>0</v>
      </c>
      <c r="BH1435">
        <v>2800</v>
      </c>
      <c r="BI1435">
        <v>0</v>
      </c>
      <c r="BJ1435">
        <v>0</v>
      </c>
      <c r="BK1435">
        <v>0</v>
      </c>
      <c r="BL1435">
        <v>0</v>
      </c>
      <c r="BO1435">
        <v>0</v>
      </c>
      <c r="BP1435">
        <v>0</v>
      </c>
      <c r="BW1435" t="str">
        <f>"18:45:52.072"</f>
        <v>18:45:52.072</v>
      </c>
      <c r="BZ1435">
        <v>0</v>
      </c>
      <c r="CA1435">
        <v>3008</v>
      </c>
      <c r="CB1435">
        <v>216</v>
      </c>
      <c r="CC1435">
        <v>458.4375</v>
      </c>
      <c r="CD1435">
        <v>1</v>
      </c>
      <c r="CE1435">
        <v>1</v>
      </c>
      <c r="CF1435">
        <v>0</v>
      </c>
      <c r="CG1435">
        <v>1</v>
      </c>
      <c r="CH1435">
        <v>0</v>
      </c>
      <c r="CI1435">
        <v>0</v>
      </c>
      <c r="CJ1435">
        <v>0</v>
      </c>
      <c r="CK1435">
        <v>2</v>
      </c>
      <c r="CL1435">
        <v>0</v>
      </c>
      <c r="CM1435">
        <v>2</v>
      </c>
      <c r="CN1435">
        <v>0</v>
      </c>
      <c r="CO1435">
        <v>1</v>
      </c>
      <c r="CP1435" t="s">
        <v>119</v>
      </c>
      <c r="CQ1435">
        <v>145</v>
      </c>
      <c r="CR1435">
        <v>1</v>
      </c>
      <c r="CW1435">
        <v>9145561</v>
      </c>
      <c r="CY1435">
        <v>0</v>
      </c>
      <c r="CZ1435">
        <v>0</v>
      </c>
      <c r="DA1435">
        <v>0</v>
      </c>
      <c r="DB1435">
        <v>0</v>
      </c>
      <c r="DC1435">
        <v>0</v>
      </c>
      <c r="DD1435">
        <v>0</v>
      </c>
      <c r="DE1435">
        <v>0</v>
      </c>
      <c r="DF1435">
        <v>0</v>
      </c>
      <c r="DG1435">
        <v>0</v>
      </c>
      <c r="DH1435">
        <v>0</v>
      </c>
      <c r="DI1435">
        <v>0</v>
      </c>
    </row>
    <row r="1436" spans="1:113" x14ac:dyDescent="0.3">
      <c r="A1436" t="str">
        <f>"02/13/2022 18:45:52.280"</f>
        <v>02/13/2022 18:45:52.280</v>
      </c>
      <c r="C1436" t="str">
        <f t="shared" si="133"/>
        <v>FFDFD7C0</v>
      </c>
      <c r="D1436" t="s">
        <v>121</v>
      </c>
      <c r="E1436">
        <v>2</v>
      </c>
      <c r="H1436">
        <v>158</v>
      </c>
      <c r="I1436" t="s">
        <v>120</v>
      </c>
      <c r="J1436" t="s">
        <v>122</v>
      </c>
      <c r="K1436">
        <v>0</v>
      </c>
      <c r="L1436">
        <v>3</v>
      </c>
      <c r="M1436">
        <v>0</v>
      </c>
      <c r="N1436">
        <v>2</v>
      </c>
      <c r="O1436">
        <v>1</v>
      </c>
      <c r="P1436">
        <v>0</v>
      </c>
      <c r="Q1436">
        <v>0</v>
      </c>
      <c r="S1436" t="str">
        <f>"18:45:52.070"</f>
        <v>18:45:52.070</v>
      </c>
      <c r="T1436" t="str">
        <f>"18:45:51.770"</f>
        <v>18:45:51.770</v>
      </c>
      <c r="U1436" t="str">
        <f t="shared" si="135"/>
        <v>AAB6EE</v>
      </c>
      <c r="V1436">
        <v>0</v>
      </c>
      <c r="W1436">
        <v>0</v>
      </c>
      <c r="X1436">
        <v>4</v>
      </c>
      <c r="Z1436">
        <v>0</v>
      </c>
      <c r="AA1436">
        <v>8</v>
      </c>
      <c r="AB1436">
        <v>3</v>
      </c>
      <c r="AC1436">
        <v>0</v>
      </c>
      <c r="AD1436">
        <v>10</v>
      </c>
      <c r="AE1436">
        <v>0</v>
      </c>
      <c r="AF1436">
        <v>0</v>
      </c>
      <c r="AG1436">
        <v>1</v>
      </c>
      <c r="AH1436">
        <v>1</v>
      </c>
      <c r="AI1436" t="s">
        <v>1089</v>
      </c>
      <c r="AJ1436">
        <v>35.230172000000003</v>
      </c>
      <c r="AK1436" t="s">
        <v>1090</v>
      </c>
      <c r="AL1436">
        <v>-76.086866999999998</v>
      </c>
      <c r="AM1436">
        <v>25</v>
      </c>
      <c r="AN1436">
        <v>2950</v>
      </c>
      <c r="AO1436" t="s">
        <v>118</v>
      </c>
      <c r="AP1436">
        <v>162</v>
      </c>
      <c r="AQ1436">
        <v>11</v>
      </c>
      <c r="AR1436">
        <v>64</v>
      </c>
      <c r="AZ1436">
        <v>4516</v>
      </c>
      <c r="BA1436">
        <v>1</v>
      </c>
      <c r="BB1436" t="str">
        <f t="shared" si="136"/>
        <v xml:space="preserve">N79NX   </v>
      </c>
      <c r="BC1436">
        <v>1</v>
      </c>
      <c r="BE1436">
        <v>0</v>
      </c>
      <c r="BF1436">
        <v>0</v>
      </c>
      <c r="BG1436">
        <v>0</v>
      </c>
      <c r="BH1436">
        <v>2800</v>
      </c>
      <c r="BI1436">
        <v>0</v>
      </c>
      <c r="BJ1436">
        <v>0</v>
      </c>
      <c r="BK1436">
        <v>0</v>
      </c>
      <c r="BL1436">
        <v>0</v>
      </c>
      <c r="BO1436">
        <v>0</v>
      </c>
      <c r="BP1436">
        <v>0</v>
      </c>
      <c r="BW1436" t="str">
        <f>"18:45:52.072"</f>
        <v>18:45:52.072</v>
      </c>
      <c r="BZ1436">
        <v>0</v>
      </c>
      <c r="CA1436">
        <v>3008</v>
      </c>
      <c r="CB1436">
        <v>216</v>
      </c>
      <c r="CC1436">
        <v>458.4375</v>
      </c>
      <c r="CD1436">
        <v>1</v>
      </c>
      <c r="CE1436">
        <v>1</v>
      </c>
      <c r="CF1436">
        <v>0</v>
      </c>
      <c r="CG1436">
        <v>1</v>
      </c>
      <c r="CH1436">
        <v>0</v>
      </c>
      <c r="CI1436">
        <v>0</v>
      </c>
      <c r="CJ1436">
        <v>0</v>
      </c>
      <c r="CK1436">
        <v>2</v>
      </c>
      <c r="CL1436">
        <v>0</v>
      </c>
      <c r="CM1436">
        <v>2</v>
      </c>
      <c r="CN1436">
        <v>0</v>
      </c>
      <c r="CO1436">
        <v>1</v>
      </c>
      <c r="CP1436" t="s">
        <v>119</v>
      </c>
      <c r="CQ1436">
        <v>145</v>
      </c>
      <c r="CR1436">
        <v>1</v>
      </c>
      <c r="CW1436">
        <v>9145561</v>
      </c>
      <c r="CY1436">
        <v>0</v>
      </c>
      <c r="CZ1436">
        <v>0</v>
      </c>
      <c r="DA1436">
        <v>1</v>
      </c>
      <c r="DB1436">
        <v>0</v>
      </c>
      <c r="DC1436">
        <v>0</v>
      </c>
      <c r="DD1436">
        <v>0</v>
      </c>
      <c r="DE1436">
        <v>0</v>
      </c>
      <c r="DF1436">
        <v>0</v>
      </c>
      <c r="DG1436">
        <v>0</v>
      </c>
      <c r="DH1436">
        <v>0</v>
      </c>
      <c r="DI1436">
        <v>0</v>
      </c>
    </row>
    <row r="1437" spans="1:113" x14ac:dyDescent="0.3">
      <c r="A1437" t="str">
        <f>"02/13/2022 18:45:52.280"</f>
        <v>02/13/2022 18:45:52.280</v>
      </c>
      <c r="C1437" t="str">
        <f t="shared" si="133"/>
        <v>FFDFD7C0</v>
      </c>
      <c r="D1437" t="s">
        <v>113</v>
      </c>
      <c r="E1437">
        <v>4</v>
      </c>
      <c r="F1437">
        <v>1004</v>
      </c>
      <c r="G1437" t="s">
        <v>120</v>
      </c>
      <c r="J1437" t="s">
        <v>115</v>
      </c>
      <c r="K1437">
        <v>0</v>
      </c>
      <c r="L1437">
        <v>3</v>
      </c>
      <c r="M1437">
        <v>0</v>
      </c>
      <c r="N1437">
        <v>2</v>
      </c>
      <c r="O1437">
        <v>1</v>
      </c>
      <c r="P1437">
        <v>0</v>
      </c>
      <c r="Q1437">
        <v>0</v>
      </c>
      <c r="S1437" t="str">
        <f>"18:45:52.070"</f>
        <v>18:45:52.070</v>
      </c>
      <c r="T1437" t="str">
        <f>"18:45:51.770"</f>
        <v>18:45:51.770</v>
      </c>
      <c r="U1437" t="str">
        <f t="shared" si="135"/>
        <v>AAB6EE</v>
      </c>
      <c r="V1437">
        <v>0</v>
      </c>
      <c r="W1437">
        <v>0</v>
      </c>
      <c r="X1437">
        <v>4</v>
      </c>
      <c r="Z1437">
        <v>0</v>
      </c>
      <c r="AA1437">
        <v>8</v>
      </c>
      <c r="AB1437">
        <v>3</v>
      </c>
      <c r="AC1437">
        <v>0</v>
      </c>
      <c r="AD1437">
        <v>10</v>
      </c>
      <c r="AE1437">
        <v>0</v>
      </c>
      <c r="AF1437">
        <v>0</v>
      </c>
      <c r="AG1437">
        <v>1</v>
      </c>
      <c r="AH1437">
        <v>1</v>
      </c>
      <c r="AI1437" t="s">
        <v>1089</v>
      </c>
      <c r="AJ1437">
        <v>35.230172000000003</v>
      </c>
      <c r="AK1437" t="s">
        <v>1090</v>
      </c>
      <c r="AL1437">
        <v>-76.086866999999998</v>
      </c>
      <c r="AM1437">
        <v>25</v>
      </c>
      <c r="AN1437">
        <v>2950</v>
      </c>
      <c r="AO1437" t="s">
        <v>118</v>
      </c>
      <c r="AP1437">
        <v>162</v>
      </c>
      <c r="AQ1437">
        <v>11</v>
      </c>
      <c r="AR1437">
        <v>64</v>
      </c>
      <c r="AZ1437">
        <v>4516</v>
      </c>
      <c r="BA1437">
        <v>1</v>
      </c>
      <c r="BB1437" t="str">
        <f t="shared" si="136"/>
        <v xml:space="preserve">N79NX   </v>
      </c>
      <c r="BC1437">
        <v>1</v>
      </c>
      <c r="BE1437">
        <v>0</v>
      </c>
      <c r="BF1437">
        <v>0</v>
      </c>
      <c r="BG1437">
        <v>0</v>
      </c>
      <c r="BH1437">
        <v>2800</v>
      </c>
      <c r="BI1437">
        <v>0</v>
      </c>
      <c r="BJ1437">
        <v>0</v>
      </c>
      <c r="BK1437">
        <v>0</v>
      </c>
      <c r="BL1437">
        <v>0</v>
      </c>
      <c r="BO1437">
        <v>0</v>
      </c>
      <c r="BP1437">
        <v>0</v>
      </c>
      <c r="BW1437" t="str">
        <f>"18:45:52.072"</f>
        <v>18:45:52.072</v>
      </c>
      <c r="BZ1437">
        <v>0</v>
      </c>
      <c r="CA1437">
        <v>3008</v>
      </c>
      <c r="CB1437">
        <v>216</v>
      </c>
      <c r="CC1437">
        <v>458.4375</v>
      </c>
      <c r="CD1437">
        <v>1</v>
      </c>
      <c r="CE1437">
        <v>1</v>
      </c>
      <c r="CF1437">
        <v>0</v>
      </c>
      <c r="CG1437">
        <v>1</v>
      </c>
      <c r="CH1437">
        <v>0</v>
      </c>
      <c r="CI1437">
        <v>0</v>
      </c>
      <c r="CJ1437">
        <v>0</v>
      </c>
      <c r="CK1437">
        <v>2</v>
      </c>
      <c r="CL1437">
        <v>0</v>
      </c>
      <c r="CM1437">
        <v>2</v>
      </c>
      <c r="CN1437">
        <v>0</v>
      </c>
      <c r="CO1437">
        <v>1</v>
      </c>
      <c r="CP1437" t="s">
        <v>119</v>
      </c>
      <c r="CQ1437">
        <v>145</v>
      </c>
      <c r="CR1437">
        <v>1</v>
      </c>
      <c r="CW1437">
        <v>9145561</v>
      </c>
      <c r="CY1437">
        <v>0</v>
      </c>
      <c r="CZ1437">
        <v>0</v>
      </c>
      <c r="DA1437">
        <v>1</v>
      </c>
      <c r="DB1437">
        <v>0</v>
      </c>
      <c r="DC1437">
        <v>0</v>
      </c>
      <c r="DD1437">
        <v>0</v>
      </c>
      <c r="DE1437">
        <v>0</v>
      </c>
      <c r="DF1437">
        <v>0</v>
      </c>
      <c r="DG1437">
        <v>0</v>
      </c>
      <c r="DH1437">
        <v>0</v>
      </c>
      <c r="DI1437">
        <v>0</v>
      </c>
    </row>
    <row r="1438" spans="1:113" x14ac:dyDescent="0.3">
      <c r="A1438" t="str">
        <f>"02/13/2022 18:45:53.562"</f>
        <v>02/13/2022 18:45:53.562</v>
      </c>
      <c r="C1438" t="str">
        <f t="shared" si="133"/>
        <v>FFDFD7C0</v>
      </c>
      <c r="D1438" t="s">
        <v>113</v>
      </c>
      <c r="E1438">
        <v>3</v>
      </c>
      <c r="F1438">
        <v>1003</v>
      </c>
      <c r="G1438" t="s">
        <v>114</v>
      </c>
      <c r="J1438" t="s">
        <v>115</v>
      </c>
      <c r="K1438">
        <v>0</v>
      </c>
      <c r="L1438">
        <v>3</v>
      </c>
      <c r="M1438">
        <v>0</v>
      </c>
      <c r="N1438">
        <v>2</v>
      </c>
      <c r="O1438">
        <v>1</v>
      </c>
      <c r="P1438">
        <v>0</v>
      </c>
      <c r="Q1438">
        <v>0</v>
      </c>
      <c r="S1438" t="str">
        <f>"18:45:53.188"</f>
        <v>18:45:53.188</v>
      </c>
      <c r="T1438" t="str">
        <f>"18:45:52.688"</f>
        <v>18:45:52.688</v>
      </c>
      <c r="U1438" t="str">
        <f t="shared" si="135"/>
        <v>AAB6EE</v>
      </c>
      <c r="V1438">
        <v>0</v>
      </c>
      <c r="W1438">
        <v>0</v>
      </c>
      <c r="X1438">
        <v>4</v>
      </c>
      <c r="Z1438">
        <v>0</v>
      </c>
      <c r="AA1438">
        <v>8</v>
      </c>
      <c r="AB1438">
        <v>3</v>
      </c>
      <c r="AC1438">
        <v>0</v>
      </c>
      <c r="AD1438">
        <v>10</v>
      </c>
      <c r="AE1438">
        <v>0</v>
      </c>
      <c r="AF1438">
        <v>0</v>
      </c>
      <c r="AG1438">
        <v>1</v>
      </c>
      <c r="AH1438">
        <v>1</v>
      </c>
      <c r="AI1438" t="s">
        <v>1091</v>
      </c>
      <c r="AJ1438">
        <v>35.230215000000001</v>
      </c>
      <c r="AK1438" t="s">
        <v>1092</v>
      </c>
      <c r="AL1438">
        <v>-76.085880000000003</v>
      </c>
      <c r="AM1438">
        <v>25</v>
      </c>
      <c r="AN1438">
        <v>2950</v>
      </c>
      <c r="AO1438" t="s">
        <v>118</v>
      </c>
      <c r="AP1438">
        <v>162</v>
      </c>
      <c r="AQ1438">
        <v>11</v>
      </c>
      <c r="AR1438">
        <v>64</v>
      </c>
      <c r="AZ1438">
        <v>4516</v>
      </c>
      <c r="BA1438">
        <v>1</v>
      </c>
      <c r="BB1438" t="str">
        <f t="shared" si="136"/>
        <v xml:space="preserve">N79NX   </v>
      </c>
      <c r="BC1438">
        <v>1</v>
      </c>
      <c r="BE1438">
        <v>0</v>
      </c>
      <c r="BF1438">
        <v>0</v>
      </c>
      <c r="BG1438">
        <v>0</v>
      </c>
      <c r="BH1438">
        <v>2800</v>
      </c>
      <c r="BI1438">
        <v>0</v>
      </c>
      <c r="BJ1438">
        <v>0</v>
      </c>
      <c r="BK1438">
        <v>0</v>
      </c>
      <c r="BL1438">
        <v>0</v>
      </c>
      <c r="BO1438">
        <v>0</v>
      </c>
      <c r="BP1438">
        <v>0</v>
      </c>
      <c r="BW1438" t="str">
        <f>"18:45:53.192"</f>
        <v>18:45:53.192</v>
      </c>
      <c r="BZ1438">
        <v>0</v>
      </c>
      <c r="CA1438">
        <v>3008</v>
      </c>
      <c r="CB1438">
        <v>216</v>
      </c>
      <c r="CC1438">
        <v>458.4375</v>
      </c>
      <c r="CD1438">
        <v>1</v>
      </c>
      <c r="CE1438">
        <v>1</v>
      </c>
      <c r="CF1438">
        <v>0</v>
      </c>
      <c r="CG1438">
        <v>1</v>
      </c>
      <c r="CH1438">
        <v>0</v>
      </c>
      <c r="CI1438">
        <v>0</v>
      </c>
      <c r="CJ1438">
        <v>0</v>
      </c>
      <c r="CK1438">
        <v>2</v>
      </c>
      <c r="CL1438">
        <v>0</v>
      </c>
      <c r="CM1438">
        <v>2</v>
      </c>
      <c r="CN1438">
        <v>0</v>
      </c>
      <c r="CO1438">
        <v>1</v>
      </c>
      <c r="CP1438" t="s">
        <v>119</v>
      </c>
      <c r="CQ1438">
        <v>145</v>
      </c>
      <c r="CR1438">
        <v>1</v>
      </c>
      <c r="CW1438">
        <v>9146190</v>
      </c>
      <c r="CY1438">
        <v>0</v>
      </c>
      <c r="CZ1438">
        <v>0</v>
      </c>
      <c r="DA1438">
        <v>0</v>
      </c>
      <c r="DB1438">
        <v>0</v>
      </c>
      <c r="DC1438">
        <v>0</v>
      </c>
      <c r="DD1438">
        <v>0</v>
      </c>
      <c r="DE1438">
        <v>0</v>
      </c>
      <c r="DF1438">
        <v>0</v>
      </c>
      <c r="DG1438">
        <v>0</v>
      </c>
      <c r="DH1438">
        <v>0</v>
      </c>
      <c r="DI1438">
        <v>0</v>
      </c>
    </row>
    <row r="1439" spans="1:113" x14ac:dyDescent="0.3">
      <c r="A1439" t="str">
        <f>"02/13/2022 18:45:53.562"</f>
        <v>02/13/2022 18:45:53.562</v>
      </c>
      <c r="C1439" t="str">
        <f t="shared" si="133"/>
        <v>FFDFD7C0</v>
      </c>
      <c r="D1439" t="s">
        <v>121</v>
      </c>
      <c r="E1439">
        <v>2</v>
      </c>
      <c r="H1439">
        <v>158</v>
      </c>
      <c r="I1439" t="s">
        <v>120</v>
      </c>
      <c r="J1439" t="s">
        <v>122</v>
      </c>
      <c r="K1439">
        <v>0</v>
      </c>
      <c r="L1439">
        <v>3</v>
      </c>
      <c r="M1439">
        <v>0</v>
      </c>
      <c r="N1439">
        <v>2</v>
      </c>
      <c r="O1439">
        <v>1</v>
      </c>
      <c r="P1439">
        <v>0</v>
      </c>
      <c r="Q1439">
        <v>0</v>
      </c>
      <c r="S1439" t="str">
        <f>"18:45:53.188"</f>
        <v>18:45:53.188</v>
      </c>
      <c r="T1439" t="str">
        <f>"18:45:52.688"</f>
        <v>18:45:52.688</v>
      </c>
      <c r="U1439" t="str">
        <f t="shared" si="135"/>
        <v>AAB6EE</v>
      </c>
      <c r="V1439">
        <v>0</v>
      </c>
      <c r="W1439">
        <v>0</v>
      </c>
      <c r="X1439">
        <v>4</v>
      </c>
      <c r="Z1439">
        <v>0</v>
      </c>
      <c r="AA1439">
        <v>8</v>
      </c>
      <c r="AB1439">
        <v>3</v>
      </c>
      <c r="AC1439">
        <v>0</v>
      </c>
      <c r="AD1439">
        <v>10</v>
      </c>
      <c r="AE1439">
        <v>0</v>
      </c>
      <c r="AF1439">
        <v>0</v>
      </c>
      <c r="AG1439">
        <v>1</v>
      </c>
      <c r="AH1439">
        <v>1</v>
      </c>
      <c r="AI1439" t="s">
        <v>1091</v>
      </c>
      <c r="AJ1439">
        <v>35.230215000000001</v>
      </c>
      <c r="AK1439" t="s">
        <v>1092</v>
      </c>
      <c r="AL1439">
        <v>-76.085880000000003</v>
      </c>
      <c r="AM1439">
        <v>25</v>
      </c>
      <c r="AN1439">
        <v>2950</v>
      </c>
      <c r="AO1439" t="s">
        <v>118</v>
      </c>
      <c r="AP1439">
        <v>162</v>
      </c>
      <c r="AQ1439">
        <v>11</v>
      </c>
      <c r="AR1439">
        <v>64</v>
      </c>
      <c r="AZ1439">
        <v>4516</v>
      </c>
      <c r="BA1439">
        <v>1</v>
      </c>
      <c r="BB1439" t="str">
        <f t="shared" si="136"/>
        <v xml:space="preserve">N79NX   </v>
      </c>
      <c r="BC1439">
        <v>1</v>
      </c>
      <c r="BE1439">
        <v>0</v>
      </c>
      <c r="BF1439">
        <v>0</v>
      </c>
      <c r="BG1439">
        <v>0</v>
      </c>
      <c r="BH1439">
        <v>2800</v>
      </c>
      <c r="BI1439">
        <v>0</v>
      </c>
      <c r="BJ1439">
        <v>0</v>
      </c>
      <c r="BK1439">
        <v>0</v>
      </c>
      <c r="BL1439">
        <v>0</v>
      </c>
      <c r="BO1439">
        <v>0</v>
      </c>
      <c r="BP1439">
        <v>0</v>
      </c>
      <c r="BW1439" t="str">
        <f>"18:45:53.192"</f>
        <v>18:45:53.192</v>
      </c>
      <c r="BZ1439">
        <v>0</v>
      </c>
      <c r="CA1439">
        <v>3008</v>
      </c>
      <c r="CB1439">
        <v>216</v>
      </c>
      <c r="CC1439">
        <v>458.4375</v>
      </c>
      <c r="CD1439">
        <v>1</v>
      </c>
      <c r="CE1439">
        <v>1</v>
      </c>
      <c r="CF1439">
        <v>0</v>
      </c>
      <c r="CG1439">
        <v>1</v>
      </c>
      <c r="CH1439">
        <v>0</v>
      </c>
      <c r="CI1439">
        <v>0</v>
      </c>
      <c r="CJ1439">
        <v>0</v>
      </c>
      <c r="CK1439">
        <v>2</v>
      </c>
      <c r="CL1439">
        <v>0</v>
      </c>
      <c r="CM1439">
        <v>2</v>
      </c>
      <c r="CN1439">
        <v>0</v>
      </c>
      <c r="CO1439">
        <v>1</v>
      </c>
      <c r="CP1439" t="s">
        <v>119</v>
      </c>
      <c r="CQ1439">
        <v>145</v>
      </c>
      <c r="CR1439">
        <v>1</v>
      </c>
      <c r="CW1439">
        <v>9146190</v>
      </c>
      <c r="CY1439">
        <v>0</v>
      </c>
      <c r="CZ1439">
        <v>0</v>
      </c>
      <c r="DA1439">
        <v>1</v>
      </c>
      <c r="DB1439">
        <v>0</v>
      </c>
      <c r="DC1439">
        <v>0</v>
      </c>
      <c r="DD1439">
        <v>0</v>
      </c>
      <c r="DE1439">
        <v>0</v>
      </c>
      <c r="DF1439">
        <v>0</v>
      </c>
      <c r="DG1439">
        <v>0</v>
      </c>
      <c r="DH1439">
        <v>0</v>
      </c>
      <c r="DI1439">
        <v>0</v>
      </c>
    </row>
    <row r="1440" spans="1:113" x14ac:dyDescent="0.3">
      <c r="A1440" t="str">
        <f>"02/13/2022 18:45:53.562"</f>
        <v>02/13/2022 18:45:53.562</v>
      </c>
      <c r="C1440" t="str">
        <f t="shared" si="133"/>
        <v>FFDFD7C0</v>
      </c>
      <c r="D1440" t="s">
        <v>113</v>
      </c>
      <c r="E1440">
        <v>4</v>
      </c>
      <c r="F1440">
        <v>1004</v>
      </c>
      <c r="G1440" t="s">
        <v>120</v>
      </c>
      <c r="J1440" t="s">
        <v>115</v>
      </c>
      <c r="K1440">
        <v>0</v>
      </c>
      <c r="L1440">
        <v>3</v>
      </c>
      <c r="M1440">
        <v>0</v>
      </c>
      <c r="N1440">
        <v>2</v>
      </c>
      <c r="O1440">
        <v>1</v>
      </c>
      <c r="P1440">
        <v>0</v>
      </c>
      <c r="Q1440">
        <v>0</v>
      </c>
      <c r="S1440" t="str">
        <f>"18:45:53.188"</f>
        <v>18:45:53.188</v>
      </c>
      <c r="T1440" t="str">
        <f>"18:45:52.688"</f>
        <v>18:45:52.688</v>
      </c>
      <c r="U1440" t="str">
        <f t="shared" si="135"/>
        <v>AAB6EE</v>
      </c>
      <c r="V1440">
        <v>0</v>
      </c>
      <c r="W1440">
        <v>0</v>
      </c>
      <c r="X1440">
        <v>4</v>
      </c>
      <c r="Z1440">
        <v>0</v>
      </c>
      <c r="AA1440">
        <v>8</v>
      </c>
      <c r="AB1440">
        <v>3</v>
      </c>
      <c r="AC1440">
        <v>0</v>
      </c>
      <c r="AD1440">
        <v>10</v>
      </c>
      <c r="AE1440">
        <v>0</v>
      </c>
      <c r="AF1440">
        <v>0</v>
      </c>
      <c r="AG1440">
        <v>1</v>
      </c>
      <c r="AH1440">
        <v>1</v>
      </c>
      <c r="AI1440" t="s">
        <v>1091</v>
      </c>
      <c r="AJ1440">
        <v>35.230215000000001</v>
      </c>
      <c r="AK1440" t="s">
        <v>1092</v>
      </c>
      <c r="AL1440">
        <v>-76.085880000000003</v>
      </c>
      <c r="AM1440">
        <v>25</v>
      </c>
      <c r="AN1440">
        <v>2950</v>
      </c>
      <c r="AO1440" t="s">
        <v>118</v>
      </c>
      <c r="AP1440">
        <v>162</v>
      </c>
      <c r="AQ1440">
        <v>11</v>
      </c>
      <c r="AR1440">
        <v>64</v>
      </c>
      <c r="AZ1440">
        <v>4516</v>
      </c>
      <c r="BA1440">
        <v>1</v>
      </c>
      <c r="BB1440" t="str">
        <f t="shared" si="136"/>
        <v xml:space="preserve">N79NX   </v>
      </c>
      <c r="BC1440">
        <v>1</v>
      </c>
      <c r="BE1440">
        <v>0</v>
      </c>
      <c r="BF1440">
        <v>0</v>
      </c>
      <c r="BG1440">
        <v>0</v>
      </c>
      <c r="BH1440">
        <v>2800</v>
      </c>
      <c r="BI1440">
        <v>0</v>
      </c>
      <c r="BJ1440">
        <v>0</v>
      </c>
      <c r="BK1440">
        <v>0</v>
      </c>
      <c r="BL1440">
        <v>0</v>
      </c>
      <c r="BO1440">
        <v>0</v>
      </c>
      <c r="BP1440">
        <v>0</v>
      </c>
      <c r="BW1440" t="str">
        <f>"18:45:53.192"</f>
        <v>18:45:53.192</v>
      </c>
      <c r="BZ1440">
        <v>0</v>
      </c>
      <c r="CA1440">
        <v>3008</v>
      </c>
      <c r="CB1440">
        <v>216</v>
      </c>
      <c r="CC1440">
        <v>458.4375</v>
      </c>
      <c r="CD1440">
        <v>1</v>
      </c>
      <c r="CE1440">
        <v>1</v>
      </c>
      <c r="CF1440">
        <v>0</v>
      </c>
      <c r="CG1440">
        <v>1</v>
      </c>
      <c r="CH1440">
        <v>0</v>
      </c>
      <c r="CI1440">
        <v>0</v>
      </c>
      <c r="CJ1440">
        <v>0</v>
      </c>
      <c r="CK1440">
        <v>2</v>
      </c>
      <c r="CL1440">
        <v>0</v>
      </c>
      <c r="CM1440">
        <v>2</v>
      </c>
      <c r="CN1440">
        <v>0</v>
      </c>
      <c r="CO1440">
        <v>1</v>
      </c>
      <c r="CP1440" t="s">
        <v>119</v>
      </c>
      <c r="CQ1440">
        <v>145</v>
      </c>
      <c r="CR1440">
        <v>1</v>
      </c>
      <c r="CW1440">
        <v>9146190</v>
      </c>
      <c r="CY1440">
        <v>0</v>
      </c>
      <c r="CZ1440">
        <v>0</v>
      </c>
      <c r="DA1440">
        <v>1</v>
      </c>
      <c r="DB1440">
        <v>0</v>
      </c>
      <c r="DC1440">
        <v>0</v>
      </c>
      <c r="DD1440">
        <v>0</v>
      </c>
      <c r="DE1440">
        <v>0</v>
      </c>
      <c r="DF1440">
        <v>0</v>
      </c>
      <c r="DG1440">
        <v>0</v>
      </c>
      <c r="DH1440">
        <v>0</v>
      </c>
      <c r="DI1440">
        <v>0</v>
      </c>
    </row>
    <row r="1441" spans="1:113" x14ac:dyDescent="0.3">
      <c r="A1441" t="str">
        <f>"02/13/2022 18:45:55.444"</f>
        <v>02/13/2022 18:45:55.444</v>
      </c>
      <c r="C1441" t="str">
        <f t="shared" si="133"/>
        <v>FFDFD7C0</v>
      </c>
      <c r="D1441" t="s">
        <v>113</v>
      </c>
      <c r="E1441">
        <v>3</v>
      </c>
      <c r="F1441">
        <v>1003</v>
      </c>
      <c r="G1441" t="s">
        <v>114</v>
      </c>
      <c r="J1441" t="s">
        <v>115</v>
      </c>
      <c r="K1441">
        <v>0</v>
      </c>
      <c r="L1441">
        <v>3</v>
      </c>
      <c r="M1441">
        <v>0</v>
      </c>
      <c r="N1441">
        <v>2</v>
      </c>
      <c r="O1441">
        <v>1</v>
      </c>
      <c r="P1441">
        <v>0</v>
      </c>
      <c r="Q1441">
        <v>0</v>
      </c>
      <c r="S1441" t="str">
        <f>"18:45:55.242"</f>
        <v>18:45:55.242</v>
      </c>
      <c r="T1441" t="str">
        <f>"18:45:52.742"</f>
        <v>18:45:52.742</v>
      </c>
      <c r="U1441" t="str">
        <f t="shared" si="135"/>
        <v>AAB6EE</v>
      </c>
      <c r="V1441">
        <v>0</v>
      </c>
      <c r="W1441">
        <v>0</v>
      </c>
      <c r="X1441">
        <v>4</v>
      </c>
      <c r="Z1441">
        <v>0</v>
      </c>
      <c r="AA1441">
        <v>8</v>
      </c>
      <c r="AB1441">
        <v>3</v>
      </c>
      <c r="AC1441">
        <v>0</v>
      </c>
      <c r="AD1441">
        <v>10</v>
      </c>
      <c r="AE1441">
        <v>0</v>
      </c>
      <c r="AF1441">
        <v>0</v>
      </c>
      <c r="AG1441">
        <v>1</v>
      </c>
      <c r="AH1441">
        <v>1</v>
      </c>
      <c r="AI1441" t="s">
        <v>1093</v>
      </c>
      <c r="AJ1441">
        <v>35.230364999999999</v>
      </c>
      <c r="AK1441" t="s">
        <v>1094</v>
      </c>
      <c r="AL1441">
        <v>-76.083949000000004</v>
      </c>
      <c r="AM1441">
        <v>25</v>
      </c>
      <c r="AN1441">
        <v>2950</v>
      </c>
      <c r="AO1441" t="s">
        <v>118</v>
      </c>
      <c r="AP1441">
        <v>162</v>
      </c>
      <c r="AQ1441">
        <v>11</v>
      </c>
      <c r="AR1441">
        <v>64</v>
      </c>
      <c r="AZ1441">
        <v>4516</v>
      </c>
      <c r="BA1441">
        <v>1</v>
      </c>
      <c r="BB1441" t="str">
        <f t="shared" si="136"/>
        <v xml:space="preserve">N79NX   </v>
      </c>
      <c r="BC1441">
        <v>1</v>
      </c>
      <c r="BE1441">
        <v>0</v>
      </c>
      <c r="BF1441">
        <v>0</v>
      </c>
      <c r="BG1441">
        <v>0</v>
      </c>
      <c r="BH1441">
        <v>2800</v>
      </c>
      <c r="BI1441">
        <v>0</v>
      </c>
      <c r="BJ1441">
        <v>0</v>
      </c>
      <c r="BK1441">
        <v>0</v>
      </c>
      <c r="BL1441">
        <v>0</v>
      </c>
      <c r="BO1441">
        <v>0</v>
      </c>
      <c r="BP1441">
        <v>0</v>
      </c>
      <c r="BW1441" t="str">
        <f>"18:45:55.242"</f>
        <v>18:45:55.242</v>
      </c>
      <c r="BZ1441">
        <v>0</v>
      </c>
      <c r="CA1441">
        <v>3008</v>
      </c>
      <c r="CB1441">
        <v>216</v>
      </c>
      <c r="CC1441">
        <v>458.4375</v>
      </c>
      <c r="CD1441">
        <v>1</v>
      </c>
      <c r="CE1441">
        <v>1</v>
      </c>
      <c r="CF1441">
        <v>0</v>
      </c>
      <c r="CG1441">
        <v>1</v>
      </c>
      <c r="CH1441">
        <v>0</v>
      </c>
      <c r="CI1441">
        <v>0</v>
      </c>
      <c r="CJ1441">
        <v>0</v>
      </c>
      <c r="CK1441">
        <v>2</v>
      </c>
      <c r="CL1441">
        <v>0</v>
      </c>
      <c r="CM1441">
        <v>2</v>
      </c>
      <c r="CN1441">
        <v>0</v>
      </c>
      <c r="CO1441">
        <v>1</v>
      </c>
      <c r="CP1441" t="s">
        <v>119</v>
      </c>
      <c r="CQ1441">
        <v>145</v>
      </c>
      <c r="CR1441">
        <v>1</v>
      </c>
      <c r="CW1441">
        <v>9147209</v>
      </c>
      <c r="CY1441">
        <v>0</v>
      </c>
      <c r="CZ1441">
        <v>0</v>
      </c>
      <c r="DA1441">
        <v>0</v>
      </c>
      <c r="DB1441">
        <v>0</v>
      </c>
      <c r="DC1441">
        <v>0</v>
      </c>
      <c r="DD1441">
        <v>0</v>
      </c>
      <c r="DE1441">
        <v>0</v>
      </c>
      <c r="DF1441">
        <v>0</v>
      </c>
      <c r="DG1441">
        <v>0</v>
      </c>
      <c r="DH1441">
        <v>0</v>
      </c>
      <c r="DI1441">
        <v>0</v>
      </c>
    </row>
    <row r="1442" spans="1:113" x14ac:dyDescent="0.3">
      <c r="A1442" t="str">
        <f>"02/13/2022 18:45:55.444"</f>
        <v>02/13/2022 18:45:55.444</v>
      </c>
      <c r="C1442" t="str">
        <f t="shared" si="133"/>
        <v>FFDFD7C0</v>
      </c>
      <c r="D1442" t="s">
        <v>113</v>
      </c>
      <c r="E1442">
        <v>4</v>
      </c>
      <c r="F1442">
        <v>1004</v>
      </c>
      <c r="G1442" t="s">
        <v>120</v>
      </c>
      <c r="J1442" t="s">
        <v>115</v>
      </c>
      <c r="K1442">
        <v>0</v>
      </c>
      <c r="L1442">
        <v>3</v>
      </c>
      <c r="M1442">
        <v>0</v>
      </c>
      <c r="N1442">
        <v>2</v>
      </c>
      <c r="O1442">
        <v>1</v>
      </c>
      <c r="P1442">
        <v>0</v>
      </c>
      <c r="Q1442">
        <v>0</v>
      </c>
      <c r="S1442" t="str">
        <f>"18:45:55.242"</f>
        <v>18:45:55.242</v>
      </c>
      <c r="T1442" t="str">
        <f>"18:45:52.742"</f>
        <v>18:45:52.742</v>
      </c>
      <c r="U1442" t="str">
        <f t="shared" si="135"/>
        <v>AAB6EE</v>
      </c>
      <c r="V1442">
        <v>0</v>
      </c>
      <c r="W1442">
        <v>0</v>
      </c>
      <c r="X1442">
        <v>4</v>
      </c>
      <c r="Z1442">
        <v>0</v>
      </c>
      <c r="AA1442">
        <v>8</v>
      </c>
      <c r="AB1442">
        <v>3</v>
      </c>
      <c r="AC1442">
        <v>0</v>
      </c>
      <c r="AD1442">
        <v>10</v>
      </c>
      <c r="AE1442">
        <v>0</v>
      </c>
      <c r="AF1442">
        <v>0</v>
      </c>
      <c r="AG1442">
        <v>1</v>
      </c>
      <c r="AH1442">
        <v>1</v>
      </c>
      <c r="AI1442" t="s">
        <v>1093</v>
      </c>
      <c r="AJ1442">
        <v>35.230364999999999</v>
      </c>
      <c r="AK1442" t="s">
        <v>1094</v>
      </c>
      <c r="AL1442">
        <v>-76.083949000000004</v>
      </c>
      <c r="AM1442">
        <v>25</v>
      </c>
      <c r="AN1442">
        <v>2950</v>
      </c>
      <c r="AO1442" t="s">
        <v>118</v>
      </c>
      <c r="AP1442">
        <v>162</v>
      </c>
      <c r="AQ1442">
        <v>11</v>
      </c>
      <c r="AR1442">
        <v>64</v>
      </c>
      <c r="AZ1442">
        <v>4516</v>
      </c>
      <c r="BA1442">
        <v>1</v>
      </c>
      <c r="BB1442" t="str">
        <f t="shared" si="136"/>
        <v xml:space="preserve">N79NX   </v>
      </c>
      <c r="BC1442">
        <v>1</v>
      </c>
      <c r="BE1442">
        <v>0</v>
      </c>
      <c r="BF1442">
        <v>0</v>
      </c>
      <c r="BG1442">
        <v>0</v>
      </c>
      <c r="BH1442">
        <v>2800</v>
      </c>
      <c r="BI1442">
        <v>0</v>
      </c>
      <c r="BJ1442">
        <v>0</v>
      </c>
      <c r="BK1442">
        <v>0</v>
      </c>
      <c r="BL1442">
        <v>0</v>
      </c>
      <c r="BO1442">
        <v>0</v>
      </c>
      <c r="BP1442">
        <v>0</v>
      </c>
      <c r="BW1442" t="str">
        <f>"18:45:55.242"</f>
        <v>18:45:55.242</v>
      </c>
      <c r="BZ1442">
        <v>0</v>
      </c>
      <c r="CA1442">
        <v>3008</v>
      </c>
      <c r="CB1442">
        <v>216</v>
      </c>
      <c r="CC1442">
        <v>458.4375</v>
      </c>
      <c r="CD1442">
        <v>1</v>
      </c>
      <c r="CE1442">
        <v>1</v>
      </c>
      <c r="CF1442">
        <v>0</v>
      </c>
      <c r="CG1442">
        <v>1</v>
      </c>
      <c r="CH1442">
        <v>0</v>
      </c>
      <c r="CI1442">
        <v>0</v>
      </c>
      <c r="CJ1442">
        <v>0</v>
      </c>
      <c r="CK1442">
        <v>2</v>
      </c>
      <c r="CL1442">
        <v>0</v>
      </c>
      <c r="CM1442">
        <v>2</v>
      </c>
      <c r="CN1442">
        <v>0</v>
      </c>
      <c r="CO1442">
        <v>1</v>
      </c>
      <c r="CP1442" t="s">
        <v>119</v>
      </c>
      <c r="CQ1442">
        <v>145</v>
      </c>
      <c r="CR1442">
        <v>1</v>
      </c>
      <c r="CW1442">
        <v>9147209</v>
      </c>
      <c r="CY1442">
        <v>0</v>
      </c>
      <c r="CZ1442">
        <v>0</v>
      </c>
      <c r="DA1442">
        <v>1</v>
      </c>
      <c r="DB1442">
        <v>0</v>
      </c>
      <c r="DC1442">
        <v>0</v>
      </c>
      <c r="DD1442">
        <v>0</v>
      </c>
      <c r="DE1442">
        <v>0</v>
      </c>
      <c r="DF1442">
        <v>0</v>
      </c>
      <c r="DG1442">
        <v>0</v>
      </c>
      <c r="DH1442">
        <v>0</v>
      </c>
      <c r="DI1442">
        <v>0</v>
      </c>
    </row>
    <row r="1443" spans="1:113" x14ac:dyDescent="0.3">
      <c r="A1443" t="str">
        <f>"02/13/2022 18:45:55.460"</f>
        <v>02/13/2022 18:45:55.460</v>
      </c>
      <c r="C1443" t="str">
        <f t="shared" si="133"/>
        <v>FFDFD7C0</v>
      </c>
      <c r="D1443" t="s">
        <v>121</v>
      </c>
      <c r="E1443">
        <v>2</v>
      </c>
      <c r="H1443">
        <v>158</v>
      </c>
      <c r="I1443" t="s">
        <v>120</v>
      </c>
      <c r="J1443" t="s">
        <v>122</v>
      </c>
      <c r="K1443">
        <v>0</v>
      </c>
      <c r="L1443">
        <v>3</v>
      </c>
      <c r="M1443">
        <v>0</v>
      </c>
      <c r="N1443">
        <v>2</v>
      </c>
      <c r="O1443">
        <v>1</v>
      </c>
      <c r="P1443">
        <v>0</v>
      </c>
      <c r="Q1443">
        <v>0</v>
      </c>
      <c r="S1443" t="str">
        <f>"18:45:55.242"</f>
        <v>18:45:55.242</v>
      </c>
      <c r="T1443" t="str">
        <f>"18:45:52.742"</f>
        <v>18:45:52.742</v>
      </c>
      <c r="U1443" t="str">
        <f t="shared" si="135"/>
        <v>AAB6EE</v>
      </c>
      <c r="V1443">
        <v>0</v>
      </c>
      <c r="W1443">
        <v>0</v>
      </c>
      <c r="X1443">
        <v>4</v>
      </c>
      <c r="Z1443">
        <v>0</v>
      </c>
      <c r="AA1443">
        <v>8</v>
      </c>
      <c r="AB1443">
        <v>3</v>
      </c>
      <c r="AC1443">
        <v>0</v>
      </c>
      <c r="AD1443">
        <v>10</v>
      </c>
      <c r="AE1443">
        <v>0</v>
      </c>
      <c r="AF1443">
        <v>0</v>
      </c>
      <c r="AG1443">
        <v>1</v>
      </c>
      <c r="AH1443">
        <v>1</v>
      </c>
      <c r="AI1443" t="s">
        <v>1093</v>
      </c>
      <c r="AJ1443">
        <v>35.230364999999999</v>
      </c>
      <c r="AK1443" t="s">
        <v>1094</v>
      </c>
      <c r="AL1443">
        <v>-76.083949000000004</v>
      </c>
      <c r="AM1443">
        <v>25</v>
      </c>
      <c r="AN1443">
        <v>2950</v>
      </c>
      <c r="AO1443" t="s">
        <v>118</v>
      </c>
      <c r="AP1443">
        <v>162</v>
      </c>
      <c r="AQ1443">
        <v>11</v>
      </c>
      <c r="AR1443">
        <v>64</v>
      </c>
      <c r="AZ1443">
        <v>4516</v>
      </c>
      <c r="BA1443">
        <v>1</v>
      </c>
      <c r="BB1443" t="str">
        <f t="shared" si="136"/>
        <v xml:space="preserve">N79NX   </v>
      </c>
      <c r="BC1443">
        <v>1</v>
      </c>
      <c r="BE1443">
        <v>0</v>
      </c>
      <c r="BF1443">
        <v>0</v>
      </c>
      <c r="BG1443">
        <v>0</v>
      </c>
      <c r="BH1443">
        <v>2800</v>
      </c>
      <c r="BI1443">
        <v>0</v>
      </c>
      <c r="BJ1443">
        <v>0</v>
      </c>
      <c r="BK1443">
        <v>0</v>
      </c>
      <c r="BL1443">
        <v>0</v>
      </c>
      <c r="BO1443">
        <v>0</v>
      </c>
      <c r="BP1443">
        <v>0</v>
      </c>
      <c r="BW1443" t="str">
        <f>"18:45:55.242"</f>
        <v>18:45:55.242</v>
      </c>
      <c r="BZ1443">
        <v>0</v>
      </c>
      <c r="CA1443">
        <v>3008</v>
      </c>
      <c r="CB1443">
        <v>216</v>
      </c>
      <c r="CC1443">
        <v>458.4375</v>
      </c>
      <c r="CD1443">
        <v>1</v>
      </c>
      <c r="CE1443">
        <v>1</v>
      </c>
      <c r="CF1443">
        <v>0</v>
      </c>
      <c r="CG1443">
        <v>1</v>
      </c>
      <c r="CH1443">
        <v>0</v>
      </c>
      <c r="CI1443">
        <v>0</v>
      </c>
      <c r="CJ1443">
        <v>0</v>
      </c>
      <c r="CK1443">
        <v>2</v>
      </c>
      <c r="CL1443">
        <v>0</v>
      </c>
      <c r="CM1443">
        <v>2</v>
      </c>
      <c r="CN1443">
        <v>0</v>
      </c>
      <c r="CO1443">
        <v>1</v>
      </c>
      <c r="CP1443" t="s">
        <v>119</v>
      </c>
      <c r="CQ1443">
        <v>145</v>
      </c>
      <c r="CR1443">
        <v>1</v>
      </c>
      <c r="CW1443">
        <v>9147209</v>
      </c>
      <c r="CY1443">
        <v>0</v>
      </c>
      <c r="CZ1443">
        <v>0</v>
      </c>
      <c r="DA1443">
        <v>1</v>
      </c>
      <c r="DB1443">
        <v>0</v>
      </c>
      <c r="DC1443">
        <v>0</v>
      </c>
      <c r="DD1443">
        <v>0</v>
      </c>
      <c r="DE1443">
        <v>0</v>
      </c>
      <c r="DF1443">
        <v>0</v>
      </c>
      <c r="DG1443">
        <v>0</v>
      </c>
      <c r="DH1443">
        <v>0</v>
      </c>
      <c r="DI1443">
        <v>0</v>
      </c>
    </row>
    <row r="1444" spans="1:113" x14ac:dyDescent="0.3">
      <c r="A1444" t="str">
        <f>"02/13/2022 18:45:56.445"</f>
        <v>02/13/2022 18:45:56.445</v>
      </c>
      <c r="C1444" t="str">
        <f t="shared" si="133"/>
        <v>FFDFD7C0</v>
      </c>
      <c r="D1444" t="s">
        <v>113</v>
      </c>
      <c r="E1444">
        <v>3</v>
      </c>
      <c r="F1444">
        <v>1003</v>
      </c>
      <c r="G1444" t="s">
        <v>114</v>
      </c>
      <c r="J1444" t="s">
        <v>115</v>
      </c>
      <c r="K1444">
        <v>0</v>
      </c>
      <c r="L1444">
        <v>3</v>
      </c>
      <c r="M1444">
        <v>0</v>
      </c>
      <c r="N1444">
        <v>2</v>
      </c>
      <c r="O1444">
        <v>1</v>
      </c>
      <c r="P1444">
        <v>0</v>
      </c>
      <c r="Q1444">
        <v>0</v>
      </c>
      <c r="S1444" t="str">
        <f>"18:45:56.227"</f>
        <v>18:45:56.227</v>
      </c>
      <c r="T1444" t="str">
        <f>"18:45:56.027"</f>
        <v>18:45:56.027</v>
      </c>
      <c r="U1444" t="str">
        <f t="shared" si="135"/>
        <v>AAB6EE</v>
      </c>
      <c r="V1444">
        <v>0</v>
      </c>
      <c r="W1444">
        <v>0</v>
      </c>
      <c r="X1444">
        <v>4</v>
      </c>
      <c r="Z1444">
        <v>0</v>
      </c>
      <c r="AA1444">
        <v>8</v>
      </c>
      <c r="AB1444">
        <v>3</v>
      </c>
      <c r="AC1444">
        <v>0</v>
      </c>
      <c r="AD1444">
        <v>10</v>
      </c>
      <c r="AE1444">
        <v>0</v>
      </c>
      <c r="AF1444">
        <v>0</v>
      </c>
      <c r="AG1444">
        <v>1</v>
      </c>
      <c r="AH1444">
        <v>1</v>
      </c>
      <c r="AI1444" t="s">
        <v>1095</v>
      </c>
      <c r="AJ1444">
        <v>35.230407999999997</v>
      </c>
      <c r="AK1444" t="s">
        <v>1096</v>
      </c>
      <c r="AL1444">
        <v>-76.083004000000003</v>
      </c>
      <c r="AM1444">
        <v>25</v>
      </c>
      <c r="AN1444">
        <v>2950</v>
      </c>
      <c r="AO1444" t="s">
        <v>118</v>
      </c>
      <c r="AP1444">
        <v>163</v>
      </c>
      <c r="AQ1444">
        <v>11</v>
      </c>
      <c r="AR1444">
        <v>-192</v>
      </c>
      <c r="AZ1444">
        <v>4516</v>
      </c>
      <c r="BA1444">
        <v>1</v>
      </c>
      <c r="BB1444" t="str">
        <f t="shared" si="136"/>
        <v xml:space="preserve">N79NX   </v>
      </c>
      <c r="BC1444">
        <v>1</v>
      </c>
      <c r="BE1444">
        <v>0</v>
      </c>
      <c r="BF1444">
        <v>0</v>
      </c>
      <c r="BG1444">
        <v>0</v>
      </c>
      <c r="BH1444">
        <v>2800</v>
      </c>
      <c r="BI1444">
        <v>0</v>
      </c>
      <c r="BJ1444">
        <v>0</v>
      </c>
      <c r="BK1444">
        <v>0</v>
      </c>
      <c r="BL1444">
        <v>0</v>
      </c>
      <c r="BO1444">
        <v>0</v>
      </c>
      <c r="BP1444">
        <v>0</v>
      </c>
      <c r="BW1444" t="str">
        <f>"18:45:56.232"</f>
        <v>18:45:56.232</v>
      </c>
      <c r="BZ1444">
        <v>0</v>
      </c>
      <c r="CA1444">
        <v>3008</v>
      </c>
      <c r="CB1444">
        <v>216</v>
      </c>
      <c r="CC1444">
        <v>458.4375</v>
      </c>
      <c r="CD1444">
        <v>1</v>
      </c>
      <c r="CE1444">
        <v>1</v>
      </c>
      <c r="CF1444">
        <v>0</v>
      </c>
      <c r="CG1444">
        <v>1</v>
      </c>
      <c r="CH1444">
        <v>0</v>
      </c>
      <c r="CI1444">
        <v>0</v>
      </c>
      <c r="CJ1444">
        <v>0</v>
      </c>
      <c r="CK1444">
        <v>2</v>
      </c>
      <c r="CL1444">
        <v>0</v>
      </c>
      <c r="CM1444">
        <v>2</v>
      </c>
      <c r="CN1444">
        <v>0</v>
      </c>
      <c r="CO1444">
        <v>1</v>
      </c>
      <c r="CP1444" t="s">
        <v>119</v>
      </c>
      <c r="CQ1444">
        <v>145</v>
      </c>
      <c r="CR1444">
        <v>1</v>
      </c>
      <c r="CW1444">
        <v>9147745</v>
      </c>
      <c r="CY1444">
        <v>0</v>
      </c>
      <c r="CZ1444">
        <v>0</v>
      </c>
      <c r="DA1444">
        <v>0</v>
      </c>
      <c r="DB1444">
        <v>0</v>
      </c>
      <c r="DC1444">
        <v>0</v>
      </c>
      <c r="DD1444">
        <v>0</v>
      </c>
      <c r="DE1444">
        <v>0</v>
      </c>
      <c r="DF1444">
        <v>0</v>
      </c>
      <c r="DG1444">
        <v>0</v>
      </c>
      <c r="DH1444">
        <v>0</v>
      </c>
      <c r="DI1444">
        <v>0</v>
      </c>
    </row>
    <row r="1445" spans="1:113" x14ac:dyDescent="0.3">
      <c r="A1445" t="str">
        <f>"02/13/2022 18:45:56.445"</f>
        <v>02/13/2022 18:45:56.445</v>
      </c>
      <c r="C1445" t="str">
        <f t="shared" ref="C1445:C1508" si="137">"FFDFD7C0"</f>
        <v>FFDFD7C0</v>
      </c>
      <c r="D1445" t="s">
        <v>113</v>
      </c>
      <c r="E1445">
        <v>4</v>
      </c>
      <c r="F1445">
        <v>1004</v>
      </c>
      <c r="G1445" t="s">
        <v>120</v>
      </c>
      <c r="J1445" t="s">
        <v>115</v>
      </c>
      <c r="K1445">
        <v>0</v>
      </c>
      <c r="L1445">
        <v>3</v>
      </c>
      <c r="M1445">
        <v>0</v>
      </c>
      <c r="N1445">
        <v>2</v>
      </c>
      <c r="O1445">
        <v>1</v>
      </c>
      <c r="P1445">
        <v>0</v>
      </c>
      <c r="Q1445">
        <v>0</v>
      </c>
      <c r="S1445" t="str">
        <f>"18:45:56.227"</f>
        <v>18:45:56.227</v>
      </c>
      <c r="T1445" t="str">
        <f>"18:45:56.027"</f>
        <v>18:45:56.027</v>
      </c>
      <c r="U1445" t="str">
        <f t="shared" si="135"/>
        <v>AAB6EE</v>
      </c>
      <c r="V1445">
        <v>0</v>
      </c>
      <c r="W1445">
        <v>0</v>
      </c>
      <c r="X1445">
        <v>4</v>
      </c>
      <c r="Z1445">
        <v>0</v>
      </c>
      <c r="AA1445">
        <v>8</v>
      </c>
      <c r="AB1445">
        <v>3</v>
      </c>
      <c r="AC1445">
        <v>0</v>
      </c>
      <c r="AD1445">
        <v>10</v>
      </c>
      <c r="AE1445">
        <v>0</v>
      </c>
      <c r="AF1445">
        <v>0</v>
      </c>
      <c r="AG1445">
        <v>1</v>
      </c>
      <c r="AH1445">
        <v>1</v>
      </c>
      <c r="AI1445" t="s">
        <v>1095</v>
      </c>
      <c r="AJ1445">
        <v>35.230407999999997</v>
      </c>
      <c r="AK1445" t="s">
        <v>1096</v>
      </c>
      <c r="AL1445">
        <v>-76.083004000000003</v>
      </c>
      <c r="AM1445">
        <v>25</v>
      </c>
      <c r="AN1445">
        <v>2950</v>
      </c>
      <c r="AO1445" t="s">
        <v>118</v>
      </c>
      <c r="AP1445">
        <v>163</v>
      </c>
      <c r="AQ1445">
        <v>11</v>
      </c>
      <c r="AR1445">
        <v>-192</v>
      </c>
      <c r="AZ1445">
        <v>4516</v>
      </c>
      <c r="BA1445">
        <v>1</v>
      </c>
      <c r="BB1445" t="str">
        <f t="shared" si="136"/>
        <v xml:space="preserve">N79NX   </v>
      </c>
      <c r="BC1445">
        <v>1</v>
      </c>
      <c r="BE1445">
        <v>0</v>
      </c>
      <c r="BF1445">
        <v>0</v>
      </c>
      <c r="BG1445">
        <v>0</v>
      </c>
      <c r="BH1445">
        <v>2800</v>
      </c>
      <c r="BI1445">
        <v>0</v>
      </c>
      <c r="BJ1445">
        <v>0</v>
      </c>
      <c r="BK1445">
        <v>0</v>
      </c>
      <c r="BL1445">
        <v>0</v>
      </c>
      <c r="BO1445">
        <v>0</v>
      </c>
      <c r="BP1445">
        <v>0</v>
      </c>
      <c r="BW1445" t="str">
        <f>"18:45:56.232"</f>
        <v>18:45:56.232</v>
      </c>
      <c r="BZ1445">
        <v>0</v>
      </c>
      <c r="CA1445">
        <v>3008</v>
      </c>
      <c r="CB1445">
        <v>216</v>
      </c>
      <c r="CC1445">
        <v>458.4375</v>
      </c>
      <c r="CD1445">
        <v>1</v>
      </c>
      <c r="CE1445">
        <v>1</v>
      </c>
      <c r="CF1445">
        <v>0</v>
      </c>
      <c r="CG1445">
        <v>1</v>
      </c>
      <c r="CH1445">
        <v>0</v>
      </c>
      <c r="CI1445">
        <v>0</v>
      </c>
      <c r="CJ1445">
        <v>0</v>
      </c>
      <c r="CK1445">
        <v>2</v>
      </c>
      <c r="CL1445">
        <v>0</v>
      </c>
      <c r="CM1445">
        <v>2</v>
      </c>
      <c r="CN1445">
        <v>0</v>
      </c>
      <c r="CO1445">
        <v>1</v>
      </c>
      <c r="CP1445" t="s">
        <v>119</v>
      </c>
      <c r="CQ1445">
        <v>145</v>
      </c>
      <c r="CR1445">
        <v>1</v>
      </c>
      <c r="CW1445">
        <v>9147745</v>
      </c>
      <c r="CY1445">
        <v>0</v>
      </c>
      <c r="CZ1445">
        <v>0</v>
      </c>
      <c r="DA1445">
        <v>1</v>
      </c>
      <c r="DB1445">
        <v>0</v>
      </c>
      <c r="DC1445">
        <v>0</v>
      </c>
      <c r="DD1445">
        <v>0</v>
      </c>
      <c r="DE1445">
        <v>0</v>
      </c>
      <c r="DF1445">
        <v>0</v>
      </c>
      <c r="DG1445">
        <v>0</v>
      </c>
      <c r="DH1445">
        <v>0</v>
      </c>
      <c r="DI1445">
        <v>0</v>
      </c>
    </row>
    <row r="1446" spans="1:113" x14ac:dyDescent="0.3">
      <c r="A1446" t="str">
        <f>"02/13/2022 18:45:56.445"</f>
        <v>02/13/2022 18:45:56.445</v>
      </c>
      <c r="C1446" t="str">
        <f t="shared" si="137"/>
        <v>FFDFD7C0</v>
      </c>
      <c r="D1446" t="s">
        <v>121</v>
      </c>
      <c r="E1446">
        <v>2</v>
      </c>
      <c r="H1446">
        <v>158</v>
      </c>
      <c r="I1446" t="s">
        <v>120</v>
      </c>
      <c r="J1446" t="s">
        <v>122</v>
      </c>
      <c r="K1446">
        <v>0</v>
      </c>
      <c r="L1446">
        <v>3</v>
      </c>
      <c r="M1446">
        <v>0</v>
      </c>
      <c r="N1446">
        <v>2</v>
      </c>
      <c r="O1446">
        <v>1</v>
      </c>
      <c r="P1446">
        <v>0</v>
      </c>
      <c r="Q1446">
        <v>0</v>
      </c>
      <c r="S1446" t="str">
        <f>"18:45:56.227"</f>
        <v>18:45:56.227</v>
      </c>
      <c r="T1446" t="str">
        <f>"18:45:56.027"</f>
        <v>18:45:56.027</v>
      </c>
      <c r="U1446" t="str">
        <f t="shared" si="135"/>
        <v>AAB6EE</v>
      </c>
      <c r="V1446">
        <v>0</v>
      </c>
      <c r="W1446">
        <v>0</v>
      </c>
      <c r="X1446">
        <v>4</v>
      </c>
      <c r="Z1446">
        <v>0</v>
      </c>
      <c r="AA1446">
        <v>8</v>
      </c>
      <c r="AB1446">
        <v>3</v>
      </c>
      <c r="AC1446">
        <v>0</v>
      </c>
      <c r="AD1446">
        <v>10</v>
      </c>
      <c r="AE1446">
        <v>0</v>
      </c>
      <c r="AF1446">
        <v>0</v>
      </c>
      <c r="AG1446">
        <v>1</v>
      </c>
      <c r="AH1446">
        <v>1</v>
      </c>
      <c r="AI1446" t="s">
        <v>1095</v>
      </c>
      <c r="AJ1446">
        <v>35.230407999999997</v>
      </c>
      <c r="AK1446" t="s">
        <v>1096</v>
      </c>
      <c r="AL1446">
        <v>-76.083004000000003</v>
      </c>
      <c r="AM1446">
        <v>25</v>
      </c>
      <c r="AN1446">
        <v>2950</v>
      </c>
      <c r="AO1446" t="s">
        <v>118</v>
      </c>
      <c r="AP1446">
        <v>163</v>
      </c>
      <c r="AQ1446">
        <v>11</v>
      </c>
      <c r="AR1446">
        <v>-192</v>
      </c>
      <c r="AZ1446">
        <v>4516</v>
      </c>
      <c r="BA1446">
        <v>1</v>
      </c>
      <c r="BB1446" t="str">
        <f t="shared" si="136"/>
        <v xml:space="preserve">N79NX   </v>
      </c>
      <c r="BC1446">
        <v>1</v>
      </c>
      <c r="BE1446">
        <v>0</v>
      </c>
      <c r="BF1446">
        <v>0</v>
      </c>
      <c r="BG1446">
        <v>0</v>
      </c>
      <c r="BH1446">
        <v>2800</v>
      </c>
      <c r="BI1446">
        <v>0</v>
      </c>
      <c r="BJ1446">
        <v>0</v>
      </c>
      <c r="BK1446">
        <v>0</v>
      </c>
      <c r="BL1446">
        <v>0</v>
      </c>
      <c r="BO1446">
        <v>0</v>
      </c>
      <c r="BP1446">
        <v>0</v>
      </c>
      <c r="BW1446" t="str">
        <f>"18:45:56.232"</f>
        <v>18:45:56.232</v>
      </c>
      <c r="BZ1446">
        <v>0</v>
      </c>
      <c r="CA1446">
        <v>3008</v>
      </c>
      <c r="CB1446">
        <v>216</v>
      </c>
      <c r="CC1446">
        <v>458.4375</v>
      </c>
      <c r="CD1446">
        <v>1</v>
      </c>
      <c r="CE1446">
        <v>1</v>
      </c>
      <c r="CF1446">
        <v>0</v>
      </c>
      <c r="CG1446">
        <v>1</v>
      </c>
      <c r="CH1446">
        <v>0</v>
      </c>
      <c r="CI1446">
        <v>0</v>
      </c>
      <c r="CJ1446">
        <v>0</v>
      </c>
      <c r="CK1446">
        <v>2</v>
      </c>
      <c r="CL1446">
        <v>0</v>
      </c>
      <c r="CM1446">
        <v>2</v>
      </c>
      <c r="CN1446">
        <v>0</v>
      </c>
      <c r="CO1446">
        <v>1</v>
      </c>
      <c r="CP1446" t="s">
        <v>119</v>
      </c>
      <c r="CQ1446">
        <v>145</v>
      </c>
      <c r="CR1446">
        <v>1</v>
      </c>
      <c r="CW1446">
        <v>9147745</v>
      </c>
      <c r="CY1446">
        <v>0</v>
      </c>
      <c r="CZ1446">
        <v>0</v>
      </c>
      <c r="DA1446">
        <v>1</v>
      </c>
      <c r="DB1446">
        <v>0</v>
      </c>
      <c r="DC1446">
        <v>0</v>
      </c>
      <c r="DD1446">
        <v>0</v>
      </c>
      <c r="DE1446">
        <v>0</v>
      </c>
      <c r="DF1446">
        <v>0</v>
      </c>
      <c r="DG1446">
        <v>0</v>
      </c>
      <c r="DH1446">
        <v>0</v>
      </c>
      <c r="DI1446">
        <v>0</v>
      </c>
    </row>
    <row r="1447" spans="1:113" x14ac:dyDescent="0.3">
      <c r="A1447" t="str">
        <f>"02/13/2022 18:45:58.367"</f>
        <v>02/13/2022 18:45:58.367</v>
      </c>
      <c r="C1447" t="str">
        <f t="shared" si="137"/>
        <v>FFDFD7C0</v>
      </c>
      <c r="D1447" t="s">
        <v>121</v>
      </c>
      <c r="E1447">
        <v>2</v>
      </c>
      <c r="H1447">
        <v>158</v>
      </c>
      <c r="I1447" t="s">
        <v>120</v>
      </c>
      <c r="J1447" t="s">
        <v>122</v>
      </c>
      <c r="K1447">
        <v>0</v>
      </c>
      <c r="L1447">
        <v>3</v>
      </c>
      <c r="M1447">
        <v>0</v>
      </c>
      <c r="N1447">
        <v>2</v>
      </c>
      <c r="O1447">
        <v>1</v>
      </c>
      <c r="P1447">
        <v>0</v>
      </c>
      <c r="Q1447">
        <v>0</v>
      </c>
      <c r="S1447" t="str">
        <f>"18:45:58.188"</f>
        <v>18:45:58.188</v>
      </c>
      <c r="T1447" t="str">
        <f>"18:45:58.087"</f>
        <v>18:45:58.087</v>
      </c>
      <c r="U1447" t="str">
        <f t="shared" si="135"/>
        <v>AAB6EE</v>
      </c>
      <c r="V1447">
        <v>0</v>
      </c>
      <c r="W1447">
        <v>0</v>
      </c>
      <c r="X1447">
        <v>4</v>
      </c>
      <c r="Z1447">
        <v>0</v>
      </c>
      <c r="AA1447">
        <v>8</v>
      </c>
      <c r="AB1447">
        <v>3</v>
      </c>
      <c r="AC1447">
        <v>0</v>
      </c>
      <c r="AD1447">
        <v>10</v>
      </c>
      <c r="AE1447">
        <v>0</v>
      </c>
      <c r="AF1447">
        <v>0</v>
      </c>
      <c r="AG1447">
        <v>1</v>
      </c>
      <c r="AH1447">
        <v>1</v>
      </c>
      <c r="AI1447" t="s">
        <v>1097</v>
      </c>
      <c r="AJ1447">
        <v>35.230494</v>
      </c>
      <c r="AK1447" t="s">
        <v>1098</v>
      </c>
      <c r="AL1447">
        <v>-76.081244999999996</v>
      </c>
      <c r="AM1447">
        <v>25</v>
      </c>
      <c r="AN1447">
        <v>2925</v>
      </c>
      <c r="AO1447" t="s">
        <v>118</v>
      </c>
      <c r="AP1447">
        <v>163</v>
      </c>
      <c r="AQ1447">
        <v>11</v>
      </c>
      <c r="AR1447">
        <v>0</v>
      </c>
      <c r="AZ1447">
        <v>4516</v>
      </c>
      <c r="BA1447">
        <v>1</v>
      </c>
      <c r="BB1447" t="str">
        <f t="shared" si="136"/>
        <v xml:space="preserve">N79NX   </v>
      </c>
      <c r="BC1447">
        <v>1</v>
      </c>
      <c r="BE1447">
        <v>0</v>
      </c>
      <c r="BF1447">
        <v>0</v>
      </c>
      <c r="BG1447">
        <v>0</v>
      </c>
      <c r="BH1447">
        <v>2775</v>
      </c>
      <c r="BI1447">
        <v>0</v>
      </c>
      <c r="BJ1447">
        <v>0</v>
      </c>
      <c r="BK1447">
        <v>0</v>
      </c>
      <c r="BL1447">
        <v>0</v>
      </c>
      <c r="BO1447">
        <v>0</v>
      </c>
      <c r="BP1447">
        <v>0</v>
      </c>
      <c r="BW1447" t="str">
        <f>"18:45:58.192"</f>
        <v>18:45:58.192</v>
      </c>
      <c r="BZ1447">
        <v>0</v>
      </c>
      <c r="CA1447">
        <v>3008</v>
      </c>
      <c r="CB1447">
        <v>216</v>
      </c>
      <c r="CC1447">
        <v>458.4375</v>
      </c>
      <c r="CD1447">
        <v>1</v>
      </c>
      <c r="CE1447">
        <v>1</v>
      </c>
      <c r="CF1447">
        <v>0</v>
      </c>
      <c r="CG1447">
        <v>1</v>
      </c>
      <c r="CH1447">
        <v>0</v>
      </c>
      <c r="CI1447">
        <v>0</v>
      </c>
      <c r="CJ1447">
        <v>0</v>
      </c>
      <c r="CK1447">
        <v>2</v>
      </c>
      <c r="CL1447">
        <v>0</v>
      </c>
      <c r="CM1447">
        <v>2</v>
      </c>
      <c r="CN1447">
        <v>0</v>
      </c>
      <c r="CO1447">
        <v>2</v>
      </c>
      <c r="CP1447" t="s">
        <v>119</v>
      </c>
      <c r="CQ1447">
        <v>145</v>
      </c>
      <c r="CR1447">
        <v>1</v>
      </c>
      <c r="CW1447">
        <v>9148842</v>
      </c>
      <c r="CY1447">
        <v>0</v>
      </c>
      <c r="CZ1447">
        <v>0</v>
      </c>
      <c r="DA1447">
        <v>0</v>
      </c>
      <c r="DB1447">
        <v>0</v>
      </c>
      <c r="DC1447">
        <v>0</v>
      </c>
      <c r="DD1447">
        <v>0</v>
      </c>
      <c r="DE1447">
        <v>0</v>
      </c>
      <c r="DF1447">
        <v>0</v>
      </c>
      <c r="DG1447">
        <v>0</v>
      </c>
      <c r="DH1447">
        <v>0</v>
      </c>
      <c r="DI1447">
        <v>0</v>
      </c>
    </row>
    <row r="1448" spans="1:113" x14ac:dyDescent="0.3">
      <c r="A1448" t="str">
        <f>"02/13/2022 18:45:58.445"</f>
        <v>02/13/2022 18:45:58.445</v>
      </c>
      <c r="C1448" t="str">
        <f t="shared" si="137"/>
        <v>FFDFD7C0</v>
      </c>
      <c r="D1448" t="s">
        <v>113</v>
      </c>
      <c r="E1448">
        <v>3</v>
      </c>
      <c r="F1448">
        <v>1003</v>
      </c>
      <c r="G1448" t="s">
        <v>114</v>
      </c>
      <c r="J1448" t="s">
        <v>115</v>
      </c>
      <c r="K1448">
        <v>0</v>
      </c>
      <c r="L1448">
        <v>3</v>
      </c>
      <c r="M1448">
        <v>0</v>
      </c>
      <c r="N1448">
        <v>2</v>
      </c>
      <c r="O1448">
        <v>1</v>
      </c>
      <c r="P1448">
        <v>0</v>
      </c>
      <c r="Q1448">
        <v>0</v>
      </c>
      <c r="S1448" t="str">
        <f>"18:45:58.188"</f>
        <v>18:45:58.188</v>
      </c>
      <c r="T1448" t="str">
        <f>"18:45:58.087"</f>
        <v>18:45:58.087</v>
      </c>
      <c r="U1448" t="str">
        <f t="shared" si="135"/>
        <v>AAB6EE</v>
      </c>
      <c r="V1448">
        <v>0</v>
      </c>
      <c r="W1448">
        <v>0</v>
      </c>
      <c r="X1448">
        <v>4</v>
      </c>
      <c r="Z1448">
        <v>0</v>
      </c>
      <c r="AA1448">
        <v>8</v>
      </c>
      <c r="AB1448">
        <v>3</v>
      </c>
      <c r="AC1448">
        <v>0</v>
      </c>
      <c r="AD1448">
        <v>10</v>
      </c>
      <c r="AE1448">
        <v>0</v>
      </c>
      <c r="AF1448">
        <v>0</v>
      </c>
      <c r="AG1448">
        <v>1</v>
      </c>
      <c r="AH1448">
        <v>1</v>
      </c>
      <c r="AI1448" t="s">
        <v>1097</v>
      </c>
      <c r="AJ1448">
        <v>35.230494</v>
      </c>
      <c r="AK1448" t="s">
        <v>1098</v>
      </c>
      <c r="AL1448">
        <v>-76.081244999999996</v>
      </c>
      <c r="AM1448">
        <v>25</v>
      </c>
      <c r="AN1448">
        <v>2925</v>
      </c>
      <c r="AO1448" t="s">
        <v>118</v>
      </c>
      <c r="AP1448">
        <v>163</v>
      </c>
      <c r="AQ1448">
        <v>11</v>
      </c>
      <c r="AR1448">
        <v>0</v>
      </c>
      <c r="AZ1448">
        <v>4516</v>
      </c>
      <c r="BA1448">
        <v>1</v>
      </c>
      <c r="BB1448" t="str">
        <f t="shared" si="136"/>
        <v xml:space="preserve">N79NX   </v>
      </c>
      <c r="BC1448">
        <v>1</v>
      </c>
      <c r="BE1448">
        <v>0</v>
      </c>
      <c r="BF1448">
        <v>0</v>
      </c>
      <c r="BG1448">
        <v>0</v>
      </c>
      <c r="BH1448">
        <v>2775</v>
      </c>
      <c r="BI1448">
        <v>0</v>
      </c>
      <c r="BJ1448">
        <v>0</v>
      </c>
      <c r="BK1448">
        <v>0</v>
      </c>
      <c r="BL1448">
        <v>0</v>
      </c>
      <c r="BO1448">
        <v>0</v>
      </c>
      <c r="BP1448">
        <v>0</v>
      </c>
      <c r="BW1448" t="str">
        <f>"18:45:58.192"</f>
        <v>18:45:58.192</v>
      </c>
      <c r="BZ1448">
        <v>0</v>
      </c>
      <c r="CA1448">
        <v>3008</v>
      </c>
      <c r="CB1448">
        <v>216</v>
      </c>
      <c r="CC1448">
        <v>458.4375</v>
      </c>
      <c r="CD1448">
        <v>1</v>
      </c>
      <c r="CE1448">
        <v>1</v>
      </c>
      <c r="CF1448">
        <v>0</v>
      </c>
      <c r="CG1448">
        <v>1</v>
      </c>
      <c r="CH1448">
        <v>0</v>
      </c>
      <c r="CI1448">
        <v>0</v>
      </c>
      <c r="CJ1448">
        <v>0</v>
      </c>
      <c r="CK1448">
        <v>2</v>
      </c>
      <c r="CL1448">
        <v>0</v>
      </c>
      <c r="CM1448">
        <v>2</v>
      </c>
      <c r="CN1448">
        <v>0</v>
      </c>
      <c r="CO1448">
        <v>2</v>
      </c>
      <c r="CP1448" t="s">
        <v>119</v>
      </c>
      <c r="CQ1448">
        <v>145</v>
      </c>
      <c r="CR1448">
        <v>1</v>
      </c>
      <c r="CW1448">
        <v>9148842</v>
      </c>
      <c r="CY1448">
        <v>0</v>
      </c>
      <c r="CZ1448">
        <v>0</v>
      </c>
      <c r="DA1448">
        <v>1</v>
      </c>
      <c r="DB1448">
        <v>0</v>
      </c>
      <c r="DC1448">
        <v>0</v>
      </c>
      <c r="DD1448">
        <v>0</v>
      </c>
      <c r="DE1448">
        <v>0</v>
      </c>
      <c r="DF1448">
        <v>0</v>
      </c>
      <c r="DG1448">
        <v>0</v>
      </c>
      <c r="DH1448">
        <v>0</v>
      </c>
      <c r="DI1448">
        <v>0</v>
      </c>
    </row>
    <row r="1449" spans="1:113" x14ac:dyDescent="0.3">
      <c r="A1449" t="str">
        <f>"02/13/2022 18:45:58.445"</f>
        <v>02/13/2022 18:45:58.445</v>
      </c>
      <c r="C1449" t="str">
        <f t="shared" si="137"/>
        <v>FFDFD7C0</v>
      </c>
      <c r="D1449" t="s">
        <v>113</v>
      </c>
      <c r="E1449">
        <v>4</v>
      </c>
      <c r="F1449">
        <v>1004</v>
      </c>
      <c r="G1449" t="s">
        <v>120</v>
      </c>
      <c r="J1449" t="s">
        <v>115</v>
      </c>
      <c r="K1449">
        <v>0</v>
      </c>
      <c r="L1449">
        <v>3</v>
      </c>
      <c r="M1449">
        <v>0</v>
      </c>
      <c r="N1449">
        <v>2</v>
      </c>
      <c r="O1449">
        <v>1</v>
      </c>
      <c r="P1449">
        <v>0</v>
      </c>
      <c r="Q1449">
        <v>0</v>
      </c>
      <c r="S1449" t="str">
        <f>"18:45:58.188"</f>
        <v>18:45:58.188</v>
      </c>
      <c r="T1449" t="str">
        <f>"18:45:58.087"</f>
        <v>18:45:58.087</v>
      </c>
      <c r="U1449" t="str">
        <f t="shared" si="135"/>
        <v>AAB6EE</v>
      </c>
      <c r="V1449">
        <v>0</v>
      </c>
      <c r="W1449">
        <v>0</v>
      </c>
      <c r="X1449">
        <v>4</v>
      </c>
      <c r="Z1449">
        <v>0</v>
      </c>
      <c r="AA1449">
        <v>8</v>
      </c>
      <c r="AB1449">
        <v>3</v>
      </c>
      <c r="AC1449">
        <v>0</v>
      </c>
      <c r="AD1449">
        <v>10</v>
      </c>
      <c r="AE1449">
        <v>0</v>
      </c>
      <c r="AF1449">
        <v>0</v>
      </c>
      <c r="AG1449">
        <v>1</v>
      </c>
      <c r="AH1449">
        <v>1</v>
      </c>
      <c r="AI1449" t="s">
        <v>1097</v>
      </c>
      <c r="AJ1449">
        <v>35.230494</v>
      </c>
      <c r="AK1449" t="s">
        <v>1098</v>
      </c>
      <c r="AL1449">
        <v>-76.081244999999996</v>
      </c>
      <c r="AM1449">
        <v>25</v>
      </c>
      <c r="AN1449">
        <v>2925</v>
      </c>
      <c r="AO1449" t="s">
        <v>118</v>
      </c>
      <c r="AP1449">
        <v>163</v>
      </c>
      <c r="AQ1449">
        <v>11</v>
      </c>
      <c r="AR1449">
        <v>0</v>
      </c>
      <c r="AZ1449">
        <v>4516</v>
      </c>
      <c r="BA1449">
        <v>1</v>
      </c>
      <c r="BB1449" t="str">
        <f t="shared" si="136"/>
        <v xml:space="preserve">N79NX   </v>
      </c>
      <c r="BC1449">
        <v>1</v>
      </c>
      <c r="BE1449">
        <v>0</v>
      </c>
      <c r="BF1449">
        <v>0</v>
      </c>
      <c r="BG1449">
        <v>0</v>
      </c>
      <c r="BH1449">
        <v>2775</v>
      </c>
      <c r="BI1449">
        <v>0</v>
      </c>
      <c r="BJ1449">
        <v>0</v>
      </c>
      <c r="BK1449">
        <v>0</v>
      </c>
      <c r="BL1449">
        <v>0</v>
      </c>
      <c r="BO1449">
        <v>0</v>
      </c>
      <c r="BP1449">
        <v>0</v>
      </c>
      <c r="BW1449" t="str">
        <f>"18:45:58.192"</f>
        <v>18:45:58.192</v>
      </c>
      <c r="BZ1449">
        <v>0</v>
      </c>
      <c r="CA1449">
        <v>3008</v>
      </c>
      <c r="CB1449">
        <v>216</v>
      </c>
      <c r="CC1449">
        <v>458.4375</v>
      </c>
      <c r="CD1449">
        <v>1</v>
      </c>
      <c r="CE1449">
        <v>1</v>
      </c>
      <c r="CF1449">
        <v>0</v>
      </c>
      <c r="CG1449">
        <v>1</v>
      </c>
      <c r="CH1449">
        <v>0</v>
      </c>
      <c r="CI1449">
        <v>0</v>
      </c>
      <c r="CJ1449">
        <v>0</v>
      </c>
      <c r="CK1449">
        <v>2</v>
      </c>
      <c r="CL1449">
        <v>0</v>
      </c>
      <c r="CM1449">
        <v>2</v>
      </c>
      <c r="CN1449">
        <v>0</v>
      </c>
      <c r="CO1449">
        <v>2</v>
      </c>
      <c r="CP1449" t="s">
        <v>119</v>
      </c>
      <c r="CQ1449">
        <v>145</v>
      </c>
      <c r="CR1449">
        <v>1</v>
      </c>
      <c r="CW1449">
        <v>9148842</v>
      </c>
      <c r="CY1449">
        <v>0</v>
      </c>
      <c r="CZ1449">
        <v>0</v>
      </c>
      <c r="DA1449">
        <v>1</v>
      </c>
      <c r="DB1449">
        <v>0</v>
      </c>
      <c r="DC1449">
        <v>0</v>
      </c>
      <c r="DD1449">
        <v>0</v>
      </c>
      <c r="DE1449">
        <v>0</v>
      </c>
      <c r="DF1449">
        <v>0</v>
      </c>
      <c r="DG1449">
        <v>0</v>
      </c>
      <c r="DH1449">
        <v>0</v>
      </c>
      <c r="DI1449">
        <v>0</v>
      </c>
    </row>
    <row r="1450" spans="1:113" x14ac:dyDescent="0.3">
      <c r="A1450" t="str">
        <f>"02/13/2022 18:45:59.619"</f>
        <v>02/13/2022 18:45:59.619</v>
      </c>
      <c r="C1450" t="str">
        <f t="shared" si="137"/>
        <v>FFDFD7C0</v>
      </c>
      <c r="D1450" t="s">
        <v>121</v>
      </c>
      <c r="E1450">
        <v>2</v>
      </c>
      <c r="H1450">
        <v>158</v>
      </c>
      <c r="I1450" t="s">
        <v>120</v>
      </c>
      <c r="J1450" t="s">
        <v>122</v>
      </c>
      <c r="K1450">
        <v>0</v>
      </c>
      <c r="L1450">
        <v>3</v>
      </c>
      <c r="M1450">
        <v>0</v>
      </c>
      <c r="N1450">
        <v>2</v>
      </c>
      <c r="O1450">
        <v>1</v>
      </c>
      <c r="P1450">
        <v>0</v>
      </c>
      <c r="Q1450">
        <v>0</v>
      </c>
      <c r="S1450" t="str">
        <f t="shared" ref="S1450:T1452" si="138">"18:45:59.117"</f>
        <v>18:45:59.117</v>
      </c>
      <c r="T1450" t="str">
        <f t="shared" si="138"/>
        <v>18:45:59.117</v>
      </c>
      <c r="U1450" t="str">
        <f t="shared" si="135"/>
        <v>AAB6EE</v>
      </c>
      <c r="V1450">
        <v>0</v>
      </c>
      <c r="W1450">
        <v>0</v>
      </c>
      <c r="X1450">
        <v>4</v>
      </c>
      <c r="Z1450">
        <v>0</v>
      </c>
      <c r="AA1450">
        <v>8</v>
      </c>
      <c r="AB1450">
        <v>3</v>
      </c>
      <c r="AC1450">
        <v>0</v>
      </c>
      <c r="AD1450">
        <v>10</v>
      </c>
      <c r="AE1450">
        <v>0</v>
      </c>
      <c r="AF1450">
        <v>0</v>
      </c>
      <c r="AG1450">
        <v>1</v>
      </c>
      <c r="AH1450">
        <v>1</v>
      </c>
      <c r="AI1450" t="s">
        <v>1099</v>
      </c>
      <c r="AJ1450">
        <v>35.230536000000001</v>
      </c>
      <c r="AK1450" t="s">
        <v>1100</v>
      </c>
      <c r="AL1450">
        <v>-76.080321999999995</v>
      </c>
      <c r="AM1450">
        <v>25</v>
      </c>
      <c r="AN1450">
        <v>2950</v>
      </c>
      <c r="AO1450" t="s">
        <v>118</v>
      </c>
      <c r="AP1450">
        <v>163</v>
      </c>
      <c r="AQ1450">
        <v>11</v>
      </c>
      <c r="AR1450">
        <v>64</v>
      </c>
      <c r="AZ1450">
        <v>4516</v>
      </c>
      <c r="BA1450">
        <v>1</v>
      </c>
      <c r="BB1450" t="str">
        <f t="shared" si="136"/>
        <v xml:space="preserve">N79NX   </v>
      </c>
      <c r="BC1450">
        <v>1</v>
      </c>
      <c r="BE1450">
        <v>0</v>
      </c>
      <c r="BF1450">
        <v>0</v>
      </c>
      <c r="BG1450">
        <v>0</v>
      </c>
      <c r="BH1450">
        <v>2775</v>
      </c>
      <c r="BI1450">
        <v>0</v>
      </c>
      <c r="BJ1450">
        <v>0</v>
      </c>
      <c r="BK1450">
        <v>0</v>
      </c>
      <c r="BL1450">
        <v>0</v>
      </c>
      <c r="BO1450">
        <v>0</v>
      </c>
      <c r="BP1450">
        <v>0</v>
      </c>
      <c r="BW1450" t="str">
        <f>"18:45:59.122"</f>
        <v>18:45:59.122</v>
      </c>
      <c r="BZ1450">
        <v>0</v>
      </c>
      <c r="CA1450">
        <v>3008</v>
      </c>
      <c r="CB1450">
        <v>216</v>
      </c>
      <c r="CC1450">
        <v>458.4375</v>
      </c>
      <c r="CD1450">
        <v>1</v>
      </c>
      <c r="CE1450">
        <v>1</v>
      </c>
      <c r="CF1450">
        <v>0</v>
      </c>
      <c r="CG1450">
        <v>1</v>
      </c>
      <c r="CH1450">
        <v>0</v>
      </c>
      <c r="CI1450">
        <v>0</v>
      </c>
      <c r="CJ1450">
        <v>0</v>
      </c>
      <c r="CK1450">
        <v>2</v>
      </c>
      <c r="CL1450">
        <v>0</v>
      </c>
      <c r="CM1450">
        <v>2</v>
      </c>
      <c r="CN1450">
        <v>0</v>
      </c>
      <c r="CO1450">
        <v>1</v>
      </c>
      <c r="CP1450" t="s">
        <v>119</v>
      </c>
      <c r="CQ1450">
        <v>145</v>
      </c>
      <c r="CR1450">
        <v>1</v>
      </c>
      <c r="CW1450">
        <v>9149291</v>
      </c>
      <c r="CY1450">
        <v>0</v>
      </c>
      <c r="CZ1450">
        <v>0</v>
      </c>
      <c r="DA1450">
        <v>0</v>
      </c>
      <c r="DB1450">
        <v>0</v>
      </c>
      <c r="DC1450">
        <v>0</v>
      </c>
      <c r="DD1450">
        <v>0</v>
      </c>
      <c r="DE1450">
        <v>0</v>
      </c>
      <c r="DF1450">
        <v>0</v>
      </c>
      <c r="DG1450">
        <v>0</v>
      </c>
      <c r="DH1450">
        <v>0</v>
      </c>
      <c r="DI1450">
        <v>0</v>
      </c>
    </row>
    <row r="1451" spans="1:113" x14ac:dyDescent="0.3">
      <c r="A1451" t="str">
        <f>"02/13/2022 18:45:59.619"</f>
        <v>02/13/2022 18:45:59.619</v>
      </c>
      <c r="C1451" t="str">
        <f t="shared" si="137"/>
        <v>FFDFD7C0</v>
      </c>
      <c r="D1451" t="s">
        <v>113</v>
      </c>
      <c r="E1451">
        <v>3</v>
      </c>
      <c r="F1451">
        <v>1003</v>
      </c>
      <c r="G1451" t="s">
        <v>114</v>
      </c>
      <c r="J1451" t="s">
        <v>115</v>
      </c>
      <c r="K1451">
        <v>0</v>
      </c>
      <c r="L1451">
        <v>3</v>
      </c>
      <c r="M1451">
        <v>0</v>
      </c>
      <c r="N1451">
        <v>2</v>
      </c>
      <c r="O1451">
        <v>1</v>
      </c>
      <c r="P1451">
        <v>0</v>
      </c>
      <c r="Q1451">
        <v>0</v>
      </c>
      <c r="S1451" t="str">
        <f t="shared" si="138"/>
        <v>18:45:59.117</v>
      </c>
      <c r="T1451" t="str">
        <f t="shared" si="138"/>
        <v>18:45:59.117</v>
      </c>
      <c r="U1451" t="str">
        <f t="shared" si="135"/>
        <v>AAB6EE</v>
      </c>
      <c r="V1451">
        <v>0</v>
      </c>
      <c r="W1451">
        <v>0</v>
      </c>
      <c r="X1451">
        <v>4</v>
      </c>
      <c r="Z1451">
        <v>0</v>
      </c>
      <c r="AA1451">
        <v>8</v>
      </c>
      <c r="AB1451">
        <v>3</v>
      </c>
      <c r="AC1451">
        <v>0</v>
      </c>
      <c r="AD1451">
        <v>10</v>
      </c>
      <c r="AE1451">
        <v>0</v>
      </c>
      <c r="AF1451">
        <v>0</v>
      </c>
      <c r="AG1451">
        <v>1</v>
      </c>
      <c r="AH1451">
        <v>1</v>
      </c>
      <c r="AI1451" t="s">
        <v>1099</v>
      </c>
      <c r="AJ1451">
        <v>35.230536000000001</v>
      </c>
      <c r="AK1451" t="s">
        <v>1100</v>
      </c>
      <c r="AL1451">
        <v>-76.080321999999995</v>
      </c>
      <c r="AM1451">
        <v>25</v>
      </c>
      <c r="AN1451">
        <v>2950</v>
      </c>
      <c r="AO1451" t="s">
        <v>118</v>
      </c>
      <c r="AP1451">
        <v>163</v>
      </c>
      <c r="AQ1451">
        <v>11</v>
      </c>
      <c r="AR1451">
        <v>64</v>
      </c>
      <c r="AZ1451">
        <v>4516</v>
      </c>
      <c r="BA1451">
        <v>1</v>
      </c>
      <c r="BB1451" t="str">
        <f t="shared" si="136"/>
        <v xml:space="preserve">N79NX   </v>
      </c>
      <c r="BC1451">
        <v>1</v>
      </c>
      <c r="BE1451">
        <v>0</v>
      </c>
      <c r="BF1451">
        <v>0</v>
      </c>
      <c r="BG1451">
        <v>0</v>
      </c>
      <c r="BH1451">
        <v>2775</v>
      </c>
      <c r="BI1451">
        <v>0</v>
      </c>
      <c r="BJ1451">
        <v>0</v>
      </c>
      <c r="BK1451">
        <v>0</v>
      </c>
      <c r="BL1451">
        <v>0</v>
      </c>
      <c r="BO1451">
        <v>0</v>
      </c>
      <c r="BP1451">
        <v>0</v>
      </c>
      <c r="BW1451" t="str">
        <f>"18:45:59.122"</f>
        <v>18:45:59.122</v>
      </c>
      <c r="BZ1451">
        <v>0</v>
      </c>
      <c r="CA1451">
        <v>3008</v>
      </c>
      <c r="CB1451">
        <v>216</v>
      </c>
      <c r="CC1451">
        <v>458.4375</v>
      </c>
      <c r="CD1451">
        <v>1</v>
      </c>
      <c r="CE1451">
        <v>1</v>
      </c>
      <c r="CF1451">
        <v>0</v>
      </c>
      <c r="CG1451">
        <v>1</v>
      </c>
      <c r="CH1451">
        <v>0</v>
      </c>
      <c r="CI1451">
        <v>0</v>
      </c>
      <c r="CJ1451">
        <v>0</v>
      </c>
      <c r="CK1451">
        <v>2</v>
      </c>
      <c r="CL1451">
        <v>0</v>
      </c>
      <c r="CM1451">
        <v>2</v>
      </c>
      <c r="CN1451">
        <v>0</v>
      </c>
      <c r="CO1451">
        <v>1</v>
      </c>
      <c r="CP1451" t="s">
        <v>119</v>
      </c>
      <c r="CQ1451">
        <v>145</v>
      </c>
      <c r="CR1451">
        <v>1</v>
      </c>
      <c r="CW1451">
        <v>9149291</v>
      </c>
      <c r="CY1451">
        <v>0</v>
      </c>
      <c r="CZ1451">
        <v>0</v>
      </c>
      <c r="DA1451">
        <v>1</v>
      </c>
      <c r="DB1451">
        <v>0</v>
      </c>
      <c r="DC1451">
        <v>0</v>
      </c>
      <c r="DD1451">
        <v>0</v>
      </c>
      <c r="DE1451">
        <v>0</v>
      </c>
      <c r="DF1451">
        <v>0</v>
      </c>
      <c r="DG1451">
        <v>0</v>
      </c>
      <c r="DH1451">
        <v>0</v>
      </c>
      <c r="DI1451">
        <v>0</v>
      </c>
    </row>
    <row r="1452" spans="1:113" x14ac:dyDescent="0.3">
      <c r="A1452" t="str">
        <f>"02/13/2022 18:45:59.619"</f>
        <v>02/13/2022 18:45:59.619</v>
      </c>
      <c r="C1452" t="str">
        <f t="shared" si="137"/>
        <v>FFDFD7C0</v>
      </c>
      <c r="D1452" t="s">
        <v>113</v>
      </c>
      <c r="E1452">
        <v>4</v>
      </c>
      <c r="F1452">
        <v>1004</v>
      </c>
      <c r="G1452" t="s">
        <v>120</v>
      </c>
      <c r="J1452" t="s">
        <v>115</v>
      </c>
      <c r="K1452">
        <v>0</v>
      </c>
      <c r="L1452">
        <v>3</v>
      </c>
      <c r="M1452">
        <v>0</v>
      </c>
      <c r="N1452">
        <v>2</v>
      </c>
      <c r="O1452">
        <v>1</v>
      </c>
      <c r="P1452">
        <v>0</v>
      </c>
      <c r="Q1452">
        <v>0</v>
      </c>
      <c r="S1452" t="str">
        <f t="shared" si="138"/>
        <v>18:45:59.117</v>
      </c>
      <c r="T1452" t="str">
        <f t="shared" si="138"/>
        <v>18:45:59.117</v>
      </c>
      <c r="U1452" t="str">
        <f t="shared" si="135"/>
        <v>AAB6EE</v>
      </c>
      <c r="V1452">
        <v>0</v>
      </c>
      <c r="W1452">
        <v>0</v>
      </c>
      <c r="X1452">
        <v>4</v>
      </c>
      <c r="Z1452">
        <v>0</v>
      </c>
      <c r="AA1452">
        <v>8</v>
      </c>
      <c r="AB1452">
        <v>3</v>
      </c>
      <c r="AC1452">
        <v>0</v>
      </c>
      <c r="AD1452">
        <v>10</v>
      </c>
      <c r="AE1452">
        <v>0</v>
      </c>
      <c r="AF1452">
        <v>0</v>
      </c>
      <c r="AG1452">
        <v>1</v>
      </c>
      <c r="AH1452">
        <v>1</v>
      </c>
      <c r="AI1452" t="s">
        <v>1099</v>
      </c>
      <c r="AJ1452">
        <v>35.230536000000001</v>
      </c>
      <c r="AK1452" t="s">
        <v>1100</v>
      </c>
      <c r="AL1452">
        <v>-76.080321999999995</v>
      </c>
      <c r="AM1452">
        <v>25</v>
      </c>
      <c r="AN1452">
        <v>2950</v>
      </c>
      <c r="AO1452" t="s">
        <v>118</v>
      </c>
      <c r="AP1452">
        <v>163</v>
      </c>
      <c r="AQ1452">
        <v>11</v>
      </c>
      <c r="AR1452">
        <v>64</v>
      </c>
      <c r="AZ1452">
        <v>4516</v>
      </c>
      <c r="BA1452">
        <v>1</v>
      </c>
      <c r="BB1452" t="str">
        <f t="shared" si="136"/>
        <v xml:space="preserve">N79NX   </v>
      </c>
      <c r="BC1452">
        <v>1</v>
      </c>
      <c r="BE1452">
        <v>0</v>
      </c>
      <c r="BF1452">
        <v>0</v>
      </c>
      <c r="BG1452">
        <v>0</v>
      </c>
      <c r="BH1452">
        <v>2775</v>
      </c>
      <c r="BI1452">
        <v>0</v>
      </c>
      <c r="BJ1452">
        <v>0</v>
      </c>
      <c r="BK1452">
        <v>0</v>
      </c>
      <c r="BL1452">
        <v>0</v>
      </c>
      <c r="BO1452">
        <v>0</v>
      </c>
      <c r="BP1452">
        <v>0</v>
      </c>
      <c r="BW1452" t="str">
        <f>"18:45:59.122"</f>
        <v>18:45:59.122</v>
      </c>
      <c r="BZ1452">
        <v>0</v>
      </c>
      <c r="CA1452">
        <v>3008</v>
      </c>
      <c r="CB1452">
        <v>216</v>
      </c>
      <c r="CC1452">
        <v>458.4375</v>
      </c>
      <c r="CD1452">
        <v>1</v>
      </c>
      <c r="CE1452">
        <v>1</v>
      </c>
      <c r="CF1452">
        <v>0</v>
      </c>
      <c r="CG1452">
        <v>1</v>
      </c>
      <c r="CH1452">
        <v>0</v>
      </c>
      <c r="CI1452">
        <v>0</v>
      </c>
      <c r="CJ1452">
        <v>0</v>
      </c>
      <c r="CK1452">
        <v>2</v>
      </c>
      <c r="CL1452">
        <v>0</v>
      </c>
      <c r="CM1452">
        <v>2</v>
      </c>
      <c r="CN1452">
        <v>0</v>
      </c>
      <c r="CO1452">
        <v>1</v>
      </c>
      <c r="CP1452" t="s">
        <v>119</v>
      </c>
      <c r="CQ1452">
        <v>145</v>
      </c>
      <c r="CR1452">
        <v>1</v>
      </c>
      <c r="CW1452">
        <v>9149291</v>
      </c>
      <c r="CY1452">
        <v>0</v>
      </c>
      <c r="CZ1452">
        <v>0</v>
      </c>
      <c r="DA1452">
        <v>1</v>
      </c>
      <c r="DB1452">
        <v>0</v>
      </c>
      <c r="DC1452">
        <v>0</v>
      </c>
      <c r="DD1452">
        <v>0</v>
      </c>
      <c r="DE1452">
        <v>0</v>
      </c>
      <c r="DF1452">
        <v>0</v>
      </c>
      <c r="DG1452">
        <v>0</v>
      </c>
      <c r="DH1452">
        <v>0</v>
      </c>
      <c r="DI1452">
        <v>0</v>
      </c>
    </row>
    <row r="1453" spans="1:113" x14ac:dyDescent="0.3">
      <c r="A1453" t="str">
        <f>"02/13/2022 18:46:01.132"</f>
        <v>02/13/2022 18:46:01.132</v>
      </c>
      <c r="C1453" t="str">
        <f t="shared" si="137"/>
        <v>FFDFD7C0</v>
      </c>
      <c r="D1453" t="s">
        <v>121</v>
      </c>
      <c r="E1453">
        <v>2</v>
      </c>
      <c r="H1453">
        <v>158</v>
      </c>
      <c r="I1453" t="s">
        <v>120</v>
      </c>
      <c r="J1453" t="s">
        <v>122</v>
      </c>
      <c r="K1453">
        <v>0</v>
      </c>
      <c r="L1453">
        <v>3</v>
      </c>
      <c r="M1453">
        <v>0</v>
      </c>
      <c r="N1453">
        <v>2</v>
      </c>
      <c r="O1453">
        <v>1</v>
      </c>
      <c r="P1453">
        <v>0</v>
      </c>
      <c r="Q1453">
        <v>0</v>
      </c>
      <c r="S1453" t="str">
        <f>"18:46:00.891"</f>
        <v>18:46:00.891</v>
      </c>
      <c r="T1453" t="str">
        <f>"18:46:00.291"</f>
        <v>18:46:00.291</v>
      </c>
      <c r="U1453" t="str">
        <f t="shared" si="135"/>
        <v>AAB6EE</v>
      </c>
      <c r="V1453">
        <v>0</v>
      </c>
      <c r="W1453">
        <v>0</v>
      </c>
      <c r="X1453">
        <v>4</v>
      </c>
      <c r="Z1453">
        <v>0</v>
      </c>
      <c r="AA1453">
        <v>8</v>
      </c>
      <c r="AB1453">
        <v>3</v>
      </c>
      <c r="AC1453">
        <v>0</v>
      </c>
      <c r="AD1453">
        <v>10</v>
      </c>
      <c r="AE1453">
        <v>0</v>
      </c>
      <c r="AF1453">
        <v>0</v>
      </c>
      <c r="AG1453">
        <v>1</v>
      </c>
      <c r="AH1453">
        <v>1</v>
      </c>
      <c r="AI1453" t="s">
        <v>1101</v>
      </c>
      <c r="AJ1453">
        <v>35.230643999999998</v>
      </c>
      <c r="AK1453" t="s">
        <v>1102</v>
      </c>
      <c r="AL1453">
        <v>-76.078799000000004</v>
      </c>
      <c r="AM1453">
        <v>25</v>
      </c>
      <c r="AN1453">
        <v>2950</v>
      </c>
      <c r="AO1453" t="s">
        <v>118</v>
      </c>
      <c r="AP1453">
        <v>163</v>
      </c>
      <c r="AQ1453">
        <v>11</v>
      </c>
      <c r="AR1453">
        <v>64</v>
      </c>
      <c r="AZ1453">
        <v>4516</v>
      </c>
      <c r="BA1453">
        <v>1</v>
      </c>
      <c r="BB1453" t="str">
        <f t="shared" si="136"/>
        <v xml:space="preserve">N79NX   </v>
      </c>
      <c r="BC1453">
        <v>1</v>
      </c>
      <c r="BE1453">
        <v>0</v>
      </c>
      <c r="BF1453">
        <v>0</v>
      </c>
      <c r="BG1453">
        <v>0</v>
      </c>
      <c r="BH1453">
        <v>2800</v>
      </c>
      <c r="BI1453">
        <v>0</v>
      </c>
      <c r="BJ1453">
        <v>0</v>
      </c>
      <c r="BK1453">
        <v>0</v>
      </c>
      <c r="BL1453">
        <v>0</v>
      </c>
      <c r="BO1453">
        <v>0</v>
      </c>
      <c r="BP1453">
        <v>0</v>
      </c>
      <c r="BW1453" t="str">
        <f>"18:46:00.892"</f>
        <v>18:46:00.892</v>
      </c>
      <c r="BZ1453">
        <v>0</v>
      </c>
      <c r="CA1453">
        <v>3008</v>
      </c>
      <c r="CB1453">
        <v>216</v>
      </c>
      <c r="CC1453">
        <v>458.4375</v>
      </c>
      <c r="CD1453">
        <v>1</v>
      </c>
      <c r="CE1453">
        <v>1</v>
      </c>
      <c r="CF1453">
        <v>0</v>
      </c>
      <c r="CG1453">
        <v>1</v>
      </c>
      <c r="CH1453">
        <v>0</v>
      </c>
      <c r="CI1453">
        <v>0</v>
      </c>
      <c r="CJ1453">
        <v>0</v>
      </c>
      <c r="CK1453">
        <v>2</v>
      </c>
      <c r="CL1453">
        <v>0</v>
      </c>
      <c r="CM1453">
        <v>2</v>
      </c>
      <c r="CN1453">
        <v>0</v>
      </c>
      <c r="CO1453">
        <v>1</v>
      </c>
      <c r="CP1453" t="s">
        <v>119</v>
      </c>
      <c r="CQ1453">
        <v>145</v>
      </c>
      <c r="CR1453">
        <v>1</v>
      </c>
      <c r="CW1453">
        <v>9150149</v>
      </c>
      <c r="CY1453">
        <v>0</v>
      </c>
      <c r="CZ1453">
        <v>0</v>
      </c>
      <c r="DA1453">
        <v>0</v>
      </c>
      <c r="DB1453">
        <v>0</v>
      </c>
      <c r="DC1453">
        <v>0</v>
      </c>
      <c r="DD1453">
        <v>0</v>
      </c>
      <c r="DE1453">
        <v>0</v>
      </c>
      <c r="DF1453">
        <v>0</v>
      </c>
      <c r="DG1453">
        <v>0</v>
      </c>
      <c r="DH1453">
        <v>0</v>
      </c>
      <c r="DI1453">
        <v>0</v>
      </c>
    </row>
    <row r="1454" spans="1:113" x14ac:dyDescent="0.3">
      <c r="A1454" t="str">
        <f>"02/13/2022 18:46:01.132"</f>
        <v>02/13/2022 18:46:01.132</v>
      </c>
      <c r="C1454" t="str">
        <f t="shared" si="137"/>
        <v>FFDFD7C0</v>
      </c>
      <c r="D1454" t="s">
        <v>113</v>
      </c>
      <c r="E1454">
        <v>3</v>
      </c>
      <c r="F1454">
        <v>1003</v>
      </c>
      <c r="G1454" t="s">
        <v>114</v>
      </c>
      <c r="J1454" t="s">
        <v>115</v>
      </c>
      <c r="K1454">
        <v>0</v>
      </c>
      <c r="L1454">
        <v>3</v>
      </c>
      <c r="M1454">
        <v>0</v>
      </c>
      <c r="N1454">
        <v>2</v>
      </c>
      <c r="O1454">
        <v>1</v>
      </c>
      <c r="P1454">
        <v>0</v>
      </c>
      <c r="Q1454">
        <v>0</v>
      </c>
      <c r="S1454" t="str">
        <f>"18:46:00.891"</f>
        <v>18:46:00.891</v>
      </c>
      <c r="T1454" t="str">
        <f>"18:46:00.291"</f>
        <v>18:46:00.291</v>
      </c>
      <c r="U1454" t="str">
        <f t="shared" si="135"/>
        <v>AAB6EE</v>
      </c>
      <c r="V1454">
        <v>0</v>
      </c>
      <c r="W1454">
        <v>0</v>
      </c>
      <c r="X1454">
        <v>4</v>
      </c>
      <c r="Z1454">
        <v>0</v>
      </c>
      <c r="AA1454">
        <v>8</v>
      </c>
      <c r="AB1454">
        <v>3</v>
      </c>
      <c r="AC1454">
        <v>0</v>
      </c>
      <c r="AD1454">
        <v>10</v>
      </c>
      <c r="AE1454">
        <v>0</v>
      </c>
      <c r="AF1454">
        <v>0</v>
      </c>
      <c r="AG1454">
        <v>1</v>
      </c>
      <c r="AH1454">
        <v>1</v>
      </c>
      <c r="AI1454" t="s">
        <v>1101</v>
      </c>
      <c r="AJ1454">
        <v>35.230643999999998</v>
      </c>
      <c r="AK1454" t="s">
        <v>1102</v>
      </c>
      <c r="AL1454">
        <v>-76.078799000000004</v>
      </c>
      <c r="AM1454">
        <v>25</v>
      </c>
      <c r="AN1454">
        <v>2950</v>
      </c>
      <c r="AO1454" t="s">
        <v>118</v>
      </c>
      <c r="AP1454">
        <v>163</v>
      </c>
      <c r="AQ1454">
        <v>11</v>
      </c>
      <c r="AR1454">
        <v>64</v>
      </c>
      <c r="AZ1454">
        <v>4516</v>
      </c>
      <c r="BA1454">
        <v>1</v>
      </c>
      <c r="BB1454" t="str">
        <f t="shared" si="136"/>
        <v xml:space="preserve">N79NX   </v>
      </c>
      <c r="BC1454">
        <v>1</v>
      </c>
      <c r="BE1454">
        <v>0</v>
      </c>
      <c r="BF1454">
        <v>0</v>
      </c>
      <c r="BG1454">
        <v>0</v>
      </c>
      <c r="BH1454">
        <v>2800</v>
      </c>
      <c r="BI1454">
        <v>0</v>
      </c>
      <c r="BJ1454">
        <v>0</v>
      </c>
      <c r="BK1454">
        <v>0</v>
      </c>
      <c r="BL1454">
        <v>0</v>
      </c>
      <c r="BO1454">
        <v>0</v>
      </c>
      <c r="BP1454">
        <v>0</v>
      </c>
      <c r="BW1454" t="str">
        <f>"18:46:00.892"</f>
        <v>18:46:00.892</v>
      </c>
      <c r="BZ1454">
        <v>0</v>
      </c>
      <c r="CA1454">
        <v>3008</v>
      </c>
      <c r="CB1454">
        <v>216</v>
      </c>
      <c r="CC1454">
        <v>458.4375</v>
      </c>
      <c r="CD1454">
        <v>1</v>
      </c>
      <c r="CE1454">
        <v>1</v>
      </c>
      <c r="CF1454">
        <v>0</v>
      </c>
      <c r="CG1454">
        <v>1</v>
      </c>
      <c r="CH1454">
        <v>0</v>
      </c>
      <c r="CI1454">
        <v>0</v>
      </c>
      <c r="CJ1454">
        <v>0</v>
      </c>
      <c r="CK1454">
        <v>2</v>
      </c>
      <c r="CL1454">
        <v>0</v>
      </c>
      <c r="CM1454">
        <v>2</v>
      </c>
      <c r="CN1454">
        <v>0</v>
      </c>
      <c r="CO1454">
        <v>1</v>
      </c>
      <c r="CP1454" t="s">
        <v>119</v>
      </c>
      <c r="CQ1454">
        <v>145</v>
      </c>
      <c r="CR1454">
        <v>1</v>
      </c>
      <c r="CW1454">
        <v>9150149</v>
      </c>
      <c r="CY1454">
        <v>0</v>
      </c>
      <c r="CZ1454">
        <v>0</v>
      </c>
      <c r="DA1454">
        <v>1</v>
      </c>
      <c r="DB1454">
        <v>0</v>
      </c>
      <c r="DC1454">
        <v>0</v>
      </c>
      <c r="DD1454">
        <v>0</v>
      </c>
      <c r="DE1454">
        <v>0</v>
      </c>
      <c r="DF1454">
        <v>0</v>
      </c>
      <c r="DG1454">
        <v>0</v>
      </c>
      <c r="DH1454">
        <v>0</v>
      </c>
      <c r="DI1454">
        <v>0</v>
      </c>
    </row>
    <row r="1455" spans="1:113" x14ac:dyDescent="0.3">
      <c r="A1455" t="str">
        <f>"02/13/2022 18:46:01.132"</f>
        <v>02/13/2022 18:46:01.132</v>
      </c>
      <c r="C1455" t="str">
        <f t="shared" si="137"/>
        <v>FFDFD7C0</v>
      </c>
      <c r="D1455" t="s">
        <v>113</v>
      </c>
      <c r="E1455">
        <v>4</v>
      </c>
      <c r="F1455">
        <v>1004</v>
      </c>
      <c r="G1455" t="s">
        <v>120</v>
      </c>
      <c r="J1455" t="s">
        <v>115</v>
      </c>
      <c r="K1455">
        <v>0</v>
      </c>
      <c r="L1455">
        <v>3</v>
      </c>
      <c r="M1455">
        <v>0</v>
      </c>
      <c r="N1455">
        <v>2</v>
      </c>
      <c r="O1455">
        <v>1</v>
      </c>
      <c r="P1455">
        <v>0</v>
      </c>
      <c r="Q1455">
        <v>0</v>
      </c>
      <c r="S1455" t="str">
        <f>"18:46:00.891"</f>
        <v>18:46:00.891</v>
      </c>
      <c r="T1455" t="str">
        <f>"18:46:00.291"</f>
        <v>18:46:00.291</v>
      </c>
      <c r="U1455" t="str">
        <f t="shared" si="135"/>
        <v>AAB6EE</v>
      </c>
      <c r="V1455">
        <v>0</v>
      </c>
      <c r="W1455">
        <v>0</v>
      </c>
      <c r="X1455">
        <v>4</v>
      </c>
      <c r="Z1455">
        <v>0</v>
      </c>
      <c r="AA1455">
        <v>8</v>
      </c>
      <c r="AB1455">
        <v>3</v>
      </c>
      <c r="AC1455">
        <v>0</v>
      </c>
      <c r="AD1455">
        <v>10</v>
      </c>
      <c r="AE1455">
        <v>0</v>
      </c>
      <c r="AF1455">
        <v>0</v>
      </c>
      <c r="AG1455">
        <v>1</v>
      </c>
      <c r="AH1455">
        <v>1</v>
      </c>
      <c r="AI1455" t="s">
        <v>1101</v>
      </c>
      <c r="AJ1455">
        <v>35.230643999999998</v>
      </c>
      <c r="AK1455" t="s">
        <v>1102</v>
      </c>
      <c r="AL1455">
        <v>-76.078799000000004</v>
      </c>
      <c r="AM1455">
        <v>25</v>
      </c>
      <c r="AN1455">
        <v>2950</v>
      </c>
      <c r="AO1455" t="s">
        <v>118</v>
      </c>
      <c r="AP1455">
        <v>163</v>
      </c>
      <c r="AQ1455">
        <v>11</v>
      </c>
      <c r="AR1455">
        <v>64</v>
      </c>
      <c r="AZ1455">
        <v>4516</v>
      </c>
      <c r="BA1455">
        <v>1</v>
      </c>
      <c r="BB1455" t="str">
        <f t="shared" si="136"/>
        <v xml:space="preserve">N79NX   </v>
      </c>
      <c r="BC1455">
        <v>1</v>
      </c>
      <c r="BE1455">
        <v>0</v>
      </c>
      <c r="BF1455">
        <v>0</v>
      </c>
      <c r="BG1455">
        <v>0</v>
      </c>
      <c r="BH1455">
        <v>2800</v>
      </c>
      <c r="BI1455">
        <v>0</v>
      </c>
      <c r="BJ1455">
        <v>0</v>
      </c>
      <c r="BK1455">
        <v>0</v>
      </c>
      <c r="BL1455">
        <v>0</v>
      </c>
      <c r="BO1455">
        <v>0</v>
      </c>
      <c r="BP1455">
        <v>0</v>
      </c>
      <c r="BW1455" t="str">
        <f>"18:46:00.892"</f>
        <v>18:46:00.892</v>
      </c>
      <c r="BZ1455">
        <v>0</v>
      </c>
      <c r="CA1455">
        <v>3008</v>
      </c>
      <c r="CB1455">
        <v>216</v>
      </c>
      <c r="CC1455">
        <v>458.4375</v>
      </c>
      <c r="CD1455">
        <v>1</v>
      </c>
      <c r="CE1455">
        <v>1</v>
      </c>
      <c r="CF1455">
        <v>0</v>
      </c>
      <c r="CG1455">
        <v>1</v>
      </c>
      <c r="CH1455">
        <v>0</v>
      </c>
      <c r="CI1455">
        <v>0</v>
      </c>
      <c r="CJ1455">
        <v>0</v>
      </c>
      <c r="CK1455">
        <v>2</v>
      </c>
      <c r="CL1455">
        <v>0</v>
      </c>
      <c r="CM1455">
        <v>2</v>
      </c>
      <c r="CN1455">
        <v>0</v>
      </c>
      <c r="CO1455">
        <v>1</v>
      </c>
      <c r="CP1455" t="s">
        <v>119</v>
      </c>
      <c r="CQ1455">
        <v>145</v>
      </c>
      <c r="CR1455">
        <v>1</v>
      </c>
      <c r="CW1455">
        <v>9150149</v>
      </c>
      <c r="CY1455">
        <v>0</v>
      </c>
      <c r="CZ1455">
        <v>0</v>
      </c>
      <c r="DA1455">
        <v>1</v>
      </c>
      <c r="DB1455">
        <v>0</v>
      </c>
      <c r="DC1455">
        <v>0</v>
      </c>
      <c r="DD1455">
        <v>0</v>
      </c>
      <c r="DE1455">
        <v>0</v>
      </c>
      <c r="DF1455">
        <v>0</v>
      </c>
      <c r="DG1455">
        <v>0</v>
      </c>
      <c r="DH1455">
        <v>0</v>
      </c>
      <c r="DI1455">
        <v>0</v>
      </c>
    </row>
    <row r="1456" spans="1:113" x14ac:dyDescent="0.3">
      <c r="A1456" t="str">
        <f>"02/13/2022 18:46:02.147"</f>
        <v>02/13/2022 18:46:02.147</v>
      </c>
      <c r="C1456" t="str">
        <f t="shared" si="137"/>
        <v>FFDFD7C0</v>
      </c>
      <c r="D1456" t="s">
        <v>121</v>
      </c>
      <c r="E1456">
        <v>2</v>
      </c>
      <c r="H1456">
        <v>158</v>
      </c>
      <c r="I1456" t="s">
        <v>120</v>
      </c>
      <c r="J1456" t="s">
        <v>122</v>
      </c>
      <c r="K1456">
        <v>0</v>
      </c>
      <c r="L1456">
        <v>3</v>
      </c>
      <c r="M1456">
        <v>0</v>
      </c>
      <c r="N1456">
        <v>2</v>
      </c>
      <c r="O1456">
        <v>1</v>
      </c>
      <c r="P1456">
        <v>0</v>
      </c>
      <c r="Q1456">
        <v>0</v>
      </c>
      <c r="S1456" t="str">
        <f>"18:46:01.938"</f>
        <v>18:46:01.938</v>
      </c>
      <c r="T1456" t="str">
        <f>"18:46:01.438"</f>
        <v>18:46:01.438</v>
      </c>
      <c r="U1456" t="str">
        <f t="shared" si="135"/>
        <v>AAB6EE</v>
      </c>
      <c r="V1456">
        <v>0</v>
      </c>
      <c r="W1456">
        <v>0</v>
      </c>
      <c r="X1456">
        <v>4</v>
      </c>
      <c r="Z1456">
        <v>0</v>
      </c>
      <c r="AA1456">
        <v>8</v>
      </c>
      <c r="AB1456">
        <v>3</v>
      </c>
      <c r="AC1456">
        <v>0</v>
      </c>
      <c r="AD1456">
        <v>10</v>
      </c>
      <c r="AE1456">
        <v>0</v>
      </c>
      <c r="AF1456">
        <v>0</v>
      </c>
      <c r="AG1456">
        <v>1</v>
      </c>
      <c r="AH1456">
        <v>1</v>
      </c>
      <c r="AI1456" t="s">
        <v>1103</v>
      </c>
      <c r="AJ1456">
        <v>35.230687000000003</v>
      </c>
      <c r="AK1456" t="s">
        <v>1104</v>
      </c>
      <c r="AL1456">
        <v>-76.077747000000002</v>
      </c>
      <c r="AM1456">
        <v>25</v>
      </c>
      <c r="AN1456">
        <v>2950</v>
      </c>
      <c r="AO1456" t="s">
        <v>118</v>
      </c>
      <c r="AP1456">
        <v>162</v>
      </c>
      <c r="AQ1456">
        <v>11</v>
      </c>
      <c r="AR1456">
        <v>192</v>
      </c>
      <c r="AZ1456">
        <v>4516</v>
      </c>
      <c r="BA1456">
        <v>1</v>
      </c>
      <c r="BB1456" t="str">
        <f t="shared" si="136"/>
        <v xml:space="preserve">N79NX   </v>
      </c>
      <c r="BC1456">
        <v>1</v>
      </c>
      <c r="BE1456">
        <v>0</v>
      </c>
      <c r="BF1456">
        <v>0</v>
      </c>
      <c r="BG1456">
        <v>0</v>
      </c>
      <c r="BH1456">
        <v>2825</v>
      </c>
      <c r="BI1456">
        <v>0</v>
      </c>
      <c r="BJ1456">
        <v>0</v>
      </c>
      <c r="BK1456">
        <v>0</v>
      </c>
      <c r="BL1456">
        <v>0</v>
      </c>
      <c r="BO1456">
        <v>0</v>
      </c>
      <c r="BP1456">
        <v>0</v>
      </c>
      <c r="BW1456" t="str">
        <f>"18:46:01.942"</f>
        <v>18:46:01.942</v>
      </c>
      <c r="BZ1456">
        <v>0</v>
      </c>
      <c r="CA1456">
        <v>3008</v>
      </c>
      <c r="CB1456">
        <v>216</v>
      </c>
      <c r="CC1456">
        <v>458.4375</v>
      </c>
      <c r="CD1456">
        <v>1</v>
      </c>
      <c r="CE1456">
        <v>1</v>
      </c>
      <c r="CF1456">
        <v>0</v>
      </c>
      <c r="CG1456">
        <v>1</v>
      </c>
      <c r="CH1456">
        <v>0</v>
      </c>
      <c r="CI1456">
        <v>0</v>
      </c>
      <c r="CJ1456">
        <v>0</v>
      </c>
      <c r="CK1456">
        <v>2</v>
      </c>
      <c r="CL1456">
        <v>0</v>
      </c>
      <c r="CM1456">
        <v>2</v>
      </c>
      <c r="CN1456">
        <v>0</v>
      </c>
      <c r="CO1456">
        <v>1</v>
      </c>
      <c r="CP1456" t="s">
        <v>119</v>
      </c>
      <c r="CQ1456">
        <v>145</v>
      </c>
      <c r="CR1456">
        <v>1</v>
      </c>
      <c r="CW1456">
        <v>9150722</v>
      </c>
      <c r="CY1456">
        <v>0</v>
      </c>
      <c r="CZ1456">
        <v>0</v>
      </c>
      <c r="DA1456">
        <v>0</v>
      </c>
      <c r="DB1456">
        <v>0</v>
      </c>
      <c r="DC1456">
        <v>0</v>
      </c>
      <c r="DD1456">
        <v>0</v>
      </c>
      <c r="DE1456">
        <v>0</v>
      </c>
      <c r="DF1456">
        <v>0</v>
      </c>
      <c r="DG1456">
        <v>0</v>
      </c>
      <c r="DH1456">
        <v>0</v>
      </c>
      <c r="DI1456">
        <v>0</v>
      </c>
    </row>
    <row r="1457" spans="1:113" x14ac:dyDescent="0.3">
      <c r="A1457" t="str">
        <f>"02/13/2022 18:46:02.147"</f>
        <v>02/13/2022 18:46:02.147</v>
      </c>
      <c r="C1457" t="str">
        <f t="shared" si="137"/>
        <v>FFDFD7C0</v>
      </c>
      <c r="D1457" t="s">
        <v>113</v>
      </c>
      <c r="E1457">
        <v>3</v>
      </c>
      <c r="F1457">
        <v>1003</v>
      </c>
      <c r="G1457" t="s">
        <v>114</v>
      </c>
      <c r="J1457" t="s">
        <v>115</v>
      </c>
      <c r="K1457">
        <v>0</v>
      </c>
      <c r="L1457">
        <v>3</v>
      </c>
      <c r="M1457">
        <v>0</v>
      </c>
      <c r="N1457">
        <v>2</v>
      </c>
      <c r="O1457">
        <v>1</v>
      </c>
      <c r="P1457">
        <v>0</v>
      </c>
      <c r="Q1457">
        <v>0</v>
      </c>
      <c r="S1457" t="str">
        <f>"18:46:01.938"</f>
        <v>18:46:01.938</v>
      </c>
      <c r="T1457" t="str">
        <f>"18:46:01.438"</f>
        <v>18:46:01.438</v>
      </c>
      <c r="U1457" t="str">
        <f t="shared" si="135"/>
        <v>AAB6EE</v>
      </c>
      <c r="V1457">
        <v>0</v>
      </c>
      <c r="W1457">
        <v>0</v>
      </c>
      <c r="X1457">
        <v>4</v>
      </c>
      <c r="Z1457">
        <v>0</v>
      </c>
      <c r="AA1457">
        <v>8</v>
      </c>
      <c r="AB1457">
        <v>3</v>
      </c>
      <c r="AC1457">
        <v>0</v>
      </c>
      <c r="AD1457">
        <v>10</v>
      </c>
      <c r="AE1457">
        <v>0</v>
      </c>
      <c r="AF1457">
        <v>0</v>
      </c>
      <c r="AG1457">
        <v>1</v>
      </c>
      <c r="AH1457">
        <v>1</v>
      </c>
      <c r="AI1457" t="s">
        <v>1103</v>
      </c>
      <c r="AJ1457">
        <v>35.230687000000003</v>
      </c>
      <c r="AK1457" t="s">
        <v>1104</v>
      </c>
      <c r="AL1457">
        <v>-76.077747000000002</v>
      </c>
      <c r="AM1457">
        <v>25</v>
      </c>
      <c r="AN1457">
        <v>2950</v>
      </c>
      <c r="AO1457" t="s">
        <v>118</v>
      </c>
      <c r="AP1457">
        <v>162</v>
      </c>
      <c r="AQ1457">
        <v>11</v>
      </c>
      <c r="AR1457">
        <v>192</v>
      </c>
      <c r="AZ1457">
        <v>4516</v>
      </c>
      <c r="BA1457">
        <v>1</v>
      </c>
      <c r="BB1457" t="str">
        <f t="shared" si="136"/>
        <v xml:space="preserve">N79NX   </v>
      </c>
      <c r="BC1457">
        <v>1</v>
      </c>
      <c r="BE1457">
        <v>0</v>
      </c>
      <c r="BF1457">
        <v>0</v>
      </c>
      <c r="BG1457">
        <v>0</v>
      </c>
      <c r="BH1457">
        <v>2825</v>
      </c>
      <c r="BI1457">
        <v>0</v>
      </c>
      <c r="BJ1457">
        <v>0</v>
      </c>
      <c r="BK1457">
        <v>0</v>
      </c>
      <c r="BL1457">
        <v>0</v>
      </c>
      <c r="BO1457">
        <v>0</v>
      </c>
      <c r="BP1457">
        <v>0</v>
      </c>
      <c r="BW1457" t="str">
        <f>"18:46:01.942"</f>
        <v>18:46:01.942</v>
      </c>
      <c r="BZ1457">
        <v>0</v>
      </c>
      <c r="CA1457">
        <v>3008</v>
      </c>
      <c r="CB1457">
        <v>216</v>
      </c>
      <c r="CC1457">
        <v>458.4375</v>
      </c>
      <c r="CD1457">
        <v>1</v>
      </c>
      <c r="CE1457">
        <v>1</v>
      </c>
      <c r="CF1457">
        <v>0</v>
      </c>
      <c r="CG1457">
        <v>1</v>
      </c>
      <c r="CH1457">
        <v>0</v>
      </c>
      <c r="CI1457">
        <v>0</v>
      </c>
      <c r="CJ1457">
        <v>0</v>
      </c>
      <c r="CK1457">
        <v>2</v>
      </c>
      <c r="CL1457">
        <v>0</v>
      </c>
      <c r="CM1457">
        <v>2</v>
      </c>
      <c r="CN1457">
        <v>0</v>
      </c>
      <c r="CO1457">
        <v>1</v>
      </c>
      <c r="CP1457" t="s">
        <v>119</v>
      </c>
      <c r="CQ1457">
        <v>145</v>
      </c>
      <c r="CR1457">
        <v>1</v>
      </c>
      <c r="CW1457">
        <v>9150722</v>
      </c>
      <c r="CY1457">
        <v>0</v>
      </c>
      <c r="CZ1457">
        <v>0</v>
      </c>
      <c r="DA1457">
        <v>1</v>
      </c>
      <c r="DB1457">
        <v>0</v>
      </c>
      <c r="DC1457">
        <v>0</v>
      </c>
      <c r="DD1457">
        <v>0</v>
      </c>
      <c r="DE1457">
        <v>0</v>
      </c>
      <c r="DF1457">
        <v>0</v>
      </c>
      <c r="DG1457">
        <v>0</v>
      </c>
      <c r="DH1457">
        <v>0</v>
      </c>
      <c r="DI1457">
        <v>0</v>
      </c>
    </row>
    <row r="1458" spans="1:113" x14ac:dyDescent="0.3">
      <c r="A1458" t="str">
        <f>"02/13/2022 18:46:02.147"</f>
        <v>02/13/2022 18:46:02.147</v>
      </c>
      <c r="C1458" t="str">
        <f t="shared" si="137"/>
        <v>FFDFD7C0</v>
      </c>
      <c r="D1458" t="s">
        <v>113</v>
      </c>
      <c r="E1458">
        <v>4</v>
      </c>
      <c r="F1458">
        <v>1004</v>
      </c>
      <c r="G1458" t="s">
        <v>120</v>
      </c>
      <c r="J1458" t="s">
        <v>115</v>
      </c>
      <c r="K1458">
        <v>0</v>
      </c>
      <c r="L1458">
        <v>3</v>
      </c>
      <c r="M1458">
        <v>0</v>
      </c>
      <c r="N1458">
        <v>2</v>
      </c>
      <c r="O1458">
        <v>1</v>
      </c>
      <c r="P1458">
        <v>0</v>
      </c>
      <c r="Q1458">
        <v>0</v>
      </c>
      <c r="S1458" t="str">
        <f>"18:46:01.938"</f>
        <v>18:46:01.938</v>
      </c>
      <c r="T1458" t="str">
        <f>"18:46:01.438"</f>
        <v>18:46:01.438</v>
      </c>
      <c r="U1458" t="str">
        <f t="shared" si="135"/>
        <v>AAB6EE</v>
      </c>
      <c r="V1458">
        <v>0</v>
      </c>
      <c r="W1458">
        <v>0</v>
      </c>
      <c r="X1458">
        <v>4</v>
      </c>
      <c r="Z1458">
        <v>0</v>
      </c>
      <c r="AA1458">
        <v>8</v>
      </c>
      <c r="AB1458">
        <v>3</v>
      </c>
      <c r="AC1458">
        <v>0</v>
      </c>
      <c r="AD1458">
        <v>10</v>
      </c>
      <c r="AE1458">
        <v>0</v>
      </c>
      <c r="AF1458">
        <v>0</v>
      </c>
      <c r="AG1458">
        <v>1</v>
      </c>
      <c r="AH1458">
        <v>1</v>
      </c>
      <c r="AI1458" t="s">
        <v>1103</v>
      </c>
      <c r="AJ1458">
        <v>35.230687000000003</v>
      </c>
      <c r="AK1458" t="s">
        <v>1104</v>
      </c>
      <c r="AL1458">
        <v>-76.077747000000002</v>
      </c>
      <c r="AM1458">
        <v>25</v>
      </c>
      <c r="AN1458">
        <v>2950</v>
      </c>
      <c r="AO1458" t="s">
        <v>118</v>
      </c>
      <c r="AP1458">
        <v>162</v>
      </c>
      <c r="AQ1458">
        <v>11</v>
      </c>
      <c r="AR1458">
        <v>192</v>
      </c>
      <c r="AZ1458">
        <v>4516</v>
      </c>
      <c r="BA1458">
        <v>1</v>
      </c>
      <c r="BB1458" t="str">
        <f t="shared" si="136"/>
        <v xml:space="preserve">N79NX   </v>
      </c>
      <c r="BC1458">
        <v>1</v>
      </c>
      <c r="BE1458">
        <v>0</v>
      </c>
      <c r="BF1458">
        <v>0</v>
      </c>
      <c r="BG1458">
        <v>0</v>
      </c>
      <c r="BH1458">
        <v>2825</v>
      </c>
      <c r="BI1458">
        <v>0</v>
      </c>
      <c r="BJ1458">
        <v>0</v>
      </c>
      <c r="BK1458">
        <v>0</v>
      </c>
      <c r="BL1458">
        <v>0</v>
      </c>
      <c r="BO1458">
        <v>0</v>
      </c>
      <c r="BP1458">
        <v>0</v>
      </c>
      <c r="BW1458" t="str">
        <f>"18:46:01.942"</f>
        <v>18:46:01.942</v>
      </c>
      <c r="BZ1458">
        <v>0</v>
      </c>
      <c r="CA1458">
        <v>3008</v>
      </c>
      <c r="CB1458">
        <v>216</v>
      </c>
      <c r="CC1458">
        <v>458.4375</v>
      </c>
      <c r="CD1458">
        <v>1</v>
      </c>
      <c r="CE1458">
        <v>1</v>
      </c>
      <c r="CF1458">
        <v>0</v>
      </c>
      <c r="CG1458">
        <v>1</v>
      </c>
      <c r="CH1458">
        <v>0</v>
      </c>
      <c r="CI1458">
        <v>0</v>
      </c>
      <c r="CJ1458">
        <v>0</v>
      </c>
      <c r="CK1458">
        <v>2</v>
      </c>
      <c r="CL1458">
        <v>0</v>
      </c>
      <c r="CM1458">
        <v>2</v>
      </c>
      <c r="CN1458">
        <v>0</v>
      </c>
      <c r="CO1458">
        <v>1</v>
      </c>
      <c r="CP1458" t="s">
        <v>119</v>
      </c>
      <c r="CQ1458">
        <v>145</v>
      </c>
      <c r="CR1458">
        <v>1</v>
      </c>
      <c r="CW1458">
        <v>9150722</v>
      </c>
      <c r="CY1458">
        <v>0</v>
      </c>
      <c r="CZ1458">
        <v>0</v>
      </c>
      <c r="DA1458">
        <v>1</v>
      </c>
      <c r="DB1458">
        <v>0</v>
      </c>
      <c r="DC1458">
        <v>0</v>
      </c>
      <c r="DD1458">
        <v>0</v>
      </c>
      <c r="DE1458">
        <v>0</v>
      </c>
      <c r="DF1458">
        <v>0</v>
      </c>
      <c r="DG1458">
        <v>0</v>
      </c>
      <c r="DH1458">
        <v>0</v>
      </c>
      <c r="DI1458">
        <v>0</v>
      </c>
    </row>
    <row r="1459" spans="1:113" x14ac:dyDescent="0.3">
      <c r="A1459" t="str">
        <f>"02/13/2022 18:46:03.226"</f>
        <v>02/13/2022 18:46:03.226</v>
      </c>
      <c r="C1459" t="str">
        <f t="shared" si="137"/>
        <v>FFDFD7C0</v>
      </c>
      <c r="D1459" t="s">
        <v>121</v>
      </c>
      <c r="E1459">
        <v>2</v>
      </c>
      <c r="H1459">
        <v>158</v>
      </c>
      <c r="I1459" t="s">
        <v>120</v>
      </c>
      <c r="J1459" t="s">
        <v>122</v>
      </c>
      <c r="K1459">
        <v>0</v>
      </c>
      <c r="L1459">
        <v>3</v>
      </c>
      <c r="M1459">
        <v>0</v>
      </c>
      <c r="N1459">
        <v>2</v>
      </c>
      <c r="O1459">
        <v>1</v>
      </c>
      <c r="P1459">
        <v>0</v>
      </c>
      <c r="Q1459">
        <v>0</v>
      </c>
      <c r="S1459" t="str">
        <f>"18:46:03.016"</f>
        <v>18:46:03.016</v>
      </c>
      <c r="T1459" t="str">
        <f>"18:46:01.416"</f>
        <v>18:46:01.416</v>
      </c>
      <c r="U1459" t="str">
        <f t="shared" si="135"/>
        <v>AAB6EE</v>
      </c>
      <c r="V1459">
        <v>0</v>
      </c>
      <c r="W1459">
        <v>0</v>
      </c>
      <c r="X1459">
        <v>4</v>
      </c>
      <c r="Z1459">
        <v>0</v>
      </c>
      <c r="AA1459">
        <v>8</v>
      </c>
      <c r="AB1459">
        <v>3</v>
      </c>
      <c r="AC1459">
        <v>0</v>
      </c>
      <c r="AD1459">
        <v>10</v>
      </c>
      <c r="AE1459">
        <v>0</v>
      </c>
      <c r="AF1459">
        <v>0</v>
      </c>
      <c r="AG1459">
        <v>1</v>
      </c>
      <c r="AH1459">
        <v>1</v>
      </c>
      <c r="AI1459" t="s">
        <v>959</v>
      </c>
      <c r="AJ1459">
        <v>35.230730000000001</v>
      </c>
      <c r="AK1459" t="s">
        <v>452</v>
      </c>
      <c r="AL1459">
        <v>-76.076759999999993</v>
      </c>
      <c r="AM1459">
        <v>25</v>
      </c>
      <c r="AN1459">
        <v>2950</v>
      </c>
      <c r="AO1459" t="s">
        <v>118</v>
      </c>
      <c r="AP1459">
        <v>162</v>
      </c>
      <c r="AQ1459">
        <v>11</v>
      </c>
      <c r="AR1459">
        <v>192</v>
      </c>
      <c r="AZ1459">
        <v>4516</v>
      </c>
      <c r="BA1459">
        <v>1</v>
      </c>
      <c r="BB1459" t="str">
        <f t="shared" si="136"/>
        <v xml:space="preserve">N79NX   </v>
      </c>
      <c r="BC1459">
        <v>1</v>
      </c>
      <c r="BE1459">
        <v>0</v>
      </c>
      <c r="BF1459">
        <v>0</v>
      </c>
      <c r="BG1459">
        <v>0</v>
      </c>
      <c r="BH1459">
        <v>2825</v>
      </c>
      <c r="BI1459">
        <v>0</v>
      </c>
      <c r="BJ1459">
        <v>0</v>
      </c>
      <c r="BK1459">
        <v>0</v>
      </c>
      <c r="BL1459">
        <v>0</v>
      </c>
      <c r="BO1459">
        <v>0</v>
      </c>
      <c r="BP1459">
        <v>0</v>
      </c>
      <c r="BW1459" t="str">
        <f>"18:46:03.022"</f>
        <v>18:46:03.022</v>
      </c>
      <c r="BZ1459">
        <v>0</v>
      </c>
      <c r="CA1459">
        <v>3008</v>
      </c>
      <c r="CB1459">
        <v>216</v>
      </c>
      <c r="CC1459">
        <v>458.4375</v>
      </c>
      <c r="CD1459">
        <v>1</v>
      </c>
      <c r="CE1459">
        <v>1</v>
      </c>
      <c r="CF1459">
        <v>0</v>
      </c>
      <c r="CG1459">
        <v>1</v>
      </c>
      <c r="CH1459">
        <v>0</v>
      </c>
      <c r="CI1459">
        <v>0</v>
      </c>
      <c r="CJ1459">
        <v>0</v>
      </c>
      <c r="CK1459">
        <v>2</v>
      </c>
      <c r="CL1459">
        <v>0</v>
      </c>
      <c r="CM1459">
        <v>2</v>
      </c>
      <c r="CN1459">
        <v>0</v>
      </c>
      <c r="CO1459">
        <v>2</v>
      </c>
      <c r="CP1459" t="s">
        <v>119</v>
      </c>
      <c r="CQ1459">
        <v>145</v>
      </c>
      <c r="CR1459">
        <v>1</v>
      </c>
      <c r="CW1459">
        <v>9151342</v>
      </c>
      <c r="CY1459">
        <v>0</v>
      </c>
      <c r="CZ1459">
        <v>0</v>
      </c>
      <c r="DA1459">
        <v>0</v>
      </c>
      <c r="DB1459">
        <v>0</v>
      </c>
      <c r="DC1459">
        <v>0</v>
      </c>
      <c r="DD1459">
        <v>0</v>
      </c>
      <c r="DE1459">
        <v>0</v>
      </c>
      <c r="DF1459">
        <v>0</v>
      </c>
      <c r="DG1459">
        <v>0</v>
      </c>
      <c r="DH1459">
        <v>0</v>
      </c>
      <c r="DI1459">
        <v>0</v>
      </c>
    </row>
    <row r="1460" spans="1:113" x14ac:dyDescent="0.3">
      <c r="A1460" t="str">
        <f>"02/13/2022 18:46:03.272"</f>
        <v>02/13/2022 18:46:03.272</v>
      </c>
      <c r="C1460" t="str">
        <f t="shared" si="137"/>
        <v>FFDFD7C0</v>
      </c>
      <c r="D1460" t="s">
        <v>113</v>
      </c>
      <c r="E1460">
        <v>3</v>
      </c>
      <c r="F1460">
        <v>1003</v>
      </c>
      <c r="G1460" t="s">
        <v>114</v>
      </c>
      <c r="J1460" t="s">
        <v>115</v>
      </c>
      <c r="K1460">
        <v>0</v>
      </c>
      <c r="L1460">
        <v>3</v>
      </c>
      <c r="M1460">
        <v>0</v>
      </c>
      <c r="N1460">
        <v>2</v>
      </c>
      <c r="O1460">
        <v>1</v>
      </c>
      <c r="P1460">
        <v>0</v>
      </c>
      <c r="Q1460">
        <v>0</v>
      </c>
      <c r="S1460" t="str">
        <f>"18:46:03.016"</f>
        <v>18:46:03.016</v>
      </c>
      <c r="T1460" t="str">
        <f>"18:46:01.416"</f>
        <v>18:46:01.416</v>
      </c>
      <c r="U1460" t="str">
        <f t="shared" si="135"/>
        <v>AAB6EE</v>
      </c>
      <c r="V1460">
        <v>0</v>
      </c>
      <c r="W1460">
        <v>0</v>
      </c>
      <c r="X1460">
        <v>4</v>
      </c>
      <c r="Z1460">
        <v>0</v>
      </c>
      <c r="AA1460">
        <v>8</v>
      </c>
      <c r="AB1460">
        <v>3</v>
      </c>
      <c r="AC1460">
        <v>0</v>
      </c>
      <c r="AD1460">
        <v>10</v>
      </c>
      <c r="AE1460">
        <v>0</v>
      </c>
      <c r="AF1460">
        <v>0</v>
      </c>
      <c r="AG1460">
        <v>1</v>
      </c>
      <c r="AH1460">
        <v>1</v>
      </c>
      <c r="AI1460" t="s">
        <v>959</v>
      </c>
      <c r="AJ1460">
        <v>35.230730000000001</v>
      </c>
      <c r="AK1460" t="s">
        <v>452</v>
      </c>
      <c r="AL1460">
        <v>-76.076759999999993</v>
      </c>
      <c r="AM1460">
        <v>25</v>
      </c>
      <c r="AN1460">
        <v>2950</v>
      </c>
      <c r="AO1460" t="s">
        <v>118</v>
      </c>
      <c r="AP1460">
        <v>162</v>
      </c>
      <c r="AQ1460">
        <v>11</v>
      </c>
      <c r="AR1460">
        <v>192</v>
      </c>
      <c r="AZ1460">
        <v>4516</v>
      </c>
      <c r="BA1460">
        <v>1</v>
      </c>
      <c r="BB1460" t="str">
        <f t="shared" si="136"/>
        <v xml:space="preserve">N79NX   </v>
      </c>
      <c r="BC1460">
        <v>1</v>
      </c>
      <c r="BE1460">
        <v>0</v>
      </c>
      <c r="BF1460">
        <v>0</v>
      </c>
      <c r="BG1460">
        <v>0</v>
      </c>
      <c r="BH1460">
        <v>2825</v>
      </c>
      <c r="BI1460">
        <v>0</v>
      </c>
      <c r="BJ1460">
        <v>0</v>
      </c>
      <c r="BK1460">
        <v>0</v>
      </c>
      <c r="BL1460">
        <v>0</v>
      </c>
      <c r="BO1460">
        <v>0</v>
      </c>
      <c r="BP1460">
        <v>0</v>
      </c>
      <c r="BW1460" t="str">
        <f>"18:46:03.022"</f>
        <v>18:46:03.022</v>
      </c>
      <c r="BZ1460">
        <v>0</v>
      </c>
      <c r="CA1460">
        <v>3008</v>
      </c>
      <c r="CB1460">
        <v>216</v>
      </c>
      <c r="CC1460">
        <v>458.4375</v>
      </c>
      <c r="CD1460">
        <v>1</v>
      </c>
      <c r="CE1460">
        <v>1</v>
      </c>
      <c r="CF1460">
        <v>0</v>
      </c>
      <c r="CG1460">
        <v>1</v>
      </c>
      <c r="CH1460">
        <v>0</v>
      </c>
      <c r="CI1460">
        <v>0</v>
      </c>
      <c r="CJ1460">
        <v>0</v>
      </c>
      <c r="CK1460">
        <v>2</v>
      </c>
      <c r="CL1460">
        <v>0</v>
      </c>
      <c r="CM1460">
        <v>2</v>
      </c>
      <c r="CN1460">
        <v>0</v>
      </c>
      <c r="CO1460">
        <v>2</v>
      </c>
      <c r="CP1460" t="s">
        <v>119</v>
      </c>
      <c r="CQ1460">
        <v>145</v>
      </c>
      <c r="CR1460">
        <v>1</v>
      </c>
      <c r="CW1460">
        <v>9151342</v>
      </c>
      <c r="CY1460">
        <v>0</v>
      </c>
      <c r="CZ1460">
        <v>0</v>
      </c>
      <c r="DA1460">
        <v>1</v>
      </c>
      <c r="DB1460">
        <v>0</v>
      </c>
      <c r="DC1460">
        <v>0</v>
      </c>
      <c r="DD1460">
        <v>0</v>
      </c>
      <c r="DE1460">
        <v>0</v>
      </c>
      <c r="DF1460">
        <v>0</v>
      </c>
      <c r="DG1460">
        <v>0</v>
      </c>
      <c r="DH1460">
        <v>0</v>
      </c>
      <c r="DI1460">
        <v>0</v>
      </c>
    </row>
    <row r="1461" spans="1:113" x14ac:dyDescent="0.3">
      <c r="A1461" t="str">
        <f>"02/13/2022 18:46:03.272"</f>
        <v>02/13/2022 18:46:03.272</v>
      </c>
      <c r="C1461" t="str">
        <f t="shared" si="137"/>
        <v>FFDFD7C0</v>
      </c>
      <c r="D1461" t="s">
        <v>113</v>
      </c>
      <c r="E1461">
        <v>4</v>
      </c>
      <c r="F1461">
        <v>1004</v>
      </c>
      <c r="G1461" t="s">
        <v>120</v>
      </c>
      <c r="J1461" t="s">
        <v>115</v>
      </c>
      <c r="K1461">
        <v>0</v>
      </c>
      <c r="L1461">
        <v>3</v>
      </c>
      <c r="M1461">
        <v>0</v>
      </c>
      <c r="N1461">
        <v>2</v>
      </c>
      <c r="O1461">
        <v>1</v>
      </c>
      <c r="P1461">
        <v>0</v>
      </c>
      <c r="Q1461">
        <v>0</v>
      </c>
      <c r="S1461" t="str">
        <f>"18:46:03.016"</f>
        <v>18:46:03.016</v>
      </c>
      <c r="T1461" t="str">
        <f>"18:46:01.416"</f>
        <v>18:46:01.416</v>
      </c>
      <c r="U1461" t="str">
        <f t="shared" si="135"/>
        <v>AAB6EE</v>
      </c>
      <c r="V1461">
        <v>0</v>
      </c>
      <c r="W1461">
        <v>0</v>
      </c>
      <c r="X1461">
        <v>4</v>
      </c>
      <c r="Z1461">
        <v>0</v>
      </c>
      <c r="AA1461">
        <v>8</v>
      </c>
      <c r="AB1461">
        <v>3</v>
      </c>
      <c r="AC1461">
        <v>0</v>
      </c>
      <c r="AD1461">
        <v>10</v>
      </c>
      <c r="AE1461">
        <v>0</v>
      </c>
      <c r="AF1461">
        <v>0</v>
      </c>
      <c r="AG1461">
        <v>1</v>
      </c>
      <c r="AH1461">
        <v>1</v>
      </c>
      <c r="AI1461" t="s">
        <v>959</v>
      </c>
      <c r="AJ1461">
        <v>35.230730000000001</v>
      </c>
      <c r="AK1461" t="s">
        <v>452</v>
      </c>
      <c r="AL1461">
        <v>-76.076759999999993</v>
      </c>
      <c r="AM1461">
        <v>25</v>
      </c>
      <c r="AN1461">
        <v>2950</v>
      </c>
      <c r="AO1461" t="s">
        <v>118</v>
      </c>
      <c r="AP1461">
        <v>162</v>
      </c>
      <c r="AQ1461">
        <v>11</v>
      </c>
      <c r="AR1461">
        <v>192</v>
      </c>
      <c r="AZ1461">
        <v>4516</v>
      </c>
      <c r="BA1461">
        <v>1</v>
      </c>
      <c r="BB1461" t="str">
        <f t="shared" si="136"/>
        <v xml:space="preserve">N79NX   </v>
      </c>
      <c r="BC1461">
        <v>1</v>
      </c>
      <c r="BE1461">
        <v>0</v>
      </c>
      <c r="BF1461">
        <v>0</v>
      </c>
      <c r="BG1461">
        <v>0</v>
      </c>
      <c r="BH1461">
        <v>2825</v>
      </c>
      <c r="BI1461">
        <v>0</v>
      </c>
      <c r="BJ1461">
        <v>0</v>
      </c>
      <c r="BK1461">
        <v>0</v>
      </c>
      <c r="BL1461">
        <v>0</v>
      </c>
      <c r="BO1461">
        <v>0</v>
      </c>
      <c r="BP1461">
        <v>0</v>
      </c>
      <c r="BW1461" t="str">
        <f>"18:46:03.022"</f>
        <v>18:46:03.022</v>
      </c>
      <c r="BZ1461">
        <v>0</v>
      </c>
      <c r="CA1461">
        <v>3008</v>
      </c>
      <c r="CB1461">
        <v>216</v>
      </c>
      <c r="CC1461">
        <v>458.4375</v>
      </c>
      <c r="CD1461">
        <v>1</v>
      </c>
      <c r="CE1461">
        <v>1</v>
      </c>
      <c r="CF1461">
        <v>0</v>
      </c>
      <c r="CG1461">
        <v>1</v>
      </c>
      <c r="CH1461">
        <v>0</v>
      </c>
      <c r="CI1461">
        <v>0</v>
      </c>
      <c r="CJ1461">
        <v>0</v>
      </c>
      <c r="CK1461">
        <v>2</v>
      </c>
      <c r="CL1461">
        <v>0</v>
      </c>
      <c r="CM1461">
        <v>2</v>
      </c>
      <c r="CN1461">
        <v>0</v>
      </c>
      <c r="CO1461">
        <v>2</v>
      </c>
      <c r="CP1461" t="s">
        <v>119</v>
      </c>
      <c r="CQ1461">
        <v>145</v>
      </c>
      <c r="CR1461">
        <v>1</v>
      </c>
      <c r="CW1461">
        <v>9151342</v>
      </c>
      <c r="CY1461">
        <v>0</v>
      </c>
      <c r="CZ1461">
        <v>0</v>
      </c>
      <c r="DA1461">
        <v>1</v>
      </c>
      <c r="DB1461">
        <v>0</v>
      </c>
      <c r="DC1461">
        <v>0</v>
      </c>
      <c r="DD1461">
        <v>0</v>
      </c>
      <c r="DE1461">
        <v>0</v>
      </c>
      <c r="DF1461">
        <v>0</v>
      </c>
      <c r="DG1461">
        <v>0</v>
      </c>
      <c r="DH1461">
        <v>0</v>
      </c>
      <c r="DI1461">
        <v>0</v>
      </c>
    </row>
    <row r="1462" spans="1:113" x14ac:dyDescent="0.3">
      <c r="A1462" t="str">
        <f>"02/13/2022 18:46:04.352"</f>
        <v>02/13/2022 18:46:04.352</v>
      </c>
      <c r="C1462" t="str">
        <f t="shared" si="137"/>
        <v>FFDFD7C0</v>
      </c>
      <c r="D1462" t="s">
        <v>121</v>
      </c>
      <c r="E1462">
        <v>2</v>
      </c>
      <c r="H1462">
        <v>158</v>
      </c>
      <c r="I1462" t="s">
        <v>120</v>
      </c>
      <c r="J1462" t="s">
        <v>122</v>
      </c>
      <c r="K1462">
        <v>0</v>
      </c>
      <c r="L1462">
        <v>3</v>
      </c>
      <c r="M1462">
        <v>0</v>
      </c>
      <c r="N1462">
        <v>2</v>
      </c>
      <c r="O1462">
        <v>1</v>
      </c>
      <c r="P1462">
        <v>0</v>
      </c>
      <c r="Q1462">
        <v>0</v>
      </c>
      <c r="S1462" t="str">
        <f>"18:46:04.141"</f>
        <v>18:46:04.141</v>
      </c>
      <c r="T1462" t="str">
        <f>"18:46:03.741"</f>
        <v>18:46:03.741</v>
      </c>
      <c r="U1462" t="str">
        <f t="shared" si="135"/>
        <v>AAB6EE</v>
      </c>
      <c r="V1462">
        <v>0</v>
      </c>
      <c r="W1462">
        <v>0</v>
      </c>
      <c r="X1462">
        <v>4</v>
      </c>
      <c r="Z1462">
        <v>0</v>
      </c>
      <c r="AA1462">
        <v>8</v>
      </c>
      <c r="AB1462">
        <v>3</v>
      </c>
      <c r="AC1462">
        <v>0</v>
      </c>
      <c r="AD1462">
        <v>10</v>
      </c>
      <c r="AE1462">
        <v>0</v>
      </c>
      <c r="AF1462">
        <v>0</v>
      </c>
      <c r="AG1462">
        <v>1</v>
      </c>
      <c r="AH1462">
        <v>1</v>
      </c>
      <c r="AI1462" t="s">
        <v>1105</v>
      </c>
      <c r="AJ1462">
        <v>35.230772000000002</v>
      </c>
      <c r="AK1462" t="s">
        <v>1106</v>
      </c>
      <c r="AL1462">
        <v>-76.075751999999994</v>
      </c>
      <c r="AM1462">
        <v>25</v>
      </c>
      <c r="AN1462">
        <v>2950</v>
      </c>
      <c r="AO1462" t="s">
        <v>118</v>
      </c>
      <c r="AP1462">
        <v>163</v>
      </c>
      <c r="AQ1462">
        <v>9</v>
      </c>
      <c r="AR1462">
        <v>-256</v>
      </c>
      <c r="AZ1462">
        <v>4516</v>
      </c>
      <c r="BA1462">
        <v>1</v>
      </c>
      <c r="BB1462" t="str">
        <f t="shared" si="136"/>
        <v xml:space="preserve">N79NX   </v>
      </c>
      <c r="BC1462">
        <v>1</v>
      </c>
      <c r="BE1462">
        <v>0</v>
      </c>
      <c r="BF1462">
        <v>0</v>
      </c>
      <c r="BG1462">
        <v>0</v>
      </c>
      <c r="BH1462">
        <v>2800</v>
      </c>
      <c r="BI1462">
        <v>0</v>
      </c>
      <c r="BJ1462">
        <v>0</v>
      </c>
      <c r="BK1462">
        <v>0</v>
      </c>
      <c r="BL1462">
        <v>0</v>
      </c>
      <c r="BO1462">
        <v>0</v>
      </c>
      <c r="BP1462">
        <v>0</v>
      </c>
      <c r="BW1462" t="str">
        <f>"18:46:04.142"</f>
        <v>18:46:04.142</v>
      </c>
      <c r="BZ1462">
        <v>0</v>
      </c>
      <c r="CA1462">
        <v>3008</v>
      </c>
      <c r="CB1462">
        <v>216</v>
      </c>
      <c r="CC1462">
        <v>458.4375</v>
      </c>
      <c r="CD1462">
        <v>1</v>
      </c>
      <c r="CE1462">
        <v>1</v>
      </c>
      <c r="CF1462">
        <v>0</v>
      </c>
      <c r="CG1462">
        <v>1</v>
      </c>
      <c r="CH1462">
        <v>0</v>
      </c>
      <c r="CI1462">
        <v>0</v>
      </c>
      <c r="CJ1462">
        <v>0</v>
      </c>
      <c r="CK1462">
        <v>2</v>
      </c>
      <c r="CL1462">
        <v>0</v>
      </c>
      <c r="CM1462">
        <v>2</v>
      </c>
      <c r="CN1462">
        <v>0</v>
      </c>
      <c r="CO1462">
        <v>1</v>
      </c>
      <c r="CP1462" t="s">
        <v>119</v>
      </c>
      <c r="CQ1462">
        <v>145</v>
      </c>
      <c r="CR1462">
        <v>1</v>
      </c>
      <c r="CW1462">
        <v>9151836</v>
      </c>
      <c r="CY1462">
        <v>0</v>
      </c>
      <c r="CZ1462">
        <v>0</v>
      </c>
      <c r="DA1462">
        <v>0</v>
      </c>
      <c r="DB1462">
        <v>0</v>
      </c>
      <c r="DC1462">
        <v>0</v>
      </c>
      <c r="DD1462">
        <v>0</v>
      </c>
      <c r="DE1462">
        <v>0</v>
      </c>
      <c r="DF1462">
        <v>0</v>
      </c>
      <c r="DG1462">
        <v>0</v>
      </c>
      <c r="DH1462">
        <v>0</v>
      </c>
      <c r="DI1462">
        <v>0</v>
      </c>
    </row>
    <row r="1463" spans="1:113" x14ac:dyDescent="0.3">
      <c r="A1463" t="str">
        <f>"02/13/2022 18:46:04.352"</f>
        <v>02/13/2022 18:46:04.352</v>
      </c>
      <c r="C1463" t="str">
        <f t="shared" si="137"/>
        <v>FFDFD7C0</v>
      </c>
      <c r="D1463" t="s">
        <v>113</v>
      </c>
      <c r="E1463">
        <v>3</v>
      </c>
      <c r="F1463">
        <v>1003</v>
      </c>
      <c r="G1463" t="s">
        <v>114</v>
      </c>
      <c r="J1463" t="s">
        <v>115</v>
      </c>
      <c r="K1463">
        <v>0</v>
      </c>
      <c r="L1463">
        <v>3</v>
      </c>
      <c r="M1463">
        <v>0</v>
      </c>
      <c r="N1463">
        <v>2</v>
      </c>
      <c r="O1463">
        <v>1</v>
      </c>
      <c r="P1463">
        <v>0</v>
      </c>
      <c r="Q1463">
        <v>0</v>
      </c>
      <c r="S1463" t="str">
        <f>"18:46:04.141"</f>
        <v>18:46:04.141</v>
      </c>
      <c r="T1463" t="str">
        <f>"18:46:03.741"</f>
        <v>18:46:03.741</v>
      </c>
      <c r="U1463" t="str">
        <f t="shared" si="135"/>
        <v>AAB6EE</v>
      </c>
      <c r="V1463">
        <v>0</v>
      </c>
      <c r="W1463">
        <v>0</v>
      </c>
      <c r="X1463">
        <v>4</v>
      </c>
      <c r="Z1463">
        <v>0</v>
      </c>
      <c r="AA1463">
        <v>8</v>
      </c>
      <c r="AB1463">
        <v>3</v>
      </c>
      <c r="AC1463">
        <v>0</v>
      </c>
      <c r="AD1463">
        <v>10</v>
      </c>
      <c r="AE1463">
        <v>0</v>
      </c>
      <c r="AF1463">
        <v>0</v>
      </c>
      <c r="AG1463">
        <v>1</v>
      </c>
      <c r="AH1463">
        <v>1</v>
      </c>
      <c r="AI1463" t="s">
        <v>1105</v>
      </c>
      <c r="AJ1463">
        <v>35.230772000000002</v>
      </c>
      <c r="AK1463" t="s">
        <v>1106</v>
      </c>
      <c r="AL1463">
        <v>-76.075751999999994</v>
      </c>
      <c r="AM1463">
        <v>25</v>
      </c>
      <c r="AN1463">
        <v>2950</v>
      </c>
      <c r="AO1463" t="s">
        <v>118</v>
      </c>
      <c r="AP1463">
        <v>163</v>
      </c>
      <c r="AQ1463">
        <v>9</v>
      </c>
      <c r="AR1463">
        <v>-256</v>
      </c>
      <c r="AZ1463">
        <v>4516</v>
      </c>
      <c r="BA1463">
        <v>1</v>
      </c>
      <c r="BB1463" t="str">
        <f t="shared" si="136"/>
        <v xml:space="preserve">N79NX   </v>
      </c>
      <c r="BC1463">
        <v>1</v>
      </c>
      <c r="BE1463">
        <v>0</v>
      </c>
      <c r="BF1463">
        <v>0</v>
      </c>
      <c r="BG1463">
        <v>0</v>
      </c>
      <c r="BH1463">
        <v>2800</v>
      </c>
      <c r="BI1463">
        <v>0</v>
      </c>
      <c r="BJ1463">
        <v>0</v>
      </c>
      <c r="BK1463">
        <v>0</v>
      </c>
      <c r="BL1463">
        <v>0</v>
      </c>
      <c r="BO1463">
        <v>0</v>
      </c>
      <c r="BP1463">
        <v>0</v>
      </c>
      <c r="BW1463" t="str">
        <f>"18:46:04.142"</f>
        <v>18:46:04.142</v>
      </c>
      <c r="BZ1463">
        <v>0</v>
      </c>
      <c r="CA1463">
        <v>3008</v>
      </c>
      <c r="CB1463">
        <v>216</v>
      </c>
      <c r="CC1463">
        <v>458.4375</v>
      </c>
      <c r="CD1463">
        <v>1</v>
      </c>
      <c r="CE1463">
        <v>1</v>
      </c>
      <c r="CF1463">
        <v>0</v>
      </c>
      <c r="CG1463">
        <v>1</v>
      </c>
      <c r="CH1463">
        <v>0</v>
      </c>
      <c r="CI1463">
        <v>0</v>
      </c>
      <c r="CJ1463">
        <v>0</v>
      </c>
      <c r="CK1463">
        <v>2</v>
      </c>
      <c r="CL1463">
        <v>0</v>
      </c>
      <c r="CM1463">
        <v>2</v>
      </c>
      <c r="CN1463">
        <v>0</v>
      </c>
      <c r="CO1463">
        <v>1</v>
      </c>
      <c r="CP1463" t="s">
        <v>119</v>
      </c>
      <c r="CQ1463">
        <v>145</v>
      </c>
      <c r="CR1463">
        <v>1</v>
      </c>
      <c r="CW1463">
        <v>9151836</v>
      </c>
      <c r="CY1463">
        <v>0</v>
      </c>
      <c r="CZ1463">
        <v>0</v>
      </c>
      <c r="DA1463">
        <v>1</v>
      </c>
      <c r="DB1463">
        <v>0</v>
      </c>
      <c r="DC1463">
        <v>0</v>
      </c>
      <c r="DD1463">
        <v>0</v>
      </c>
      <c r="DE1463">
        <v>0</v>
      </c>
      <c r="DF1463">
        <v>0</v>
      </c>
      <c r="DG1463">
        <v>0</v>
      </c>
      <c r="DH1463">
        <v>0</v>
      </c>
      <c r="DI1463">
        <v>0</v>
      </c>
    </row>
    <row r="1464" spans="1:113" x14ac:dyDescent="0.3">
      <c r="A1464" t="str">
        <f>"02/13/2022 18:46:04.352"</f>
        <v>02/13/2022 18:46:04.352</v>
      </c>
      <c r="C1464" t="str">
        <f t="shared" si="137"/>
        <v>FFDFD7C0</v>
      </c>
      <c r="D1464" t="s">
        <v>113</v>
      </c>
      <c r="E1464">
        <v>4</v>
      </c>
      <c r="F1464">
        <v>1004</v>
      </c>
      <c r="G1464" t="s">
        <v>120</v>
      </c>
      <c r="J1464" t="s">
        <v>115</v>
      </c>
      <c r="K1464">
        <v>0</v>
      </c>
      <c r="L1464">
        <v>3</v>
      </c>
      <c r="M1464">
        <v>0</v>
      </c>
      <c r="N1464">
        <v>2</v>
      </c>
      <c r="O1464">
        <v>1</v>
      </c>
      <c r="P1464">
        <v>0</v>
      </c>
      <c r="Q1464">
        <v>0</v>
      </c>
      <c r="S1464" t="str">
        <f>"18:46:04.141"</f>
        <v>18:46:04.141</v>
      </c>
      <c r="T1464" t="str">
        <f>"18:46:03.741"</f>
        <v>18:46:03.741</v>
      </c>
      <c r="U1464" t="str">
        <f t="shared" si="135"/>
        <v>AAB6EE</v>
      </c>
      <c r="V1464">
        <v>0</v>
      </c>
      <c r="W1464">
        <v>0</v>
      </c>
      <c r="X1464">
        <v>4</v>
      </c>
      <c r="Z1464">
        <v>0</v>
      </c>
      <c r="AA1464">
        <v>8</v>
      </c>
      <c r="AB1464">
        <v>3</v>
      </c>
      <c r="AC1464">
        <v>0</v>
      </c>
      <c r="AD1464">
        <v>10</v>
      </c>
      <c r="AE1464">
        <v>0</v>
      </c>
      <c r="AF1464">
        <v>0</v>
      </c>
      <c r="AG1464">
        <v>1</v>
      </c>
      <c r="AH1464">
        <v>1</v>
      </c>
      <c r="AI1464" t="s">
        <v>1105</v>
      </c>
      <c r="AJ1464">
        <v>35.230772000000002</v>
      </c>
      <c r="AK1464" t="s">
        <v>1106</v>
      </c>
      <c r="AL1464">
        <v>-76.075751999999994</v>
      </c>
      <c r="AM1464">
        <v>25</v>
      </c>
      <c r="AN1464">
        <v>2950</v>
      </c>
      <c r="AO1464" t="s">
        <v>118</v>
      </c>
      <c r="AP1464">
        <v>163</v>
      </c>
      <c r="AQ1464">
        <v>9</v>
      </c>
      <c r="AR1464">
        <v>-256</v>
      </c>
      <c r="AZ1464">
        <v>4516</v>
      </c>
      <c r="BA1464">
        <v>1</v>
      </c>
      <c r="BB1464" t="str">
        <f t="shared" si="136"/>
        <v xml:space="preserve">N79NX   </v>
      </c>
      <c r="BC1464">
        <v>1</v>
      </c>
      <c r="BE1464">
        <v>0</v>
      </c>
      <c r="BF1464">
        <v>0</v>
      </c>
      <c r="BG1464">
        <v>0</v>
      </c>
      <c r="BH1464">
        <v>2800</v>
      </c>
      <c r="BI1464">
        <v>0</v>
      </c>
      <c r="BJ1464">
        <v>0</v>
      </c>
      <c r="BK1464">
        <v>0</v>
      </c>
      <c r="BL1464">
        <v>0</v>
      </c>
      <c r="BO1464">
        <v>0</v>
      </c>
      <c r="BP1464">
        <v>0</v>
      </c>
      <c r="BW1464" t="str">
        <f>"18:46:04.142"</f>
        <v>18:46:04.142</v>
      </c>
      <c r="BZ1464">
        <v>0</v>
      </c>
      <c r="CA1464">
        <v>3008</v>
      </c>
      <c r="CB1464">
        <v>216</v>
      </c>
      <c r="CC1464">
        <v>458.4375</v>
      </c>
      <c r="CD1464">
        <v>1</v>
      </c>
      <c r="CE1464">
        <v>1</v>
      </c>
      <c r="CF1464">
        <v>0</v>
      </c>
      <c r="CG1464">
        <v>1</v>
      </c>
      <c r="CH1464">
        <v>0</v>
      </c>
      <c r="CI1464">
        <v>0</v>
      </c>
      <c r="CJ1464">
        <v>0</v>
      </c>
      <c r="CK1464">
        <v>2</v>
      </c>
      <c r="CL1464">
        <v>0</v>
      </c>
      <c r="CM1464">
        <v>2</v>
      </c>
      <c r="CN1464">
        <v>0</v>
      </c>
      <c r="CO1464">
        <v>1</v>
      </c>
      <c r="CP1464" t="s">
        <v>119</v>
      </c>
      <c r="CQ1464">
        <v>145</v>
      </c>
      <c r="CR1464">
        <v>1</v>
      </c>
      <c r="CW1464">
        <v>9151836</v>
      </c>
      <c r="CY1464">
        <v>0</v>
      </c>
      <c r="CZ1464">
        <v>0</v>
      </c>
      <c r="DA1464">
        <v>1</v>
      </c>
      <c r="DB1464">
        <v>0</v>
      </c>
      <c r="DC1464">
        <v>0</v>
      </c>
      <c r="DD1464">
        <v>0</v>
      </c>
      <c r="DE1464">
        <v>0</v>
      </c>
      <c r="DF1464">
        <v>0</v>
      </c>
      <c r="DG1464">
        <v>0</v>
      </c>
      <c r="DH1464">
        <v>0</v>
      </c>
      <c r="DI1464">
        <v>0</v>
      </c>
    </row>
    <row r="1465" spans="1:113" x14ac:dyDescent="0.3">
      <c r="A1465" t="str">
        <f>"02/13/2022 18:46:06.917"</f>
        <v>02/13/2022 18:46:06.917</v>
      </c>
      <c r="C1465" t="str">
        <f t="shared" si="137"/>
        <v>FFDFD7C0</v>
      </c>
      <c r="D1465" t="s">
        <v>113</v>
      </c>
      <c r="E1465">
        <v>3</v>
      </c>
      <c r="F1465">
        <v>1003</v>
      </c>
      <c r="G1465" t="s">
        <v>114</v>
      </c>
      <c r="J1465" t="s">
        <v>115</v>
      </c>
      <c r="K1465">
        <v>0</v>
      </c>
      <c r="L1465">
        <v>3</v>
      </c>
      <c r="M1465">
        <v>0</v>
      </c>
      <c r="N1465">
        <v>2</v>
      </c>
      <c r="O1465">
        <v>1</v>
      </c>
      <c r="P1465">
        <v>0</v>
      </c>
      <c r="Q1465">
        <v>0</v>
      </c>
      <c r="S1465" t="str">
        <f>"18:46:06.727"</f>
        <v>18:46:06.727</v>
      </c>
      <c r="T1465" t="str">
        <f>"18:46:05.727"</f>
        <v>18:46:05.727</v>
      </c>
      <c r="U1465" t="str">
        <f t="shared" si="135"/>
        <v>AAB6EE</v>
      </c>
      <c r="V1465">
        <v>0</v>
      </c>
      <c r="W1465">
        <v>0</v>
      </c>
      <c r="X1465">
        <v>4</v>
      </c>
      <c r="Z1465">
        <v>0</v>
      </c>
      <c r="AA1465">
        <v>8</v>
      </c>
      <c r="AB1465">
        <v>3</v>
      </c>
      <c r="AC1465">
        <v>0</v>
      </c>
      <c r="AD1465">
        <v>10</v>
      </c>
      <c r="AE1465">
        <v>0</v>
      </c>
      <c r="AF1465">
        <v>0</v>
      </c>
      <c r="AG1465">
        <v>1</v>
      </c>
      <c r="AH1465">
        <v>1</v>
      </c>
      <c r="AI1465" t="s">
        <v>1107</v>
      </c>
      <c r="AJ1465">
        <v>35.230857999999998</v>
      </c>
      <c r="AK1465" t="s">
        <v>1108</v>
      </c>
      <c r="AL1465">
        <v>-76.073348999999993</v>
      </c>
      <c r="AM1465">
        <v>25</v>
      </c>
      <c r="AN1465">
        <v>2925</v>
      </c>
      <c r="AO1465" t="s">
        <v>118</v>
      </c>
      <c r="AP1465">
        <v>163</v>
      </c>
      <c r="AQ1465">
        <v>8</v>
      </c>
      <c r="AR1465">
        <v>-512</v>
      </c>
      <c r="AZ1465">
        <v>4516</v>
      </c>
      <c r="BA1465">
        <v>1</v>
      </c>
      <c r="BB1465" t="str">
        <f t="shared" si="136"/>
        <v xml:space="preserve">N79NX   </v>
      </c>
      <c r="BC1465">
        <v>1</v>
      </c>
      <c r="BE1465">
        <v>0</v>
      </c>
      <c r="BF1465">
        <v>0</v>
      </c>
      <c r="BG1465">
        <v>0</v>
      </c>
      <c r="BH1465">
        <v>2800</v>
      </c>
      <c r="BI1465">
        <v>0</v>
      </c>
      <c r="BJ1465">
        <v>0</v>
      </c>
      <c r="BK1465">
        <v>0</v>
      </c>
      <c r="BL1465">
        <v>0</v>
      </c>
      <c r="BO1465">
        <v>0</v>
      </c>
      <c r="BP1465">
        <v>0</v>
      </c>
      <c r="BW1465" t="str">
        <f>"18:46:06.732"</f>
        <v>18:46:06.732</v>
      </c>
      <c r="BZ1465">
        <v>0</v>
      </c>
      <c r="CA1465">
        <v>3008</v>
      </c>
      <c r="CB1465">
        <v>216</v>
      </c>
      <c r="CC1465">
        <v>458.4375</v>
      </c>
      <c r="CD1465">
        <v>1</v>
      </c>
      <c r="CE1465">
        <v>1</v>
      </c>
      <c r="CF1465">
        <v>0</v>
      </c>
      <c r="CG1465">
        <v>1</v>
      </c>
      <c r="CH1465">
        <v>0</v>
      </c>
      <c r="CI1465">
        <v>0</v>
      </c>
      <c r="CJ1465">
        <v>0</v>
      </c>
      <c r="CK1465">
        <v>2</v>
      </c>
      <c r="CL1465">
        <v>0</v>
      </c>
      <c r="CM1465">
        <v>2</v>
      </c>
      <c r="CN1465">
        <v>0</v>
      </c>
      <c r="CO1465">
        <v>1</v>
      </c>
      <c r="CP1465" t="s">
        <v>119</v>
      </c>
      <c r="CQ1465">
        <v>145</v>
      </c>
      <c r="CR1465">
        <v>1</v>
      </c>
      <c r="CW1465">
        <v>9153239</v>
      </c>
      <c r="CY1465">
        <v>0</v>
      </c>
      <c r="CZ1465">
        <v>0</v>
      </c>
      <c r="DA1465">
        <v>0</v>
      </c>
      <c r="DB1465">
        <v>0</v>
      </c>
      <c r="DC1465">
        <v>0</v>
      </c>
      <c r="DD1465">
        <v>0</v>
      </c>
      <c r="DE1465">
        <v>0</v>
      </c>
      <c r="DF1465">
        <v>0</v>
      </c>
      <c r="DG1465">
        <v>0</v>
      </c>
      <c r="DH1465">
        <v>0</v>
      </c>
      <c r="DI1465">
        <v>0</v>
      </c>
    </row>
    <row r="1466" spans="1:113" x14ac:dyDescent="0.3">
      <c r="A1466" t="str">
        <f>"02/13/2022 18:46:06.917"</f>
        <v>02/13/2022 18:46:06.917</v>
      </c>
      <c r="C1466" t="str">
        <f t="shared" si="137"/>
        <v>FFDFD7C0</v>
      </c>
      <c r="D1466" t="s">
        <v>121</v>
      </c>
      <c r="E1466">
        <v>2</v>
      </c>
      <c r="H1466">
        <v>158</v>
      </c>
      <c r="I1466" t="s">
        <v>120</v>
      </c>
      <c r="J1466" t="s">
        <v>122</v>
      </c>
      <c r="K1466">
        <v>0</v>
      </c>
      <c r="L1466">
        <v>3</v>
      </c>
      <c r="M1466">
        <v>0</v>
      </c>
      <c r="N1466">
        <v>2</v>
      </c>
      <c r="O1466">
        <v>1</v>
      </c>
      <c r="P1466">
        <v>0</v>
      </c>
      <c r="Q1466">
        <v>0</v>
      </c>
      <c r="S1466" t="str">
        <f>"18:46:06.727"</f>
        <v>18:46:06.727</v>
      </c>
      <c r="T1466" t="str">
        <f>"18:46:05.727"</f>
        <v>18:46:05.727</v>
      </c>
      <c r="U1466" t="str">
        <f t="shared" si="135"/>
        <v>AAB6EE</v>
      </c>
      <c r="V1466">
        <v>0</v>
      </c>
      <c r="W1466">
        <v>0</v>
      </c>
      <c r="X1466">
        <v>4</v>
      </c>
      <c r="Z1466">
        <v>0</v>
      </c>
      <c r="AA1466">
        <v>8</v>
      </c>
      <c r="AB1466">
        <v>3</v>
      </c>
      <c r="AC1466">
        <v>0</v>
      </c>
      <c r="AD1466">
        <v>10</v>
      </c>
      <c r="AE1466">
        <v>0</v>
      </c>
      <c r="AF1466">
        <v>0</v>
      </c>
      <c r="AG1466">
        <v>1</v>
      </c>
      <c r="AH1466">
        <v>1</v>
      </c>
      <c r="AI1466" t="s">
        <v>1107</v>
      </c>
      <c r="AJ1466">
        <v>35.230857999999998</v>
      </c>
      <c r="AK1466" t="s">
        <v>1108</v>
      </c>
      <c r="AL1466">
        <v>-76.073348999999993</v>
      </c>
      <c r="AM1466">
        <v>25</v>
      </c>
      <c r="AN1466">
        <v>2925</v>
      </c>
      <c r="AO1466" t="s">
        <v>118</v>
      </c>
      <c r="AP1466">
        <v>163</v>
      </c>
      <c r="AQ1466">
        <v>8</v>
      </c>
      <c r="AR1466">
        <v>-512</v>
      </c>
      <c r="AZ1466">
        <v>4516</v>
      </c>
      <c r="BA1466">
        <v>1</v>
      </c>
      <c r="BB1466" t="str">
        <f t="shared" si="136"/>
        <v xml:space="preserve">N79NX   </v>
      </c>
      <c r="BC1466">
        <v>1</v>
      </c>
      <c r="BE1466">
        <v>0</v>
      </c>
      <c r="BF1466">
        <v>0</v>
      </c>
      <c r="BG1466">
        <v>0</v>
      </c>
      <c r="BH1466">
        <v>2800</v>
      </c>
      <c r="BI1466">
        <v>0</v>
      </c>
      <c r="BJ1466">
        <v>0</v>
      </c>
      <c r="BK1466">
        <v>0</v>
      </c>
      <c r="BL1466">
        <v>0</v>
      </c>
      <c r="BO1466">
        <v>0</v>
      </c>
      <c r="BP1466">
        <v>0</v>
      </c>
      <c r="BW1466" t="str">
        <f>"18:46:06.732"</f>
        <v>18:46:06.732</v>
      </c>
      <c r="BZ1466">
        <v>0</v>
      </c>
      <c r="CA1466">
        <v>3008</v>
      </c>
      <c r="CB1466">
        <v>216</v>
      </c>
      <c r="CC1466">
        <v>458.4375</v>
      </c>
      <c r="CD1466">
        <v>1</v>
      </c>
      <c r="CE1466">
        <v>1</v>
      </c>
      <c r="CF1466">
        <v>0</v>
      </c>
      <c r="CG1466">
        <v>1</v>
      </c>
      <c r="CH1466">
        <v>0</v>
      </c>
      <c r="CI1466">
        <v>0</v>
      </c>
      <c r="CJ1466">
        <v>0</v>
      </c>
      <c r="CK1466">
        <v>2</v>
      </c>
      <c r="CL1466">
        <v>0</v>
      </c>
      <c r="CM1466">
        <v>2</v>
      </c>
      <c r="CN1466">
        <v>0</v>
      </c>
      <c r="CO1466">
        <v>1</v>
      </c>
      <c r="CP1466" t="s">
        <v>119</v>
      </c>
      <c r="CQ1466">
        <v>145</v>
      </c>
      <c r="CR1466">
        <v>1</v>
      </c>
      <c r="CW1466">
        <v>9153239</v>
      </c>
      <c r="CY1466">
        <v>0</v>
      </c>
      <c r="CZ1466">
        <v>0</v>
      </c>
      <c r="DA1466">
        <v>1</v>
      </c>
      <c r="DB1466">
        <v>0</v>
      </c>
      <c r="DC1466">
        <v>0</v>
      </c>
      <c r="DD1466">
        <v>0</v>
      </c>
      <c r="DE1466">
        <v>0</v>
      </c>
      <c r="DF1466">
        <v>0</v>
      </c>
      <c r="DG1466">
        <v>0</v>
      </c>
      <c r="DH1466">
        <v>0</v>
      </c>
      <c r="DI1466">
        <v>0</v>
      </c>
    </row>
    <row r="1467" spans="1:113" x14ac:dyDescent="0.3">
      <c r="A1467" t="str">
        <f>"02/13/2022 18:46:06.917"</f>
        <v>02/13/2022 18:46:06.917</v>
      </c>
      <c r="C1467" t="str">
        <f t="shared" si="137"/>
        <v>FFDFD7C0</v>
      </c>
      <c r="D1467" t="s">
        <v>113</v>
      </c>
      <c r="E1467">
        <v>4</v>
      </c>
      <c r="F1467">
        <v>1004</v>
      </c>
      <c r="G1467" t="s">
        <v>120</v>
      </c>
      <c r="J1467" t="s">
        <v>115</v>
      </c>
      <c r="K1467">
        <v>0</v>
      </c>
      <c r="L1467">
        <v>3</v>
      </c>
      <c r="M1467">
        <v>0</v>
      </c>
      <c r="N1467">
        <v>2</v>
      </c>
      <c r="O1467">
        <v>1</v>
      </c>
      <c r="P1467">
        <v>0</v>
      </c>
      <c r="Q1467">
        <v>0</v>
      </c>
      <c r="S1467" t="str">
        <f>"18:46:06.727"</f>
        <v>18:46:06.727</v>
      </c>
      <c r="T1467" t="str">
        <f>"18:46:05.727"</f>
        <v>18:46:05.727</v>
      </c>
      <c r="U1467" t="str">
        <f t="shared" si="135"/>
        <v>AAB6EE</v>
      </c>
      <c r="V1467">
        <v>0</v>
      </c>
      <c r="W1467">
        <v>0</v>
      </c>
      <c r="X1467">
        <v>4</v>
      </c>
      <c r="Z1467">
        <v>0</v>
      </c>
      <c r="AA1467">
        <v>8</v>
      </c>
      <c r="AB1467">
        <v>3</v>
      </c>
      <c r="AC1467">
        <v>0</v>
      </c>
      <c r="AD1467">
        <v>10</v>
      </c>
      <c r="AE1467">
        <v>0</v>
      </c>
      <c r="AF1467">
        <v>0</v>
      </c>
      <c r="AG1467">
        <v>1</v>
      </c>
      <c r="AH1467">
        <v>1</v>
      </c>
      <c r="AI1467" t="s">
        <v>1107</v>
      </c>
      <c r="AJ1467">
        <v>35.230857999999998</v>
      </c>
      <c r="AK1467" t="s">
        <v>1108</v>
      </c>
      <c r="AL1467">
        <v>-76.073348999999993</v>
      </c>
      <c r="AM1467">
        <v>25</v>
      </c>
      <c r="AN1467">
        <v>2925</v>
      </c>
      <c r="AO1467" t="s">
        <v>118</v>
      </c>
      <c r="AP1467">
        <v>163</v>
      </c>
      <c r="AQ1467">
        <v>8</v>
      </c>
      <c r="AR1467">
        <v>-512</v>
      </c>
      <c r="AZ1467">
        <v>4516</v>
      </c>
      <c r="BA1467">
        <v>1</v>
      </c>
      <c r="BB1467" t="str">
        <f t="shared" si="136"/>
        <v xml:space="preserve">N79NX   </v>
      </c>
      <c r="BC1467">
        <v>1</v>
      </c>
      <c r="BE1467">
        <v>0</v>
      </c>
      <c r="BF1467">
        <v>0</v>
      </c>
      <c r="BG1467">
        <v>0</v>
      </c>
      <c r="BH1467">
        <v>2800</v>
      </c>
      <c r="BI1467">
        <v>0</v>
      </c>
      <c r="BJ1467">
        <v>0</v>
      </c>
      <c r="BK1467">
        <v>0</v>
      </c>
      <c r="BL1467">
        <v>0</v>
      </c>
      <c r="BO1467">
        <v>0</v>
      </c>
      <c r="BP1467">
        <v>0</v>
      </c>
      <c r="BW1467" t="str">
        <f>"18:46:06.732"</f>
        <v>18:46:06.732</v>
      </c>
      <c r="BZ1467">
        <v>0</v>
      </c>
      <c r="CA1467">
        <v>3008</v>
      </c>
      <c r="CB1467">
        <v>216</v>
      </c>
      <c r="CC1467">
        <v>458.4375</v>
      </c>
      <c r="CD1467">
        <v>1</v>
      </c>
      <c r="CE1467">
        <v>1</v>
      </c>
      <c r="CF1467">
        <v>0</v>
      </c>
      <c r="CG1467">
        <v>1</v>
      </c>
      <c r="CH1467">
        <v>0</v>
      </c>
      <c r="CI1467">
        <v>0</v>
      </c>
      <c r="CJ1467">
        <v>0</v>
      </c>
      <c r="CK1467">
        <v>2</v>
      </c>
      <c r="CL1467">
        <v>0</v>
      </c>
      <c r="CM1467">
        <v>2</v>
      </c>
      <c r="CN1467">
        <v>0</v>
      </c>
      <c r="CO1467">
        <v>1</v>
      </c>
      <c r="CP1467" t="s">
        <v>119</v>
      </c>
      <c r="CQ1467">
        <v>145</v>
      </c>
      <c r="CR1467">
        <v>1</v>
      </c>
      <c r="CW1467">
        <v>9153239</v>
      </c>
      <c r="CY1467">
        <v>0</v>
      </c>
      <c r="CZ1467">
        <v>0</v>
      </c>
      <c r="DA1467">
        <v>1</v>
      </c>
      <c r="DB1467">
        <v>0</v>
      </c>
      <c r="DC1467">
        <v>0</v>
      </c>
      <c r="DD1467">
        <v>0</v>
      </c>
      <c r="DE1467">
        <v>0</v>
      </c>
      <c r="DF1467">
        <v>0</v>
      </c>
      <c r="DG1467">
        <v>0</v>
      </c>
      <c r="DH1467">
        <v>0</v>
      </c>
      <c r="DI1467">
        <v>0</v>
      </c>
    </row>
    <row r="1468" spans="1:113" x14ac:dyDescent="0.3">
      <c r="A1468" t="str">
        <f>"02/13/2022 18:46:08.495"</f>
        <v>02/13/2022 18:46:08.495</v>
      </c>
      <c r="C1468" t="str">
        <f t="shared" si="137"/>
        <v>FFDFD7C0</v>
      </c>
      <c r="D1468" t="s">
        <v>113</v>
      </c>
      <c r="E1468">
        <v>3</v>
      </c>
      <c r="F1468">
        <v>1003</v>
      </c>
      <c r="G1468" t="s">
        <v>114</v>
      </c>
      <c r="J1468" t="s">
        <v>115</v>
      </c>
      <c r="K1468">
        <v>0</v>
      </c>
      <c r="L1468">
        <v>3</v>
      </c>
      <c r="M1468">
        <v>0</v>
      </c>
      <c r="N1468">
        <v>2</v>
      </c>
      <c r="O1468">
        <v>1</v>
      </c>
      <c r="P1468">
        <v>0</v>
      </c>
      <c r="Q1468">
        <v>0</v>
      </c>
      <c r="S1468" t="str">
        <f t="shared" ref="S1468:T1470" si="139">"18:46:08.242"</f>
        <v>18:46:08.242</v>
      </c>
      <c r="T1468" t="str">
        <f t="shared" si="139"/>
        <v>18:46:08.242</v>
      </c>
      <c r="U1468" t="str">
        <f t="shared" si="135"/>
        <v>AAB6EE</v>
      </c>
      <c r="V1468">
        <v>0</v>
      </c>
      <c r="W1468">
        <v>0</v>
      </c>
      <c r="X1468">
        <v>4</v>
      </c>
      <c r="Z1468">
        <v>0</v>
      </c>
      <c r="AA1468">
        <v>8</v>
      </c>
      <c r="AB1468">
        <v>3</v>
      </c>
      <c r="AC1468">
        <v>0</v>
      </c>
      <c r="AD1468">
        <v>10</v>
      </c>
      <c r="AE1468">
        <v>0</v>
      </c>
      <c r="AF1468">
        <v>0</v>
      </c>
      <c r="AG1468">
        <v>1</v>
      </c>
      <c r="AH1468">
        <v>1</v>
      </c>
      <c r="AI1468" t="s">
        <v>1109</v>
      </c>
      <c r="AJ1468">
        <v>35.230922999999997</v>
      </c>
      <c r="AK1468" t="s">
        <v>1110</v>
      </c>
      <c r="AL1468">
        <v>-76.071974999999995</v>
      </c>
      <c r="AM1468">
        <v>25</v>
      </c>
      <c r="AN1468">
        <v>2925</v>
      </c>
      <c r="AO1468" t="s">
        <v>118</v>
      </c>
      <c r="AP1468">
        <v>163</v>
      </c>
      <c r="AQ1468">
        <v>8</v>
      </c>
      <c r="AR1468">
        <v>192</v>
      </c>
      <c r="AZ1468">
        <v>4516</v>
      </c>
      <c r="BA1468">
        <v>1</v>
      </c>
      <c r="BB1468" t="str">
        <f t="shared" si="136"/>
        <v xml:space="preserve">N79NX   </v>
      </c>
      <c r="BC1468">
        <v>1</v>
      </c>
      <c r="BE1468">
        <v>0</v>
      </c>
      <c r="BF1468">
        <v>0</v>
      </c>
      <c r="BG1468">
        <v>0</v>
      </c>
      <c r="BH1468">
        <v>2800</v>
      </c>
      <c r="BI1468">
        <v>0</v>
      </c>
      <c r="BJ1468">
        <v>0</v>
      </c>
      <c r="BK1468">
        <v>0</v>
      </c>
      <c r="BL1468">
        <v>0</v>
      </c>
      <c r="BO1468">
        <v>0</v>
      </c>
      <c r="BP1468">
        <v>0</v>
      </c>
      <c r="BW1468" t="str">
        <f>"18:46:08.242"</f>
        <v>18:46:08.242</v>
      </c>
      <c r="BZ1468">
        <v>0</v>
      </c>
      <c r="CA1468">
        <v>3008</v>
      </c>
      <c r="CB1468">
        <v>216</v>
      </c>
      <c r="CC1468">
        <v>458.4375</v>
      </c>
      <c r="CD1468">
        <v>1</v>
      </c>
      <c r="CE1468">
        <v>1</v>
      </c>
      <c r="CF1468">
        <v>0</v>
      </c>
      <c r="CG1468">
        <v>1</v>
      </c>
      <c r="CH1468">
        <v>0</v>
      </c>
      <c r="CI1468">
        <v>0</v>
      </c>
      <c r="CJ1468">
        <v>0</v>
      </c>
      <c r="CK1468">
        <v>2</v>
      </c>
      <c r="CL1468">
        <v>0</v>
      </c>
      <c r="CM1468">
        <v>2</v>
      </c>
      <c r="CN1468">
        <v>0</v>
      </c>
      <c r="CO1468">
        <v>1</v>
      </c>
      <c r="CP1468" t="s">
        <v>119</v>
      </c>
      <c r="CQ1468">
        <v>145</v>
      </c>
      <c r="CR1468">
        <v>1</v>
      </c>
      <c r="CW1468">
        <v>9154026</v>
      </c>
      <c r="CY1468">
        <v>0</v>
      </c>
      <c r="CZ1468">
        <v>0</v>
      </c>
      <c r="DA1468">
        <v>0</v>
      </c>
      <c r="DB1468">
        <v>0</v>
      </c>
      <c r="DC1468">
        <v>0</v>
      </c>
      <c r="DD1468">
        <v>0</v>
      </c>
      <c r="DE1468">
        <v>0</v>
      </c>
      <c r="DF1468">
        <v>0</v>
      </c>
      <c r="DG1468">
        <v>0</v>
      </c>
      <c r="DH1468">
        <v>0</v>
      </c>
      <c r="DI1468">
        <v>0</v>
      </c>
    </row>
    <row r="1469" spans="1:113" x14ac:dyDescent="0.3">
      <c r="A1469" t="str">
        <f>"02/13/2022 18:46:08.495"</f>
        <v>02/13/2022 18:46:08.495</v>
      </c>
      <c r="C1469" t="str">
        <f t="shared" si="137"/>
        <v>FFDFD7C0</v>
      </c>
      <c r="D1469" t="s">
        <v>113</v>
      </c>
      <c r="E1469">
        <v>4</v>
      </c>
      <c r="F1469">
        <v>1004</v>
      </c>
      <c r="G1469" t="s">
        <v>120</v>
      </c>
      <c r="J1469" t="s">
        <v>115</v>
      </c>
      <c r="K1469">
        <v>0</v>
      </c>
      <c r="L1469">
        <v>3</v>
      </c>
      <c r="M1469">
        <v>0</v>
      </c>
      <c r="N1469">
        <v>2</v>
      </c>
      <c r="O1469">
        <v>1</v>
      </c>
      <c r="P1469">
        <v>0</v>
      </c>
      <c r="Q1469">
        <v>0</v>
      </c>
      <c r="S1469" t="str">
        <f t="shared" si="139"/>
        <v>18:46:08.242</v>
      </c>
      <c r="T1469" t="str">
        <f t="shared" si="139"/>
        <v>18:46:08.242</v>
      </c>
      <c r="U1469" t="str">
        <f t="shared" si="135"/>
        <v>AAB6EE</v>
      </c>
      <c r="V1469">
        <v>0</v>
      </c>
      <c r="W1469">
        <v>0</v>
      </c>
      <c r="X1469">
        <v>4</v>
      </c>
      <c r="Z1469">
        <v>0</v>
      </c>
      <c r="AA1469">
        <v>8</v>
      </c>
      <c r="AB1469">
        <v>3</v>
      </c>
      <c r="AC1469">
        <v>0</v>
      </c>
      <c r="AD1469">
        <v>10</v>
      </c>
      <c r="AE1469">
        <v>0</v>
      </c>
      <c r="AF1469">
        <v>0</v>
      </c>
      <c r="AG1469">
        <v>1</v>
      </c>
      <c r="AH1469">
        <v>1</v>
      </c>
      <c r="AI1469" t="s">
        <v>1109</v>
      </c>
      <c r="AJ1469">
        <v>35.230922999999997</v>
      </c>
      <c r="AK1469" t="s">
        <v>1110</v>
      </c>
      <c r="AL1469">
        <v>-76.071974999999995</v>
      </c>
      <c r="AM1469">
        <v>25</v>
      </c>
      <c r="AN1469">
        <v>2925</v>
      </c>
      <c r="AO1469" t="s">
        <v>118</v>
      </c>
      <c r="AP1469">
        <v>163</v>
      </c>
      <c r="AQ1469">
        <v>8</v>
      </c>
      <c r="AR1469">
        <v>192</v>
      </c>
      <c r="AZ1469">
        <v>4516</v>
      </c>
      <c r="BA1469">
        <v>1</v>
      </c>
      <c r="BB1469" t="str">
        <f t="shared" si="136"/>
        <v xml:space="preserve">N79NX   </v>
      </c>
      <c r="BC1469">
        <v>1</v>
      </c>
      <c r="BE1469">
        <v>0</v>
      </c>
      <c r="BF1469">
        <v>0</v>
      </c>
      <c r="BG1469">
        <v>0</v>
      </c>
      <c r="BH1469">
        <v>2800</v>
      </c>
      <c r="BI1469">
        <v>0</v>
      </c>
      <c r="BJ1469">
        <v>0</v>
      </c>
      <c r="BK1469">
        <v>0</v>
      </c>
      <c r="BL1469">
        <v>0</v>
      </c>
      <c r="BO1469">
        <v>0</v>
      </c>
      <c r="BP1469">
        <v>0</v>
      </c>
      <c r="BW1469" t="str">
        <f>"18:46:08.242"</f>
        <v>18:46:08.242</v>
      </c>
      <c r="BZ1469">
        <v>0</v>
      </c>
      <c r="CA1469">
        <v>3008</v>
      </c>
      <c r="CB1469">
        <v>216</v>
      </c>
      <c r="CC1469">
        <v>458.4375</v>
      </c>
      <c r="CD1469">
        <v>1</v>
      </c>
      <c r="CE1469">
        <v>1</v>
      </c>
      <c r="CF1469">
        <v>0</v>
      </c>
      <c r="CG1469">
        <v>1</v>
      </c>
      <c r="CH1469">
        <v>0</v>
      </c>
      <c r="CI1469">
        <v>0</v>
      </c>
      <c r="CJ1469">
        <v>0</v>
      </c>
      <c r="CK1469">
        <v>2</v>
      </c>
      <c r="CL1469">
        <v>0</v>
      </c>
      <c r="CM1469">
        <v>2</v>
      </c>
      <c r="CN1469">
        <v>0</v>
      </c>
      <c r="CO1469">
        <v>1</v>
      </c>
      <c r="CP1469" t="s">
        <v>119</v>
      </c>
      <c r="CQ1469">
        <v>145</v>
      </c>
      <c r="CR1469">
        <v>1</v>
      </c>
      <c r="CW1469">
        <v>9154026</v>
      </c>
      <c r="CY1469">
        <v>0</v>
      </c>
      <c r="CZ1469">
        <v>0</v>
      </c>
      <c r="DA1469">
        <v>1</v>
      </c>
      <c r="DB1469">
        <v>0</v>
      </c>
      <c r="DC1469">
        <v>0</v>
      </c>
      <c r="DD1469">
        <v>0</v>
      </c>
      <c r="DE1469">
        <v>0</v>
      </c>
      <c r="DF1469">
        <v>0</v>
      </c>
      <c r="DG1469">
        <v>0</v>
      </c>
      <c r="DH1469">
        <v>0</v>
      </c>
      <c r="DI1469">
        <v>0</v>
      </c>
    </row>
    <row r="1470" spans="1:113" x14ac:dyDescent="0.3">
      <c r="A1470" t="str">
        <f>"02/13/2022 18:46:08.495"</f>
        <v>02/13/2022 18:46:08.495</v>
      </c>
      <c r="C1470" t="str">
        <f t="shared" si="137"/>
        <v>FFDFD7C0</v>
      </c>
      <c r="D1470" t="s">
        <v>121</v>
      </c>
      <c r="E1470">
        <v>2</v>
      </c>
      <c r="H1470">
        <v>158</v>
      </c>
      <c r="I1470" t="s">
        <v>120</v>
      </c>
      <c r="J1470" t="s">
        <v>122</v>
      </c>
      <c r="K1470">
        <v>0</v>
      </c>
      <c r="L1470">
        <v>3</v>
      </c>
      <c r="M1470">
        <v>0</v>
      </c>
      <c r="N1470">
        <v>2</v>
      </c>
      <c r="O1470">
        <v>1</v>
      </c>
      <c r="P1470">
        <v>0</v>
      </c>
      <c r="Q1470">
        <v>0</v>
      </c>
      <c r="S1470" t="str">
        <f t="shared" si="139"/>
        <v>18:46:08.242</v>
      </c>
      <c r="T1470" t="str">
        <f t="shared" si="139"/>
        <v>18:46:08.242</v>
      </c>
      <c r="U1470" t="str">
        <f t="shared" si="135"/>
        <v>AAB6EE</v>
      </c>
      <c r="V1470">
        <v>0</v>
      </c>
      <c r="W1470">
        <v>0</v>
      </c>
      <c r="X1470">
        <v>4</v>
      </c>
      <c r="Z1470">
        <v>0</v>
      </c>
      <c r="AA1470">
        <v>8</v>
      </c>
      <c r="AB1470">
        <v>3</v>
      </c>
      <c r="AC1470">
        <v>0</v>
      </c>
      <c r="AD1470">
        <v>10</v>
      </c>
      <c r="AE1470">
        <v>0</v>
      </c>
      <c r="AF1470">
        <v>0</v>
      </c>
      <c r="AG1470">
        <v>1</v>
      </c>
      <c r="AH1470">
        <v>1</v>
      </c>
      <c r="AI1470" t="s">
        <v>1109</v>
      </c>
      <c r="AJ1470">
        <v>35.230922999999997</v>
      </c>
      <c r="AK1470" t="s">
        <v>1110</v>
      </c>
      <c r="AL1470">
        <v>-76.071974999999995</v>
      </c>
      <c r="AM1470">
        <v>25</v>
      </c>
      <c r="AN1470">
        <v>2925</v>
      </c>
      <c r="AO1470" t="s">
        <v>118</v>
      </c>
      <c r="AP1470">
        <v>163</v>
      </c>
      <c r="AQ1470">
        <v>8</v>
      </c>
      <c r="AR1470">
        <v>192</v>
      </c>
      <c r="AZ1470">
        <v>4516</v>
      </c>
      <c r="BA1470">
        <v>1</v>
      </c>
      <c r="BB1470" t="str">
        <f t="shared" si="136"/>
        <v xml:space="preserve">N79NX   </v>
      </c>
      <c r="BC1470">
        <v>1</v>
      </c>
      <c r="BE1470">
        <v>0</v>
      </c>
      <c r="BF1470">
        <v>0</v>
      </c>
      <c r="BG1470">
        <v>0</v>
      </c>
      <c r="BH1470">
        <v>2800</v>
      </c>
      <c r="BI1470">
        <v>0</v>
      </c>
      <c r="BJ1470">
        <v>0</v>
      </c>
      <c r="BK1470">
        <v>0</v>
      </c>
      <c r="BL1470">
        <v>0</v>
      </c>
      <c r="BO1470">
        <v>0</v>
      </c>
      <c r="BP1470">
        <v>0</v>
      </c>
      <c r="BW1470" t="str">
        <f>"18:46:08.242"</f>
        <v>18:46:08.242</v>
      </c>
      <c r="BZ1470">
        <v>0</v>
      </c>
      <c r="CA1470">
        <v>3008</v>
      </c>
      <c r="CB1470">
        <v>216</v>
      </c>
      <c r="CC1470">
        <v>458.4375</v>
      </c>
      <c r="CD1470">
        <v>1</v>
      </c>
      <c r="CE1470">
        <v>1</v>
      </c>
      <c r="CF1470">
        <v>0</v>
      </c>
      <c r="CG1470">
        <v>1</v>
      </c>
      <c r="CH1470">
        <v>0</v>
      </c>
      <c r="CI1470">
        <v>0</v>
      </c>
      <c r="CJ1470">
        <v>0</v>
      </c>
      <c r="CK1470">
        <v>2</v>
      </c>
      <c r="CL1470">
        <v>0</v>
      </c>
      <c r="CM1470">
        <v>2</v>
      </c>
      <c r="CN1470">
        <v>0</v>
      </c>
      <c r="CO1470">
        <v>1</v>
      </c>
      <c r="CP1470" t="s">
        <v>119</v>
      </c>
      <c r="CQ1470">
        <v>145</v>
      </c>
      <c r="CR1470">
        <v>1</v>
      </c>
      <c r="CW1470">
        <v>9154026</v>
      </c>
      <c r="CY1470">
        <v>0</v>
      </c>
      <c r="CZ1470">
        <v>0</v>
      </c>
      <c r="DA1470">
        <v>1</v>
      </c>
      <c r="DB1470">
        <v>0</v>
      </c>
      <c r="DC1470">
        <v>0</v>
      </c>
      <c r="DD1470">
        <v>0</v>
      </c>
      <c r="DE1470">
        <v>0</v>
      </c>
      <c r="DF1470">
        <v>0</v>
      </c>
      <c r="DG1470">
        <v>0</v>
      </c>
      <c r="DH1470">
        <v>0</v>
      </c>
      <c r="DI1470">
        <v>0</v>
      </c>
    </row>
    <row r="1471" spans="1:113" x14ac:dyDescent="0.3">
      <c r="A1471" t="str">
        <f>"02/13/2022 18:46:09.795"</f>
        <v>02/13/2022 18:46:09.795</v>
      </c>
      <c r="C1471" t="str">
        <f t="shared" si="137"/>
        <v>FFDFD7C0</v>
      </c>
      <c r="D1471" t="s">
        <v>113</v>
      </c>
      <c r="E1471">
        <v>3</v>
      </c>
      <c r="F1471">
        <v>1003</v>
      </c>
      <c r="G1471" t="s">
        <v>114</v>
      </c>
      <c r="J1471" t="s">
        <v>115</v>
      </c>
      <c r="K1471">
        <v>0</v>
      </c>
      <c r="L1471">
        <v>3</v>
      </c>
      <c r="M1471">
        <v>0</v>
      </c>
      <c r="N1471">
        <v>2</v>
      </c>
      <c r="O1471">
        <v>1</v>
      </c>
      <c r="P1471">
        <v>0</v>
      </c>
      <c r="Q1471">
        <v>0</v>
      </c>
      <c r="S1471" t="str">
        <f>"18:46:09.602"</f>
        <v>18:46:09.602</v>
      </c>
      <c r="T1471" t="str">
        <f>"18:46:09.202"</f>
        <v>18:46:09.202</v>
      </c>
      <c r="U1471" t="str">
        <f t="shared" si="135"/>
        <v>AAB6EE</v>
      </c>
      <c r="V1471">
        <v>0</v>
      </c>
      <c r="W1471">
        <v>0</v>
      </c>
      <c r="X1471">
        <v>4</v>
      </c>
      <c r="Z1471">
        <v>0</v>
      </c>
      <c r="AA1471">
        <v>8</v>
      </c>
      <c r="AB1471">
        <v>3</v>
      </c>
      <c r="AC1471">
        <v>0</v>
      </c>
      <c r="AD1471">
        <v>10</v>
      </c>
      <c r="AE1471">
        <v>0</v>
      </c>
      <c r="AF1471">
        <v>0</v>
      </c>
      <c r="AG1471">
        <v>1</v>
      </c>
      <c r="AH1471">
        <v>1</v>
      </c>
      <c r="AI1471" t="s">
        <v>1111</v>
      </c>
      <c r="AJ1471">
        <v>35.231009</v>
      </c>
      <c r="AK1471" t="s">
        <v>1112</v>
      </c>
      <c r="AL1471">
        <v>-76.070774</v>
      </c>
      <c r="AM1471">
        <v>25</v>
      </c>
      <c r="AN1471">
        <v>2925</v>
      </c>
      <c r="AO1471" t="s">
        <v>118</v>
      </c>
      <c r="AP1471">
        <v>163</v>
      </c>
      <c r="AQ1471">
        <v>9</v>
      </c>
      <c r="AR1471">
        <v>320</v>
      </c>
      <c r="AZ1471">
        <v>4516</v>
      </c>
      <c r="BA1471">
        <v>1</v>
      </c>
      <c r="BB1471" t="str">
        <f t="shared" si="136"/>
        <v xml:space="preserve">N79NX   </v>
      </c>
      <c r="BC1471">
        <v>1</v>
      </c>
      <c r="BE1471">
        <v>0</v>
      </c>
      <c r="BF1471">
        <v>0</v>
      </c>
      <c r="BG1471">
        <v>0</v>
      </c>
      <c r="BH1471">
        <v>2775</v>
      </c>
      <c r="BI1471">
        <v>0</v>
      </c>
      <c r="BJ1471">
        <v>0</v>
      </c>
      <c r="BK1471">
        <v>0</v>
      </c>
      <c r="BL1471">
        <v>0</v>
      </c>
      <c r="BO1471">
        <v>0</v>
      </c>
      <c r="BP1471">
        <v>0</v>
      </c>
      <c r="BW1471" t="str">
        <f>"18:46:09.602"</f>
        <v>18:46:09.602</v>
      </c>
      <c r="BZ1471">
        <v>0</v>
      </c>
      <c r="CA1471">
        <v>3008</v>
      </c>
      <c r="CB1471">
        <v>216</v>
      </c>
      <c r="CC1471">
        <v>462.65629999999999</v>
      </c>
      <c r="CD1471">
        <v>1</v>
      </c>
      <c r="CE1471">
        <v>1</v>
      </c>
      <c r="CF1471">
        <v>0</v>
      </c>
      <c r="CG1471">
        <v>1</v>
      </c>
      <c r="CH1471">
        <v>0</v>
      </c>
      <c r="CI1471">
        <v>0</v>
      </c>
      <c r="CJ1471">
        <v>0</v>
      </c>
      <c r="CK1471">
        <v>2</v>
      </c>
      <c r="CL1471">
        <v>0</v>
      </c>
      <c r="CM1471">
        <v>2</v>
      </c>
      <c r="CN1471">
        <v>0</v>
      </c>
      <c r="CO1471">
        <v>2</v>
      </c>
      <c r="CP1471" t="s">
        <v>119</v>
      </c>
      <c r="CQ1471">
        <v>145</v>
      </c>
      <c r="CR1471">
        <v>1</v>
      </c>
      <c r="CW1471">
        <v>9154674</v>
      </c>
      <c r="CY1471">
        <v>0</v>
      </c>
      <c r="CZ1471">
        <v>0</v>
      </c>
      <c r="DA1471">
        <v>0</v>
      </c>
      <c r="DB1471">
        <v>0</v>
      </c>
      <c r="DC1471">
        <v>0</v>
      </c>
      <c r="DD1471">
        <v>0</v>
      </c>
      <c r="DE1471">
        <v>0</v>
      </c>
      <c r="DF1471">
        <v>0</v>
      </c>
      <c r="DG1471">
        <v>0</v>
      </c>
      <c r="DH1471">
        <v>0</v>
      </c>
      <c r="DI1471">
        <v>0</v>
      </c>
    </row>
    <row r="1472" spans="1:113" x14ac:dyDescent="0.3">
      <c r="A1472" t="str">
        <f>"02/13/2022 18:46:09.795"</f>
        <v>02/13/2022 18:46:09.795</v>
      </c>
      <c r="C1472" t="str">
        <f t="shared" si="137"/>
        <v>FFDFD7C0</v>
      </c>
      <c r="D1472" t="s">
        <v>113</v>
      </c>
      <c r="E1472">
        <v>4</v>
      </c>
      <c r="F1472">
        <v>1004</v>
      </c>
      <c r="G1472" t="s">
        <v>120</v>
      </c>
      <c r="J1472" t="s">
        <v>115</v>
      </c>
      <c r="K1472">
        <v>0</v>
      </c>
      <c r="L1472">
        <v>3</v>
      </c>
      <c r="M1472">
        <v>0</v>
      </c>
      <c r="N1472">
        <v>2</v>
      </c>
      <c r="O1472">
        <v>1</v>
      </c>
      <c r="P1472">
        <v>0</v>
      </c>
      <c r="Q1472">
        <v>0</v>
      </c>
      <c r="S1472" t="str">
        <f>"18:46:09.602"</f>
        <v>18:46:09.602</v>
      </c>
      <c r="T1472" t="str">
        <f>"18:46:09.202"</f>
        <v>18:46:09.202</v>
      </c>
      <c r="U1472" t="str">
        <f t="shared" si="135"/>
        <v>AAB6EE</v>
      </c>
      <c r="V1472">
        <v>0</v>
      </c>
      <c r="W1472">
        <v>0</v>
      </c>
      <c r="X1472">
        <v>4</v>
      </c>
      <c r="Z1472">
        <v>0</v>
      </c>
      <c r="AA1472">
        <v>8</v>
      </c>
      <c r="AB1472">
        <v>3</v>
      </c>
      <c r="AC1472">
        <v>0</v>
      </c>
      <c r="AD1472">
        <v>10</v>
      </c>
      <c r="AE1472">
        <v>0</v>
      </c>
      <c r="AF1472">
        <v>0</v>
      </c>
      <c r="AG1472">
        <v>1</v>
      </c>
      <c r="AH1472">
        <v>1</v>
      </c>
      <c r="AI1472" t="s">
        <v>1111</v>
      </c>
      <c r="AJ1472">
        <v>35.231009</v>
      </c>
      <c r="AK1472" t="s">
        <v>1112</v>
      </c>
      <c r="AL1472">
        <v>-76.070774</v>
      </c>
      <c r="AM1472">
        <v>25</v>
      </c>
      <c r="AN1472">
        <v>2925</v>
      </c>
      <c r="AO1472" t="s">
        <v>118</v>
      </c>
      <c r="AP1472">
        <v>163</v>
      </c>
      <c r="AQ1472">
        <v>9</v>
      </c>
      <c r="AR1472">
        <v>320</v>
      </c>
      <c r="AZ1472">
        <v>4516</v>
      </c>
      <c r="BA1472">
        <v>1</v>
      </c>
      <c r="BB1472" t="str">
        <f t="shared" si="136"/>
        <v xml:space="preserve">N79NX   </v>
      </c>
      <c r="BC1472">
        <v>1</v>
      </c>
      <c r="BE1472">
        <v>0</v>
      </c>
      <c r="BF1472">
        <v>0</v>
      </c>
      <c r="BG1472">
        <v>0</v>
      </c>
      <c r="BH1472">
        <v>2775</v>
      </c>
      <c r="BI1472">
        <v>0</v>
      </c>
      <c r="BJ1472">
        <v>0</v>
      </c>
      <c r="BK1472">
        <v>0</v>
      </c>
      <c r="BL1472">
        <v>0</v>
      </c>
      <c r="BO1472">
        <v>0</v>
      </c>
      <c r="BP1472">
        <v>0</v>
      </c>
      <c r="BW1472" t="str">
        <f>"18:46:09.602"</f>
        <v>18:46:09.602</v>
      </c>
      <c r="BZ1472">
        <v>0</v>
      </c>
      <c r="CA1472">
        <v>3008</v>
      </c>
      <c r="CB1472">
        <v>216</v>
      </c>
      <c r="CC1472">
        <v>462.65629999999999</v>
      </c>
      <c r="CD1472">
        <v>1</v>
      </c>
      <c r="CE1472">
        <v>1</v>
      </c>
      <c r="CF1472">
        <v>0</v>
      </c>
      <c r="CG1472">
        <v>1</v>
      </c>
      <c r="CH1472">
        <v>0</v>
      </c>
      <c r="CI1472">
        <v>0</v>
      </c>
      <c r="CJ1472">
        <v>0</v>
      </c>
      <c r="CK1472">
        <v>2</v>
      </c>
      <c r="CL1472">
        <v>0</v>
      </c>
      <c r="CM1472">
        <v>2</v>
      </c>
      <c r="CN1472">
        <v>0</v>
      </c>
      <c r="CO1472">
        <v>2</v>
      </c>
      <c r="CP1472" t="s">
        <v>119</v>
      </c>
      <c r="CQ1472">
        <v>145</v>
      </c>
      <c r="CR1472">
        <v>1</v>
      </c>
      <c r="CW1472">
        <v>9154674</v>
      </c>
      <c r="CY1472">
        <v>0</v>
      </c>
      <c r="CZ1472">
        <v>0</v>
      </c>
      <c r="DA1472">
        <v>1</v>
      </c>
      <c r="DB1472">
        <v>0</v>
      </c>
      <c r="DC1472">
        <v>0</v>
      </c>
      <c r="DD1472">
        <v>0</v>
      </c>
      <c r="DE1472">
        <v>0</v>
      </c>
      <c r="DF1472">
        <v>0</v>
      </c>
      <c r="DG1472">
        <v>0</v>
      </c>
      <c r="DH1472">
        <v>0</v>
      </c>
      <c r="DI1472">
        <v>0</v>
      </c>
    </row>
    <row r="1473" spans="1:113" x14ac:dyDescent="0.3">
      <c r="A1473" t="str">
        <f>"02/13/2022 18:46:09.795"</f>
        <v>02/13/2022 18:46:09.795</v>
      </c>
      <c r="C1473" t="str">
        <f t="shared" si="137"/>
        <v>FFDFD7C0</v>
      </c>
      <c r="D1473" t="s">
        <v>121</v>
      </c>
      <c r="E1473">
        <v>2</v>
      </c>
      <c r="H1473">
        <v>158</v>
      </c>
      <c r="I1473" t="s">
        <v>120</v>
      </c>
      <c r="J1473" t="s">
        <v>122</v>
      </c>
      <c r="K1473">
        <v>0</v>
      </c>
      <c r="L1473">
        <v>3</v>
      </c>
      <c r="M1473">
        <v>0</v>
      </c>
      <c r="N1473">
        <v>2</v>
      </c>
      <c r="O1473">
        <v>1</v>
      </c>
      <c r="P1473">
        <v>0</v>
      </c>
      <c r="Q1473">
        <v>0</v>
      </c>
      <c r="S1473" t="str">
        <f>"18:46:09.602"</f>
        <v>18:46:09.602</v>
      </c>
      <c r="T1473" t="str">
        <f>"18:46:09.202"</f>
        <v>18:46:09.202</v>
      </c>
      <c r="U1473" t="str">
        <f t="shared" si="135"/>
        <v>AAB6EE</v>
      </c>
      <c r="V1473">
        <v>0</v>
      </c>
      <c r="W1473">
        <v>0</v>
      </c>
      <c r="X1473">
        <v>4</v>
      </c>
      <c r="Z1473">
        <v>0</v>
      </c>
      <c r="AA1473">
        <v>8</v>
      </c>
      <c r="AB1473">
        <v>3</v>
      </c>
      <c r="AC1473">
        <v>0</v>
      </c>
      <c r="AD1473">
        <v>10</v>
      </c>
      <c r="AE1473">
        <v>0</v>
      </c>
      <c r="AF1473">
        <v>0</v>
      </c>
      <c r="AG1473">
        <v>1</v>
      </c>
      <c r="AH1473">
        <v>1</v>
      </c>
      <c r="AI1473" t="s">
        <v>1111</v>
      </c>
      <c r="AJ1473">
        <v>35.231009</v>
      </c>
      <c r="AK1473" t="s">
        <v>1112</v>
      </c>
      <c r="AL1473">
        <v>-76.070774</v>
      </c>
      <c r="AM1473">
        <v>25</v>
      </c>
      <c r="AN1473">
        <v>2925</v>
      </c>
      <c r="AO1473" t="s">
        <v>118</v>
      </c>
      <c r="AP1473">
        <v>163</v>
      </c>
      <c r="AQ1473">
        <v>9</v>
      </c>
      <c r="AR1473">
        <v>320</v>
      </c>
      <c r="AZ1473">
        <v>4516</v>
      </c>
      <c r="BA1473">
        <v>1</v>
      </c>
      <c r="BB1473" t="str">
        <f t="shared" si="136"/>
        <v xml:space="preserve">N79NX   </v>
      </c>
      <c r="BC1473">
        <v>1</v>
      </c>
      <c r="BE1473">
        <v>0</v>
      </c>
      <c r="BF1473">
        <v>0</v>
      </c>
      <c r="BG1473">
        <v>0</v>
      </c>
      <c r="BH1473">
        <v>2775</v>
      </c>
      <c r="BI1473">
        <v>0</v>
      </c>
      <c r="BJ1473">
        <v>0</v>
      </c>
      <c r="BK1473">
        <v>0</v>
      </c>
      <c r="BL1473">
        <v>0</v>
      </c>
      <c r="BO1473">
        <v>0</v>
      </c>
      <c r="BP1473">
        <v>0</v>
      </c>
      <c r="BW1473" t="str">
        <f>"18:46:09.602"</f>
        <v>18:46:09.602</v>
      </c>
      <c r="BZ1473">
        <v>0</v>
      </c>
      <c r="CA1473">
        <v>3008</v>
      </c>
      <c r="CB1473">
        <v>216</v>
      </c>
      <c r="CC1473">
        <v>462.65629999999999</v>
      </c>
      <c r="CD1473">
        <v>1</v>
      </c>
      <c r="CE1473">
        <v>1</v>
      </c>
      <c r="CF1473">
        <v>0</v>
      </c>
      <c r="CG1473">
        <v>1</v>
      </c>
      <c r="CH1473">
        <v>0</v>
      </c>
      <c r="CI1473">
        <v>0</v>
      </c>
      <c r="CJ1473">
        <v>0</v>
      </c>
      <c r="CK1473">
        <v>2</v>
      </c>
      <c r="CL1473">
        <v>0</v>
      </c>
      <c r="CM1473">
        <v>2</v>
      </c>
      <c r="CN1473">
        <v>0</v>
      </c>
      <c r="CO1473">
        <v>2</v>
      </c>
      <c r="CP1473" t="s">
        <v>119</v>
      </c>
      <c r="CQ1473">
        <v>145</v>
      </c>
      <c r="CR1473">
        <v>1</v>
      </c>
      <c r="CW1473">
        <v>9154674</v>
      </c>
      <c r="CY1473">
        <v>0</v>
      </c>
      <c r="CZ1473">
        <v>0</v>
      </c>
      <c r="DA1473">
        <v>1</v>
      </c>
      <c r="DB1473">
        <v>0</v>
      </c>
      <c r="DC1473">
        <v>0</v>
      </c>
      <c r="DD1473">
        <v>0</v>
      </c>
      <c r="DE1473">
        <v>0</v>
      </c>
      <c r="DF1473">
        <v>0</v>
      </c>
      <c r="DG1473">
        <v>0</v>
      </c>
      <c r="DH1473">
        <v>0</v>
      </c>
      <c r="DI1473">
        <v>0</v>
      </c>
    </row>
    <row r="1474" spans="1:113" x14ac:dyDescent="0.3">
      <c r="A1474" t="str">
        <f>"02/13/2022 18:46:11.188"</f>
        <v>02/13/2022 18:46:11.188</v>
      </c>
      <c r="C1474" t="str">
        <f t="shared" si="137"/>
        <v>FFDFD7C0</v>
      </c>
      <c r="D1474" t="s">
        <v>113</v>
      </c>
      <c r="E1474">
        <v>3</v>
      </c>
      <c r="F1474">
        <v>1003</v>
      </c>
      <c r="G1474" t="s">
        <v>114</v>
      </c>
      <c r="J1474" t="s">
        <v>115</v>
      </c>
      <c r="K1474">
        <v>0</v>
      </c>
      <c r="L1474">
        <v>3</v>
      </c>
      <c r="M1474">
        <v>0</v>
      </c>
      <c r="N1474">
        <v>2</v>
      </c>
      <c r="O1474">
        <v>1</v>
      </c>
      <c r="P1474">
        <v>0</v>
      </c>
      <c r="Q1474">
        <v>0</v>
      </c>
      <c r="S1474" t="str">
        <f>"18:46:10.938"</f>
        <v>18:46:10.938</v>
      </c>
      <c r="T1474" t="str">
        <f>"18:46:10.337"</f>
        <v>18:46:10.337</v>
      </c>
      <c r="U1474" t="str">
        <f t="shared" ref="U1474:U1537" si="140">"AAB6EE"</f>
        <v>AAB6EE</v>
      </c>
      <c r="V1474">
        <v>0</v>
      </c>
      <c r="W1474">
        <v>0</v>
      </c>
      <c r="X1474">
        <v>4</v>
      </c>
      <c r="Z1474">
        <v>0</v>
      </c>
      <c r="AA1474">
        <v>8</v>
      </c>
      <c r="AB1474">
        <v>3</v>
      </c>
      <c r="AC1474">
        <v>0</v>
      </c>
      <c r="AD1474">
        <v>10</v>
      </c>
      <c r="AE1474">
        <v>0</v>
      </c>
      <c r="AF1474">
        <v>0</v>
      </c>
      <c r="AG1474">
        <v>1</v>
      </c>
      <c r="AH1474">
        <v>1</v>
      </c>
      <c r="AI1474" t="s">
        <v>1113</v>
      </c>
      <c r="AJ1474">
        <v>35.231051000000001</v>
      </c>
      <c r="AK1474" t="s">
        <v>1114</v>
      </c>
      <c r="AL1474">
        <v>-76.069507999999999</v>
      </c>
      <c r="AM1474">
        <v>25</v>
      </c>
      <c r="AN1474">
        <v>2925</v>
      </c>
      <c r="AO1474" t="s">
        <v>118</v>
      </c>
      <c r="AP1474">
        <v>163</v>
      </c>
      <c r="AQ1474">
        <v>9</v>
      </c>
      <c r="AR1474">
        <v>192</v>
      </c>
      <c r="AZ1474">
        <v>4516</v>
      </c>
      <c r="BA1474">
        <v>1</v>
      </c>
      <c r="BB1474" t="str">
        <f t="shared" si="136"/>
        <v xml:space="preserve">N79NX   </v>
      </c>
      <c r="BC1474">
        <v>1</v>
      </c>
      <c r="BE1474">
        <v>0</v>
      </c>
      <c r="BF1474">
        <v>0</v>
      </c>
      <c r="BG1474">
        <v>0</v>
      </c>
      <c r="BH1474">
        <v>2775</v>
      </c>
      <c r="BI1474">
        <v>0</v>
      </c>
      <c r="BJ1474">
        <v>0</v>
      </c>
      <c r="BK1474">
        <v>0</v>
      </c>
      <c r="BL1474">
        <v>0</v>
      </c>
      <c r="BO1474">
        <v>0</v>
      </c>
      <c r="BP1474">
        <v>0</v>
      </c>
      <c r="BW1474" t="str">
        <f>"18:46:10.942"</f>
        <v>18:46:10.942</v>
      </c>
      <c r="BZ1474">
        <v>0</v>
      </c>
      <c r="CA1474">
        <v>3008</v>
      </c>
      <c r="CB1474">
        <v>216</v>
      </c>
      <c r="CC1474">
        <v>468.28129999999999</v>
      </c>
      <c r="CD1474">
        <v>1</v>
      </c>
      <c r="CE1474">
        <v>1</v>
      </c>
      <c r="CF1474">
        <v>0</v>
      </c>
      <c r="CG1474">
        <v>1</v>
      </c>
      <c r="CH1474">
        <v>0</v>
      </c>
      <c r="CI1474">
        <v>0</v>
      </c>
      <c r="CJ1474">
        <v>0</v>
      </c>
      <c r="CK1474">
        <v>2</v>
      </c>
      <c r="CL1474">
        <v>0</v>
      </c>
      <c r="CM1474">
        <v>2</v>
      </c>
      <c r="CN1474">
        <v>0</v>
      </c>
      <c r="CO1474">
        <v>2</v>
      </c>
      <c r="CP1474" t="s">
        <v>119</v>
      </c>
      <c r="CQ1474">
        <v>145</v>
      </c>
      <c r="CR1474">
        <v>1</v>
      </c>
      <c r="CW1474">
        <v>9155430</v>
      </c>
      <c r="CY1474">
        <v>0</v>
      </c>
      <c r="CZ1474">
        <v>0</v>
      </c>
      <c r="DA1474">
        <v>0</v>
      </c>
      <c r="DB1474">
        <v>0</v>
      </c>
      <c r="DC1474">
        <v>0</v>
      </c>
      <c r="DD1474">
        <v>0</v>
      </c>
      <c r="DE1474">
        <v>0</v>
      </c>
      <c r="DF1474">
        <v>0</v>
      </c>
      <c r="DG1474">
        <v>0</v>
      </c>
      <c r="DH1474">
        <v>0</v>
      </c>
      <c r="DI1474">
        <v>0</v>
      </c>
    </row>
    <row r="1475" spans="1:113" x14ac:dyDescent="0.3">
      <c r="A1475" t="str">
        <f>"02/13/2022 18:46:11.188"</f>
        <v>02/13/2022 18:46:11.188</v>
      </c>
      <c r="C1475" t="str">
        <f t="shared" si="137"/>
        <v>FFDFD7C0</v>
      </c>
      <c r="D1475" t="s">
        <v>113</v>
      </c>
      <c r="E1475">
        <v>4</v>
      </c>
      <c r="F1475">
        <v>1004</v>
      </c>
      <c r="G1475" t="s">
        <v>120</v>
      </c>
      <c r="J1475" t="s">
        <v>115</v>
      </c>
      <c r="K1475">
        <v>0</v>
      </c>
      <c r="L1475">
        <v>3</v>
      </c>
      <c r="M1475">
        <v>0</v>
      </c>
      <c r="N1475">
        <v>2</v>
      </c>
      <c r="O1475">
        <v>1</v>
      </c>
      <c r="P1475">
        <v>0</v>
      </c>
      <c r="Q1475">
        <v>0</v>
      </c>
      <c r="S1475" t="str">
        <f>"18:46:10.938"</f>
        <v>18:46:10.938</v>
      </c>
      <c r="T1475" t="str">
        <f>"18:46:10.337"</f>
        <v>18:46:10.337</v>
      </c>
      <c r="U1475" t="str">
        <f t="shared" si="140"/>
        <v>AAB6EE</v>
      </c>
      <c r="V1475">
        <v>0</v>
      </c>
      <c r="W1475">
        <v>0</v>
      </c>
      <c r="X1475">
        <v>4</v>
      </c>
      <c r="Z1475">
        <v>0</v>
      </c>
      <c r="AA1475">
        <v>8</v>
      </c>
      <c r="AB1475">
        <v>3</v>
      </c>
      <c r="AC1475">
        <v>0</v>
      </c>
      <c r="AD1475">
        <v>10</v>
      </c>
      <c r="AE1475">
        <v>0</v>
      </c>
      <c r="AF1475">
        <v>0</v>
      </c>
      <c r="AG1475">
        <v>1</v>
      </c>
      <c r="AH1475">
        <v>1</v>
      </c>
      <c r="AI1475" t="s">
        <v>1113</v>
      </c>
      <c r="AJ1475">
        <v>35.231051000000001</v>
      </c>
      <c r="AK1475" t="s">
        <v>1114</v>
      </c>
      <c r="AL1475">
        <v>-76.069507999999999</v>
      </c>
      <c r="AM1475">
        <v>25</v>
      </c>
      <c r="AN1475">
        <v>2925</v>
      </c>
      <c r="AO1475" t="s">
        <v>118</v>
      </c>
      <c r="AP1475">
        <v>163</v>
      </c>
      <c r="AQ1475">
        <v>9</v>
      </c>
      <c r="AR1475">
        <v>192</v>
      </c>
      <c r="AZ1475">
        <v>4516</v>
      </c>
      <c r="BA1475">
        <v>1</v>
      </c>
      <c r="BB1475" t="str">
        <f t="shared" si="136"/>
        <v xml:space="preserve">N79NX   </v>
      </c>
      <c r="BC1475">
        <v>1</v>
      </c>
      <c r="BE1475">
        <v>0</v>
      </c>
      <c r="BF1475">
        <v>0</v>
      </c>
      <c r="BG1475">
        <v>0</v>
      </c>
      <c r="BH1475">
        <v>2775</v>
      </c>
      <c r="BI1475">
        <v>0</v>
      </c>
      <c r="BJ1475">
        <v>0</v>
      </c>
      <c r="BK1475">
        <v>0</v>
      </c>
      <c r="BL1475">
        <v>0</v>
      </c>
      <c r="BO1475">
        <v>0</v>
      </c>
      <c r="BP1475">
        <v>0</v>
      </c>
      <c r="BW1475" t="str">
        <f>"18:46:10.942"</f>
        <v>18:46:10.942</v>
      </c>
      <c r="BZ1475">
        <v>0</v>
      </c>
      <c r="CA1475">
        <v>3008</v>
      </c>
      <c r="CB1475">
        <v>216</v>
      </c>
      <c r="CC1475">
        <v>468.28129999999999</v>
      </c>
      <c r="CD1475">
        <v>1</v>
      </c>
      <c r="CE1475">
        <v>1</v>
      </c>
      <c r="CF1475">
        <v>0</v>
      </c>
      <c r="CG1475">
        <v>1</v>
      </c>
      <c r="CH1475">
        <v>0</v>
      </c>
      <c r="CI1475">
        <v>0</v>
      </c>
      <c r="CJ1475">
        <v>0</v>
      </c>
      <c r="CK1475">
        <v>2</v>
      </c>
      <c r="CL1475">
        <v>0</v>
      </c>
      <c r="CM1475">
        <v>2</v>
      </c>
      <c r="CN1475">
        <v>0</v>
      </c>
      <c r="CO1475">
        <v>2</v>
      </c>
      <c r="CP1475" t="s">
        <v>119</v>
      </c>
      <c r="CQ1475">
        <v>145</v>
      </c>
      <c r="CR1475">
        <v>1</v>
      </c>
      <c r="CW1475">
        <v>9155430</v>
      </c>
      <c r="CY1475">
        <v>0</v>
      </c>
      <c r="CZ1475">
        <v>0</v>
      </c>
      <c r="DA1475">
        <v>1</v>
      </c>
      <c r="DB1475">
        <v>0</v>
      </c>
      <c r="DC1475">
        <v>0</v>
      </c>
      <c r="DD1475">
        <v>0</v>
      </c>
      <c r="DE1475">
        <v>0</v>
      </c>
      <c r="DF1475">
        <v>0</v>
      </c>
      <c r="DG1475">
        <v>0</v>
      </c>
      <c r="DH1475">
        <v>0</v>
      </c>
      <c r="DI1475">
        <v>0</v>
      </c>
    </row>
    <row r="1476" spans="1:113" x14ac:dyDescent="0.3">
      <c r="A1476" t="str">
        <f>"02/13/2022 18:46:11.188"</f>
        <v>02/13/2022 18:46:11.188</v>
      </c>
      <c r="C1476" t="str">
        <f t="shared" si="137"/>
        <v>FFDFD7C0</v>
      </c>
      <c r="D1476" t="s">
        <v>121</v>
      </c>
      <c r="E1476">
        <v>2</v>
      </c>
      <c r="H1476">
        <v>158</v>
      </c>
      <c r="I1476" t="s">
        <v>120</v>
      </c>
      <c r="J1476" t="s">
        <v>122</v>
      </c>
      <c r="K1476">
        <v>0</v>
      </c>
      <c r="L1476">
        <v>3</v>
      </c>
      <c r="M1476">
        <v>0</v>
      </c>
      <c r="N1476">
        <v>2</v>
      </c>
      <c r="O1476">
        <v>1</v>
      </c>
      <c r="P1476">
        <v>0</v>
      </c>
      <c r="Q1476">
        <v>0</v>
      </c>
      <c r="S1476" t="str">
        <f>"18:46:10.938"</f>
        <v>18:46:10.938</v>
      </c>
      <c r="T1476" t="str">
        <f>"18:46:10.337"</f>
        <v>18:46:10.337</v>
      </c>
      <c r="U1476" t="str">
        <f t="shared" si="140"/>
        <v>AAB6EE</v>
      </c>
      <c r="V1476">
        <v>0</v>
      </c>
      <c r="W1476">
        <v>0</v>
      </c>
      <c r="X1476">
        <v>4</v>
      </c>
      <c r="Z1476">
        <v>0</v>
      </c>
      <c r="AA1476">
        <v>8</v>
      </c>
      <c r="AB1476">
        <v>3</v>
      </c>
      <c r="AC1476">
        <v>0</v>
      </c>
      <c r="AD1476">
        <v>10</v>
      </c>
      <c r="AE1476">
        <v>0</v>
      </c>
      <c r="AF1476">
        <v>0</v>
      </c>
      <c r="AG1476">
        <v>1</v>
      </c>
      <c r="AH1476">
        <v>1</v>
      </c>
      <c r="AI1476" t="s">
        <v>1113</v>
      </c>
      <c r="AJ1476">
        <v>35.231051000000001</v>
      </c>
      <c r="AK1476" t="s">
        <v>1114</v>
      </c>
      <c r="AL1476">
        <v>-76.069507999999999</v>
      </c>
      <c r="AM1476">
        <v>25</v>
      </c>
      <c r="AN1476">
        <v>2925</v>
      </c>
      <c r="AO1476" t="s">
        <v>118</v>
      </c>
      <c r="AP1476">
        <v>163</v>
      </c>
      <c r="AQ1476">
        <v>9</v>
      </c>
      <c r="AR1476">
        <v>192</v>
      </c>
      <c r="AZ1476">
        <v>4516</v>
      </c>
      <c r="BA1476">
        <v>1</v>
      </c>
      <c r="BB1476" t="str">
        <f t="shared" si="136"/>
        <v xml:space="preserve">N79NX   </v>
      </c>
      <c r="BC1476">
        <v>1</v>
      </c>
      <c r="BE1476">
        <v>0</v>
      </c>
      <c r="BF1476">
        <v>0</v>
      </c>
      <c r="BG1476">
        <v>0</v>
      </c>
      <c r="BH1476">
        <v>2775</v>
      </c>
      <c r="BI1476">
        <v>0</v>
      </c>
      <c r="BJ1476">
        <v>0</v>
      </c>
      <c r="BK1476">
        <v>0</v>
      </c>
      <c r="BL1476">
        <v>0</v>
      </c>
      <c r="BO1476">
        <v>0</v>
      </c>
      <c r="BP1476">
        <v>0</v>
      </c>
      <c r="BW1476" t="str">
        <f>"18:46:10.942"</f>
        <v>18:46:10.942</v>
      </c>
      <c r="BZ1476">
        <v>0</v>
      </c>
      <c r="CA1476">
        <v>3008</v>
      </c>
      <c r="CB1476">
        <v>216</v>
      </c>
      <c r="CC1476">
        <v>468.28129999999999</v>
      </c>
      <c r="CD1476">
        <v>1</v>
      </c>
      <c r="CE1476">
        <v>1</v>
      </c>
      <c r="CF1476">
        <v>0</v>
      </c>
      <c r="CG1476">
        <v>1</v>
      </c>
      <c r="CH1476">
        <v>0</v>
      </c>
      <c r="CI1476">
        <v>0</v>
      </c>
      <c r="CJ1476">
        <v>0</v>
      </c>
      <c r="CK1476">
        <v>2</v>
      </c>
      <c r="CL1476">
        <v>0</v>
      </c>
      <c r="CM1476">
        <v>2</v>
      </c>
      <c r="CN1476">
        <v>0</v>
      </c>
      <c r="CO1476">
        <v>2</v>
      </c>
      <c r="CP1476" t="s">
        <v>119</v>
      </c>
      <c r="CQ1476">
        <v>145</v>
      </c>
      <c r="CR1476">
        <v>1</v>
      </c>
      <c r="CW1476">
        <v>9155430</v>
      </c>
      <c r="CY1476">
        <v>0</v>
      </c>
      <c r="CZ1476">
        <v>0</v>
      </c>
      <c r="DA1476">
        <v>1</v>
      </c>
      <c r="DB1476">
        <v>0</v>
      </c>
      <c r="DC1476">
        <v>0</v>
      </c>
      <c r="DD1476">
        <v>0</v>
      </c>
      <c r="DE1476">
        <v>0</v>
      </c>
      <c r="DF1476">
        <v>0</v>
      </c>
      <c r="DG1476">
        <v>0</v>
      </c>
      <c r="DH1476">
        <v>0</v>
      </c>
      <c r="DI1476">
        <v>0</v>
      </c>
    </row>
    <row r="1477" spans="1:113" x14ac:dyDescent="0.3">
      <c r="A1477" t="str">
        <f>"02/13/2022 18:46:12.360"</f>
        <v>02/13/2022 18:46:12.360</v>
      </c>
      <c r="C1477" t="str">
        <f t="shared" si="137"/>
        <v>FFDFD7C0</v>
      </c>
      <c r="D1477" t="s">
        <v>113</v>
      </c>
      <c r="E1477">
        <v>3</v>
      </c>
      <c r="F1477">
        <v>1003</v>
      </c>
      <c r="G1477" t="s">
        <v>114</v>
      </c>
      <c r="J1477" t="s">
        <v>115</v>
      </c>
      <c r="K1477">
        <v>0</v>
      </c>
      <c r="L1477">
        <v>3</v>
      </c>
      <c r="M1477">
        <v>0</v>
      </c>
      <c r="N1477">
        <v>2</v>
      </c>
      <c r="O1477">
        <v>1</v>
      </c>
      <c r="P1477">
        <v>0</v>
      </c>
      <c r="Q1477">
        <v>0</v>
      </c>
      <c r="S1477" t="str">
        <f>"18:46:12.000"</f>
        <v>18:46:12.000</v>
      </c>
      <c r="T1477" t="str">
        <f>"18:46:11.500"</f>
        <v>18:46:11.500</v>
      </c>
      <c r="U1477" t="str">
        <f t="shared" si="140"/>
        <v>AAB6EE</v>
      </c>
      <c r="V1477">
        <v>0</v>
      </c>
      <c r="W1477">
        <v>0</v>
      </c>
      <c r="X1477">
        <v>4</v>
      </c>
      <c r="Z1477">
        <v>0</v>
      </c>
      <c r="AA1477">
        <v>8</v>
      </c>
      <c r="AB1477">
        <v>3</v>
      </c>
      <c r="AC1477">
        <v>0</v>
      </c>
      <c r="AD1477">
        <v>10</v>
      </c>
      <c r="AE1477">
        <v>0</v>
      </c>
      <c r="AF1477">
        <v>0</v>
      </c>
      <c r="AG1477">
        <v>1</v>
      </c>
      <c r="AH1477">
        <v>1</v>
      </c>
      <c r="AI1477" t="s">
        <v>1115</v>
      </c>
      <c r="AJ1477">
        <v>35.231093999999999</v>
      </c>
      <c r="AK1477" t="s">
        <v>1116</v>
      </c>
      <c r="AL1477">
        <v>-76.068541999999994</v>
      </c>
      <c r="AM1477">
        <v>25</v>
      </c>
      <c r="AN1477">
        <v>2925</v>
      </c>
      <c r="AO1477" t="s">
        <v>118</v>
      </c>
      <c r="AP1477">
        <v>163</v>
      </c>
      <c r="AQ1477">
        <v>8</v>
      </c>
      <c r="AR1477">
        <v>64</v>
      </c>
      <c r="AZ1477">
        <v>4516</v>
      </c>
      <c r="BA1477">
        <v>1</v>
      </c>
      <c r="BB1477" t="str">
        <f t="shared" ref="BB1477:BB1540" si="141">"N79NX   "</f>
        <v xml:space="preserve">N79NX   </v>
      </c>
      <c r="BC1477">
        <v>1</v>
      </c>
      <c r="BE1477">
        <v>0</v>
      </c>
      <c r="BF1477">
        <v>0</v>
      </c>
      <c r="BG1477">
        <v>0</v>
      </c>
      <c r="BH1477">
        <v>2775</v>
      </c>
      <c r="BI1477">
        <v>0</v>
      </c>
      <c r="BJ1477">
        <v>0</v>
      </c>
      <c r="BK1477">
        <v>0</v>
      </c>
      <c r="BL1477">
        <v>0</v>
      </c>
      <c r="BO1477">
        <v>0</v>
      </c>
      <c r="BP1477">
        <v>0</v>
      </c>
      <c r="BW1477" t="str">
        <f>"18:46:12.002"</f>
        <v>18:46:12.002</v>
      </c>
      <c r="BZ1477">
        <v>0</v>
      </c>
      <c r="CA1477">
        <v>3008</v>
      </c>
      <c r="CB1477">
        <v>216</v>
      </c>
      <c r="CC1477">
        <v>468.28129999999999</v>
      </c>
      <c r="CD1477">
        <v>1</v>
      </c>
      <c r="CE1477">
        <v>1</v>
      </c>
      <c r="CF1477">
        <v>0</v>
      </c>
      <c r="CG1477">
        <v>1</v>
      </c>
      <c r="CH1477">
        <v>0</v>
      </c>
      <c r="CI1477">
        <v>0</v>
      </c>
      <c r="CJ1477">
        <v>0</v>
      </c>
      <c r="CK1477">
        <v>2</v>
      </c>
      <c r="CL1477">
        <v>0</v>
      </c>
      <c r="CM1477">
        <v>2</v>
      </c>
      <c r="CN1477">
        <v>0</v>
      </c>
      <c r="CO1477">
        <v>2</v>
      </c>
      <c r="CP1477" t="s">
        <v>119</v>
      </c>
      <c r="CQ1477">
        <v>145</v>
      </c>
      <c r="CR1477">
        <v>1</v>
      </c>
      <c r="CW1477">
        <v>9155973</v>
      </c>
      <c r="CY1477">
        <v>0</v>
      </c>
      <c r="CZ1477">
        <v>0</v>
      </c>
      <c r="DA1477">
        <v>0</v>
      </c>
      <c r="DB1477">
        <v>0</v>
      </c>
      <c r="DC1477">
        <v>0</v>
      </c>
      <c r="DD1477">
        <v>0</v>
      </c>
      <c r="DE1477">
        <v>0</v>
      </c>
      <c r="DF1477">
        <v>0</v>
      </c>
      <c r="DG1477">
        <v>0</v>
      </c>
      <c r="DH1477">
        <v>0</v>
      </c>
      <c r="DI1477">
        <v>0</v>
      </c>
    </row>
    <row r="1478" spans="1:113" x14ac:dyDescent="0.3">
      <c r="A1478" t="str">
        <f>"02/13/2022 18:46:12.360"</f>
        <v>02/13/2022 18:46:12.360</v>
      </c>
      <c r="C1478" t="str">
        <f t="shared" si="137"/>
        <v>FFDFD7C0</v>
      </c>
      <c r="D1478" t="s">
        <v>113</v>
      </c>
      <c r="E1478">
        <v>4</v>
      </c>
      <c r="F1478">
        <v>1004</v>
      </c>
      <c r="G1478" t="s">
        <v>120</v>
      </c>
      <c r="J1478" t="s">
        <v>115</v>
      </c>
      <c r="K1478">
        <v>0</v>
      </c>
      <c r="L1478">
        <v>3</v>
      </c>
      <c r="M1478">
        <v>0</v>
      </c>
      <c r="N1478">
        <v>2</v>
      </c>
      <c r="O1478">
        <v>1</v>
      </c>
      <c r="P1478">
        <v>0</v>
      </c>
      <c r="Q1478">
        <v>0</v>
      </c>
      <c r="S1478" t="str">
        <f>"18:46:12.000"</f>
        <v>18:46:12.000</v>
      </c>
      <c r="T1478" t="str">
        <f>"18:46:11.500"</f>
        <v>18:46:11.500</v>
      </c>
      <c r="U1478" t="str">
        <f t="shared" si="140"/>
        <v>AAB6EE</v>
      </c>
      <c r="V1478">
        <v>0</v>
      </c>
      <c r="W1478">
        <v>0</v>
      </c>
      <c r="X1478">
        <v>4</v>
      </c>
      <c r="Z1478">
        <v>0</v>
      </c>
      <c r="AA1478">
        <v>8</v>
      </c>
      <c r="AB1478">
        <v>3</v>
      </c>
      <c r="AC1478">
        <v>0</v>
      </c>
      <c r="AD1478">
        <v>10</v>
      </c>
      <c r="AE1478">
        <v>0</v>
      </c>
      <c r="AF1478">
        <v>0</v>
      </c>
      <c r="AG1478">
        <v>1</v>
      </c>
      <c r="AH1478">
        <v>1</v>
      </c>
      <c r="AI1478" t="s">
        <v>1115</v>
      </c>
      <c r="AJ1478">
        <v>35.231093999999999</v>
      </c>
      <c r="AK1478" t="s">
        <v>1116</v>
      </c>
      <c r="AL1478">
        <v>-76.068541999999994</v>
      </c>
      <c r="AM1478">
        <v>25</v>
      </c>
      <c r="AN1478">
        <v>2925</v>
      </c>
      <c r="AO1478" t="s">
        <v>118</v>
      </c>
      <c r="AP1478">
        <v>163</v>
      </c>
      <c r="AQ1478">
        <v>8</v>
      </c>
      <c r="AR1478">
        <v>64</v>
      </c>
      <c r="AZ1478">
        <v>4516</v>
      </c>
      <c r="BA1478">
        <v>1</v>
      </c>
      <c r="BB1478" t="str">
        <f t="shared" si="141"/>
        <v xml:space="preserve">N79NX   </v>
      </c>
      <c r="BC1478">
        <v>1</v>
      </c>
      <c r="BE1478">
        <v>0</v>
      </c>
      <c r="BF1478">
        <v>0</v>
      </c>
      <c r="BG1478">
        <v>0</v>
      </c>
      <c r="BH1478">
        <v>2775</v>
      </c>
      <c r="BI1478">
        <v>0</v>
      </c>
      <c r="BJ1478">
        <v>0</v>
      </c>
      <c r="BK1478">
        <v>0</v>
      </c>
      <c r="BL1478">
        <v>0</v>
      </c>
      <c r="BO1478">
        <v>0</v>
      </c>
      <c r="BP1478">
        <v>0</v>
      </c>
      <c r="BW1478" t="str">
        <f>"18:46:12.002"</f>
        <v>18:46:12.002</v>
      </c>
      <c r="BZ1478">
        <v>0</v>
      </c>
      <c r="CA1478">
        <v>3008</v>
      </c>
      <c r="CB1478">
        <v>216</v>
      </c>
      <c r="CC1478">
        <v>468.28129999999999</v>
      </c>
      <c r="CD1478">
        <v>1</v>
      </c>
      <c r="CE1478">
        <v>1</v>
      </c>
      <c r="CF1478">
        <v>0</v>
      </c>
      <c r="CG1478">
        <v>1</v>
      </c>
      <c r="CH1478">
        <v>0</v>
      </c>
      <c r="CI1478">
        <v>0</v>
      </c>
      <c r="CJ1478">
        <v>0</v>
      </c>
      <c r="CK1478">
        <v>2</v>
      </c>
      <c r="CL1478">
        <v>0</v>
      </c>
      <c r="CM1478">
        <v>2</v>
      </c>
      <c r="CN1478">
        <v>0</v>
      </c>
      <c r="CO1478">
        <v>2</v>
      </c>
      <c r="CP1478" t="s">
        <v>119</v>
      </c>
      <c r="CQ1478">
        <v>145</v>
      </c>
      <c r="CR1478">
        <v>1</v>
      </c>
      <c r="CW1478">
        <v>9155973</v>
      </c>
      <c r="CY1478">
        <v>0</v>
      </c>
      <c r="CZ1478">
        <v>0</v>
      </c>
      <c r="DA1478">
        <v>1</v>
      </c>
      <c r="DB1478">
        <v>0</v>
      </c>
      <c r="DC1478">
        <v>0</v>
      </c>
      <c r="DD1478">
        <v>0</v>
      </c>
      <c r="DE1478">
        <v>0</v>
      </c>
      <c r="DF1478">
        <v>0</v>
      </c>
      <c r="DG1478">
        <v>0</v>
      </c>
      <c r="DH1478">
        <v>0</v>
      </c>
      <c r="DI1478">
        <v>0</v>
      </c>
    </row>
    <row r="1479" spans="1:113" x14ac:dyDescent="0.3">
      <c r="A1479" t="str">
        <f>"02/13/2022 18:46:12.360"</f>
        <v>02/13/2022 18:46:12.360</v>
      </c>
      <c r="C1479" t="str">
        <f t="shared" si="137"/>
        <v>FFDFD7C0</v>
      </c>
      <c r="D1479" t="s">
        <v>121</v>
      </c>
      <c r="E1479">
        <v>2</v>
      </c>
      <c r="H1479">
        <v>158</v>
      </c>
      <c r="I1479" t="s">
        <v>120</v>
      </c>
      <c r="J1479" t="s">
        <v>122</v>
      </c>
      <c r="K1479">
        <v>0</v>
      </c>
      <c r="L1479">
        <v>3</v>
      </c>
      <c r="M1479">
        <v>0</v>
      </c>
      <c r="N1479">
        <v>2</v>
      </c>
      <c r="O1479">
        <v>1</v>
      </c>
      <c r="P1479">
        <v>0</v>
      </c>
      <c r="Q1479">
        <v>0</v>
      </c>
      <c r="S1479" t="str">
        <f>"18:46:12.000"</f>
        <v>18:46:12.000</v>
      </c>
      <c r="T1479" t="str">
        <f>"18:46:11.500"</f>
        <v>18:46:11.500</v>
      </c>
      <c r="U1479" t="str">
        <f t="shared" si="140"/>
        <v>AAB6EE</v>
      </c>
      <c r="V1479">
        <v>0</v>
      </c>
      <c r="W1479">
        <v>0</v>
      </c>
      <c r="X1479">
        <v>4</v>
      </c>
      <c r="Z1479">
        <v>0</v>
      </c>
      <c r="AA1479">
        <v>8</v>
      </c>
      <c r="AB1479">
        <v>3</v>
      </c>
      <c r="AC1479">
        <v>0</v>
      </c>
      <c r="AD1479">
        <v>10</v>
      </c>
      <c r="AE1479">
        <v>0</v>
      </c>
      <c r="AF1479">
        <v>0</v>
      </c>
      <c r="AG1479">
        <v>1</v>
      </c>
      <c r="AH1479">
        <v>1</v>
      </c>
      <c r="AI1479" t="s">
        <v>1115</v>
      </c>
      <c r="AJ1479">
        <v>35.231093999999999</v>
      </c>
      <c r="AK1479" t="s">
        <v>1116</v>
      </c>
      <c r="AL1479">
        <v>-76.068541999999994</v>
      </c>
      <c r="AM1479">
        <v>25</v>
      </c>
      <c r="AN1479">
        <v>2925</v>
      </c>
      <c r="AO1479" t="s">
        <v>118</v>
      </c>
      <c r="AP1479">
        <v>163</v>
      </c>
      <c r="AQ1479">
        <v>8</v>
      </c>
      <c r="AR1479">
        <v>64</v>
      </c>
      <c r="AZ1479">
        <v>4516</v>
      </c>
      <c r="BA1479">
        <v>1</v>
      </c>
      <c r="BB1479" t="str">
        <f t="shared" si="141"/>
        <v xml:space="preserve">N79NX   </v>
      </c>
      <c r="BC1479">
        <v>1</v>
      </c>
      <c r="BE1479">
        <v>0</v>
      </c>
      <c r="BF1479">
        <v>0</v>
      </c>
      <c r="BG1479">
        <v>0</v>
      </c>
      <c r="BH1479">
        <v>2775</v>
      </c>
      <c r="BI1479">
        <v>0</v>
      </c>
      <c r="BJ1479">
        <v>0</v>
      </c>
      <c r="BK1479">
        <v>0</v>
      </c>
      <c r="BL1479">
        <v>0</v>
      </c>
      <c r="BO1479">
        <v>0</v>
      </c>
      <c r="BP1479">
        <v>0</v>
      </c>
      <c r="BW1479" t="str">
        <f>"18:46:12.002"</f>
        <v>18:46:12.002</v>
      </c>
      <c r="BZ1479">
        <v>0</v>
      </c>
      <c r="CA1479">
        <v>3008</v>
      </c>
      <c r="CB1479">
        <v>216</v>
      </c>
      <c r="CC1479">
        <v>468.28129999999999</v>
      </c>
      <c r="CD1479">
        <v>1</v>
      </c>
      <c r="CE1479">
        <v>1</v>
      </c>
      <c r="CF1479">
        <v>0</v>
      </c>
      <c r="CG1479">
        <v>1</v>
      </c>
      <c r="CH1479">
        <v>0</v>
      </c>
      <c r="CI1479">
        <v>0</v>
      </c>
      <c r="CJ1479">
        <v>0</v>
      </c>
      <c r="CK1479">
        <v>2</v>
      </c>
      <c r="CL1479">
        <v>0</v>
      </c>
      <c r="CM1479">
        <v>2</v>
      </c>
      <c r="CN1479">
        <v>0</v>
      </c>
      <c r="CO1479">
        <v>2</v>
      </c>
      <c r="CP1479" t="s">
        <v>119</v>
      </c>
      <c r="CQ1479">
        <v>145</v>
      </c>
      <c r="CR1479">
        <v>1</v>
      </c>
      <c r="CW1479">
        <v>9155973</v>
      </c>
      <c r="CY1479">
        <v>0</v>
      </c>
      <c r="CZ1479">
        <v>0</v>
      </c>
      <c r="DA1479">
        <v>1</v>
      </c>
      <c r="DB1479">
        <v>0</v>
      </c>
      <c r="DC1479">
        <v>0</v>
      </c>
      <c r="DD1479">
        <v>0</v>
      </c>
      <c r="DE1479">
        <v>0</v>
      </c>
      <c r="DF1479">
        <v>0</v>
      </c>
      <c r="DG1479">
        <v>0</v>
      </c>
      <c r="DH1479">
        <v>0</v>
      </c>
      <c r="DI1479">
        <v>0</v>
      </c>
    </row>
    <row r="1480" spans="1:113" x14ac:dyDescent="0.3">
      <c r="A1480" t="str">
        <f>"02/13/2022 18:46:13.298"</f>
        <v>02/13/2022 18:46:13.298</v>
      </c>
      <c r="C1480" t="str">
        <f t="shared" si="137"/>
        <v>FFDFD7C0</v>
      </c>
      <c r="D1480" t="s">
        <v>121</v>
      </c>
      <c r="E1480">
        <v>2</v>
      </c>
      <c r="H1480">
        <v>158</v>
      </c>
      <c r="I1480" t="s">
        <v>120</v>
      </c>
      <c r="J1480" t="s">
        <v>122</v>
      </c>
      <c r="K1480">
        <v>0</v>
      </c>
      <c r="L1480">
        <v>3</v>
      </c>
      <c r="M1480">
        <v>0</v>
      </c>
      <c r="N1480">
        <v>2</v>
      </c>
      <c r="O1480">
        <v>1</v>
      </c>
      <c r="P1480">
        <v>0</v>
      </c>
      <c r="Q1480">
        <v>0</v>
      </c>
      <c r="S1480" t="str">
        <f>"18:46:13.078"</f>
        <v>18:46:13.078</v>
      </c>
      <c r="T1480" t="str">
        <f>"18:46:12.378"</f>
        <v>18:46:12.378</v>
      </c>
      <c r="U1480" t="str">
        <f t="shared" si="140"/>
        <v>AAB6EE</v>
      </c>
      <c r="V1480">
        <v>0</v>
      </c>
      <c r="W1480">
        <v>0</v>
      </c>
      <c r="X1480">
        <v>4</v>
      </c>
      <c r="Z1480">
        <v>0</v>
      </c>
      <c r="AA1480">
        <v>8</v>
      </c>
      <c r="AB1480">
        <v>3</v>
      </c>
      <c r="AC1480">
        <v>0</v>
      </c>
      <c r="AD1480">
        <v>10</v>
      </c>
      <c r="AE1480">
        <v>0</v>
      </c>
      <c r="AF1480">
        <v>0</v>
      </c>
      <c r="AG1480">
        <v>1</v>
      </c>
      <c r="AH1480">
        <v>1</v>
      </c>
      <c r="AI1480" t="s">
        <v>1117</v>
      </c>
      <c r="AJ1480">
        <v>35.231116</v>
      </c>
      <c r="AK1480" t="s">
        <v>1118</v>
      </c>
      <c r="AL1480">
        <v>-76.067532999999997</v>
      </c>
      <c r="AM1480">
        <v>25</v>
      </c>
      <c r="AN1480">
        <v>2925</v>
      </c>
      <c r="AO1480" t="s">
        <v>118</v>
      </c>
      <c r="AP1480">
        <v>163</v>
      </c>
      <c r="AQ1480">
        <v>6</v>
      </c>
      <c r="AR1480">
        <v>-64</v>
      </c>
      <c r="AZ1480">
        <v>4516</v>
      </c>
      <c r="BA1480">
        <v>1</v>
      </c>
      <c r="BB1480" t="str">
        <f t="shared" si="141"/>
        <v xml:space="preserve">N79NX   </v>
      </c>
      <c r="BC1480">
        <v>1</v>
      </c>
      <c r="BE1480">
        <v>0</v>
      </c>
      <c r="BF1480">
        <v>0</v>
      </c>
      <c r="BG1480">
        <v>0</v>
      </c>
      <c r="BH1480">
        <v>2775</v>
      </c>
      <c r="BI1480">
        <v>0</v>
      </c>
      <c r="BJ1480">
        <v>0</v>
      </c>
      <c r="BK1480">
        <v>0</v>
      </c>
      <c r="BL1480">
        <v>0</v>
      </c>
      <c r="BO1480">
        <v>0</v>
      </c>
      <c r="BP1480">
        <v>0</v>
      </c>
      <c r="BW1480" t="str">
        <f>"18:46:13.082"</f>
        <v>18:46:13.082</v>
      </c>
      <c r="BZ1480">
        <v>0</v>
      </c>
      <c r="CA1480">
        <v>3008</v>
      </c>
      <c r="CB1480">
        <v>216</v>
      </c>
      <c r="CC1480">
        <v>468.28129999999999</v>
      </c>
      <c r="CD1480">
        <v>1</v>
      </c>
      <c r="CE1480">
        <v>1</v>
      </c>
      <c r="CF1480">
        <v>0</v>
      </c>
      <c r="CG1480">
        <v>1</v>
      </c>
      <c r="CH1480">
        <v>0</v>
      </c>
      <c r="CI1480">
        <v>0</v>
      </c>
      <c r="CJ1480">
        <v>0</v>
      </c>
      <c r="CK1480">
        <v>2</v>
      </c>
      <c r="CL1480">
        <v>0</v>
      </c>
      <c r="CM1480">
        <v>2</v>
      </c>
      <c r="CN1480">
        <v>0</v>
      </c>
      <c r="CO1480">
        <v>2</v>
      </c>
      <c r="CP1480" t="s">
        <v>119</v>
      </c>
      <c r="CQ1480">
        <v>145</v>
      </c>
      <c r="CR1480">
        <v>1</v>
      </c>
      <c r="CW1480">
        <v>9156485</v>
      </c>
      <c r="CY1480">
        <v>0</v>
      </c>
      <c r="CZ1480">
        <v>0</v>
      </c>
      <c r="DA1480">
        <v>0</v>
      </c>
      <c r="DB1480">
        <v>0</v>
      </c>
      <c r="DC1480">
        <v>0</v>
      </c>
      <c r="DD1480">
        <v>0</v>
      </c>
      <c r="DE1480">
        <v>0</v>
      </c>
      <c r="DF1480">
        <v>0</v>
      </c>
      <c r="DG1480">
        <v>0</v>
      </c>
      <c r="DH1480">
        <v>0</v>
      </c>
      <c r="DI1480">
        <v>0</v>
      </c>
    </row>
    <row r="1481" spans="1:113" x14ac:dyDescent="0.3">
      <c r="A1481" t="str">
        <f>"02/13/2022 18:46:13.345"</f>
        <v>02/13/2022 18:46:13.345</v>
      </c>
      <c r="C1481" t="str">
        <f t="shared" si="137"/>
        <v>FFDFD7C0</v>
      </c>
      <c r="D1481" t="s">
        <v>113</v>
      </c>
      <c r="E1481">
        <v>3</v>
      </c>
      <c r="F1481">
        <v>1003</v>
      </c>
      <c r="G1481" t="s">
        <v>114</v>
      </c>
      <c r="J1481" t="s">
        <v>115</v>
      </c>
      <c r="K1481">
        <v>0</v>
      </c>
      <c r="L1481">
        <v>3</v>
      </c>
      <c r="M1481">
        <v>0</v>
      </c>
      <c r="N1481">
        <v>2</v>
      </c>
      <c r="O1481">
        <v>1</v>
      </c>
      <c r="P1481">
        <v>0</v>
      </c>
      <c r="Q1481">
        <v>0</v>
      </c>
      <c r="S1481" t="str">
        <f>"18:46:13.078"</f>
        <v>18:46:13.078</v>
      </c>
      <c r="T1481" t="str">
        <f>"18:46:12.378"</f>
        <v>18:46:12.378</v>
      </c>
      <c r="U1481" t="str">
        <f t="shared" si="140"/>
        <v>AAB6EE</v>
      </c>
      <c r="V1481">
        <v>0</v>
      </c>
      <c r="W1481">
        <v>0</v>
      </c>
      <c r="X1481">
        <v>4</v>
      </c>
      <c r="Z1481">
        <v>0</v>
      </c>
      <c r="AA1481">
        <v>8</v>
      </c>
      <c r="AB1481">
        <v>3</v>
      </c>
      <c r="AC1481">
        <v>0</v>
      </c>
      <c r="AD1481">
        <v>10</v>
      </c>
      <c r="AE1481">
        <v>0</v>
      </c>
      <c r="AF1481">
        <v>0</v>
      </c>
      <c r="AG1481">
        <v>1</v>
      </c>
      <c r="AH1481">
        <v>1</v>
      </c>
      <c r="AI1481" t="s">
        <v>1117</v>
      </c>
      <c r="AJ1481">
        <v>35.231116</v>
      </c>
      <c r="AK1481" t="s">
        <v>1118</v>
      </c>
      <c r="AL1481">
        <v>-76.067532999999997</v>
      </c>
      <c r="AM1481">
        <v>25</v>
      </c>
      <c r="AN1481">
        <v>2925</v>
      </c>
      <c r="AO1481" t="s">
        <v>118</v>
      </c>
      <c r="AP1481">
        <v>163</v>
      </c>
      <c r="AQ1481">
        <v>6</v>
      </c>
      <c r="AR1481">
        <v>-64</v>
      </c>
      <c r="AZ1481">
        <v>4516</v>
      </c>
      <c r="BA1481">
        <v>1</v>
      </c>
      <c r="BB1481" t="str">
        <f t="shared" si="141"/>
        <v xml:space="preserve">N79NX   </v>
      </c>
      <c r="BC1481">
        <v>1</v>
      </c>
      <c r="BE1481">
        <v>0</v>
      </c>
      <c r="BF1481">
        <v>0</v>
      </c>
      <c r="BG1481">
        <v>0</v>
      </c>
      <c r="BH1481">
        <v>2775</v>
      </c>
      <c r="BI1481">
        <v>0</v>
      </c>
      <c r="BJ1481">
        <v>0</v>
      </c>
      <c r="BK1481">
        <v>0</v>
      </c>
      <c r="BL1481">
        <v>0</v>
      </c>
      <c r="BO1481">
        <v>0</v>
      </c>
      <c r="BP1481">
        <v>0</v>
      </c>
      <c r="BW1481" t="str">
        <f>"18:46:13.082"</f>
        <v>18:46:13.082</v>
      </c>
      <c r="BZ1481">
        <v>0</v>
      </c>
      <c r="CA1481">
        <v>3008</v>
      </c>
      <c r="CB1481">
        <v>216</v>
      </c>
      <c r="CC1481">
        <v>468.28129999999999</v>
      </c>
      <c r="CD1481">
        <v>1</v>
      </c>
      <c r="CE1481">
        <v>1</v>
      </c>
      <c r="CF1481">
        <v>0</v>
      </c>
      <c r="CG1481">
        <v>1</v>
      </c>
      <c r="CH1481">
        <v>0</v>
      </c>
      <c r="CI1481">
        <v>0</v>
      </c>
      <c r="CJ1481">
        <v>0</v>
      </c>
      <c r="CK1481">
        <v>2</v>
      </c>
      <c r="CL1481">
        <v>0</v>
      </c>
      <c r="CM1481">
        <v>2</v>
      </c>
      <c r="CN1481">
        <v>0</v>
      </c>
      <c r="CO1481">
        <v>2</v>
      </c>
      <c r="CP1481" t="s">
        <v>119</v>
      </c>
      <c r="CQ1481">
        <v>145</v>
      </c>
      <c r="CR1481">
        <v>1</v>
      </c>
      <c r="CW1481">
        <v>9156485</v>
      </c>
      <c r="CY1481">
        <v>0</v>
      </c>
      <c r="CZ1481">
        <v>0</v>
      </c>
      <c r="DA1481">
        <v>1</v>
      </c>
      <c r="DB1481">
        <v>0</v>
      </c>
      <c r="DC1481">
        <v>0</v>
      </c>
      <c r="DD1481">
        <v>0</v>
      </c>
      <c r="DE1481">
        <v>0</v>
      </c>
      <c r="DF1481">
        <v>0</v>
      </c>
      <c r="DG1481">
        <v>0</v>
      </c>
      <c r="DH1481">
        <v>0</v>
      </c>
      <c r="DI1481">
        <v>0</v>
      </c>
    </row>
    <row r="1482" spans="1:113" x14ac:dyDescent="0.3">
      <c r="A1482" t="str">
        <f>"02/13/2022 18:46:13.345"</f>
        <v>02/13/2022 18:46:13.345</v>
      </c>
      <c r="C1482" t="str">
        <f t="shared" si="137"/>
        <v>FFDFD7C0</v>
      </c>
      <c r="D1482" t="s">
        <v>113</v>
      </c>
      <c r="E1482">
        <v>4</v>
      </c>
      <c r="F1482">
        <v>1004</v>
      </c>
      <c r="G1482" t="s">
        <v>120</v>
      </c>
      <c r="J1482" t="s">
        <v>115</v>
      </c>
      <c r="K1482">
        <v>0</v>
      </c>
      <c r="L1482">
        <v>3</v>
      </c>
      <c r="M1482">
        <v>0</v>
      </c>
      <c r="N1482">
        <v>2</v>
      </c>
      <c r="O1482">
        <v>1</v>
      </c>
      <c r="P1482">
        <v>0</v>
      </c>
      <c r="Q1482">
        <v>0</v>
      </c>
      <c r="S1482" t="str">
        <f>"18:46:13.078"</f>
        <v>18:46:13.078</v>
      </c>
      <c r="T1482" t="str">
        <f>"18:46:12.378"</f>
        <v>18:46:12.378</v>
      </c>
      <c r="U1482" t="str">
        <f t="shared" si="140"/>
        <v>AAB6EE</v>
      </c>
      <c r="V1482">
        <v>0</v>
      </c>
      <c r="W1482">
        <v>0</v>
      </c>
      <c r="X1482">
        <v>4</v>
      </c>
      <c r="Z1482">
        <v>0</v>
      </c>
      <c r="AA1482">
        <v>8</v>
      </c>
      <c r="AB1482">
        <v>3</v>
      </c>
      <c r="AC1482">
        <v>0</v>
      </c>
      <c r="AD1482">
        <v>10</v>
      </c>
      <c r="AE1482">
        <v>0</v>
      </c>
      <c r="AF1482">
        <v>0</v>
      </c>
      <c r="AG1482">
        <v>1</v>
      </c>
      <c r="AH1482">
        <v>1</v>
      </c>
      <c r="AI1482" t="s">
        <v>1117</v>
      </c>
      <c r="AJ1482">
        <v>35.231116</v>
      </c>
      <c r="AK1482" t="s">
        <v>1118</v>
      </c>
      <c r="AL1482">
        <v>-76.067532999999997</v>
      </c>
      <c r="AM1482">
        <v>25</v>
      </c>
      <c r="AN1482">
        <v>2925</v>
      </c>
      <c r="AO1482" t="s">
        <v>118</v>
      </c>
      <c r="AP1482">
        <v>163</v>
      </c>
      <c r="AQ1482">
        <v>6</v>
      </c>
      <c r="AR1482">
        <v>-64</v>
      </c>
      <c r="AZ1482">
        <v>4516</v>
      </c>
      <c r="BA1482">
        <v>1</v>
      </c>
      <c r="BB1482" t="str">
        <f t="shared" si="141"/>
        <v xml:space="preserve">N79NX   </v>
      </c>
      <c r="BC1482">
        <v>1</v>
      </c>
      <c r="BE1482">
        <v>0</v>
      </c>
      <c r="BF1482">
        <v>0</v>
      </c>
      <c r="BG1482">
        <v>0</v>
      </c>
      <c r="BH1482">
        <v>2775</v>
      </c>
      <c r="BI1482">
        <v>0</v>
      </c>
      <c r="BJ1482">
        <v>0</v>
      </c>
      <c r="BK1482">
        <v>0</v>
      </c>
      <c r="BL1482">
        <v>0</v>
      </c>
      <c r="BO1482">
        <v>0</v>
      </c>
      <c r="BP1482">
        <v>0</v>
      </c>
      <c r="BW1482" t="str">
        <f>"18:46:13.082"</f>
        <v>18:46:13.082</v>
      </c>
      <c r="BZ1482">
        <v>0</v>
      </c>
      <c r="CA1482">
        <v>3008</v>
      </c>
      <c r="CB1482">
        <v>216</v>
      </c>
      <c r="CC1482">
        <v>468.28129999999999</v>
      </c>
      <c r="CD1482">
        <v>1</v>
      </c>
      <c r="CE1482">
        <v>1</v>
      </c>
      <c r="CF1482">
        <v>0</v>
      </c>
      <c r="CG1482">
        <v>1</v>
      </c>
      <c r="CH1482">
        <v>0</v>
      </c>
      <c r="CI1482">
        <v>0</v>
      </c>
      <c r="CJ1482">
        <v>0</v>
      </c>
      <c r="CK1482">
        <v>2</v>
      </c>
      <c r="CL1482">
        <v>0</v>
      </c>
      <c r="CM1482">
        <v>2</v>
      </c>
      <c r="CN1482">
        <v>0</v>
      </c>
      <c r="CO1482">
        <v>2</v>
      </c>
      <c r="CP1482" t="s">
        <v>119</v>
      </c>
      <c r="CQ1482">
        <v>145</v>
      </c>
      <c r="CR1482">
        <v>1</v>
      </c>
      <c r="CW1482">
        <v>9156485</v>
      </c>
      <c r="CY1482">
        <v>0</v>
      </c>
      <c r="CZ1482">
        <v>0</v>
      </c>
      <c r="DA1482">
        <v>1</v>
      </c>
      <c r="DB1482">
        <v>0</v>
      </c>
      <c r="DC1482">
        <v>0</v>
      </c>
      <c r="DD1482">
        <v>0</v>
      </c>
      <c r="DE1482">
        <v>0</v>
      </c>
      <c r="DF1482">
        <v>0</v>
      </c>
      <c r="DG1482">
        <v>0</v>
      </c>
      <c r="DH1482">
        <v>0</v>
      </c>
      <c r="DI1482">
        <v>0</v>
      </c>
    </row>
    <row r="1483" spans="1:113" x14ac:dyDescent="0.3">
      <c r="A1483" t="str">
        <f>"02/13/2022 18:46:15.661"</f>
        <v>02/13/2022 18:46:15.661</v>
      </c>
      <c r="C1483" t="str">
        <f t="shared" si="137"/>
        <v>FFDFD7C0</v>
      </c>
      <c r="D1483" t="s">
        <v>121</v>
      </c>
      <c r="E1483">
        <v>2</v>
      </c>
      <c r="H1483">
        <v>158</v>
      </c>
      <c r="I1483" t="s">
        <v>120</v>
      </c>
      <c r="J1483" t="s">
        <v>122</v>
      </c>
      <c r="K1483">
        <v>0</v>
      </c>
      <c r="L1483">
        <v>3</v>
      </c>
      <c r="M1483">
        <v>0</v>
      </c>
      <c r="N1483">
        <v>2</v>
      </c>
      <c r="O1483">
        <v>1</v>
      </c>
      <c r="P1483">
        <v>0</v>
      </c>
      <c r="Q1483">
        <v>0</v>
      </c>
      <c r="S1483" t="str">
        <f t="shared" ref="S1483:T1485" si="142">"18:46:15.328"</f>
        <v>18:46:15.328</v>
      </c>
      <c r="T1483" t="str">
        <f t="shared" si="142"/>
        <v>18:46:15.328</v>
      </c>
      <c r="U1483" t="str">
        <f t="shared" si="140"/>
        <v>AAB6EE</v>
      </c>
      <c r="V1483">
        <v>0</v>
      </c>
      <c r="W1483">
        <v>0</v>
      </c>
      <c r="X1483">
        <v>4</v>
      </c>
      <c r="Z1483">
        <v>0</v>
      </c>
      <c r="AA1483">
        <v>8</v>
      </c>
      <c r="AB1483">
        <v>3</v>
      </c>
      <c r="AC1483">
        <v>0</v>
      </c>
      <c r="AD1483">
        <v>10</v>
      </c>
      <c r="AE1483">
        <v>0</v>
      </c>
      <c r="AF1483">
        <v>0</v>
      </c>
      <c r="AG1483">
        <v>1</v>
      </c>
      <c r="AH1483">
        <v>1</v>
      </c>
      <c r="AI1483" t="s">
        <v>1115</v>
      </c>
      <c r="AJ1483">
        <v>35.231093999999999</v>
      </c>
      <c r="AK1483" t="s">
        <v>1119</v>
      </c>
      <c r="AL1483">
        <v>-76.065451999999993</v>
      </c>
      <c r="AM1483">
        <v>25</v>
      </c>
      <c r="AN1483">
        <v>2925</v>
      </c>
      <c r="AO1483" t="s">
        <v>118</v>
      </c>
      <c r="AP1483">
        <v>163</v>
      </c>
      <c r="AQ1483">
        <v>-5</v>
      </c>
      <c r="AR1483">
        <v>0</v>
      </c>
      <c r="AZ1483">
        <v>4516</v>
      </c>
      <c r="BA1483">
        <v>1</v>
      </c>
      <c r="BB1483" t="str">
        <f t="shared" si="141"/>
        <v xml:space="preserve">N79NX   </v>
      </c>
      <c r="BC1483">
        <v>1</v>
      </c>
      <c r="BE1483">
        <v>0</v>
      </c>
      <c r="BF1483">
        <v>0</v>
      </c>
      <c r="BG1483">
        <v>0</v>
      </c>
      <c r="BH1483">
        <v>2775</v>
      </c>
      <c r="BI1483">
        <v>0</v>
      </c>
      <c r="BJ1483">
        <v>0</v>
      </c>
      <c r="BK1483">
        <v>0</v>
      </c>
      <c r="BL1483">
        <v>0</v>
      </c>
      <c r="BO1483">
        <v>0</v>
      </c>
      <c r="BP1483">
        <v>0</v>
      </c>
      <c r="BW1483" t="str">
        <f>"18:46:15.332"</f>
        <v>18:46:15.332</v>
      </c>
      <c r="BZ1483">
        <v>0</v>
      </c>
      <c r="CA1483">
        <v>3008</v>
      </c>
      <c r="CB1483">
        <v>216</v>
      </c>
      <c r="CC1483">
        <v>480.9375</v>
      </c>
      <c r="CD1483">
        <v>1</v>
      </c>
      <c r="CE1483">
        <v>1</v>
      </c>
      <c r="CF1483">
        <v>0</v>
      </c>
      <c r="CG1483">
        <v>1</v>
      </c>
      <c r="CH1483">
        <v>0</v>
      </c>
      <c r="CI1483">
        <v>0</v>
      </c>
      <c r="CJ1483">
        <v>0</v>
      </c>
      <c r="CK1483">
        <v>2</v>
      </c>
      <c r="CL1483">
        <v>0</v>
      </c>
      <c r="CM1483">
        <v>2</v>
      </c>
      <c r="CN1483">
        <v>0</v>
      </c>
      <c r="CO1483">
        <v>2</v>
      </c>
      <c r="CP1483" t="s">
        <v>119</v>
      </c>
      <c r="CQ1483">
        <v>145</v>
      </c>
      <c r="CR1483">
        <v>1</v>
      </c>
      <c r="CW1483">
        <v>9157620</v>
      </c>
      <c r="CY1483">
        <v>0</v>
      </c>
      <c r="CZ1483">
        <v>0</v>
      </c>
      <c r="DA1483">
        <v>0</v>
      </c>
      <c r="DB1483">
        <v>0</v>
      </c>
      <c r="DC1483">
        <v>0</v>
      </c>
      <c r="DD1483">
        <v>0</v>
      </c>
      <c r="DE1483">
        <v>0</v>
      </c>
      <c r="DF1483">
        <v>0</v>
      </c>
      <c r="DG1483">
        <v>0</v>
      </c>
      <c r="DH1483">
        <v>0</v>
      </c>
      <c r="DI1483">
        <v>0</v>
      </c>
    </row>
    <row r="1484" spans="1:113" x14ac:dyDescent="0.3">
      <c r="A1484" t="str">
        <f>"02/13/2022 18:46:15.661"</f>
        <v>02/13/2022 18:46:15.661</v>
      </c>
      <c r="C1484" t="str">
        <f t="shared" si="137"/>
        <v>FFDFD7C0</v>
      </c>
      <c r="D1484" t="s">
        <v>113</v>
      </c>
      <c r="E1484">
        <v>3</v>
      </c>
      <c r="F1484">
        <v>1003</v>
      </c>
      <c r="G1484" t="s">
        <v>114</v>
      </c>
      <c r="J1484" t="s">
        <v>115</v>
      </c>
      <c r="K1484">
        <v>0</v>
      </c>
      <c r="L1484">
        <v>3</v>
      </c>
      <c r="M1484">
        <v>0</v>
      </c>
      <c r="N1484">
        <v>2</v>
      </c>
      <c r="O1484">
        <v>1</v>
      </c>
      <c r="P1484">
        <v>0</v>
      </c>
      <c r="Q1484">
        <v>0</v>
      </c>
      <c r="S1484" t="str">
        <f t="shared" si="142"/>
        <v>18:46:15.328</v>
      </c>
      <c r="T1484" t="str">
        <f t="shared" si="142"/>
        <v>18:46:15.328</v>
      </c>
      <c r="U1484" t="str">
        <f t="shared" si="140"/>
        <v>AAB6EE</v>
      </c>
      <c r="V1484">
        <v>0</v>
      </c>
      <c r="W1484">
        <v>0</v>
      </c>
      <c r="X1484">
        <v>4</v>
      </c>
      <c r="Z1484">
        <v>0</v>
      </c>
      <c r="AA1484">
        <v>8</v>
      </c>
      <c r="AB1484">
        <v>3</v>
      </c>
      <c r="AC1484">
        <v>0</v>
      </c>
      <c r="AD1484">
        <v>10</v>
      </c>
      <c r="AE1484">
        <v>0</v>
      </c>
      <c r="AF1484">
        <v>0</v>
      </c>
      <c r="AG1484">
        <v>1</v>
      </c>
      <c r="AH1484">
        <v>1</v>
      </c>
      <c r="AI1484" t="s">
        <v>1115</v>
      </c>
      <c r="AJ1484">
        <v>35.231093999999999</v>
      </c>
      <c r="AK1484" t="s">
        <v>1119</v>
      </c>
      <c r="AL1484">
        <v>-76.065451999999993</v>
      </c>
      <c r="AM1484">
        <v>25</v>
      </c>
      <c r="AN1484">
        <v>2925</v>
      </c>
      <c r="AO1484" t="s">
        <v>118</v>
      </c>
      <c r="AP1484">
        <v>163</v>
      </c>
      <c r="AQ1484">
        <v>-5</v>
      </c>
      <c r="AR1484">
        <v>0</v>
      </c>
      <c r="AZ1484">
        <v>4516</v>
      </c>
      <c r="BA1484">
        <v>1</v>
      </c>
      <c r="BB1484" t="str">
        <f t="shared" si="141"/>
        <v xml:space="preserve">N79NX   </v>
      </c>
      <c r="BC1484">
        <v>1</v>
      </c>
      <c r="BE1484">
        <v>0</v>
      </c>
      <c r="BF1484">
        <v>0</v>
      </c>
      <c r="BG1484">
        <v>0</v>
      </c>
      <c r="BH1484">
        <v>2775</v>
      </c>
      <c r="BI1484">
        <v>0</v>
      </c>
      <c r="BJ1484">
        <v>0</v>
      </c>
      <c r="BK1484">
        <v>0</v>
      </c>
      <c r="BL1484">
        <v>0</v>
      </c>
      <c r="BO1484">
        <v>0</v>
      </c>
      <c r="BP1484">
        <v>0</v>
      </c>
      <c r="BW1484" t="str">
        <f>"18:46:15.332"</f>
        <v>18:46:15.332</v>
      </c>
      <c r="BZ1484">
        <v>0</v>
      </c>
      <c r="CA1484">
        <v>3008</v>
      </c>
      <c r="CB1484">
        <v>216</v>
      </c>
      <c r="CC1484">
        <v>480.9375</v>
      </c>
      <c r="CD1484">
        <v>1</v>
      </c>
      <c r="CE1484">
        <v>1</v>
      </c>
      <c r="CF1484">
        <v>0</v>
      </c>
      <c r="CG1484">
        <v>1</v>
      </c>
      <c r="CH1484">
        <v>0</v>
      </c>
      <c r="CI1484">
        <v>0</v>
      </c>
      <c r="CJ1484">
        <v>0</v>
      </c>
      <c r="CK1484">
        <v>2</v>
      </c>
      <c r="CL1484">
        <v>0</v>
      </c>
      <c r="CM1484">
        <v>2</v>
      </c>
      <c r="CN1484">
        <v>0</v>
      </c>
      <c r="CO1484">
        <v>2</v>
      </c>
      <c r="CP1484" t="s">
        <v>119</v>
      </c>
      <c r="CQ1484">
        <v>145</v>
      </c>
      <c r="CR1484">
        <v>1</v>
      </c>
      <c r="CW1484">
        <v>9157620</v>
      </c>
      <c r="CY1484">
        <v>0</v>
      </c>
      <c r="CZ1484">
        <v>0</v>
      </c>
      <c r="DA1484">
        <v>1</v>
      </c>
      <c r="DB1484">
        <v>0</v>
      </c>
      <c r="DC1484">
        <v>0</v>
      </c>
      <c r="DD1484">
        <v>0</v>
      </c>
      <c r="DE1484">
        <v>0</v>
      </c>
      <c r="DF1484">
        <v>0</v>
      </c>
      <c r="DG1484">
        <v>0</v>
      </c>
      <c r="DH1484">
        <v>0</v>
      </c>
      <c r="DI1484">
        <v>0</v>
      </c>
    </row>
    <row r="1485" spans="1:113" x14ac:dyDescent="0.3">
      <c r="A1485" t="str">
        <f>"02/13/2022 18:46:15.661"</f>
        <v>02/13/2022 18:46:15.661</v>
      </c>
      <c r="C1485" t="str">
        <f t="shared" si="137"/>
        <v>FFDFD7C0</v>
      </c>
      <c r="D1485" t="s">
        <v>113</v>
      </c>
      <c r="E1485">
        <v>4</v>
      </c>
      <c r="F1485">
        <v>1004</v>
      </c>
      <c r="G1485" t="s">
        <v>120</v>
      </c>
      <c r="J1485" t="s">
        <v>115</v>
      </c>
      <c r="K1485">
        <v>0</v>
      </c>
      <c r="L1485">
        <v>3</v>
      </c>
      <c r="M1485">
        <v>0</v>
      </c>
      <c r="N1485">
        <v>2</v>
      </c>
      <c r="O1485">
        <v>1</v>
      </c>
      <c r="P1485">
        <v>0</v>
      </c>
      <c r="Q1485">
        <v>0</v>
      </c>
      <c r="S1485" t="str">
        <f t="shared" si="142"/>
        <v>18:46:15.328</v>
      </c>
      <c r="T1485" t="str">
        <f t="shared" si="142"/>
        <v>18:46:15.328</v>
      </c>
      <c r="U1485" t="str">
        <f t="shared" si="140"/>
        <v>AAB6EE</v>
      </c>
      <c r="V1485">
        <v>0</v>
      </c>
      <c r="W1485">
        <v>0</v>
      </c>
      <c r="X1485">
        <v>4</v>
      </c>
      <c r="Z1485">
        <v>0</v>
      </c>
      <c r="AA1485">
        <v>8</v>
      </c>
      <c r="AB1485">
        <v>3</v>
      </c>
      <c r="AC1485">
        <v>0</v>
      </c>
      <c r="AD1485">
        <v>10</v>
      </c>
      <c r="AE1485">
        <v>0</v>
      </c>
      <c r="AF1485">
        <v>0</v>
      </c>
      <c r="AG1485">
        <v>1</v>
      </c>
      <c r="AH1485">
        <v>1</v>
      </c>
      <c r="AI1485" t="s">
        <v>1115</v>
      </c>
      <c r="AJ1485">
        <v>35.231093999999999</v>
      </c>
      <c r="AK1485" t="s">
        <v>1119</v>
      </c>
      <c r="AL1485">
        <v>-76.065451999999993</v>
      </c>
      <c r="AM1485">
        <v>25</v>
      </c>
      <c r="AN1485">
        <v>2925</v>
      </c>
      <c r="AO1485" t="s">
        <v>118</v>
      </c>
      <c r="AP1485">
        <v>163</v>
      </c>
      <c r="AQ1485">
        <v>-5</v>
      </c>
      <c r="AR1485">
        <v>0</v>
      </c>
      <c r="AZ1485">
        <v>4516</v>
      </c>
      <c r="BA1485">
        <v>1</v>
      </c>
      <c r="BB1485" t="str">
        <f t="shared" si="141"/>
        <v xml:space="preserve">N79NX   </v>
      </c>
      <c r="BC1485">
        <v>1</v>
      </c>
      <c r="BE1485">
        <v>0</v>
      </c>
      <c r="BF1485">
        <v>0</v>
      </c>
      <c r="BG1485">
        <v>0</v>
      </c>
      <c r="BH1485">
        <v>2775</v>
      </c>
      <c r="BI1485">
        <v>0</v>
      </c>
      <c r="BJ1485">
        <v>0</v>
      </c>
      <c r="BK1485">
        <v>0</v>
      </c>
      <c r="BL1485">
        <v>0</v>
      </c>
      <c r="BO1485">
        <v>0</v>
      </c>
      <c r="BP1485">
        <v>0</v>
      </c>
      <c r="BW1485" t="str">
        <f>"18:46:15.332"</f>
        <v>18:46:15.332</v>
      </c>
      <c r="BZ1485">
        <v>0</v>
      </c>
      <c r="CA1485">
        <v>3008</v>
      </c>
      <c r="CB1485">
        <v>216</v>
      </c>
      <c r="CC1485">
        <v>480.9375</v>
      </c>
      <c r="CD1485">
        <v>1</v>
      </c>
      <c r="CE1485">
        <v>1</v>
      </c>
      <c r="CF1485">
        <v>0</v>
      </c>
      <c r="CG1485">
        <v>1</v>
      </c>
      <c r="CH1485">
        <v>0</v>
      </c>
      <c r="CI1485">
        <v>0</v>
      </c>
      <c r="CJ1485">
        <v>0</v>
      </c>
      <c r="CK1485">
        <v>2</v>
      </c>
      <c r="CL1485">
        <v>0</v>
      </c>
      <c r="CM1485">
        <v>2</v>
      </c>
      <c r="CN1485">
        <v>0</v>
      </c>
      <c r="CO1485">
        <v>2</v>
      </c>
      <c r="CP1485" t="s">
        <v>119</v>
      </c>
      <c r="CQ1485">
        <v>145</v>
      </c>
      <c r="CR1485">
        <v>1</v>
      </c>
      <c r="CW1485">
        <v>9157620</v>
      </c>
      <c r="CY1485">
        <v>0</v>
      </c>
      <c r="CZ1485">
        <v>0</v>
      </c>
      <c r="DA1485">
        <v>1</v>
      </c>
      <c r="DB1485">
        <v>0</v>
      </c>
      <c r="DC1485">
        <v>0</v>
      </c>
      <c r="DD1485">
        <v>0</v>
      </c>
      <c r="DE1485">
        <v>0</v>
      </c>
      <c r="DF1485">
        <v>0</v>
      </c>
      <c r="DG1485">
        <v>0</v>
      </c>
      <c r="DH1485">
        <v>0</v>
      </c>
      <c r="DI1485">
        <v>0</v>
      </c>
    </row>
    <row r="1486" spans="1:113" x14ac:dyDescent="0.3">
      <c r="A1486" t="str">
        <f>"02/13/2022 18:46:17.521"</f>
        <v>02/13/2022 18:46:17.521</v>
      </c>
      <c r="C1486" t="str">
        <f t="shared" si="137"/>
        <v>FFDFD7C0</v>
      </c>
      <c r="D1486" t="s">
        <v>121</v>
      </c>
      <c r="E1486">
        <v>2</v>
      </c>
      <c r="H1486">
        <v>158</v>
      </c>
      <c r="I1486" t="s">
        <v>120</v>
      </c>
      <c r="J1486" t="s">
        <v>122</v>
      </c>
      <c r="K1486">
        <v>0</v>
      </c>
      <c r="L1486">
        <v>3</v>
      </c>
      <c r="M1486">
        <v>0</v>
      </c>
      <c r="N1486">
        <v>2</v>
      </c>
      <c r="O1486">
        <v>1</v>
      </c>
      <c r="P1486">
        <v>0</v>
      </c>
      <c r="Q1486">
        <v>0</v>
      </c>
      <c r="S1486" t="str">
        <f>"18:46:17.242"</f>
        <v>18:46:17.242</v>
      </c>
      <c r="T1486" t="str">
        <f>"18:46:17.042"</f>
        <v>18:46:17.042</v>
      </c>
      <c r="U1486" t="str">
        <f t="shared" si="140"/>
        <v>AAB6EE</v>
      </c>
      <c r="V1486">
        <v>0</v>
      </c>
      <c r="W1486">
        <v>0</v>
      </c>
      <c r="X1486">
        <v>4</v>
      </c>
      <c r="Z1486">
        <v>0</v>
      </c>
      <c r="AA1486">
        <v>8</v>
      </c>
      <c r="AB1486">
        <v>3</v>
      </c>
      <c r="AC1486">
        <v>0</v>
      </c>
      <c r="AD1486">
        <v>10</v>
      </c>
      <c r="AE1486">
        <v>0</v>
      </c>
      <c r="AF1486">
        <v>0</v>
      </c>
      <c r="AG1486">
        <v>1</v>
      </c>
      <c r="AH1486">
        <v>1</v>
      </c>
      <c r="AI1486" t="s">
        <v>1111</v>
      </c>
      <c r="AJ1486">
        <v>35.231009</v>
      </c>
      <c r="AK1486" t="s">
        <v>1120</v>
      </c>
      <c r="AL1486">
        <v>-76.063670999999999</v>
      </c>
      <c r="AM1486">
        <v>25</v>
      </c>
      <c r="AN1486">
        <v>2925</v>
      </c>
      <c r="AO1486" t="s">
        <v>118</v>
      </c>
      <c r="AP1486">
        <v>162</v>
      </c>
      <c r="AQ1486">
        <v>-13</v>
      </c>
      <c r="AR1486">
        <v>-64</v>
      </c>
      <c r="AZ1486">
        <v>4516</v>
      </c>
      <c r="BA1486">
        <v>1</v>
      </c>
      <c r="BB1486" t="str">
        <f t="shared" si="141"/>
        <v xml:space="preserve">N79NX   </v>
      </c>
      <c r="BC1486">
        <v>1</v>
      </c>
      <c r="BE1486">
        <v>0</v>
      </c>
      <c r="BF1486">
        <v>0</v>
      </c>
      <c r="BG1486">
        <v>0</v>
      </c>
      <c r="BH1486">
        <v>2775</v>
      </c>
      <c r="BI1486">
        <v>0</v>
      </c>
      <c r="BJ1486">
        <v>0</v>
      </c>
      <c r="BK1486">
        <v>0</v>
      </c>
      <c r="BL1486">
        <v>0</v>
      </c>
      <c r="BO1486">
        <v>0</v>
      </c>
      <c r="BP1486">
        <v>0</v>
      </c>
      <c r="BW1486" t="str">
        <f>"18:46:17.242"</f>
        <v>18:46:17.242</v>
      </c>
      <c r="BZ1486">
        <v>0</v>
      </c>
      <c r="CA1486">
        <v>3008</v>
      </c>
      <c r="CB1486">
        <v>216</v>
      </c>
      <c r="CC1486">
        <v>503.4375</v>
      </c>
      <c r="CD1486">
        <v>1</v>
      </c>
      <c r="CE1486">
        <v>1</v>
      </c>
      <c r="CF1486">
        <v>0</v>
      </c>
      <c r="CG1486">
        <v>1</v>
      </c>
      <c r="CH1486">
        <v>0</v>
      </c>
      <c r="CI1486">
        <v>0</v>
      </c>
      <c r="CJ1486">
        <v>0</v>
      </c>
      <c r="CK1486">
        <v>2</v>
      </c>
      <c r="CL1486">
        <v>0</v>
      </c>
      <c r="CM1486">
        <v>2</v>
      </c>
      <c r="CN1486">
        <v>0</v>
      </c>
      <c r="CO1486">
        <v>3</v>
      </c>
      <c r="CP1486" t="s">
        <v>119</v>
      </c>
      <c r="CQ1486">
        <v>145</v>
      </c>
      <c r="CR1486">
        <v>1</v>
      </c>
      <c r="CW1486">
        <v>9158608</v>
      </c>
      <c r="CY1486">
        <v>0</v>
      </c>
      <c r="CZ1486">
        <v>0</v>
      </c>
      <c r="DA1486">
        <v>0</v>
      </c>
      <c r="DB1486">
        <v>0</v>
      </c>
      <c r="DC1486">
        <v>0</v>
      </c>
      <c r="DD1486">
        <v>0</v>
      </c>
      <c r="DE1486">
        <v>0</v>
      </c>
      <c r="DF1486">
        <v>0</v>
      </c>
      <c r="DG1486">
        <v>0</v>
      </c>
      <c r="DH1486">
        <v>0</v>
      </c>
      <c r="DI1486">
        <v>0</v>
      </c>
    </row>
    <row r="1487" spans="1:113" x14ac:dyDescent="0.3">
      <c r="A1487" t="str">
        <f>"02/13/2022 18:46:17.521"</f>
        <v>02/13/2022 18:46:17.521</v>
      </c>
      <c r="C1487" t="str">
        <f t="shared" si="137"/>
        <v>FFDFD7C0</v>
      </c>
      <c r="D1487" t="s">
        <v>113</v>
      </c>
      <c r="E1487">
        <v>3</v>
      </c>
      <c r="F1487">
        <v>1003</v>
      </c>
      <c r="G1487" t="s">
        <v>114</v>
      </c>
      <c r="J1487" t="s">
        <v>115</v>
      </c>
      <c r="K1487">
        <v>0</v>
      </c>
      <c r="L1487">
        <v>3</v>
      </c>
      <c r="M1487">
        <v>0</v>
      </c>
      <c r="N1487">
        <v>2</v>
      </c>
      <c r="O1487">
        <v>1</v>
      </c>
      <c r="P1487">
        <v>0</v>
      </c>
      <c r="Q1487">
        <v>0</v>
      </c>
      <c r="S1487" t="str">
        <f>"18:46:17.242"</f>
        <v>18:46:17.242</v>
      </c>
      <c r="T1487" t="str">
        <f>"18:46:17.042"</f>
        <v>18:46:17.042</v>
      </c>
      <c r="U1487" t="str">
        <f t="shared" si="140"/>
        <v>AAB6EE</v>
      </c>
      <c r="V1487">
        <v>0</v>
      </c>
      <c r="W1487">
        <v>0</v>
      </c>
      <c r="X1487">
        <v>4</v>
      </c>
      <c r="Z1487">
        <v>0</v>
      </c>
      <c r="AA1487">
        <v>8</v>
      </c>
      <c r="AB1487">
        <v>3</v>
      </c>
      <c r="AC1487">
        <v>0</v>
      </c>
      <c r="AD1487">
        <v>10</v>
      </c>
      <c r="AE1487">
        <v>0</v>
      </c>
      <c r="AF1487">
        <v>0</v>
      </c>
      <c r="AG1487">
        <v>1</v>
      </c>
      <c r="AH1487">
        <v>1</v>
      </c>
      <c r="AI1487" t="s">
        <v>1111</v>
      </c>
      <c r="AJ1487">
        <v>35.231009</v>
      </c>
      <c r="AK1487" t="s">
        <v>1120</v>
      </c>
      <c r="AL1487">
        <v>-76.063670999999999</v>
      </c>
      <c r="AM1487">
        <v>25</v>
      </c>
      <c r="AN1487">
        <v>2925</v>
      </c>
      <c r="AO1487" t="s">
        <v>118</v>
      </c>
      <c r="AP1487">
        <v>162</v>
      </c>
      <c r="AQ1487">
        <v>-13</v>
      </c>
      <c r="AR1487">
        <v>-64</v>
      </c>
      <c r="AZ1487">
        <v>4516</v>
      </c>
      <c r="BA1487">
        <v>1</v>
      </c>
      <c r="BB1487" t="str">
        <f t="shared" si="141"/>
        <v xml:space="preserve">N79NX   </v>
      </c>
      <c r="BC1487">
        <v>1</v>
      </c>
      <c r="BE1487">
        <v>0</v>
      </c>
      <c r="BF1487">
        <v>0</v>
      </c>
      <c r="BG1487">
        <v>0</v>
      </c>
      <c r="BH1487">
        <v>2775</v>
      </c>
      <c r="BI1487">
        <v>0</v>
      </c>
      <c r="BJ1487">
        <v>0</v>
      </c>
      <c r="BK1487">
        <v>0</v>
      </c>
      <c r="BL1487">
        <v>0</v>
      </c>
      <c r="BO1487">
        <v>0</v>
      </c>
      <c r="BP1487">
        <v>0</v>
      </c>
      <c r="BW1487" t="str">
        <f>"18:46:17.242"</f>
        <v>18:46:17.242</v>
      </c>
      <c r="BZ1487">
        <v>0</v>
      </c>
      <c r="CA1487">
        <v>3008</v>
      </c>
      <c r="CB1487">
        <v>216</v>
      </c>
      <c r="CC1487">
        <v>503.4375</v>
      </c>
      <c r="CD1487">
        <v>1</v>
      </c>
      <c r="CE1487">
        <v>1</v>
      </c>
      <c r="CF1487">
        <v>0</v>
      </c>
      <c r="CG1487">
        <v>1</v>
      </c>
      <c r="CH1487">
        <v>0</v>
      </c>
      <c r="CI1487">
        <v>0</v>
      </c>
      <c r="CJ1487">
        <v>0</v>
      </c>
      <c r="CK1487">
        <v>2</v>
      </c>
      <c r="CL1487">
        <v>0</v>
      </c>
      <c r="CM1487">
        <v>2</v>
      </c>
      <c r="CN1487">
        <v>0</v>
      </c>
      <c r="CO1487">
        <v>3</v>
      </c>
      <c r="CP1487" t="s">
        <v>119</v>
      </c>
      <c r="CQ1487">
        <v>145</v>
      </c>
      <c r="CR1487">
        <v>1</v>
      </c>
      <c r="CW1487">
        <v>9158608</v>
      </c>
      <c r="CY1487">
        <v>0</v>
      </c>
      <c r="CZ1487">
        <v>0</v>
      </c>
      <c r="DA1487">
        <v>1</v>
      </c>
      <c r="DB1487">
        <v>0</v>
      </c>
      <c r="DC1487">
        <v>0</v>
      </c>
      <c r="DD1487">
        <v>0</v>
      </c>
      <c r="DE1487">
        <v>0</v>
      </c>
      <c r="DF1487">
        <v>0</v>
      </c>
      <c r="DG1487">
        <v>0</v>
      </c>
      <c r="DH1487">
        <v>0</v>
      </c>
      <c r="DI1487">
        <v>0</v>
      </c>
    </row>
    <row r="1488" spans="1:113" x14ac:dyDescent="0.3">
      <c r="A1488" t="str">
        <f>"02/13/2022 18:46:17.521"</f>
        <v>02/13/2022 18:46:17.521</v>
      </c>
      <c r="C1488" t="str">
        <f t="shared" si="137"/>
        <v>FFDFD7C0</v>
      </c>
      <c r="D1488" t="s">
        <v>113</v>
      </c>
      <c r="E1488">
        <v>4</v>
      </c>
      <c r="F1488">
        <v>1004</v>
      </c>
      <c r="G1488" t="s">
        <v>120</v>
      </c>
      <c r="J1488" t="s">
        <v>115</v>
      </c>
      <c r="K1488">
        <v>0</v>
      </c>
      <c r="L1488">
        <v>3</v>
      </c>
      <c r="M1488">
        <v>0</v>
      </c>
      <c r="N1488">
        <v>2</v>
      </c>
      <c r="O1488">
        <v>1</v>
      </c>
      <c r="P1488">
        <v>0</v>
      </c>
      <c r="Q1488">
        <v>0</v>
      </c>
      <c r="S1488" t="str">
        <f>"18:46:17.242"</f>
        <v>18:46:17.242</v>
      </c>
      <c r="T1488" t="str">
        <f>"18:46:17.042"</f>
        <v>18:46:17.042</v>
      </c>
      <c r="U1488" t="str">
        <f t="shared" si="140"/>
        <v>AAB6EE</v>
      </c>
      <c r="V1488">
        <v>0</v>
      </c>
      <c r="W1488">
        <v>0</v>
      </c>
      <c r="X1488">
        <v>4</v>
      </c>
      <c r="Z1488">
        <v>0</v>
      </c>
      <c r="AA1488">
        <v>8</v>
      </c>
      <c r="AB1488">
        <v>3</v>
      </c>
      <c r="AC1488">
        <v>0</v>
      </c>
      <c r="AD1488">
        <v>10</v>
      </c>
      <c r="AE1488">
        <v>0</v>
      </c>
      <c r="AF1488">
        <v>0</v>
      </c>
      <c r="AG1488">
        <v>1</v>
      </c>
      <c r="AH1488">
        <v>1</v>
      </c>
      <c r="AI1488" t="s">
        <v>1111</v>
      </c>
      <c r="AJ1488">
        <v>35.231009</v>
      </c>
      <c r="AK1488" t="s">
        <v>1120</v>
      </c>
      <c r="AL1488">
        <v>-76.063670999999999</v>
      </c>
      <c r="AM1488">
        <v>25</v>
      </c>
      <c r="AN1488">
        <v>2925</v>
      </c>
      <c r="AO1488" t="s">
        <v>118</v>
      </c>
      <c r="AP1488">
        <v>162</v>
      </c>
      <c r="AQ1488">
        <v>-13</v>
      </c>
      <c r="AR1488">
        <v>-64</v>
      </c>
      <c r="AZ1488">
        <v>4516</v>
      </c>
      <c r="BA1488">
        <v>1</v>
      </c>
      <c r="BB1488" t="str">
        <f t="shared" si="141"/>
        <v xml:space="preserve">N79NX   </v>
      </c>
      <c r="BC1488">
        <v>1</v>
      </c>
      <c r="BE1488">
        <v>0</v>
      </c>
      <c r="BF1488">
        <v>0</v>
      </c>
      <c r="BG1488">
        <v>0</v>
      </c>
      <c r="BH1488">
        <v>2775</v>
      </c>
      <c r="BI1488">
        <v>0</v>
      </c>
      <c r="BJ1488">
        <v>0</v>
      </c>
      <c r="BK1488">
        <v>0</v>
      </c>
      <c r="BL1488">
        <v>0</v>
      </c>
      <c r="BO1488">
        <v>0</v>
      </c>
      <c r="BP1488">
        <v>0</v>
      </c>
      <c r="BW1488" t="str">
        <f>"18:46:17.242"</f>
        <v>18:46:17.242</v>
      </c>
      <c r="BZ1488">
        <v>0</v>
      </c>
      <c r="CA1488">
        <v>3008</v>
      </c>
      <c r="CB1488">
        <v>216</v>
      </c>
      <c r="CC1488">
        <v>503.4375</v>
      </c>
      <c r="CD1488">
        <v>1</v>
      </c>
      <c r="CE1488">
        <v>1</v>
      </c>
      <c r="CF1488">
        <v>0</v>
      </c>
      <c r="CG1488">
        <v>1</v>
      </c>
      <c r="CH1488">
        <v>0</v>
      </c>
      <c r="CI1488">
        <v>0</v>
      </c>
      <c r="CJ1488">
        <v>0</v>
      </c>
      <c r="CK1488">
        <v>2</v>
      </c>
      <c r="CL1488">
        <v>0</v>
      </c>
      <c r="CM1488">
        <v>2</v>
      </c>
      <c r="CN1488">
        <v>0</v>
      </c>
      <c r="CO1488">
        <v>3</v>
      </c>
      <c r="CP1488" t="s">
        <v>119</v>
      </c>
      <c r="CQ1488">
        <v>145</v>
      </c>
      <c r="CR1488">
        <v>1</v>
      </c>
      <c r="CW1488">
        <v>9158608</v>
      </c>
      <c r="CY1488">
        <v>0</v>
      </c>
      <c r="CZ1488">
        <v>0</v>
      </c>
      <c r="DA1488">
        <v>1</v>
      </c>
      <c r="DB1488">
        <v>0</v>
      </c>
      <c r="DC1488">
        <v>0</v>
      </c>
      <c r="DD1488">
        <v>0</v>
      </c>
      <c r="DE1488">
        <v>0</v>
      </c>
      <c r="DF1488">
        <v>0</v>
      </c>
      <c r="DG1488">
        <v>0</v>
      </c>
      <c r="DH1488">
        <v>0</v>
      </c>
      <c r="DI1488">
        <v>0</v>
      </c>
    </row>
    <row r="1489" spans="1:113" x14ac:dyDescent="0.3">
      <c r="A1489" t="str">
        <f>"02/13/2022 18:46:18.397"</f>
        <v>02/13/2022 18:46:18.397</v>
      </c>
      <c r="C1489" t="str">
        <f t="shared" si="137"/>
        <v>FFDFD7C0</v>
      </c>
      <c r="D1489" t="s">
        <v>121</v>
      </c>
      <c r="E1489">
        <v>2</v>
      </c>
      <c r="H1489">
        <v>158</v>
      </c>
      <c r="I1489" t="s">
        <v>120</v>
      </c>
      <c r="J1489" t="s">
        <v>122</v>
      </c>
      <c r="K1489">
        <v>0</v>
      </c>
      <c r="L1489">
        <v>3</v>
      </c>
      <c r="M1489">
        <v>0</v>
      </c>
      <c r="N1489">
        <v>2</v>
      </c>
      <c r="O1489">
        <v>1</v>
      </c>
      <c r="P1489">
        <v>0</v>
      </c>
      <c r="Q1489">
        <v>0</v>
      </c>
      <c r="S1489" t="str">
        <f>"18:46:18.180"</f>
        <v>18:46:18.180</v>
      </c>
      <c r="T1489" t="str">
        <f>"18:46:18.080"</f>
        <v>18:46:18.080</v>
      </c>
      <c r="U1489" t="str">
        <f t="shared" si="140"/>
        <v>AAB6EE</v>
      </c>
      <c r="V1489">
        <v>0</v>
      </c>
      <c r="W1489">
        <v>0</v>
      </c>
      <c r="X1489">
        <v>4</v>
      </c>
      <c r="Z1489">
        <v>0</v>
      </c>
      <c r="AA1489">
        <v>8</v>
      </c>
      <c r="AB1489">
        <v>3</v>
      </c>
      <c r="AC1489">
        <v>0</v>
      </c>
      <c r="AD1489">
        <v>10</v>
      </c>
      <c r="AE1489">
        <v>0</v>
      </c>
      <c r="AF1489">
        <v>0</v>
      </c>
      <c r="AG1489">
        <v>1</v>
      </c>
      <c r="AH1489">
        <v>1</v>
      </c>
      <c r="AI1489" t="s">
        <v>1121</v>
      </c>
      <c r="AJ1489">
        <v>35.230901000000003</v>
      </c>
      <c r="AK1489" t="s">
        <v>1122</v>
      </c>
      <c r="AL1489">
        <v>-76.062877</v>
      </c>
      <c r="AM1489">
        <v>25</v>
      </c>
      <c r="AN1489">
        <v>2925</v>
      </c>
      <c r="AO1489" t="s">
        <v>118</v>
      </c>
      <c r="AP1489">
        <v>161</v>
      </c>
      <c r="AQ1489">
        <v>-21</v>
      </c>
      <c r="AR1489">
        <v>-128</v>
      </c>
      <c r="AZ1489">
        <v>4516</v>
      </c>
      <c r="BA1489">
        <v>1</v>
      </c>
      <c r="BB1489" t="str">
        <f t="shared" si="141"/>
        <v xml:space="preserve">N79NX   </v>
      </c>
      <c r="BC1489">
        <v>1</v>
      </c>
      <c r="BE1489">
        <v>0</v>
      </c>
      <c r="BF1489">
        <v>0</v>
      </c>
      <c r="BG1489">
        <v>0</v>
      </c>
      <c r="BH1489">
        <v>2775</v>
      </c>
      <c r="BI1489">
        <v>0</v>
      </c>
      <c r="BJ1489">
        <v>0</v>
      </c>
      <c r="BK1489">
        <v>0</v>
      </c>
      <c r="BL1489">
        <v>0</v>
      </c>
      <c r="BO1489">
        <v>0</v>
      </c>
      <c r="BP1489">
        <v>0</v>
      </c>
      <c r="BW1489" t="str">
        <f>"18:46:18.182"</f>
        <v>18:46:18.182</v>
      </c>
      <c r="BZ1489">
        <v>0</v>
      </c>
      <c r="CA1489">
        <v>3008</v>
      </c>
      <c r="CB1489">
        <v>216</v>
      </c>
      <c r="CC1489">
        <v>503.4375</v>
      </c>
      <c r="CD1489">
        <v>1</v>
      </c>
      <c r="CE1489">
        <v>1</v>
      </c>
      <c r="CF1489">
        <v>0</v>
      </c>
      <c r="CG1489">
        <v>1</v>
      </c>
      <c r="CH1489">
        <v>0</v>
      </c>
      <c r="CI1489">
        <v>0</v>
      </c>
      <c r="CJ1489">
        <v>0</v>
      </c>
      <c r="CK1489">
        <v>2</v>
      </c>
      <c r="CL1489">
        <v>0</v>
      </c>
      <c r="CM1489">
        <v>2</v>
      </c>
      <c r="CN1489">
        <v>0</v>
      </c>
      <c r="CO1489">
        <v>2</v>
      </c>
      <c r="CP1489" t="s">
        <v>119</v>
      </c>
      <c r="CQ1489">
        <v>145</v>
      </c>
      <c r="CR1489">
        <v>1</v>
      </c>
      <c r="CW1489">
        <v>9159056</v>
      </c>
      <c r="CY1489">
        <v>0</v>
      </c>
      <c r="CZ1489">
        <v>0</v>
      </c>
      <c r="DA1489">
        <v>0</v>
      </c>
      <c r="DB1489">
        <v>0</v>
      </c>
      <c r="DC1489">
        <v>0</v>
      </c>
      <c r="DD1489">
        <v>0</v>
      </c>
      <c r="DE1489">
        <v>0</v>
      </c>
      <c r="DF1489">
        <v>0</v>
      </c>
      <c r="DG1489">
        <v>0</v>
      </c>
      <c r="DH1489">
        <v>0</v>
      </c>
      <c r="DI1489">
        <v>0</v>
      </c>
    </row>
    <row r="1490" spans="1:113" x14ac:dyDescent="0.3">
      <c r="A1490" t="str">
        <f>"02/13/2022 18:46:18.428"</f>
        <v>02/13/2022 18:46:18.428</v>
      </c>
      <c r="C1490" t="str">
        <f t="shared" si="137"/>
        <v>FFDFD7C0</v>
      </c>
      <c r="D1490" t="s">
        <v>113</v>
      </c>
      <c r="E1490">
        <v>3</v>
      </c>
      <c r="F1490">
        <v>1003</v>
      </c>
      <c r="G1490" t="s">
        <v>114</v>
      </c>
      <c r="J1490" t="s">
        <v>115</v>
      </c>
      <c r="K1490">
        <v>0</v>
      </c>
      <c r="L1490">
        <v>3</v>
      </c>
      <c r="M1490">
        <v>0</v>
      </c>
      <c r="N1490">
        <v>2</v>
      </c>
      <c r="O1490">
        <v>1</v>
      </c>
      <c r="P1490">
        <v>0</v>
      </c>
      <c r="Q1490">
        <v>0</v>
      </c>
      <c r="S1490" t="str">
        <f>"18:46:18.180"</f>
        <v>18:46:18.180</v>
      </c>
      <c r="T1490" t="str">
        <f>"18:46:18.080"</f>
        <v>18:46:18.080</v>
      </c>
      <c r="U1490" t="str">
        <f t="shared" si="140"/>
        <v>AAB6EE</v>
      </c>
      <c r="V1490">
        <v>0</v>
      </c>
      <c r="W1490">
        <v>0</v>
      </c>
      <c r="X1490">
        <v>4</v>
      </c>
      <c r="Z1490">
        <v>0</v>
      </c>
      <c r="AA1490">
        <v>8</v>
      </c>
      <c r="AB1490">
        <v>3</v>
      </c>
      <c r="AC1490">
        <v>0</v>
      </c>
      <c r="AD1490">
        <v>10</v>
      </c>
      <c r="AE1490">
        <v>0</v>
      </c>
      <c r="AF1490">
        <v>0</v>
      </c>
      <c r="AG1490">
        <v>1</v>
      </c>
      <c r="AH1490">
        <v>1</v>
      </c>
      <c r="AI1490" t="s">
        <v>1121</v>
      </c>
      <c r="AJ1490">
        <v>35.230901000000003</v>
      </c>
      <c r="AK1490" t="s">
        <v>1122</v>
      </c>
      <c r="AL1490">
        <v>-76.062877</v>
      </c>
      <c r="AM1490">
        <v>25</v>
      </c>
      <c r="AN1490">
        <v>2925</v>
      </c>
      <c r="AO1490" t="s">
        <v>118</v>
      </c>
      <c r="AP1490">
        <v>161</v>
      </c>
      <c r="AQ1490">
        <v>-21</v>
      </c>
      <c r="AR1490">
        <v>-128</v>
      </c>
      <c r="AZ1490">
        <v>4516</v>
      </c>
      <c r="BA1490">
        <v>1</v>
      </c>
      <c r="BB1490" t="str">
        <f t="shared" si="141"/>
        <v xml:space="preserve">N79NX   </v>
      </c>
      <c r="BC1490">
        <v>1</v>
      </c>
      <c r="BE1490">
        <v>0</v>
      </c>
      <c r="BF1490">
        <v>0</v>
      </c>
      <c r="BG1490">
        <v>0</v>
      </c>
      <c r="BH1490">
        <v>2775</v>
      </c>
      <c r="BI1490">
        <v>0</v>
      </c>
      <c r="BJ1490">
        <v>0</v>
      </c>
      <c r="BK1490">
        <v>0</v>
      </c>
      <c r="BL1490">
        <v>0</v>
      </c>
      <c r="BO1490">
        <v>0</v>
      </c>
      <c r="BP1490">
        <v>0</v>
      </c>
      <c r="BW1490" t="str">
        <f>"18:46:18.182"</f>
        <v>18:46:18.182</v>
      </c>
      <c r="BZ1490">
        <v>0</v>
      </c>
      <c r="CA1490">
        <v>3008</v>
      </c>
      <c r="CB1490">
        <v>216</v>
      </c>
      <c r="CC1490">
        <v>503.4375</v>
      </c>
      <c r="CD1490">
        <v>1</v>
      </c>
      <c r="CE1490">
        <v>1</v>
      </c>
      <c r="CF1490">
        <v>0</v>
      </c>
      <c r="CG1490">
        <v>1</v>
      </c>
      <c r="CH1490">
        <v>0</v>
      </c>
      <c r="CI1490">
        <v>0</v>
      </c>
      <c r="CJ1490">
        <v>0</v>
      </c>
      <c r="CK1490">
        <v>2</v>
      </c>
      <c r="CL1490">
        <v>0</v>
      </c>
      <c r="CM1490">
        <v>2</v>
      </c>
      <c r="CN1490">
        <v>0</v>
      </c>
      <c r="CO1490">
        <v>2</v>
      </c>
      <c r="CP1490" t="s">
        <v>119</v>
      </c>
      <c r="CQ1490">
        <v>145</v>
      </c>
      <c r="CR1490">
        <v>1</v>
      </c>
      <c r="CW1490">
        <v>9159056</v>
      </c>
      <c r="CY1490">
        <v>0</v>
      </c>
      <c r="CZ1490">
        <v>0</v>
      </c>
      <c r="DA1490">
        <v>1</v>
      </c>
      <c r="DB1490">
        <v>0</v>
      </c>
      <c r="DC1490">
        <v>0</v>
      </c>
      <c r="DD1490">
        <v>0</v>
      </c>
      <c r="DE1490">
        <v>0</v>
      </c>
      <c r="DF1490">
        <v>0</v>
      </c>
      <c r="DG1490">
        <v>0</v>
      </c>
      <c r="DH1490">
        <v>0</v>
      </c>
      <c r="DI1490">
        <v>0</v>
      </c>
    </row>
    <row r="1491" spans="1:113" x14ac:dyDescent="0.3">
      <c r="A1491" t="str">
        <f>"02/13/2022 18:46:18.428"</f>
        <v>02/13/2022 18:46:18.428</v>
      </c>
      <c r="C1491" t="str">
        <f t="shared" si="137"/>
        <v>FFDFD7C0</v>
      </c>
      <c r="D1491" t="s">
        <v>113</v>
      </c>
      <c r="E1491">
        <v>4</v>
      </c>
      <c r="F1491">
        <v>1004</v>
      </c>
      <c r="G1491" t="s">
        <v>120</v>
      </c>
      <c r="J1491" t="s">
        <v>115</v>
      </c>
      <c r="K1491">
        <v>0</v>
      </c>
      <c r="L1491">
        <v>3</v>
      </c>
      <c r="M1491">
        <v>0</v>
      </c>
      <c r="N1491">
        <v>2</v>
      </c>
      <c r="O1491">
        <v>1</v>
      </c>
      <c r="P1491">
        <v>0</v>
      </c>
      <c r="Q1491">
        <v>0</v>
      </c>
      <c r="S1491" t="str">
        <f>"18:46:18.180"</f>
        <v>18:46:18.180</v>
      </c>
      <c r="T1491" t="str">
        <f>"18:46:18.080"</f>
        <v>18:46:18.080</v>
      </c>
      <c r="U1491" t="str">
        <f t="shared" si="140"/>
        <v>AAB6EE</v>
      </c>
      <c r="V1491">
        <v>0</v>
      </c>
      <c r="W1491">
        <v>0</v>
      </c>
      <c r="X1491">
        <v>4</v>
      </c>
      <c r="Z1491">
        <v>0</v>
      </c>
      <c r="AA1491">
        <v>8</v>
      </c>
      <c r="AB1491">
        <v>3</v>
      </c>
      <c r="AC1491">
        <v>0</v>
      </c>
      <c r="AD1491">
        <v>10</v>
      </c>
      <c r="AE1491">
        <v>0</v>
      </c>
      <c r="AF1491">
        <v>0</v>
      </c>
      <c r="AG1491">
        <v>1</v>
      </c>
      <c r="AH1491">
        <v>1</v>
      </c>
      <c r="AI1491" t="s">
        <v>1121</v>
      </c>
      <c r="AJ1491">
        <v>35.230901000000003</v>
      </c>
      <c r="AK1491" t="s">
        <v>1122</v>
      </c>
      <c r="AL1491">
        <v>-76.062877</v>
      </c>
      <c r="AM1491">
        <v>25</v>
      </c>
      <c r="AN1491">
        <v>2925</v>
      </c>
      <c r="AO1491" t="s">
        <v>118</v>
      </c>
      <c r="AP1491">
        <v>161</v>
      </c>
      <c r="AQ1491">
        <v>-21</v>
      </c>
      <c r="AR1491">
        <v>-128</v>
      </c>
      <c r="AZ1491">
        <v>4516</v>
      </c>
      <c r="BA1491">
        <v>1</v>
      </c>
      <c r="BB1491" t="str">
        <f t="shared" si="141"/>
        <v xml:space="preserve">N79NX   </v>
      </c>
      <c r="BC1491">
        <v>1</v>
      </c>
      <c r="BE1491">
        <v>0</v>
      </c>
      <c r="BF1491">
        <v>0</v>
      </c>
      <c r="BG1491">
        <v>0</v>
      </c>
      <c r="BH1491">
        <v>2775</v>
      </c>
      <c r="BI1491">
        <v>0</v>
      </c>
      <c r="BJ1491">
        <v>0</v>
      </c>
      <c r="BK1491">
        <v>0</v>
      </c>
      <c r="BL1491">
        <v>0</v>
      </c>
      <c r="BO1491">
        <v>0</v>
      </c>
      <c r="BP1491">
        <v>0</v>
      </c>
      <c r="BW1491" t="str">
        <f>"18:46:18.182"</f>
        <v>18:46:18.182</v>
      </c>
      <c r="BZ1491">
        <v>0</v>
      </c>
      <c r="CA1491">
        <v>3008</v>
      </c>
      <c r="CB1491">
        <v>216</v>
      </c>
      <c r="CC1491">
        <v>503.4375</v>
      </c>
      <c r="CD1491">
        <v>1</v>
      </c>
      <c r="CE1491">
        <v>1</v>
      </c>
      <c r="CF1491">
        <v>0</v>
      </c>
      <c r="CG1491">
        <v>1</v>
      </c>
      <c r="CH1491">
        <v>0</v>
      </c>
      <c r="CI1491">
        <v>0</v>
      </c>
      <c r="CJ1491">
        <v>0</v>
      </c>
      <c r="CK1491">
        <v>2</v>
      </c>
      <c r="CL1491">
        <v>0</v>
      </c>
      <c r="CM1491">
        <v>2</v>
      </c>
      <c r="CN1491">
        <v>0</v>
      </c>
      <c r="CO1491">
        <v>2</v>
      </c>
      <c r="CP1491" t="s">
        <v>119</v>
      </c>
      <c r="CQ1491">
        <v>145</v>
      </c>
      <c r="CR1491">
        <v>1</v>
      </c>
      <c r="CW1491">
        <v>9159056</v>
      </c>
      <c r="CY1491">
        <v>0</v>
      </c>
      <c r="CZ1491">
        <v>0</v>
      </c>
      <c r="DA1491">
        <v>1</v>
      </c>
      <c r="DB1491">
        <v>0</v>
      </c>
      <c r="DC1491">
        <v>0</v>
      </c>
      <c r="DD1491">
        <v>0</v>
      </c>
      <c r="DE1491">
        <v>0</v>
      </c>
      <c r="DF1491">
        <v>0</v>
      </c>
      <c r="DG1491">
        <v>0</v>
      </c>
      <c r="DH1491">
        <v>0</v>
      </c>
      <c r="DI1491">
        <v>0</v>
      </c>
    </row>
    <row r="1492" spans="1:113" x14ac:dyDescent="0.3">
      <c r="A1492" t="str">
        <f>"02/13/2022 18:46:19.193"</f>
        <v>02/13/2022 18:46:19.193</v>
      </c>
      <c r="C1492" t="str">
        <f t="shared" si="137"/>
        <v>FFDFD7C0</v>
      </c>
      <c r="D1492" t="s">
        <v>121</v>
      </c>
      <c r="E1492">
        <v>2</v>
      </c>
      <c r="H1492">
        <v>158</v>
      </c>
      <c r="I1492" t="s">
        <v>120</v>
      </c>
      <c r="J1492" t="s">
        <v>122</v>
      </c>
      <c r="K1492">
        <v>0</v>
      </c>
      <c r="L1492">
        <v>3</v>
      </c>
      <c r="M1492">
        <v>0</v>
      </c>
      <c r="N1492">
        <v>2</v>
      </c>
      <c r="O1492">
        <v>1</v>
      </c>
      <c r="P1492">
        <v>0</v>
      </c>
      <c r="Q1492">
        <v>0</v>
      </c>
      <c r="S1492" t="str">
        <f>"18:46:19.008"</f>
        <v>18:46:19.008</v>
      </c>
      <c r="T1492" t="str">
        <f>"18:46:18.108"</f>
        <v>18:46:18.108</v>
      </c>
      <c r="U1492" t="str">
        <f t="shared" si="140"/>
        <v>AAB6EE</v>
      </c>
      <c r="V1492">
        <v>0</v>
      </c>
      <c r="W1492">
        <v>0</v>
      </c>
      <c r="X1492">
        <v>4</v>
      </c>
      <c r="Z1492">
        <v>0</v>
      </c>
      <c r="AA1492">
        <v>8</v>
      </c>
      <c r="AB1492">
        <v>3</v>
      </c>
      <c r="AC1492">
        <v>0</v>
      </c>
      <c r="AD1492">
        <v>10</v>
      </c>
      <c r="AE1492">
        <v>0</v>
      </c>
      <c r="AF1492">
        <v>0</v>
      </c>
      <c r="AG1492">
        <v>1</v>
      </c>
      <c r="AH1492">
        <v>1</v>
      </c>
      <c r="AI1492" t="s">
        <v>1123</v>
      </c>
      <c r="AJ1492">
        <v>35.230837000000001</v>
      </c>
      <c r="AK1492" t="s">
        <v>1124</v>
      </c>
      <c r="AL1492">
        <v>-76.062039999999996</v>
      </c>
      <c r="AM1492">
        <v>25</v>
      </c>
      <c r="AN1492">
        <v>2925</v>
      </c>
      <c r="AO1492" t="s">
        <v>118</v>
      </c>
      <c r="AP1492">
        <v>161</v>
      </c>
      <c r="AQ1492">
        <v>-21</v>
      </c>
      <c r="AR1492">
        <v>-128</v>
      </c>
      <c r="AZ1492">
        <v>4516</v>
      </c>
      <c r="BA1492">
        <v>1</v>
      </c>
      <c r="BB1492" t="str">
        <f t="shared" si="141"/>
        <v xml:space="preserve">N79NX   </v>
      </c>
      <c r="BC1492">
        <v>1</v>
      </c>
      <c r="BE1492">
        <v>0</v>
      </c>
      <c r="BF1492">
        <v>0</v>
      </c>
      <c r="BG1492">
        <v>0</v>
      </c>
      <c r="BH1492">
        <v>2775</v>
      </c>
      <c r="BI1492">
        <v>0</v>
      </c>
      <c r="BJ1492">
        <v>0</v>
      </c>
      <c r="BK1492">
        <v>0</v>
      </c>
      <c r="BL1492">
        <v>0</v>
      </c>
      <c r="BO1492">
        <v>0</v>
      </c>
      <c r="BP1492">
        <v>0</v>
      </c>
      <c r="BW1492" t="str">
        <f>"18:46:19.012"</f>
        <v>18:46:19.012</v>
      </c>
      <c r="BZ1492">
        <v>0</v>
      </c>
      <c r="CA1492">
        <v>3008</v>
      </c>
      <c r="CB1492">
        <v>216</v>
      </c>
      <c r="CC1492">
        <v>506.25</v>
      </c>
      <c r="CD1492">
        <v>1</v>
      </c>
      <c r="CE1492">
        <v>1</v>
      </c>
      <c r="CF1492">
        <v>0</v>
      </c>
      <c r="CG1492">
        <v>1</v>
      </c>
      <c r="CH1492">
        <v>0</v>
      </c>
      <c r="CI1492">
        <v>0</v>
      </c>
      <c r="CJ1492">
        <v>0</v>
      </c>
      <c r="CK1492">
        <v>2</v>
      </c>
      <c r="CL1492">
        <v>0</v>
      </c>
      <c r="CM1492">
        <v>2</v>
      </c>
      <c r="CN1492">
        <v>0</v>
      </c>
      <c r="CO1492">
        <v>2</v>
      </c>
      <c r="CP1492" t="s">
        <v>119</v>
      </c>
      <c r="CQ1492">
        <v>145</v>
      </c>
      <c r="CR1492">
        <v>1</v>
      </c>
      <c r="CW1492">
        <v>9159503</v>
      </c>
      <c r="CY1492">
        <v>0</v>
      </c>
      <c r="CZ1492">
        <v>0</v>
      </c>
      <c r="DA1492">
        <v>0</v>
      </c>
      <c r="DB1492">
        <v>0</v>
      </c>
      <c r="DC1492">
        <v>0</v>
      </c>
      <c r="DD1492">
        <v>0</v>
      </c>
      <c r="DE1492">
        <v>0</v>
      </c>
      <c r="DF1492">
        <v>0</v>
      </c>
      <c r="DG1492">
        <v>0</v>
      </c>
      <c r="DH1492">
        <v>0</v>
      </c>
      <c r="DI1492">
        <v>0</v>
      </c>
    </row>
    <row r="1493" spans="1:113" x14ac:dyDescent="0.3">
      <c r="A1493" t="str">
        <f>"02/13/2022 18:46:19.225"</f>
        <v>02/13/2022 18:46:19.225</v>
      </c>
      <c r="C1493" t="str">
        <f t="shared" si="137"/>
        <v>FFDFD7C0</v>
      </c>
      <c r="D1493" t="s">
        <v>113</v>
      </c>
      <c r="E1493">
        <v>3</v>
      </c>
      <c r="F1493">
        <v>1003</v>
      </c>
      <c r="G1493" t="s">
        <v>114</v>
      </c>
      <c r="J1493" t="s">
        <v>115</v>
      </c>
      <c r="K1493">
        <v>0</v>
      </c>
      <c r="L1493">
        <v>3</v>
      </c>
      <c r="M1493">
        <v>0</v>
      </c>
      <c r="N1493">
        <v>2</v>
      </c>
      <c r="O1493">
        <v>1</v>
      </c>
      <c r="P1493">
        <v>0</v>
      </c>
      <c r="Q1493">
        <v>0</v>
      </c>
      <c r="S1493" t="str">
        <f>"18:46:19.008"</f>
        <v>18:46:19.008</v>
      </c>
      <c r="T1493" t="str">
        <f>"18:46:18.108"</f>
        <v>18:46:18.108</v>
      </c>
      <c r="U1493" t="str">
        <f t="shared" si="140"/>
        <v>AAB6EE</v>
      </c>
      <c r="V1493">
        <v>0</v>
      </c>
      <c r="W1493">
        <v>0</v>
      </c>
      <c r="X1493">
        <v>4</v>
      </c>
      <c r="Z1493">
        <v>0</v>
      </c>
      <c r="AA1493">
        <v>8</v>
      </c>
      <c r="AB1493">
        <v>3</v>
      </c>
      <c r="AC1493">
        <v>0</v>
      </c>
      <c r="AD1493">
        <v>10</v>
      </c>
      <c r="AE1493">
        <v>0</v>
      </c>
      <c r="AF1493">
        <v>0</v>
      </c>
      <c r="AG1493">
        <v>1</v>
      </c>
      <c r="AH1493">
        <v>1</v>
      </c>
      <c r="AI1493" t="s">
        <v>1123</v>
      </c>
      <c r="AJ1493">
        <v>35.230837000000001</v>
      </c>
      <c r="AK1493" t="s">
        <v>1124</v>
      </c>
      <c r="AL1493">
        <v>-76.062039999999996</v>
      </c>
      <c r="AM1493">
        <v>25</v>
      </c>
      <c r="AN1493">
        <v>2925</v>
      </c>
      <c r="AO1493" t="s">
        <v>118</v>
      </c>
      <c r="AP1493">
        <v>161</v>
      </c>
      <c r="AQ1493">
        <v>-21</v>
      </c>
      <c r="AR1493">
        <v>-128</v>
      </c>
      <c r="AZ1493">
        <v>4516</v>
      </c>
      <c r="BA1493">
        <v>1</v>
      </c>
      <c r="BB1493" t="str">
        <f t="shared" si="141"/>
        <v xml:space="preserve">N79NX   </v>
      </c>
      <c r="BC1493">
        <v>1</v>
      </c>
      <c r="BE1493">
        <v>0</v>
      </c>
      <c r="BF1493">
        <v>0</v>
      </c>
      <c r="BG1493">
        <v>0</v>
      </c>
      <c r="BH1493">
        <v>2775</v>
      </c>
      <c r="BI1493">
        <v>0</v>
      </c>
      <c r="BJ1493">
        <v>0</v>
      </c>
      <c r="BK1493">
        <v>0</v>
      </c>
      <c r="BL1493">
        <v>0</v>
      </c>
      <c r="BO1493">
        <v>0</v>
      </c>
      <c r="BP1493">
        <v>0</v>
      </c>
      <c r="BW1493" t="str">
        <f>"18:46:19.012"</f>
        <v>18:46:19.012</v>
      </c>
      <c r="BZ1493">
        <v>0</v>
      </c>
      <c r="CA1493">
        <v>3008</v>
      </c>
      <c r="CB1493">
        <v>216</v>
      </c>
      <c r="CC1493">
        <v>506.25</v>
      </c>
      <c r="CD1493">
        <v>1</v>
      </c>
      <c r="CE1493">
        <v>1</v>
      </c>
      <c r="CF1493">
        <v>0</v>
      </c>
      <c r="CG1493">
        <v>1</v>
      </c>
      <c r="CH1493">
        <v>0</v>
      </c>
      <c r="CI1493">
        <v>0</v>
      </c>
      <c r="CJ1493">
        <v>0</v>
      </c>
      <c r="CK1493">
        <v>2</v>
      </c>
      <c r="CL1493">
        <v>0</v>
      </c>
      <c r="CM1493">
        <v>2</v>
      </c>
      <c r="CN1493">
        <v>0</v>
      </c>
      <c r="CO1493">
        <v>2</v>
      </c>
      <c r="CP1493" t="s">
        <v>119</v>
      </c>
      <c r="CQ1493">
        <v>145</v>
      </c>
      <c r="CR1493">
        <v>1</v>
      </c>
      <c r="CW1493">
        <v>9159503</v>
      </c>
      <c r="CY1493">
        <v>0</v>
      </c>
      <c r="CZ1493">
        <v>0</v>
      </c>
      <c r="DA1493">
        <v>1</v>
      </c>
      <c r="DB1493">
        <v>0</v>
      </c>
      <c r="DC1493">
        <v>0</v>
      </c>
      <c r="DD1493">
        <v>0</v>
      </c>
      <c r="DE1493">
        <v>0</v>
      </c>
      <c r="DF1493">
        <v>0</v>
      </c>
      <c r="DG1493">
        <v>0</v>
      </c>
      <c r="DH1493">
        <v>0</v>
      </c>
      <c r="DI1493">
        <v>0</v>
      </c>
    </row>
    <row r="1494" spans="1:113" x14ac:dyDescent="0.3">
      <c r="A1494" t="str">
        <f>"02/13/2022 18:46:19.225"</f>
        <v>02/13/2022 18:46:19.225</v>
      </c>
      <c r="C1494" t="str">
        <f t="shared" si="137"/>
        <v>FFDFD7C0</v>
      </c>
      <c r="D1494" t="s">
        <v>113</v>
      </c>
      <c r="E1494">
        <v>4</v>
      </c>
      <c r="F1494">
        <v>1004</v>
      </c>
      <c r="G1494" t="s">
        <v>120</v>
      </c>
      <c r="J1494" t="s">
        <v>115</v>
      </c>
      <c r="K1494">
        <v>0</v>
      </c>
      <c r="L1494">
        <v>3</v>
      </c>
      <c r="M1494">
        <v>0</v>
      </c>
      <c r="N1494">
        <v>2</v>
      </c>
      <c r="O1494">
        <v>1</v>
      </c>
      <c r="P1494">
        <v>0</v>
      </c>
      <c r="Q1494">
        <v>0</v>
      </c>
      <c r="S1494" t="str">
        <f>"18:46:19.008"</f>
        <v>18:46:19.008</v>
      </c>
      <c r="T1494" t="str">
        <f>"18:46:18.108"</f>
        <v>18:46:18.108</v>
      </c>
      <c r="U1494" t="str">
        <f t="shared" si="140"/>
        <v>AAB6EE</v>
      </c>
      <c r="V1494">
        <v>0</v>
      </c>
      <c r="W1494">
        <v>0</v>
      </c>
      <c r="X1494">
        <v>4</v>
      </c>
      <c r="Z1494">
        <v>0</v>
      </c>
      <c r="AA1494">
        <v>8</v>
      </c>
      <c r="AB1494">
        <v>3</v>
      </c>
      <c r="AC1494">
        <v>0</v>
      </c>
      <c r="AD1494">
        <v>10</v>
      </c>
      <c r="AE1494">
        <v>0</v>
      </c>
      <c r="AF1494">
        <v>0</v>
      </c>
      <c r="AG1494">
        <v>1</v>
      </c>
      <c r="AH1494">
        <v>1</v>
      </c>
      <c r="AI1494" t="s">
        <v>1123</v>
      </c>
      <c r="AJ1494">
        <v>35.230837000000001</v>
      </c>
      <c r="AK1494" t="s">
        <v>1124</v>
      </c>
      <c r="AL1494">
        <v>-76.062039999999996</v>
      </c>
      <c r="AM1494">
        <v>25</v>
      </c>
      <c r="AN1494">
        <v>2925</v>
      </c>
      <c r="AO1494" t="s">
        <v>118</v>
      </c>
      <c r="AP1494">
        <v>161</v>
      </c>
      <c r="AQ1494">
        <v>-21</v>
      </c>
      <c r="AR1494">
        <v>-128</v>
      </c>
      <c r="AZ1494">
        <v>4516</v>
      </c>
      <c r="BA1494">
        <v>1</v>
      </c>
      <c r="BB1494" t="str">
        <f t="shared" si="141"/>
        <v xml:space="preserve">N79NX   </v>
      </c>
      <c r="BC1494">
        <v>1</v>
      </c>
      <c r="BE1494">
        <v>0</v>
      </c>
      <c r="BF1494">
        <v>0</v>
      </c>
      <c r="BG1494">
        <v>0</v>
      </c>
      <c r="BH1494">
        <v>2775</v>
      </c>
      <c r="BI1494">
        <v>0</v>
      </c>
      <c r="BJ1494">
        <v>0</v>
      </c>
      <c r="BK1494">
        <v>0</v>
      </c>
      <c r="BL1494">
        <v>0</v>
      </c>
      <c r="BO1494">
        <v>0</v>
      </c>
      <c r="BP1494">
        <v>0</v>
      </c>
      <c r="BW1494" t="str">
        <f>"18:46:19.012"</f>
        <v>18:46:19.012</v>
      </c>
      <c r="BZ1494">
        <v>0</v>
      </c>
      <c r="CA1494">
        <v>3008</v>
      </c>
      <c r="CB1494">
        <v>216</v>
      </c>
      <c r="CC1494">
        <v>506.25</v>
      </c>
      <c r="CD1494">
        <v>1</v>
      </c>
      <c r="CE1494">
        <v>1</v>
      </c>
      <c r="CF1494">
        <v>0</v>
      </c>
      <c r="CG1494">
        <v>1</v>
      </c>
      <c r="CH1494">
        <v>0</v>
      </c>
      <c r="CI1494">
        <v>0</v>
      </c>
      <c r="CJ1494">
        <v>0</v>
      </c>
      <c r="CK1494">
        <v>2</v>
      </c>
      <c r="CL1494">
        <v>0</v>
      </c>
      <c r="CM1494">
        <v>2</v>
      </c>
      <c r="CN1494">
        <v>0</v>
      </c>
      <c r="CO1494">
        <v>2</v>
      </c>
      <c r="CP1494" t="s">
        <v>119</v>
      </c>
      <c r="CQ1494">
        <v>145</v>
      </c>
      <c r="CR1494">
        <v>1</v>
      </c>
      <c r="CW1494">
        <v>9159503</v>
      </c>
      <c r="CY1494">
        <v>0</v>
      </c>
      <c r="CZ1494">
        <v>0</v>
      </c>
      <c r="DA1494">
        <v>1</v>
      </c>
      <c r="DB1494">
        <v>0</v>
      </c>
      <c r="DC1494">
        <v>0</v>
      </c>
      <c r="DD1494">
        <v>0</v>
      </c>
      <c r="DE1494">
        <v>0</v>
      </c>
      <c r="DF1494">
        <v>0</v>
      </c>
      <c r="DG1494">
        <v>0</v>
      </c>
      <c r="DH1494">
        <v>0</v>
      </c>
      <c r="DI1494">
        <v>0</v>
      </c>
    </row>
    <row r="1495" spans="1:113" x14ac:dyDescent="0.3">
      <c r="A1495" t="str">
        <f>"02/13/2022 18:46:21.400"</f>
        <v>02/13/2022 18:46:21.400</v>
      </c>
      <c r="C1495" t="str">
        <f t="shared" si="137"/>
        <v>FFDFD7C0</v>
      </c>
      <c r="D1495" t="s">
        <v>121</v>
      </c>
      <c r="E1495">
        <v>2</v>
      </c>
      <c r="H1495">
        <v>158</v>
      </c>
      <c r="I1495" t="s">
        <v>120</v>
      </c>
      <c r="J1495" t="s">
        <v>122</v>
      </c>
      <c r="K1495">
        <v>0</v>
      </c>
      <c r="L1495">
        <v>3</v>
      </c>
      <c r="M1495">
        <v>0</v>
      </c>
      <c r="N1495">
        <v>2</v>
      </c>
      <c r="O1495">
        <v>1</v>
      </c>
      <c r="P1495">
        <v>0</v>
      </c>
      <c r="Q1495">
        <v>0</v>
      </c>
      <c r="S1495" t="str">
        <f>"18:46:21.141"</f>
        <v>18:46:21.141</v>
      </c>
      <c r="T1495" t="str">
        <f>"18:46:20.941"</f>
        <v>18:46:20.941</v>
      </c>
      <c r="U1495" t="str">
        <f t="shared" si="140"/>
        <v>AAB6EE</v>
      </c>
      <c r="V1495">
        <v>0</v>
      </c>
      <c r="W1495">
        <v>0</v>
      </c>
      <c r="X1495">
        <v>4</v>
      </c>
      <c r="Z1495">
        <v>0</v>
      </c>
      <c r="AA1495">
        <v>8</v>
      </c>
      <c r="AB1495">
        <v>3</v>
      </c>
      <c r="AC1495">
        <v>0</v>
      </c>
      <c r="AD1495">
        <v>10</v>
      </c>
      <c r="AE1495">
        <v>0</v>
      </c>
      <c r="AF1495">
        <v>0</v>
      </c>
      <c r="AG1495">
        <v>1</v>
      </c>
      <c r="AH1495">
        <v>1</v>
      </c>
      <c r="AI1495" t="s">
        <v>1125</v>
      </c>
      <c r="AJ1495">
        <v>35.230451000000002</v>
      </c>
      <c r="AK1495" t="s">
        <v>1126</v>
      </c>
      <c r="AL1495">
        <v>-76.060174000000004</v>
      </c>
      <c r="AM1495">
        <v>25</v>
      </c>
      <c r="AN1495">
        <v>2925</v>
      </c>
      <c r="AO1495" t="s">
        <v>118</v>
      </c>
      <c r="AP1495">
        <v>155</v>
      </c>
      <c r="AQ1495">
        <v>-45</v>
      </c>
      <c r="AR1495">
        <v>128</v>
      </c>
      <c r="AZ1495">
        <v>4516</v>
      </c>
      <c r="BA1495">
        <v>1</v>
      </c>
      <c r="BB1495" t="str">
        <f t="shared" si="141"/>
        <v xml:space="preserve">N79NX   </v>
      </c>
      <c r="BC1495">
        <v>1</v>
      </c>
      <c r="BE1495">
        <v>0</v>
      </c>
      <c r="BF1495">
        <v>0</v>
      </c>
      <c r="BG1495">
        <v>0</v>
      </c>
      <c r="BH1495">
        <v>2800</v>
      </c>
      <c r="BI1495">
        <v>0</v>
      </c>
      <c r="BJ1495">
        <v>0</v>
      </c>
      <c r="BK1495">
        <v>0</v>
      </c>
      <c r="BL1495">
        <v>0</v>
      </c>
      <c r="BO1495">
        <v>0</v>
      </c>
      <c r="BP1495">
        <v>0</v>
      </c>
      <c r="BW1495" t="str">
        <f>"18:46:21.142"</f>
        <v>18:46:21.142</v>
      </c>
      <c r="BZ1495">
        <v>0</v>
      </c>
      <c r="CA1495">
        <v>3008</v>
      </c>
      <c r="CB1495">
        <v>216</v>
      </c>
      <c r="CC1495">
        <v>506.25</v>
      </c>
      <c r="CD1495">
        <v>1</v>
      </c>
      <c r="CE1495">
        <v>1</v>
      </c>
      <c r="CF1495">
        <v>0</v>
      </c>
      <c r="CG1495">
        <v>1</v>
      </c>
      <c r="CH1495">
        <v>0</v>
      </c>
      <c r="CI1495">
        <v>0</v>
      </c>
      <c r="CJ1495">
        <v>0</v>
      </c>
      <c r="CK1495">
        <v>2</v>
      </c>
      <c r="CL1495">
        <v>0</v>
      </c>
      <c r="CM1495">
        <v>2</v>
      </c>
      <c r="CN1495">
        <v>0</v>
      </c>
      <c r="CO1495">
        <v>2</v>
      </c>
      <c r="CP1495" t="s">
        <v>119</v>
      </c>
      <c r="CQ1495">
        <v>145</v>
      </c>
      <c r="CR1495">
        <v>1</v>
      </c>
      <c r="CW1495">
        <v>9160655</v>
      </c>
      <c r="CY1495">
        <v>0</v>
      </c>
      <c r="CZ1495">
        <v>0</v>
      </c>
      <c r="DA1495">
        <v>0</v>
      </c>
      <c r="DB1495">
        <v>0</v>
      </c>
      <c r="DC1495">
        <v>0</v>
      </c>
      <c r="DD1495">
        <v>0</v>
      </c>
      <c r="DE1495">
        <v>0</v>
      </c>
      <c r="DF1495">
        <v>0</v>
      </c>
      <c r="DG1495">
        <v>0</v>
      </c>
      <c r="DH1495">
        <v>0</v>
      </c>
      <c r="DI1495">
        <v>0</v>
      </c>
    </row>
    <row r="1496" spans="1:113" x14ac:dyDescent="0.3">
      <c r="A1496" t="str">
        <f>"02/13/2022 18:46:21.400"</f>
        <v>02/13/2022 18:46:21.400</v>
      </c>
      <c r="C1496" t="str">
        <f t="shared" si="137"/>
        <v>FFDFD7C0</v>
      </c>
      <c r="D1496" t="s">
        <v>113</v>
      </c>
      <c r="E1496">
        <v>3</v>
      </c>
      <c r="F1496">
        <v>1003</v>
      </c>
      <c r="G1496" t="s">
        <v>114</v>
      </c>
      <c r="J1496" t="s">
        <v>115</v>
      </c>
      <c r="K1496">
        <v>0</v>
      </c>
      <c r="L1496">
        <v>3</v>
      </c>
      <c r="M1496">
        <v>0</v>
      </c>
      <c r="N1496">
        <v>2</v>
      </c>
      <c r="O1496">
        <v>1</v>
      </c>
      <c r="P1496">
        <v>0</v>
      </c>
      <c r="Q1496">
        <v>0</v>
      </c>
      <c r="S1496" t="str">
        <f>"18:46:21.141"</f>
        <v>18:46:21.141</v>
      </c>
      <c r="T1496" t="str">
        <f>"18:46:20.941"</f>
        <v>18:46:20.941</v>
      </c>
      <c r="U1496" t="str">
        <f t="shared" si="140"/>
        <v>AAB6EE</v>
      </c>
      <c r="V1496">
        <v>0</v>
      </c>
      <c r="W1496">
        <v>0</v>
      </c>
      <c r="X1496">
        <v>4</v>
      </c>
      <c r="Z1496">
        <v>0</v>
      </c>
      <c r="AA1496">
        <v>8</v>
      </c>
      <c r="AB1496">
        <v>3</v>
      </c>
      <c r="AC1496">
        <v>0</v>
      </c>
      <c r="AD1496">
        <v>10</v>
      </c>
      <c r="AE1496">
        <v>0</v>
      </c>
      <c r="AF1496">
        <v>0</v>
      </c>
      <c r="AG1496">
        <v>1</v>
      </c>
      <c r="AH1496">
        <v>1</v>
      </c>
      <c r="AI1496" t="s">
        <v>1125</v>
      </c>
      <c r="AJ1496">
        <v>35.230451000000002</v>
      </c>
      <c r="AK1496" t="s">
        <v>1126</v>
      </c>
      <c r="AL1496">
        <v>-76.060174000000004</v>
      </c>
      <c r="AM1496">
        <v>25</v>
      </c>
      <c r="AN1496">
        <v>2925</v>
      </c>
      <c r="AO1496" t="s">
        <v>118</v>
      </c>
      <c r="AP1496">
        <v>155</v>
      </c>
      <c r="AQ1496">
        <v>-45</v>
      </c>
      <c r="AR1496">
        <v>128</v>
      </c>
      <c r="AZ1496">
        <v>4516</v>
      </c>
      <c r="BA1496">
        <v>1</v>
      </c>
      <c r="BB1496" t="str">
        <f t="shared" si="141"/>
        <v xml:space="preserve">N79NX   </v>
      </c>
      <c r="BC1496">
        <v>1</v>
      </c>
      <c r="BE1496">
        <v>0</v>
      </c>
      <c r="BF1496">
        <v>0</v>
      </c>
      <c r="BG1496">
        <v>0</v>
      </c>
      <c r="BH1496">
        <v>2800</v>
      </c>
      <c r="BI1496">
        <v>0</v>
      </c>
      <c r="BJ1496">
        <v>0</v>
      </c>
      <c r="BK1496">
        <v>0</v>
      </c>
      <c r="BL1496">
        <v>0</v>
      </c>
      <c r="BO1496">
        <v>0</v>
      </c>
      <c r="BP1496">
        <v>0</v>
      </c>
      <c r="BW1496" t="str">
        <f>"18:46:21.142"</f>
        <v>18:46:21.142</v>
      </c>
      <c r="BZ1496">
        <v>0</v>
      </c>
      <c r="CA1496">
        <v>3008</v>
      </c>
      <c r="CB1496">
        <v>216</v>
      </c>
      <c r="CC1496">
        <v>506.25</v>
      </c>
      <c r="CD1496">
        <v>1</v>
      </c>
      <c r="CE1496">
        <v>1</v>
      </c>
      <c r="CF1496">
        <v>0</v>
      </c>
      <c r="CG1496">
        <v>1</v>
      </c>
      <c r="CH1496">
        <v>0</v>
      </c>
      <c r="CI1496">
        <v>0</v>
      </c>
      <c r="CJ1496">
        <v>0</v>
      </c>
      <c r="CK1496">
        <v>2</v>
      </c>
      <c r="CL1496">
        <v>0</v>
      </c>
      <c r="CM1496">
        <v>2</v>
      </c>
      <c r="CN1496">
        <v>0</v>
      </c>
      <c r="CO1496">
        <v>2</v>
      </c>
      <c r="CP1496" t="s">
        <v>119</v>
      </c>
      <c r="CQ1496">
        <v>145</v>
      </c>
      <c r="CR1496">
        <v>1</v>
      </c>
      <c r="CW1496">
        <v>9160655</v>
      </c>
      <c r="CY1496">
        <v>0</v>
      </c>
      <c r="CZ1496">
        <v>0</v>
      </c>
      <c r="DA1496">
        <v>1</v>
      </c>
      <c r="DB1496">
        <v>0</v>
      </c>
      <c r="DC1496">
        <v>0</v>
      </c>
      <c r="DD1496">
        <v>0</v>
      </c>
      <c r="DE1496">
        <v>0</v>
      </c>
      <c r="DF1496">
        <v>0</v>
      </c>
      <c r="DG1496">
        <v>0</v>
      </c>
      <c r="DH1496">
        <v>0</v>
      </c>
      <c r="DI1496">
        <v>0</v>
      </c>
    </row>
    <row r="1497" spans="1:113" x14ac:dyDescent="0.3">
      <c r="A1497" t="str">
        <f>"02/13/2022 18:46:21.400"</f>
        <v>02/13/2022 18:46:21.400</v>
      </c>
      <c r="C1497" t="str">
        <f t="shared" si="137"/>
        <v>FFDFD7C0</v>
      </c>
      <c r="D1497" t="s">
        <v>113</v>
      </c>
      <c r="E1497">
        <v>4</v>
      </c>
      <c r="F1497">
        <v>1004</v>
      </c>
      <c r="G1497" t="s">
        <v>120</v>
      </c>
      <c r="J1497" t="s">
        <v>115</v>
      </c>
      <c r="K1497">
        <v>0</v>
      </c>
      <c r="L1497">
        <v>3</v>
      </c>
      <c r="M1497">
        <v>0</v>
      </c>
      <c r="N1497">
        <v>2</v>
      </c>
      <c r="O1497">
        <v>1</v>
      </c>
      <c r="P1497">
        <v>0</v>
      </c>
      <c r="Q1497">
        <v>0</v>
      </c>
      <c r="S1497" t="str">
        <f>"18:46:21.141"</f>
        <v>18:46:21.141</v>
      </c>
      <c r="T1497" t="str">
        <f>"18:46:20.941"</f>
        <v>18:46:20.941</v>
      </c>
      <c r="U1497" t="str">
        <f t="shared" si="140"/>
        <v>AAB6EE</v>
      </c>
      <c r="V1497">
        <v>0</v>
      </c>
      <c r="W1497">
        <v>0</v>
      </c>
      <c r="X1497">
        <v>4</v>
      </c>
      <c r="Z1497">
        <v>0</v>
      </c>
      <c r="AA1497">
        <v>8</v>
      </c>
      <c r="AB1497">
        <v>3</v>
      </c>
      <c r="AC1497">
        <v>0</v>
      </c>
      <c r="AD1497">
        <v>10</v>
      </c>
      <c r="AE1497">
        <v>0</v>
      </c>
      <c r="AF1497">
        <v>0</v>
      </c>
      <c r="AG1497">
        <v>1</v>
      </c>
      <c r="AH1497">
        <v>1</v>
      </c>
      <c r="AI1497" t="s">
        <v>1125</v>
      </c>
      <c r="AJ1497">
        <v>35.230451000000002</v>
      </c>
      <c r="AK1497" t="s">
        <v>1126</v>
      </c>
      <c r="AL1497">
        <v>-76.060174000000004</v>
      </c>
      <c r="AM1497">
        <v>25</v>
      </c>
      <c r="AN1497">
        <v>2925</v>
      </c>
      <c r="AO1497" t="s">
        <v>118</v>
      </c>
      <c r="AP1497">
        <v>155</v>
      </c>
      <c r="AQ1497">
        <v>-45</v>
      </c>
      <c r="AR1497">
        <v>128</v>
      </c>
      <c r="AZ1497">
        <v>4516</v>
      </c>
      <c r="BA1497">
        <v>1</v>
      </c>
      <c r="BB1497" t="str">
        <f t="shared" si="141"/>
        <v xml:space="preserve">N79NX   </v>
      </c>
      <c r="BC1497">
        <v>1</v>
      </c>
      <c r="BE1497">
        <v>0</v>
      </c>
      <c r="BF1497">
        <v>0</v>
      </c>
      <c r="BG1497">
        <v>0</v>
      </c>
      <c r="BH1497">
        <v>2800</v>
      </c>
      <c r="BI1497">
        <v>0</v>
      </c>
      <c r="BJ1497">
        <v>0</v>
      </c>
      <c r="BK1497">
        <v>0</v>
      </c>
      <c r="BL1497">
        <v>0</v>
      </c>
      <c r="BO1497">
        <v>0</v>
      </c>
      <c r="BP1497">
        <v>0</v>
      </c>
      <c r="BW1497" t="str">
        <f>"18:46:21.142"</f>
        <v>18:46:21.142</v>
      </c>
      <c r="BZ1497">
        <v>0</v>
      </c>
      <c r="CA1497">
        <v>3008</v>
      </c>
      <c r="CB1497">
        <v>216</v>
      </c>
      <c r="CC1497">
        <v>506.25</v>
      </c>
      <c r="CD1497">
        <v>1</v>
      </c>
      <c r="CE1497">
        <v>1</v>
      </c>
      <c r="CF1497">
        <v>0</v>
      </c>
      <c r="CG1497">
        <v>1</v>
      </c>
      <c r="CH1497">
        <v>0</v>
      </c>
      <c r="CI1497">
        <v>0</v>
      </c>
      <c r="CJ1497">
        <v>0</v>
      </c>
      <c r="CK1497">
        <v>2</v>
      </c>
      <c r="CL1497">
        <v>0</v>
      </c>
      <c r="CM1497">
        <v>2</v>
      </c>
      <c r="CN1497">
        <v>0</v>
      </c>
      <c r="CO1497">
        <v>2</v>
      </c>
      <c r="CP1497" t="s">
        <v>119</v>
      </c>
      <c r="CQ1497">
        <v>145</v>
      </c>
      <c r="CR1497">
        <v>1</v>
      </c>
      <c r="CW1497">
        <v>9160655</v>
      </c>
      <c r="CY1497">
        <v>0</v>
      </c>
      <c r="CZ1497">
        <v>0</v>
      </c>
      <c r="DA1497">
        <v>1</v>
      </c>
      <c r="DB1497">
        <v>0</v>
      </c>
      <c r="DC1497">
        <v>0</v>
      </c>
      <c r="DD1497">
        <v>0</v>
      </c>
      <c r="DE1497">
        <v>0</v>
      </c>
      <c r="DF1497">
        <v>0</v>
      </c>
      <c r="DG1497">
        <v>0</v>
      </c>
      <c r="DH1497">
        <v>0</v>
      </c>
      <c r="DI1497">
        <v>0</v>
      </c>
    </row>
    <row r="1498" spans="1:113" x14ac:dyDescent="0.3">
      <c r="A1498" t="str">
        <f>"02/13/2022 18:46:22.525"</f>
        <v>02/13/2022 18:46:22.525</v>
      </c>
      <c r="C1498" t="str">
        <f t="shared" si="137"/>
        <v>FFDFD7C0</v>
      </c>
      <c r="D1498" t="s">
        <v>113</v>
      </c>
      <c r="E1498">
        <v>4</v>
      </c>
      <c r="F1498">
        <v>1004</v>
      </c>
      <c r="G1498" t="s">
        <v>120</v>
      </c>
      <c r="J1498" t="s">
        <v>115</v>
      </c>
      <c r="K1498">
        <v>0</v>
      </c>
      <c r="L1498">
        <v>3</v>
      </c>
      <c r="M1498">
        <v>0</v>
      </c>
      <c r="N1498">
        <v>2</v>
      </c>
      <c r="O1498">
        <v>1</v>
      </c>
      <c r="P1498">
        <v>0</v>
      </c>
      <c r="Q1498">
        <v>0</v>
      </c>
      <c r="S1498" t="str">
        <f>"18:46:22.258"</f>
        <v>18:46:22.258</v>
      </c>
      <c r="T1498" t="str">
        <f>"18:46:21.958"</f>
        <v>18:46:21.958</v>
      </c>
      <c r="U1498" t="str">
        <f t="shared" si="140"/>
        <v>AAB6EE</v>
      </c>
      <c r="V1498">
        <v>0</v>
      </c>
      <c r="W1498">
        <v>0</v>
      </c>
      <c r="X1498">
        <v>4</v>
      </c>
      <c r="Z1498">
        <v>0</v>
      </c>
      <c r="AA1498">
        <v>8</v>
      </c>
      <c r="AB1498">
        <v>3</v>
      </c>
      <c r="AC1498">
        <v>0</v>
      </c>
      <c r="AD1498">
        <v>10</v>
      </c>
      <c r="AE1498">
        <v>0</v>
      </c>
      <c r="AF1498">
        <v>0</v>
      </c>
      <c r="AG1498">
        <v>1</v>
      </c>
      <c r="AH1498">
        <v>1</v>
      </c>
      <c r="AI1498" t="s">
        <v>1089</v>
      </c>
      <c r="AJ1498">
        <v>35.230172000000003</v>
      </c>
      <c r="AK1498" t="s">
        <v>1127</v>
      </c>
      <c r="AL1498">
        <v>-76.059229000000002</v>
      </c>
      <c r="AM1498">
        <v>25</v>
      </c>
      <c r="AN1498">
        <v>2925</v>
      </c>
      <c r="AO1498" t="s">
        <v>118</v>
      </c>
      <c r="AP1498">
        <v>151</v>
      </c>
      <c r="AQ1498">
        <v>-53</v>
      </c>
      <c r="AR1498">
        <v>256</v>
      </c>
      <c r="AZ1498">
        <v>4516</v>
      </c>
      <c r="BA1498">
        <v>1</v>
      </c>
      <c r="BB1498" t="str">
        <f t="shared" si="141"/>
        <v xml:space="preserve">N79NX   </v>
      </c>
      <c r="BC1498">
        <v>1</v>
      </c>
      <c r="BE1498">
        <v>0</v>
      </c>
      <c r="BF1498">
        <v>0</v>
      </c>
      <c r="BG1498">
        <v>0</v>
      </c>
      <c r="BH1498">
        <v>2800</v>
      </c>
      <c r="BI1498">
        <v>0</v>
      </c>
      <c r="BJ1498">
        <v>0</v>
      </c>
      <c r="BK1498">
        <v>0</v>
      </c>
      <c r="BL1498">
        <v>0</v>
      </c>
      <c r="BO1498">
        <v>0</v>
      </c>
      <c r="BP1498">
        <v>0</v>
      </c>
      <c r="BW1498" t="str">
        <f>"18:46:22.262"</f>
        <v>18:46:22.262</v>
      </c>
      <c r="BZ1498">
        <v>0</v>
      </c>
      <c r="CA1498">
        <v>3008</v>
      </c>
      <c r="CB1498">
        <v>216</v>
      </c>
      <c r="CC1498">
        <v>506.25</v>
      </c>
      <c r="CD1498">
        <v>1</v>
      </c>
      <c r="CE1498">
        <v>1</v>
      </c>
      <c r="CF1498">
        <v>0</v>
      </c>
      <c r="CG1498">
        <v>1</v>
      </c>
      <c r="CH1498">
        <v>0</v>
      </c>
      <c r="CI1498">
        <v>0</v>
      </c>
      <c r="CJ1498">
        <v>0</v>
      </c>
      <c r="CK1498">
        <v>2</v>
      </c>
      <c r="CL1498">
        <v>0</v>
      </c>
      <c r="CM1498">
        <v>2</v>
      </c>
      <c r="CN1498">
        <v>0</v>
      </c>
      <c r="CO1498">
        <v>2</v>
      </c>
      <c r="CP1498" t="s">
        <v>119</v>
      </c>
      <c r="CQ1498">
        <v>145</v>
      </c>
      <c r="CR1498">
        <v>1</v>
      </c>
      <c r="CW1498">
        <v>9161218</v>
      </c>
      <c r="CY1498">
        <v>0</v>
      </c>
      <c r="CZ1498">
        <v>0</v>
      </c>
      <c r="DA1498">
        <v>0</v>
      </c>
      <c r="DB1498">
        <v>0</v>
      </c>
      <c r="DC1498">
        <v>0</v>
      </c>
      <c r="DD1498">
        <v>0</v>
      </c>
      <c r="DE1498">
        <v>0</v>
      </c>
      <c r="DF1498">
        <v>0</v>
      </c>
      <c r="DG1498">
        <v>0</v>
      </c>
      <c r="DH1498">
        <v>0</v>
      </c>
      <c r="DI1498">
        <v>0</v>
      </c>
    </row>
    <row r="1499" spans="1:113" x14ac:dyDescent="0.3">
      <c r="A1499" t="str">
        <f>"02/13/2022 18:46:22.525"</f>
        <v>02/13/2022 18:46:22.525</v>
      </c>
      <c r="C1499" t="str">
        <f t="shared" si="137"/>
        <v>FFDFD7C0</v>
      </c>
      <c r="D1499" t="s">
        <v>113</v>
      </c>
      <c r="E1499">
        <v>3</v>
      </c>
      <c r="F1499">
        <v>1003</v>
      </c>
      <c r="G1499" t="s">
        <v>114</v>
      </c>
      <c r="J1499" t="s">
        <v>115</v>
      </c>
      <c r="K1499">
        <v>0</v>
      </c>
      <c r="L1499">
        <v>3</v>
      </c>
      <c r="M1499">
        <v>0</v>
      </c>
      <c r="N1499">
        <v>2</v>
      </c>
      <c r="O1499">
        <v>1</v>
      </c>
      <c r="P1499">
        <v>0</v>
      </c>
      <c r="Q1499">
        <v>0</v>
      </c>
      <c r="S1499" t="str">
        <f>"18:46:22.258"</f>
        <v>18:46:22.258</v>
      </c>
      <c r="T1499" t="str">
        <f>"18:46:21.958"</f>
        <v>18:46:21.958</v>
      </c>
      <c r="U1499" t="str">
        <f t="shared" si="140"/>
        <v>AAB6EE</v>
      </c>
      <c r="V1499">
        <v>0</v>
      </c>
      <c r="W1499">
        <v>0</v>
      </c>
      <c r="X1499">
        <v>4</v>
      </c>
      <c r="Z1499">
        <v>0</v>
      </c>
      <c r="AA1499">
        <v>8</v>
      </c>
      <c r="AB1499">
        <v>3</v>
      </c>
      <c r="AC1499">
        <v>0</v>
      </c>
      <c r="AD1499">
        <v>10</v>
      </c>
      <c r="AE1499">
        <v>0</v>
      </c>
      <c r="AF1499">
        <v>0</v>
      </c>
      <c r="AG1499">
        <v>1</v>
      </c>
      <c r="AH1499">
        <v>1</v>
      </c>
      <c r="AI1499" t="s">
        <v>1089</v>
      </c>
      <c r="AJ1499">
        <v>35.230172000000003</v>
      </c>
      <c r="AK1499" t="s">
        <v>1127</v>
      </c>
      <c r="AL1499">
        <v>-76.059229000000002</v>
      </c>
      <c r="AM1499">
        <v>25</v>
      </c>
      <c r="AN1499">
        <v>2925</v>
      </c>
      <c r="AO1499" t="s">
        <v>118</v>
      </c>
      <c r="AP1499">
        <v>151</v>
      </c>
      <c r="AQ1499">
        <v>-53</v>
      </c>
      <c r="AR1499">
        <v>256</v>
      </c>
      <c r="AZ1499">
        <v>4516</v>
      </c>
      <c r="BA1499">
        <v>1</v>
      </c>
      <c r="BB1499" t="str">
        <f t="shared" si="141"/>
        <v xml:space="preserve">N79NX   </v>
      </c>
      <c r="BC1499">
        <v>1</v>
      </c>
      <c r="BE1499">
        <v>0</v>
      </c>
      <c r="BF1499">
        <v>0</v>
      </c>
      <c r="BG1499">
        <v>0</v>
      </c>
      <c r="BH1499">
        <v>2800</v>
      </c>
      <c r="BI1499">
        <v>0</v>
      </c>
      <c r="BJ1499">
        <v>0</v>
      </c>
      <c r="BK1499">
        <v>0</v>
      </c>
      <c r="BL1499">
        <v>0</v>
      </c>
      <c r="BO1499">
        <v>0</v>
      </c>
      <c r="BP1499">
        <v>0</v>
      </c>
      <c r="BW1499" t="str">
        <f>"18:46:22.262"</f>
        <v>18:46:22.262</v>
      </c>
      <c r="BZ1499">
        <v>0</v>
      </c>
      <c r="CA1499">
        <v>3008</v>
      </c>
      <c r="CB1499">
        <v>216</v>
      </c>
      <c r="CC1499">
        <v>506.25</v>
      </c>
      <c r="CD1499">
        <v>1</v>
      </c>
      <c r="CE1499">
        <v>1</v>
      </c>
      <c r="CF1499">
        <v>0</v>
      </c>
      <c r="CG1499">
        <v>1</v>
      </c>
      <c r="CH1499">
        <v>0</v>
      </c>
      <c r="CI1499">
        <v>0</v>
      </c>
      <c r="CJ1499">
        <v>0</v>
      </c>
      <c r="CK1499">
        <v>2</v>
      </c>
      <c r="CL1499">
        <v>0</v>
      </c>
      <c r="CM1499">
        <v>2</v>
      </c>
      <c r="CN1499">
        <v>0</v>
      </c>
      <c r="CO1499">
        <v>2</v>
      </c>
      <c r="CP1499" t="s">
        <v>119</v>
      </c>
      <c r="CQ1499">
        <v>145</v>
      </c>
      <c r="CR1499">
        <v>1</v>
      </c>
      <c r="CW1499">
        <v>9161218</v>
      </c>
      <c r="CY1499">
        <v>0</v>
      </c>
      <c r="CZ1499">
        <v>0</v>
      </c>
      <c r="DA1499">
        <v>1</v>
      </c>
      <c r="DB1499">
        <v>0</v>
      </c>
      <c r="DC1499">
        <v>0</v>
      </c>
      <c r="DD1499">
        <v>0</v>
      </c>
      <c r="DE1499">
        <v>0</v>
      </c>
      <c r="DF1499">
        <v>0</v>
      </c>
      <c r="DG1499">
        <v>0</v>
      </c>
      <c r="DH1499">
        <v>0</v>
      </c>
      <c r="DI1499">
        <v>0</v>
      </c>
    </row>
    <row r="1500" spans="1:113" x14ac:dyDescent="0.3">
      <c r="A1500" t="str">
        <f>"02/13/2022 18:46:22.525"</f>
        <v>02/13/2022 18:46:22.525</v>
      </c>
      <c r="C1500" t="str">
        <f t="shared" si="137"/>
        <v>FFDFD7C0</v>
      </c>
      <c r="D1500" t="s">
        <v>121</v>
      </c>
      <c r="E1500">
        <v>2</v>
      </c>
      <c r="H1500">
        <v>158</v>
      </c>
      <c r="I1500" t="s">
        <v>120</v>
      </c>
      <c r="J1500" t="s">
        <v>122</v>
      </c>
      <c r="K1500">
        <v>0</v>
      </c>
      <c r="L1500">
        <v>3</v>
      </c>
      <c r="M1500">
        <v>0</v>
      </c>
      <c r="N1500">
        <v>2</v>
      </c>
      <c r="O1500">
        <v>1</v>
      </c>
      <c r="P1500">
        <v>0</v>
      </c>
      <c r="Q1500">
        <v>0</v>
      </c>
      <c r="S1500" t="str">
        <f>"18:46:22.258"</f>
        <v>18:46:22.258</v>
      </c>
      <c r="T1500" t="str">
        <f>"18:46:21.958"</f>
        <v>18:46:21.958</v>
      </c>
      <c r="U1500" t="str">
        <f t="shared" si="140"/>
        <v>AAB6EE</v>
      </c>
      <c r="V1500">
        <v>0</v>
      </c>
      <c r="W1500">
        <v>0</v>
      </c>
      <c r="X1500">
        <v>4</v>
      </c>
      <c r="Z1500">
        <v>0</v>
      </c>
      <c r="AA1500">
        <v>8</v>
      </c>
      <c r="AB1500">
        <v>3</v>
      </c>
      <c r="AC1500">
        <v>0</v>
      </c>
      <c r="AD1500">
        <v>10</v>
      </c>
      <c r="AE1500">
        <v>0</v>
      </c>
      <c r="AF1500">
        <v>0</v>
      </c>
      <c r="AG1500">
        <v>1</v>
      </c>
      <c r="AH1500">
        <v>1</v>
      </c>
      <c r="AI1500" t="s">
        <v>1089</v>
      </c>
      <c r="AJ1500">
        <v>35.230172000000003</v>
      </c>
      <c r="AK1500" t="s">
        <v>1127</v>
      </c>
      <c r="AL1500">
        <v>-76.059229000000002</v>
      </c>
      <c r="AM1500">
        <v>25</v>
      </c>
      <c r="AN1500">
        <v>2925</v>
      </c>
      <c r="AO1500" t="s">
        <v>118</v>
      </c>
      <c r="AP1500">
        <v>151</v>
      </c>
      <c r="AQ1500">
        <v>-53</v>
      </c>
      <c r="AR1500">
        <v>256</v>
      </c>
      <c r="AZ1500">
        <v>4516</v>
      </c>
      <c r="BA1500">
        <v>1</v>
      </c>
      <c r="BB1500" t="str">
        <f t="shared" si="141"/>
        <v xml:space="preserve">N79NX   </v>
      </c>
      <c r="BC1500">
        <v>1</v>
      </c>
      <c r="BE1500">
        <v>0</v>
      </c>
      <c r="BF1500">
        <v>0</v>
      </c>
      <c r="BG1500">
        <v>0</v>
      </c>
      <c r="BH1500">
        <v>2800</v>
      </c>
      <c r="BI1500">
        <v>0</v>
      </c>
      <c r="BJ1500">
        <v>0</v>
      </c>
      <c r="BK1500">
        <v>0</v>
      </c>
      <c r="BL1500">
        <v>0</v>
      </c>
      <c r="BO1500">
        <v>0</v>
      </c>
      <c r="BP1500">
        <v>0</v>
      </c>
      <c r="BW1500" t="str">
        <f>"18:46:22.262"</f>
        <v>18:46:22.262</v>
      </c>
      <c r="BZ1500">
        <v>0</v>
      </c>
      <c r="CA1500">
        <v>3008</v>
      </c>
      <c r="CB1500">
        <v>216</v>
      </c>
      <c r="CC1500">
        <v>506.25</v>
      </c>
      <c r="CD1500">
        <v>1</v>
      </c>
      <c r="CE1500">
        <v>1</v>
      </c>
      <c r="CF1500">
        <v>0</v>
      </c>
      <c r="CG1500">
        <v>1</v>
      </c>
      <c r="CH1500">
        <v>0</v>
      </c>
      <c r="CI1500">
        <v>0</v>
      </c>
      <c r="CJ1500">
        <v>0</v>
      </c>
      <c r="CK1500">
        <v>2</v>
      </c>
      <c r="CL1500">
        <v>0</v>
      </c>
      <c r="CM1500">
        <v>2</v>
      </c>
      <c r="CN1500">
        <v>0</v>
      </c>
      <c r="CO1500">
        <v>2</v>
      </c>
      <c r="CP1500" t="s">
        <v>119</v>
      </c>
      <c r="CQ1500">
        <v>145</v>
      </c>
      <c r="CR1500">
        <v>1</v>
      </c>
      <c r="CW1500">
        <v>9161218</v>
      </c>
      <c r="CY1500">
        <v>0</v>
      </c>
      <c r="CZ1500">
        <v>0</v>
      </c>
      <c r="DA1500">
        <v>1</v>
      </c>
      <c r="DB1500">
        <v>0</v>
      </c>
      <c r="DC1500">
        <v>0</v>
      </c>
      <c r="DD1500">
        <v>0</v>
      </c>
      <c r="DE1500">
        <v>0</v>
      </c>
      <c r="DF1500">
        <v>0</v>
      </c>
      <c r="DG1500">
        <v>0</v>
      </c>
      <c r="DH1500">
        <v>0</v>
      </c>
      <c r="DI1500">
        <v>0</v>
      </c>
    </row>
    <row r="1501" spans="1:113" x14ac:dyDescent="0.3">
      <c r="A1501" t="str">
        <f>"02/13/2022 18:46:23.775"</f>
        <v>02/13/2022 18:46:23.775</v>
      </c>
      <c r="C1501" t="str">
        <f t="shared" si="137"/>
        <v>FFDFD7C0</v>
      </c>
      <c r="D1501" t="s">
        <v>113</v>
      </c>
      <c r="E1501">
        <v>3</v>
      </c>
      <c r="F1501">
        <v>1003</v>
      </c>
      <c r="G1501" t="s">
        <v>114</v>
      </c>
      <c r="J1501" t="s">
        <v>115</v>
      </c>
      <c r="K1501">
        <v>0</v>
      </c>
      <c r="L1501">
        <v>3</v>
      </c>
      <c r="M1501">
        <v>0</v>
      </c>
      <c r="N1501">
        <v>2</v>
      </c>
      <c r="O1501">
        <v>1</v>
      </c>
      <c r="P1501">
        <v>0</v>
      </c>
      <c r="Q1501">
        <v>0</v>
      </c>
      <c r="S1501" t="str">
        <f>"18:46:23.391"</f>
        <v>18:46:23.391</v>
      </c>
      <c r="T1501" t="str">
        <f>"18:46:22.791"</f>
        <v>18:46:22.791</v>
      </c>
      <c r="U1501" t="str">
        <f t="shared" si="140"/>
        <v>AAB6EE</v>
      </c>
      <c r="V1501">
        <v>0</v>
      </c>
      <c r="W1501">
        <v>0</v>
      </c>
      <c r="X1501">
        <v>4</v>
      </c>
      <c r="Z1501">
        <v>0</v>
      </c>
      <c r="AA1501">
        <v>8</v>
      </c>
      <c r="AB1501">
        <v>3</v>
      </c>
      <c r="AC1501">
        <v>0</v>
      </c>
      <c r="AD1501">
        <v>10</v>
      </c>
      <c r="AE1501">
        <v>0</v>
      </c>
      <c r="AF1501">
        <v>0</v>
      </c>
      <c r="AG1501">
        <v>1</v>
      </c>
      <c r="AH1501">
        <v>1</v>
      </c>
      <c r="AI1501" t="s">
        <v>1128</v>
      </c>
      <c r="AJ1501">
        <v>35.229849999999999</v>
      </c>
      <c r="AK1501" t="s">
        <v>1129</v>
      </c>
      <c r="AL1501">
        <v>-76.058350000000004</v>
      </c>
      <c r="AM1501">
        <v>25</v>
      </c>
      <c r="AN1501">
        <v>2925</v>
      </c>
      <c r="AO1501" t="s">
        <v>118</v>
      </c>
      <c r="AP1501">
        <v>148</v>
      </c>
      <c r="AQ1501">
        <v>-60</v>
      </c>
      <c r="AR1501">
        <v>256</v>
      </c>
      <c r="AZ1501">
        <v>4516</v>
      </c>
      <c r="BA1501">
        <v>1</v>
      </c>
      <c r="BB1501" t="str">
        <f t="shared" si="141"/>
        <v xml:space="preserve">N79NX   </v>
      </c>
      <c r="BC1501">
        <v>1</v>
      </c>
      <c r="BE1501">
        <v>0</v>
      </c>
      <c r="BF1501">
        <v>0</v>
      </c>
      <c r="BG1501">
        <v>0</v>
      </c>
      <c r="BH1501">
        <v>2800</v>
      </c>
      <c r="BI1501">
        <v>0</v>
      </c>
      <c r="BJ1501">
        <v>0</v>
      </c>
      <c r="BK1501">
        <v>0</v>
      </c>
      <c r="BL1501">
        <v>0</v>
      </c>
      <c r="BO1501">
        <v>0</v>
      </c>
      <c r="BP1501">
        <v>0</v>
      </c>
      <c r="BW1501" t="str">
        <f>"18:46:23.392"</f>
        <v>18:46:23.392</v>
      </c>
      <c r="BZ1501">
        <v>0</v>
      </c>
      <c r="CA1501">
        <v>3008</v>
      </c>
      <c r="CB1501">
        <v>216</v>
      </c>
      <c r="CC1501">
        <v>506.25</v>
      </c>
      <c r="CD1501">
        <v>1</v>
      </c>
      <c r="CE1501">
        <v>1</v>
      </c>
      <c r="CF1501">
        <v>0</v>
      </c>
      <c r="CG1501">
        <v>1</v>
      </c>
      <c r="CH1501">
        <v>0</v>
      </c>
      <c r="CI1501">
        <v>0</v>
      </c>
      <c r="CJ1501">
        <v>0</v>
      </c>
      <c r="CK1501">
        <v>2</v>
      </c>
      <c r="CL1501">
        <v>0</v>
      </c>
      <c r="CM1501">
        <v>2</v>
      </c>
      <c r="CN1501">
        <v>0</v>
      </c>
      <c r="CO1501">
        <v>2</v>
      </c>
      <c r="CP1501" t="s">
        <v>119</v>
      </c>
      <c r="CQ1501">
        <v>145</v>
      </c>
      <c r="CR1501">
        <v>1</v>
      </c>
      <c r="CW1501">
        <v>9161723</v>
      </c>
      <c r="CY1501">
        <v>0</v>
      </c>
      <c r="CZ1501">
        <v>0</v>
      </c>
      <c r="DA1501">
        <v>0</v>
      </c>
      <c r="DB1501">
        <v>0</v>
      </c>
      <c r="DC1501">
        <v>0</v>
      </c>
      <c r="DD1501">
        <v>0</v>
      </c>
      <c r="DE1501">
        <v>0</v>
      </c>
      <c r="DF1501">
        <v>0</v>
      </c>
      <c r="DG1501">
        <v>0</v>
      </c>
      <c r="DH1501">
        <v>0</v>
      </c>
      <c r="DI1501">
        <v>0</v>
      </c>
    </row>
    <row r="1502" spans="1:113" x14ac:dyDescent="0.3">
      <c r="A1502" t="str">
        <f>"02/13/2022 18:46:23.775"</f>
        <v>02/13/2022 18:46:23.775</v>
      </c>
      <c r="C1502" t="str">
        <f t="shared" si="137"/>
        <v>FFDFD7C0</v>
      </c>
      <c r="D1502" t="s">
        <v>113</v>
      </c>
      <c r="E1502">
        <v>4</v>
      </c>
      <c r="F1502">
        <v>1004</v>
      </c>
      <c r="G1502" t="s">
        <v>120</v>
      </c>
      <c r="J1502" t="s">
        <v>115</v>
      </c>
      <c r="K1502">
        <v>0</v>
      </c>
      <c r="L1502">
        <v>3</v>
      </c>
      <c r="M1502">
        <v>0</v>
      </c>
      <c r="N1502">
        <v>2</v>
      </c>
      <c r="O1502">
        <v>1</v>
      </c>
      <c r="P1502">
        <v>0</v>
      </c>
      <c r="Q1502">
        <v>0</v>
      </c>
      <c r="S1502" t="str">
        <f>"18:46:23.391"</f>
        <v>18:46:23.391</v>
      </c>
      <c r="T1502" t="str">
        <f>"18:46:22.791"</f>
        <v>18:46:22.791</v>
      </c>
      <c r="U1502" t="str">
        <f t="shared" si="140"/>
        <v>AAB6EE</v>
      </c>
      <c r="V1502">
        <v>0</v>
      </c>
      <c r="W1502">
        <v>0</v>
      </c>
      <c r="X1502">
        <v>4</v>
      </c>
      <c r="Z1502">
        <v>0</v>
      </c>
      <c r="AA1502">
        <v>8</v>
      </c>
      <c r="AB1502">
        <v>3</v>
      </c>
      <c r="AC1502">
        <v>0</v>
      </c>
      <c r="AD1502">
        <v>10</v>
      </c>
      <c r="AE1502">
        <v>0</v>
      </c>
      <c r="AF1502">
        <v>0</v>
      </c>
      <c r="AG1502">
        <v>1</v>
      </c>
      <c r="AH1502">
        <v>1</v>
      </c>
      <c r="AI1502" t="s">
        <v>1128</v>
      </c>
      <c r="AJ1502">
        <v>35.229849999999999</v>
      </c>
      <c r="AK1502" t="s">
        <v>1129</v>
      </c>
      <c r="AL1502">
        <v>-76.058350000000004</v>
      </c>
      <c r="AM1502">
        <v>25</v>
      </c>
      <c r="AN1502">
        <v>2925</v>
      </c>
      <c r="AO1502" t="s">
        <v>118</v>
      </c>
      <c r="AP1502">
        <v>148</v>
      </c>
      <c r="AQ1502">
        <v>-60</v>
      </c>
      <c r="AR1502">
        <v>256</v>
      </c>
      <c r="AZ1502">
        <v>4516</v>
      </c>
      <c r="BA1502">
        <v>1</v>
      </c>
      <c r="BB1502" t="str">
        <f t="shared" si="141"/>
        <v xml:space="preserve">N79NX   </v>
      </c>
      <c r="BC1502">
        <v>1</v>
      </c>
      <c r="BE1502">
        <v>0</v>
      </c>
      <c r="BF1502">
        <v>0</v>
      </c>
      <c r="BG1502">
        <v>0</v>
      </c>
      <c r="BH1502">
        <v>2800</v>
      </c>
      <c r="BI1502">
        <v>0</v>
      </c>
      <c r="BJ1502">
        <v>0</v>
      </c>
      <c r="BK1502">
        <v>0</v>
      </c>
      <c r="BL1502">
        <v>0</v>
      </c>
      <c r="BO1502">
        <v>0</v>
      </c>
      <c r="BP1502">
        <v>0</v>
      </c>
      <c r="BW1502" t="str">
        <f>"18:46:23.392"</f>
        <v>18:46:23.392</v>
      </c>
      <c r="BZ1502">
        <v>0</v>
      </c>
      <c r="CA1502">
        <v>3008</v>
      </c>
      <c r="CB1502">
        <v>216</v>
      </c>
      <c r="CC1502">
        <v>506.25</v>
      </c>
      <c r="CD1502">
        <v>1</v>
      </c>
      <c r="CE1502">
        <v>1</v>
      </c>
      <c r="CF1502">
        <v>0</v>
      </c>
      <c r="CG1502">
        <v>1</v>
      </c>
      <c r="CH1502">
        <v>0</v>
      </c>
      <c r="CI1502">
        <v>0</v>
      </c>
      <c r="CJ1502">
        <v>0</v>
      </c>
      <c r="CK1502">
        <v>2</v>
      </c>
      <c r="CL1502">
        <v>0</v>
      </c>
      <c r="CM1502">
        <v>2</v>
      </c>
      <c r="CN1502">
        <v>0</v>
      </c>
      <c r="CO1502">
        <v>2</v>
      </c>
      <c r="CP1502" t="s">
        <v>119</v>
      </c>
      <c r="CQ1502">
        <v>145</v>
      </c>
      <c r="CR1502">
        <v>1</v>
      </c>
      <c r="CW1502">
        <v>9161723</v>
      </c>
      <c r="CY1502">
        <v>0</v>
      </c>
      <c r="CZ1502">
        <v>0</v>
      </c>
      <c r="DA1502">
        <v>1</v>
      </c>
      <c r="DB1502">
        <v>0</v>
      </c>
      <c r="DC1502">
        <v>0</v>
      </c>
      <c r="DD1502">
        <v>0</v>
      </c>
      <c r="DE1502">
        <v>0</v>
      </c>
      <c r="DF1502">
        <v>0</v>
      </c>
      <c r="DG1502">
        <v>0</v>
      </c>
      <c r="DH1502">
        <v>0</v>
      </c>
      <c r="DI1502">
        <v>0</v>
      </c>
    </row>
    <row r="1503" spans="1:113" x14ac:dyDescent="0.3">
      <c r="A1503" t="str">
        <f>"02/13/2022 18:46:23.775"</f>
        <v>02/13/2022 18:46:23.775</v>
      </c>
      <c r="C1503" t="str">
        <f t="shared" si="137"/>
        <v>FFDFD7C0</v>
      </c>
      <c r="D1503" t="s">
        <v>121</v>
      </c>
      <c r="E1503">
        <v>2</v>
      </c>
      <c r="H1503">
        <v>158</v>
      </c>
      <c r="I1503" t="s">
        <v>120</v>
      </c>
      <c r="J1503" t="s">
        <v>122</v>
      </c>
      <c r="K1503">
        <v>0</v>
      </c>
      <c r="L1503">
        <v>3</v>
      </c>
      <c r="M1503">
        <v>0</v>
      </c>
      <c r="N1503">
        <v>2</v>
      </c>
      <c r="O1503">
        <v>1</v>
      </c>
      <c r="P1503">
        <v>0</v>
      </c>
      <c r="Q1503">
        <v>0</v>
      </c>
      <c r="S1503" t="str">
        <f>"18:46:23.391"</f>
        <v>18:46:23.391</v>
      </c>
      <c r="T1503" t="str">
        <f>"18:46:22.791"</f>
        <v>18:46:22.791</v>
      </c>
      <c r="U1503" t="str">
        <f t="shared" si="140"/>
        <v>AAB6EE</v>
      </c>
      <c r="V1503">
        <v>0</v>
      </c>
      <c r="W1503">
        <v>0</v>
      </c>
      <c r="X1503">
        <v>4</v>
      </c>
      <c r="Z1503">
        <v>0</v>
      </c>
      <c r="AA1503">
        <v>8</v>
      </c>
      <c r="AB1503">
        <v>3</v>
      </c>
      <c r="AC1503">
        <v>0</v>
      </c>
      <c r="AD1503">
        <v>10</v>
      </c>
      <c r="AE1503">
        <v>0</v>
      </c>
      <c r="AF1503">
        <v>0</v>
      </c>
      <c r="AG1503">
        <v>1</v>
      </c>
      <c r="AH1503">
        <v>1</v>
      </c>
      <c r="AI1503" t="s">
        <v>1128</v>
      </c>
      <c r="AJ1503">
        <v>35.229849999999999</v>
      </c>
      <c r="AK1503" t="s">
        <v>1129</v>
      </c>
      <c r="AL1503">
        <v>-76.058350000000004</v>
      </c>
      <c r="AM1503">
        <v>25</v>
      </c>
      <c r="AN1503">
        <v>2925</v>
      </c>
      <c r="AO1503" t="s">
        <v>118</v>
      </c>
      <c r="AP1503">
        <v>148</v>
      </c>
      <c r="AQ1503">
        <v>-60</v>
      </c>
      <c r="AR1503">
        <v>256</v>
      </c>
      <c r="AZ1503">
        <v>4516</v>
      </c>
      <c r="BA1503">
        <v>1</v>
      </c>
      <c r="BB1503" t="str">
        <f t="shared" si="141"/>
        <v xml:space="preserve">N79NX   </v>
      </c>
      <c r="BC1503">
        <v>1</v>
      </c>
      <c r="BE1503">
        <v>0</v>
      </c>
      <c r="BF1503">
        <v>0</v>
      </c>
      <c r="BG1503">
        <v>0</v>
      </c>
      <c r="BH1503">
        <v>2800</v>
      </c>
      <c r="BI1503">
        <v>0</v>
      </c>
      <c r="BJ1503">
        <v>0</v>
      </c>
      <c r="BK1503">
        <v>0</v>
      </c>
      <c r="BL1503">
        <v>0</v>
      </c>
      <c r="BO1503">
        <v>0</v>
      </c>
      <c r="BP1503">
        <v>0</v>
      </c>
      <c r="BW1503" t="str">
        <f>"18:46:23.392"</f>
        <v>18:46:23.392</v>
      </c>
      <c r="BZ1503">
        <v>0</v>
      </c>
      <c r="CA1503">
        <v>3008</v>
      </c>
      <c r="CB1503">
        <v>216</v>
      </c>
      <c r="CC1503">
        <v>506.25</v>
      </c>
      <c r="CD1503">
        <v>1</v>
      </c>
      <c r="CE1503">
        <v>1</v>
      </c>
      <c r="CF1503">
        <v>0</v>
      </c>
      <c r="CG1503">
        <v>1</v>
      </c>
      <c r="CH1503">
        <v>0</v>
      </c>
      <c r="CI1503">
        <v>0</v>
      </c>
      <c r="CJ1503">
        <v>0</v>
      </c>
      <c r="CK1503">
        <v>2</v>
      </c>
      <c r="CL1503">
        <v>0</v>
      </c>
      <c r="CM1503">
        <v>2</v>
      </c>
      <c r="CN1503">
        <v>0</v>
      </c>
      <c r="CO1503">
        <v>2</v>
      </c>
      <c r="CP1503" t="s">
        <v>119</v>
      </c>
      <c r="CQ1503">
        <v>145</v>
      </c>
      <c r="CR1503">
        <v>1</v>
      </c>
      <c r="CW1503">
        <v>9161723</v>
      </c>
      <c r="CY1503">
        <v>0</v>
      </c>
      <c r="CZ1503">
        <v>0</v>
      </c>
      <c r="DA1503">
        <v>1</v>
      </c>
      <c r="DB1503">
        <v>0</v>
      </c>
      <c r="DC1503">
        <v>0</v>
      </c>
      <c r="DD1503">
        <v>0</v>
      </c>
      <c r="DE1503">
        <v>0</v>
      </c>
      <c r="DF1503">
        <v>0</v>
      </c>
      <c r="DG1503">
        <v>0</v>
      </c>
      <c r="DH1503">
        <v>0</v>
      </c>
      <c r="DI1503">
        <v>0</v>
      </c>
    </row>
    <row r="1504" spans="1:113" x14ac:dyDescent="0.3">
      <c r="A1504" t="str">
        <f>"02/13/2022 18:46:24.621"</f>
        <v>02/13/2022 18:46:24.621</v>
      </c>
      <c r="C1504" t="str">
        <f t="shared" si="137"/>
        <v>FFDFD7C0</v>
      </c>
      <c r="D1504" t="s">
        <v>113</v>
      </c>
      <c r="E1504">
        <v>3</v>
      </c>
      <c r="F1504">
        <v>1003</v>
      </c>
      <c r="G1504" t="s">
        <v>114</v>
      </c>
      <c r="J1504" t="s">
        <v>115</v>
      </c>
      <c r="K1504">
        <v>0</v>
      </c>
      <c r="L1504">
        <v>3</v>
      </c>
      <c r="M1504">
        <v>0</v>
      </c>
      <c r="N1504">
        <v>2</v>
      </c>
      <c r="O1504">
        <v>1</v>
      </c>
      <c r="P1504">
        <v>0</v>
      </c>
      <c r="Q1504">
        <v>0</v>
      </c>
      <c r="S1504" t="str">
        <f>"18:46:24.305"</f>
        <v>18:46:24.305</v>
      </c>
      <c r="T1504" t="str">
        <f>"18:46:24.005"</f>
        <v>18:46:24.005</v>
      </c>
      <c r="U1504" t="str">
        <f t="shared" si="140"/>
        <v>AAB6EE</v>
      </c>
      <c r="V1504">
        <v>0</v>
      </c>
      <c r="W1504">
        <v>0</v>
      </c>
      <c r="X1504">
        <v>4</v>
      </c>
      <c r="Z1504">
        <v>0</v>
      </c>
      <c r="AA1504">
        <v>8</v>
      </c>
      <c r="AB1504">
        <v>3</v>
      </c>
      <c r="AC1504">
        <v>0</v>
      </c>
      <c r="AD1504">
        <v>10</v>
      </c>
      <c r="AE1504">
        <v>0</v>
      </c>
      <c r="AF1504">
        <v>0</v>
      </c>
      <c r="AG1504">
        <v>1</v>
      </c>
      <c r="AH1504">
        <v>1</v>
      </c>
      <c r="AI1504" t="s">
        <v>1130</v>
      </c>
      <c r="AJ1504">
        <v>35.229528000000002</v>
      </c>
      <c r="AK1504" t="s">
        <v>1131</v>
      </c>
      <c r="AL1504">
        <v>-76.057556000000005</v>
      </c>
      <c r="AM1504">
        <v>25</v>
      </c>
      <c r="AN1504">
        <v>2950</v>
      </c>
      <c r="AO1504" t="s">
        <v>118</v>
      </c>
      <c r="AP1504">
        <v>143</v>
      </c>
      <c r="AQ1504">
        <v>-69</v>
      </c>
      <c r="AR1504">
        <v>192</v>
      </c>
      <c r="AZ1504">
        <v>4516</v>
      </c>
      <c r="BA1504">
        <v>1</v>
      </c>
      <c r="BB1504" t="str">
        <f t="shared" si="141"/>
        <v xml:space="preserve">N79NX   </v>
      </c>
      <c r="BC1504">
        <v>1</v>
      </c>
      <c r="BE1504">
        <v>0</v>
      </c>
      <c r="BF1504">
        <v>0</v>
      </c>
      <c r="BG1504">
        <v>0</v>
      </c>
      <c r="BH1504">
        <v>2775</v>
      </c>
      <c r="BI1504">
        <v>0</v>
      </c>
      <c r="BJ1504">
        <v>0</v>
      </c>
      <c r="BK1504">
        <v>0</v>
      </c>
      <c r="BL1504">
        <v>0</v>
      </c>
      <c r="BO1504">
        <v>0</v>
      </c>
      <c r="BP1504">
        <v>0</v>
      </c>
      <c r="BW1504" t="str">
        <f>"18:46:24.312"</f>
        <v>18:46:24.312</v>
      </c>
      <c r="BZ1504">
        <v>0</v>
      </c>
      <c r="CA1504">
        <v>3008</v>
      </c>
      <c r="CB1504">
        <v>216</v>
      </c>
      <c r="CC1504">
        <v>506.25</v>
      </c>
      <c r="CD1504">
        <v>1</v>
      </c>
      <c r="CE1504">
        <v>1</v>
      </c>
      <c r="CF1504">
        <v>0</v>
      </c>
      <c r="CG1504">
        <v>1</v>
      </c>
      <c r="CH1504">
        <v>0</v>
      </c>
      <c r="CI1504">
        <v>0</v>
      </c>
      <c r="CJ1504">
        <v>0</v>
      </c>
      <c r="CK1504">
        <v>2</v>
      </c>
      <c r="CL1504">
        <v>0</v>
      </c>
      <c r="CM1504">
        <v>2</v>
      </c>
      <c r="CN1504">
        <v>0</v>
      </c>
      <c r="CO1504">
        <v>3</v>
      </c>
      <c r="CP1504" t="s">
        <v>119</v>
      </c>
      <c r="CQ1504">
        <v>145</v>
      </c>
      <c r="CR1504">
        <v>1</v>
      </c>
      <c r="CW1504">
        <v>9162221</v>
      </c>
      <c r="CY1504">
        <v>0</v>
      </c>
      <c r="CZ1504">
        <v>0</v>
      </c>
      <c r="DA1504">
        <v>0</v>
      </c>
      <c r="DB1504">
        <v>0</v>
      </c>
      <c r="DC1504">
        <v>0</v>
      </c>
      <c r="DD1504">
        <v>0</v>
      </c>
      <c r="DE1504">
        <v>0</v>
      </c>
      <c r="DF1504">
        <v>0</v>
      </c>
      <c r="DG1504">
        <v>0</v>
      </c>
      <c r="DH1504">
        <v>0</v>
      </c>
      <c r="DI1504">
        <v>0</v>
      </c>
    </row>
    <row r="1505" spans="1:113" x14ac:dyDescent="0.3">
      <c r="A1505" t="str">
        <f>"02/13/2022 18:46:24.621"</f>
        <v>02/13/2022 18:46:24.621</v>
      </c>
      <c r="C1505" t="str">
        <f t="shared" si="137"/>
        <v>FFDFD7C0</v>
      </c>
      <c r="D1505" t="s">
        <v>113</v>
      </c>
      <c r="E1505">
        <v>4</v>
      </c>
      <c r="F1505">
        <v>1004</v>
      </c>
      <c r="G1505" t="s">
        <v>120</v>
      </c>
      <c r="J1505" t="s">
        <v>115</v>
      </c>
      <c r="K1505">
        <v>0</v>
      </c>
      <c r="L1505">
        <v>3</v>
      </c>
      <c r="M1505">
        <v>0</v>
      </c>
      <c r="N1505">
        <v>2</v>
      </c>
      <c r="O1505">
        <v>1</v>
      </c>
      <c r="P1505">
        <v>0</v>
      </c>
      <c r="Q1505">
        <v>0</v>
      </c>
      <c r="S1505" t="str">
        <f>"18:46:24.305"</f>
        <v>18:46:24.305</v>
      </c>
      <c r="T1505" t="str">
        <f>"18:46:24.005"</f>
        <v>18:46:24.005</v>
      </c>
      <c r="U1505" t="str">
        <f t="shared" si="140"/>
        <v>AAB6EE</v>
      </c>
      <c r="V1505">
        <v>0</v>
      </c>
      <c r="W1505">
        <v>0</v>
      </c>
      <c r="X1505">
        <v>4</v>
      </c>
      <c r="Z1505">
        <v>0</v>
      </c>
      <c r="AA1505">
        <v>8</v>
      </c>
      <c r="AB1505">
        <v>3</v>
      </c>
      <c r="AC1505">
        <v>0</v>
      </c>
      <c r="AD1505">
        <v>10</v>
      </c>
      <c r="AE1505">
        <v>0</v>
      </c>
      <c r="AF1505">
        <v>0</v>
      </c>
      <c r="AG1505">
        <v>1</v>
      </c>
      <c r="AH1505">
        <v>1</v>
      </c>
      <c r="AI1505" t="s">
        <v>1130</v>
      </c>
      <c r="AJ1505">
        <v>35.229528000000002</v>
      </c>
      <c r="AK1505" t="s">
        <v>1131</v>
      </c>
      <c r="AL1505">
        <v>-76.057556000000005</v>
      </c>
      <c r="AM1505">
        <v>25</v>
      </c>
      <c r="AN1505">
        <v>2950</v>
      </c>
      <c r="AO1505" t="s">
        <v>118</v>
      </c>
      <c r="AP1505">
        <v>143</v>
      </c>
      <c r="AQ1505">
        <v>-69</v>
      </c>
      <c r="AR1505">
        <v>192</v>
      </c>
      <c r="AZ1505">
        <v>4516</v>
      </c>
      <c r="BA1505">
        <v>1</v>
      </c>
      <c r="BB1505" t="str">
        <f t="shared" si="141"/>
        <v xml:space="preserve">N79NX   </v>
      </c>
      <c r="BC1505">
        <v>1</v>
      </c>
      <c r="BE1505">
        <v>0</v>
      </c>
      <c r="BF1505">
        <v>0</v>
      </c>
      <c r="BG1505">
        <v>0</v>
      </c>
      <c r="BH1505">
        <v>2775</v>
      </c>
      <c r="BI1505">
        <v>0</v>
      </c>
      <c r="BJ1505">
        <v>0</v>
      </c>
      <c r="BK1505">
        <v>0</v>
      </c>
      <c r="BL1505">
        <v>0</v>
      </c>
      <c r="BO1505">
        <v>0</v>
      </c>
      <c r="BP1505">
        <v>0</v>
      </c>
      <c r="BW1505" t="str">
        <f>"18:46:24.312"</f>
        <v>18:46:24.312</v>
      </c>
      <c r="BZ1505">
        <v>0</v>
      </c>
      <c r="CA1505">
        <v>3008</v>
      </c>
      <c r="CB1505">
        <v>216</v>
      </c>
      <c r="CC1505">
        <v>506.25</v>
      </c>
      <c r="CD1505">
        <v>1</v>
      </c>
      <c r="CE1505">
        <v>1</v>
      </c>
      <c r="CF1505">
        <v>0</v>
      </c>
      <c r="CG1505">
        <v>1</v>
      </c>
      <c r="CH1505">
        <v>0</v>
      </c>
      <c r="CI1505">
        <v>0</v>
      </c>
      <c r="CJ1505">
        <v>0</v>
      </c>
      <c r="CK1505">
        <v>2</v>
      </c>
      <c r="CL1505">
        <v>0</v>
      </c>
      <c r="CM1505">
        <v>2</v>
      </c>
      <c r="CN1505">
        <v>0</v>
      </c>
      <c r="CO1505">
        <v>3</v>
      </c>
      <c r="CP1505" t="s">
        <v>119</v>
      </c>
      <c r="CQ1505">
        <v>145</v>
      </c>
      <c r="CR1505">
        <v>1</v>
      </c>
      <c r="CW1505">
        <v>9162221</v>
      </c>
      <c r="CY1505">
        <v>0</v>
      </c>
      <c r="CZ1505">
        <v>0</v>
      </c>
      <c r="DA1505">
        <v>1</v>
      </c>
      <c r="DB1505">
        <v>0</v>
      </c>
      <c r="DC1505">
        <v>0</v>
      </c>
      <c r="DD1505">
        <v>0</v>
      </c>
      <c r="DE1505">
        <v>0</v>
      </c>
      <c r="DF1505">
        <v>0</v>
      </c>
      <c r="DG1505">
        <v>0</v>
      </c>
      <c r="DH1505">
        <v>0</v>
      </c>
      <c r="DI1505">
        <v>0</v>
      </c>
    </row>
    <row r="1506" spans="1:113" x14ac:dyDescent="0.3">
      <c r="A1506" t="str">
        <f>"02/13/2022 18:46:24.652"</f>
        <v>02/13/2022 18:46:24.652</v>
      </c>
      <c r="C1506" t="str">
        <f t="shared" si="137"/>
        <v>FFDFD7C0</v>
      </c>
      <c r="D1506" t="s">
        <v>121</v>
      </c>
      <c r="E1506">
        <v>2</v>
      </c>
      <c r="H1506">
        <v>158</v>
      </c>
      <c r="I1506" t="s">
        <v>120</v>
      </c>
      <c r="J1506" t="s">
        <v>122</v>
      </c>
      <c r="K1506">
        <v>0</v>
      </c>
      <c r="L1506">
        <v>3</v>
      </c>
      <c r="M1506">
        <v>0</v>
      </c>
      <c r="N1506">
        <v>2</v>
      </c>
      <c r="O1506">
        <v>1</v>
      </c>
      <c r="P1506">
        <v>0</v>
      </c>
      <c r="Q1506">
        <v>0</v>
      </c>
      <c r="S1506" t="str">
        <f>"18:46:24.305"</f>
        <v>18:46:24.305</v>
      </c>
      <c r="T1506" t="str">
        <f>"18:46:24.005"</f>
        <v>18:46:24.005</v>
      </c>
      <c r="U1506" t="str">
        <f t="shared" si="140"/>
        <v>AAB6EE</v>
      </c>
      <c r="V1506">
        <v>0</v>
      </c>
      <c r="W1506">
        <v>0</v>
      </c>
      <c r="X1506">
        <v>4</v>
      </c>
      <c r="Z1506">
        <v>0</v>
      </c>
      <c r="AA1506">
        <v>8</v>
      </c>
      <c r="AB1506">
        <v>3</v>
      </c>
      <c r="AC1506">
        <v>0</v>
      </c>
      <c r="AD1506">
        <v>10</v>
      </c>
      <c r="AE1506">
        <v>0</v>
      </c>
      <c r="AF1506">
        <v>0</v>
      </c>
      <c r="AG1506">
        <v>1</v>
      </c>
      <c r="AH1506">
        <v>1</v>
      </c>
      <c r="AI1506" t="s">
        <v>1130</v>
      </c>
      <c r="AJ1506">
        <v>35.229528000000002</v>
      </c>
      <c r="AK1506" t="s">
        <v>1131</v>
      </c>
      <c r="AL1506">
        <v>-76.057556000000005</v>
      </c>
      <c r="AM1506">
        <v>25</v>
      </c>
      <c r="AN1506">
        <v>2950</v>
      </c>
      <c r="AO1506" t="s">
        <v>118</v>
      </c>
      <c r="AP1506">
        <v>143</v>
      </c>
      <c r="AQ1506">
        <v>-69</v>
      </c>
      <c r="AR1506">
        <v>192</v>
      </c>
      <c r="AZ1506">
        <v>4516</v>
      </c>
      <c r="BA1506">
        <v>1</v>
      </c>
      <c r="BB1506" t="str">
        <f t="shared" si="141"/>
        <v xml:space="preserve">N79NX   </v>
      </c>
      <c r="BC1506">
        <v>1</v>
      </c>
      <c r="BE1506">
        <v>0</v>
      </c>
      <c r="BF1506">
        <v>0</v>
      </c>
      <c r="BG1506">
        <v>0</v>
      </c>
      <c r="BH1506">
        <v>2775</v>
      </c>
      <c r="BI1506">
        <v>0</v>
      </c>
      <c r="BJ1506">
        <v>0</v>
      </c>
      <c r="BK1506">
        <v>0</v>
      </c>
      <c r="BL1506">
        <v>0</v>
      </c>
      <c r="BO1506">
        <v>0</v>
      </c>
      <c r="BP1506">
        <v>0</v>
      </c>
      <c r="BW1506" t="str">
        <f>"18:46:24.312"</f>
        <v>18:46:24.312</v>
      </c>
      <c r="BZ1506">
        <v>0</v>
      </c>
      <c r="CA1506">
        <v>3008</v>
      </c>
      <c r="CB1506">
        <v>216</v>
      </c>
      <c r="CC1506">
        <v>506.25</v>
      </c>
      <c r="CD1506">
        <v>1</v>
      </c>
      <c r="CE1506">
        <v>1</v>
      </c>
      <c r="CF1506">
        <v>0</v>
      </c>
      <c r="CG1506">
        <v>1</v>
      </c>
      <c r="CH1506">
        <v>0</v>
      </c>
      <c r="CI1506">
        <v>0</v>
      </c>
      <c r="CJ1506">
        <v>0</v>
      </c>
      <c r="CK1506">
        <v>2</v>
      </c>
      <c r="CL1506">
        <v>0</v>
      </c>
      <c r="CM1506">
        <v>2</v>
      </c>
      <c r="CN1506">
        <v>0</v>
      </c>
      <c r="CO1506">
        <v>3</v>
      </c>
      <c r="CP1506" t="s">
        <v>119</v>
      </c>
      <c r="CQ1506">
        <v>145</v>
      </c>
      <c r="CR1506">
        <v>1</v>
      </c>
      <c r="CW1506">
        <v>9162221</v>
      </c>
      <c r="CY1506">
        <v>0</v>
      </c>
      <c r="CZ1506">
        <v>0</v>
      </c>
      <c r="DA1506">
        <v>1</v>
      </c>
      <c r="DB1506">
        <v>0</v>
      </c>
      <c r="DC1506">
        <v>0</v>
      </c>
      <c r="DD1506">
        <v>0</v>
      </c>
      <c r="DE1506">
        <v>0</v>
      </c>
      <c r="DF1506">
        <v>0</v>
      </c>
      <c r="DG1506">
        <v>0</v>
      </c>
      <c r="DH1506">
        <v>0</v>
      </c>
      <c r="DI1506">
        <v>0</v>
      </c>
    </row>
    <row r="1507" spans="1:113" x14ac:dyDescent="0.3">
      <c r="A1507" t="str">
        <f>"02/13/2022 18:46:25.543"</f>
        <v>02/13/2022 18:46:25.543</v>
      </c>
      <c r="C1507" t="str">
        <f t="shared" si="137"/>
        <v>FFDFD7C0</v>
      </c>
      <c r="D1507" t="s">
        <v>113</v>
      </c>
      <c r="E1507">
        <v>3</v>
      </c>
      <c r="F1507">
        <v>1003</v>
      </c>
      <c r="G1507" t="s">
        <v>114</v>
      </c>
      <c r="J1507" t="s">
        <v>115</v>
      </c>
      <c r="K1507">
        <v>0</v>
      </c>
      <c r="L1507">
        <v>3</v>
      </c>
      <c r="M1507">
        <v>0</v>
      </c>
      <c r="N1507">
        <v>2</v>
      </c>
      <c r="O1507">
        <v>1</v>
      </c>
      <c r="P1507">
        <v>0</v>
      </c>
      <c r="Q1507">
        <v>0</v>
      </c>
      <c r="S1507" t="str">
        <f>"18:46:25.297"</f>
        <v>18:46:25.297</v>
      </c>
      <c r="T1507" t="str">
        <f>"18:46:24.997"</f>
        <v>18:46:24.997</v>
      </c>
      <c r="U1507" t="str">
        <f t="shared" si="140"/>
        <v>AAB6EE</v>
      </c>
      <c r="V1507">
        <v>0</v>
      </c>
      <c r="W1507">
        <v>0</v>
      </c>
      <c r="X1507">
        <v>4</v>
      </c>
      <c r="Z1507">
        <v>0</v>
      </c>
      <c r="AA1507">
        <v>8</v>
      </c>
      <c r="AB1507">
        <v>3</v>
      </c>
      <c r="AC1507">
        <v>0</v>
      </c>
      <c r="AD1507">
        <v>10</v>
      </c>
      <c r="AE1507">
        <v>0</v>
      </c>
      <c r="AF1507">
        <v>0</v>
      </c>
      <c r="AG1507">
        <v>1</v>
      </c>
      <c r="AH1507">
        <v>1</v>
      </c>
      <c r="AI1507" t="s">
        <v>1132</v>
      </c>
      <c r="AJ1507">
        <v>35.229205999999998</v>
      </c>
      <c r="AK1507" t="s">
        <v>1133</v>
      </c>
      <c r="AL1507">
        <v>-76.056826000000001</v>
      </c>
      <c r="AM1507">
        <v>25</v>
      </c>
      <c r="AN1507">
        <v>2950</v>
      </c>
      <c r="AO1507" t="s">
        <v>118</v>
      </c>
      <c r="AP1507">
        <v>139</v>
      </c>
      <c r="AQ1507">
        <v>-76</v>
      </c>
      <c r="AR1507">
        <v>192</v>
      </c>
      <c r="AZ1507">
        <v>4516</v>
      </c>
      <c r="BA1507">
        <v>1</v>
      </c>
      <c r="BB1507" t="str">
        <f t="shared" si="141"/>
        <v xml:space="preserve">N79NX   </v>
      </c>
      <c r="BC1507">
        <v>1</v>
      </c>
      <c r="BE1507">
        <v>0</v>
      </c>
      <c r="BF1507">
        <v>0</v>
      </c>
      <c r="BG1507">
        <v>0</v>
      </c>
      <c r="BH1507">
        <v>2800</v>
      </c>
      <c r="BI1507">
        <v>0</v>
      </c>
      <c r="BJ1507">
        <v>0</v>
      </c>
      <c r="BK1507">
        <v>0</v>
      </c>
      <c r="BL1507">
        <v>0</v>
      </c>
      <c r="BO1507">
        <v>0</v>
      </c>
      <c r="BP1507">
        <v>0</v>
      </c>
      <c r="BW1507" t="str">
        <f>"18:46:25.302"</f>
        <v>18:46:25.302</v>
      </c>
      <c r="BZ1507">
        <v>0</v>
      </c>
      <c r="CA1507">
        <v>3008</v>
      </c>
      <c r="CB1507">
        <v>216</v>
      </c>
      <c r="CC1507">
        <v>506.25</v>
      </c>
      <c r="CD1507">
        <v>1</v>
      </c>
      <c r="CE1507">
        <v>1</v>
      </c>
      <c r="CF1507">
        <v>0</v>
      </c>
      <c r="CG1507">
        <v>1</v>
      </c>
      <c r="CH1507">
        <v>0</v>
      </c>
      <c r="CI1507">
        <v>0</v>
      </c>
      <c r="CJ1507">
        <v>0</v>
      </c>
      <c r="CK1507">
        <v>2</v>
      </c>
      <c r="CL1507">
        <v>0</v>
      </c>
      <c r="CM1507">
        <v>2</v>
      </c>
      <c r="CN1507">
        <v>0</v>
      </c>
      <c r="CO1507">
        <v>2</v>
      </c>
      <c r="CP1507" t="s">
        <v>119</v>
      </c>
      <c r="CQ1507">
        <v>145</v>
      </c>
      <c r="CR1507">
        <v>1</v>
      </c>
      <c r="CW1507">
        <v>9162791</v>
      </c>
      <c r="CY1507">
        <v>0</v>
      </c>
      <c r="CZ1507">
        <v>0</v>
      </c>
      <c r="DA1507">
        <v>0</v>
      </c>
      <c r="DB1507">
        <v>0</v>
      </c>
      <c r="DC1507">
        <v>0</v>
      </c>
      <c r="DD1507">
        <v>0</v>
      </c>
      <c r="DE1507">
        <v>0</v>
      </c>
      <c r="DF1507">
        <v>0</v>
      </c>
      <c r="DG1507">
        <v>0</v>
      </c>
      <c r="DH1507">
        <v>0</v>
      </c>
      <c r="DI1507">
        <v>0</v>
      </c>
    </row>
    <row r="1508" spans="1:113" x14ac:dyDescent="0.3">
      <c r="A1508" t="str">
        <f>"02/13/2022 18:46:25.543"</f>
        <v>02/13/2022 18:46:25.543</v>
      </c>
      <c r="C1508" t="str">
        <f t="shared" si="137"/>
        <v>FFDFD7C0</v>
      </c>
      <c r="D1508" t="s">
        <v>113</v>
      </c>
      <c r="E1508">
        <v>4</v>
      </c>
      <c r="F1508">
        <v>1004</v>
      </c>
      <c r="G1508" t="s">
        <v>120</v>
      </c>
      <c r="J1508" t="s">
        <v>115</v>
      </c>
      <c r="K1508">
        <v>0</v>
      </c>
      <c r="L1508">
        <v>3</v>
      </c>
      <c r="M1508">
        <v>0</v>
      </c>
      <c r="N1508">
        <v>2</v>
      </c>
      <c r="O1508">
        <v>1</v>
      </c>
      <c r="P1508">
        <v>0</v>
      </c>
      <c r="Q1508">
        <v>0</v>
      </c>
      <c r="S1508" t="str">
        <f>"18:46:25.297"</f>
        <v>18:46:25.297</v>
      </c>
      <c r="T1508" t="str">
        <f>"18:46:24.997"</f>
        <v>18:46:24.997</v>
      </c>
      <c r="U1508" t="str">
        <f t="shared" si="140"/>
        <v>AAB6EE</v>
      </c>
      <c r="V1508">
        <v>0</v>
      </c>
      <c r="W1508">
        <v>0</v>
      </c>
      <c r="X1508">
        <v>4</v>
      </c>
      <c r="Z1508">
        <v>0</v>
      </c>
      <c r="AA1508">
        <v>8</v>
      </c>
      <c r="AB1508">
        <v>3</v>
      </c>
      <c r="AC1508">
        <v>0</v>
      </c>
      <c r="AD1508">
        <v>10</v>
      </c>
      <c r="AE1508">
        <v>0</v>
      </c>
      <c r="AF1508">
        <v>0</v>
      </c>
      <c r="AG1508">
        <v>1</v>
      </c>
      <c r="AH1508">
        <v>1</v>
      </c>
      <c r="AI1508" t="s">
        <v>1132</v>
      </c>
      <c r="AJ1508">
        <v>35.229205999999998</v>
      </c>
      <c r="AK1508" t="s">
        <v>1133</v>
      </c>
      <c r="AL1508">
        <v>-76.056826000000001</v>
      </c>
      <c r="AM1508">
        <v>25</v>
      </c>
      <c r="AN1508">
        <v>2950</v>
      </c>
      <c r="AO1508" t="s">
        <v>118</v>
      </c>
      <c r="AP1508">
        <v>139</v>
      </c>
      <c r="AQ1508">
        <v>-76</v>
      </c>
      <c r="AR1508">
        <v>192</v>
      </c>
      <c r="AZ1508">
        <v>4516</v>
      </c>
      <c r="BA1508">
        <v>1</v>
      </c>
      <c r="BB1508" t="str">
        <f t="shared" si="141"/>
        <v xml:space="preserve">N79NX   </v>
      </c>
      <c r="BC1508">
        <v>1</v>
      </c>
      <c r="BE1508">
        <v>0</v>
      </c>
      <c r="BF1508">
        <v>0</v>
      </c>
      <c r="BG1508">
        <v>0</v>
      </c>
      <c r="BH1508">
        <v>2800</v>
      </c>
      <c r="BI1508">
        <v>0</v>
      </c>
      <c r="BJ1508">
        <v>0</v>
      </c>
      <c r="BK1508">
        <v>0</v>
      </c>
      <c r="BL1508">
        <v>0</v>
      </c>
      <c r="BO1508">
        <v>0</v>
      </c>
      <c r="BP1508">
        <v>0</v>
      </c>
      <c r="BW1508" t="str">
        <f>"18:46:25.302"</f>
        <v>18:46:25.302</v>
      </c>
      <c r="BZ1508">
        <v>0</v>
      </c>
      <c r="CA1508">
        <v>3008</v>
      </c>
      <c r="CB1508">
        <v>216</v>
      </c>
      <c r="CC1508">
        <v>506.25</v>
      </c>
      <c r="CD1508">
        <v>1</v>
      </c>
      <c r="CE1508">
        <v>1</v>
      </c>
      <c r="CF1508">
        <v>0</v>
      </c>
      <c r="CG1508">
        <v>1</v>
      </c>
      <c r="CH1508">
        <v>0</v>
      </c>
      <c r="CI1508">
        <v>0</v>
      </c>
      <c r="CJ1508">
        <v>0</v>
      </c>
      <c r="CK1508">
        <v>2</v>
      </c>
      <c r="CL1508">
        <v>0</v>
      </c>
      <c r="CM1508">
        <v>2</v>
      </c>
      <c r="CN1508">
        <v>0</v>
      </c>
      <c r="CO1508">
        <v>2</v>
      </c>
      <c r="CP1508" t="s">
        <v>119</v>
      </c>
      <c r="CQ1508">
        <v>145</v>
      </c>
      <c r="CR1508">
        <v>1</v>
      </c>
      <c r="CW1508">
        <v>9162791</v>
      </c>
      <c r="CY1508">
        <v>0</v>
      </c>
      <c r="CZ1508">
        <v>0</v>
      </c>
      <c r="DA1508">
        <v>1</v>
      </c>
      <c r="DB1508">
        <v>0</v>
      </c>
      <c r="DC1508">
        <v>0</v>
      </c>
      <c r="DD1508">
        <v>0</v>
      </c>
      <c r="DE1508">
        <v>0</v>
      </c>
      <c r="DF1508">
        <v>0</v>
      </c>
      <c r="DG1508">
        <v>0</v>
      </c>
      <c r="DH1508">
        <v>0</v>
      </c>
      <c r="DI1508">
        <v>0</v>
      </c>
    </row>
    <row r="1509" spans="1:113" x14ac:dyDescent="0.3">
      <c r="A1509" t="str">
        <f>"02/13/2022 18:46:25.543"</f>
        <v>02/13/2022 18:46:25.543</v>
      </c>
      <c r="C1509" t="str">
        <f t="shared" ref="C1509:C1572" si="143">"FFDFD7C0"</f>
        <v>FFDFD7C0</v>
      </c>
      <c r="D1509" t="s">
        <v>121</v>
      </c>
      <c r="E1509">
        <v>2</v>
      </c>
      <c r="H1509">
        <v>158</v>
      </c>
      <c r="I1509" t="s">
        <v>120</v>
      </c>
      <c r="J1509" t="s">
        <v>122</v>
      </c>
      <c r="K1509">
        <v>0</v>
      </c>
      <c r="L1509">
        <v>3</v>
      </c>
      <c r="M1509">
        <v>0</v>
      </c>
      <c r="N1509">
        <v>2</v>
      </c>
      <c r="O1509">
        <v>1</v>
      </c>
      <c r="P1509">
        <v>0</v>
      </c>
      <c r="Q1509">
        <v>0</v>
      </c>
      <c r="S1509" t="str">
        <f>"18:46:25.297"</f>
        <v>18:46:25.297</v>
      </c>
      <c r="T1509" t="str">
        <f>"18:46:24.997"</f>
        <v>18:46:24.997</v>
      </c>
      <c r="U1509" t="str">
        <f t="shared" si="140"/>
        <v>AAB6EE</v>
      </c>
      <c r="V1509">
        <v>0</v>
      </c>
      <c r="W1509">
        <v>0</v>
      </c>
      <c r="X1509">
        <v>4</v>
      </c>
      <c r="Z1509">
        <v>0</v>
      </c>
      <c r="AA1509">
        <v>8</v>
      </c>
      <c r="AB1509">
        <v>3</v>
      </c>
      <c r="AC1509">
        <v>0</v>
      </c>
      <c r="AD1509">
        <v>10</v>
      </c>
      <c r="AE1509">
        <v>0</v>
      </c>
      <c r="AF1509">
        <v>0</v>
      </c>
      <c r="AG1509">
        <v>1</v>
      </c>
      <c r="AH1509">
        <v>1</v>
      </c>
      <c r="AI1509" t="s">
        <v>1132</v>
      </c>
      <c r="AJ1509">
        <v>35.229205999999998</v>
      </c>
      <c r="AK1509" t="s">
        <v>1133</v>
      </c>
      <c r="AL1509">
        <v>-76.056826000000001</v>
      </c>
      <c r="AM1509">
        <v>25</v>
      </c>
      <c r="AN1509">
        <v>2950</v>
      </c>
      <c r="AO1509" t="s">
        <v>118</v>
      </c>
      <c r="AP1509">
        <v>139</v>
      </c>
      <c r="AQ1509">
        <v>-76</v>
      </c>
      <c r="AR1509">
        <v>192</v>
      </c>
      <c r="AZ1509">
        <v>4516</v>
      </c>
      <c r="BA1509">
        <v>1</v>
      </c>
      <c r="BB1509" t="str">
        <f t="shared" si="141"/>
        <v xml:space="preserve">N79NX   </v>
      </c>
      <c r="BC1509">
        <v>1</v>
      </c>
      <c r="BE1509">
        <v>0</v>
      </c>
      <c r="BF1509">
        <v>0</v>
      </c>
      <c r="BG1509">
        <v>0</v>
      </c>
      <c r="BH1509">
        <v>2800</v>
      </c>
      <c r="BI1509">
        <v>0</v>
      </c>
      <c r="BJ1509">
        <v>0</v>
      </c>
      <c r="BK1509">
        <v>0</v>
      </c>
      <c r="BL1509">
        <v>0</v>
      </c>
      <c r="BO1509">
        <v>0</v>
      </c>
      <c r="BP1509">
        <v>0</v>
      </c>
      <c r="BW1509" t="str">
        <f>"18:46:25.302"</f>
        <v>18:46:25.302</v>
      </c>
      <c r="BZ1509">
        <v>0</v>
      </c>
      <c r="CA1509">
        <v>3008</v>
      </c>
      <c r="CB1509">
        <v>216</v>
      </c>
      <c r="CC1509">
        <v>506.25</v>
      </c>
      <c r="CD1509">
        <v>1</v>
      </c>
      <c r="CE1509">
        <v>1</v>
      </c>
      <c r="CF1509">
        <v>0</v>
      </c>
      <c r="CG1509">
        <v>1</v>
      </c>
      <c r="CH1509">
        <v>0</v>
      </c>
      <c r="CI1509">
        <v>0</v>
      </c>
      <c r="CJ1509">
        <v>0</v>
      </c>
      <c r="CK1509">
        <v>2</v>
      </c>
      <c r="CL1509">
        <v>0</v>
      </c>
      <c r="CM1509">
        <v>2</v>
      </c>
      <c r="CN1509">
        <v>0</v>
      </c>
      <c r="CO1509">
        <v>2</v>
      </c>
      <c r="CP1509" t="s">
        <v>119</v>
      </c>
      <c r="CQ1509">
        <v>145</v>
      </c>
      <c r="CR1509">
        <v>1</v>
      </c>
      <c r="CW1509">
        <v>9162791</v>
      </c>
      <c r="CY1509">
        <v>0</v>
      </c>
      <c r="CZ1509">
        <v>0</v>
      </c>
      <c r="DA1509">
        <v>1</v>
      </c>
      <c r="DB1509">
        <v>0</v>
      </c>
      <c r="DC1509">
        <v>0</v>
      </c>
      <c r="DD1509">
        <v>0</v>
      </c>
      <c r="DE1509">
        <v>0</v>
      </c>
      <c r="DF1509">
        <v>0</v>
      </c>
      <c r="DG1509">
        <v>0</v>
      </c>
      <c r="DH1509">
        <v>0</v>
      </c>
      <c r="DI1509">
        <v>0</v>
      </c>
    </row>
    <row r="1510" spans="1:113" x14ac:dyDescent="0.3">
      <c r="A1510" t="str">
        <f>"02/13/2022 18:46:26.482"</f>
        <v>02/13/2022 18:46:26.482</v>
      </c>
      <c r="C1510" t="str">
        <f t="shared" si="143"/>
        <v>FFDFD7C0</v>
      </c>
      <c r="D1510" t="s">
        <v>121</v>
      </c>
      <c r="E1510">
        <v>2</v>
      </c>
      <c r="H1510">
        <v>158</v>
      </c>
      <c r="I1510" t="s">
        <v>120</v>
      </c>
      <c r="J1510" t="s">
        <v>122</v>
      </c>
      <c r="K1510">
        <v>0</v>
      </c>
      <c r="L1510">
        <v>3</v>
      </c>
      <c r="M1510">
        <v>0</v>
      </c>
      <c r="N1510">
        <v>2</v>
      </c>
      <c r="O1510">
        <v>1</v>
      </c>
      <c r="P1510">
        <v>0</v>
      </c>
      <c r="Q1510">
        <v>0</v>
      </c>
      <c r="S1510" t="str">
        <f>"18:46:26.227"</f>
        <v>18:46:26.227</v>
      </c>
      <c r="T1510" t="str">
        <f>"18:46:26.127"</f>
        <v>18:46:26.127</v>
      </c>
      <c r="U1510" t="str">
        <f t="shared" si="140"/>
        <v>AAB6EE</v>
      </c>
      <c r="V1510">
        <v>0</v>
      </c>
      <c r="W1510">
        <v>0</v>
      </c>
      <c r="X1510">
        <v>4</v>
      </c>
      <c r="Z1510">
        <v>0</v>
      </c>
      <c r="AA1510">
        <v>8</v>
      </c>
      <c r="AB1510">
        <v>3</v>
      </c>
      <c r="AC1510">
        <v>0</v>
      </c>
      <c r="AD1510">
        <v>10</v>
      </c>
      <c r="AE1510">
        <v>0</v>
      </c>
      <c r="AF1510">
        <v>0</v>
      </c>
      <c r="AG1510">
        <v>1</v>
      </c>
      <c r="AH1510">
        <v>1</v>
      </c>
      <c r="AI1510" t="s">
        <v>1134</v>
      </c>
      <c r="AJ1510">
        <v>35.228819999999999</v>
      </c>
      <c r="AK1510" t="s">
        <v>1135</v>
      </c>
      <c r="AL1510">
        <v>-76.056054000000003</v>
      </c>
      <c r="AM1510">
        <v>25</v>
      </c>
      <c r="AN1510">
        <v>2950</v>
      </c>
      <c r="AO1510" t="s">
        <v>118</v>
      </c>
      <c r="AP1510">
        <v>134</v>
      </c>
      <c r="AQ1510">
        <v>-83</v>
      </c>
      <c r="AR1510">
        <v>192</v>
      </c>
      <c r="AZ1510">
        <v>4516</v>
      </c>
      <c r="BA1510">
        <v>1</v>
      </c>
      <c r="BB1510" t="str">
        <f t="shared" si="141"/>
        <v xml:space="preserve">N79NX   </v>
      </c>
      <c r="BC1510">
        <v>1</v>
      </c>
      <c r="BE1510">
        <v>0</v>
      </c>
      <c r="BF1510">
        <v>0</v>
      </c>
      <c r="BG1510">
        <v>0</v>
      </c>
      <c r="BH1510">
        <v>2800</v>
      </c>
      <c r="BI1510">
        <v>0</v>
      </c>
      <c r="BJ1510">
        <v>0</v>
      </c>
      <c r="BK1510">
        <v>0</v>
      </c>
      <c r="BL1510">
        <v>0</v>
      </c>
      <c r="BO1510">
        <v>0</v>
      </c>
      <c r="BP1510">
        <v>0</v>
      </c>
      <c r="BW1510" t="str">
        <f>"18:46:26.232"</f>
        <v>18:46:26.232</v>
      </c>
      <c r="BZ1510">
        <v>0</v>
      </c>
      <c r="CA1510">
        <v>3008</v>
      </c>
      <c r="CB1510">
        <v>216</v>
      </c>
      <c r="CC1510">
        <v>506.25</v>
      </c>
      <c r="CD1510">
        <v>1</v>
      </c>
      <c r="CE1510">
        <v>1</v>
      </c>
      <c r="CF1510">
        <v>0</v>
      </c>
      <c r="CG1510">
        <v>1</v>
      </c>
      <c r="CH1510">
        <v>0</v>
      </c>
      <c r="CI1510">
        <v>0</v>
      </c>
      <c r="CJ1510">
        <v>0</v>
      </c>
      <c r="CK1510">
        <v>2</v>
      </c>
      <c r="CL1510">
        <v>0</v>
      </c>
      <c r="CM1510">
        <v>2</v>
      </c>
      <c r="CN1510">
        <v>0</v>
      </c>
      <c r="CO1510">
        <v>2</v>
      </c>
      <c r="CP1510" t="s">
        <v>119</v>
      </c>
      <c r="CQ1510">
        <v>145</v>
      </c>
      <c r="CR1510">
        <v>1</v>
      </c>
      <c r="CW1510">
        <v>9163212</v>
      </c>
      <c r="CY1510">
        <v>0</v>
      </c>
      <c r="CZ1510">
        <v>0</v>
      </c>
      <c r="DA1510">
        <v>0</v>
      </c>
      <c r="DB1510">
        <v>0</v>
      </c>
      <c r="DC1510">
        <v>0</v>
      </c>
      <c r="DD1510">
        <v>0</v>
      </c>
      <c r="DE1510">
        <v>0</v>
      </c>
      <c r="DF1510">
        <v>0</v>
      </c>
      <c r="DG1510">
        <v>0</v>
      </c>
      <c r="DH1510">
        <v>0</v>
      </c>
      <c r="DI1510">
        <v>0</v>
      </c>
    </row>
    <row r="1511" spans="1:113" x14ac:dyDescent="0.3">
      <c r="A1511" t="str">
        <f>"02/13/2022 18:46:26.435"</f>
        <v>02/13/2022 18:46:26.435</v>
      </c>
      <c r="C1511" t="str">
        <f t="shared" si="143"/>
        <v>FFDFD7C0</v>
      </c>
      <c r="D1511" t="s">
        <v>113</v>
      </c>
      <c r="E1511">
        <v>4</v>
      </c>
      <c r="F1511">
        <v>1004</v>
      </c>
      <c r="G1511" t="s">
        <v>120</v>
      </c>
      <c r="J1511" t="s">
        <v>115</v>
      </c>
      <c r="K1511">
        <v>0</v>
      </c>
      <c r="L1511">
        <v>3</v>
      </c>
      <c r="M1511">
        <v>0</v>
      </c>
      <c r="N1511">
        <v>2</v>
      </c>
      <c r="O1511">
        <v>1</v>
      </c>
      <c r="P1511">
        <v>0</v>
      </c>
      <c r="Q1511">
        <v>0</v>
      </c>
      <c r="S1511" t="str">
        <f>"18:46:26.227"</f>
        <v>18:46:26.227</v>
      </c>
      <c r="T1511" t="str">
        <f>"18:46:26.127"</f>
        <v>18:46:26.127</v>
      </c>
      <c r="U1511" t="str">
        <f t="shared" si="140"/>
        <v>AAB6EE</v>
      </c>
      <c r="V1511">
        <v>0</v>
      </c>
      <c r="W1511">
        <v>0</v>
      </c>
      <c r="X1511">
        <v>4</v>
      </c>
      <c r="Z1511">
        <v>0</v>
      </c>
      <c r="AA1511">
        <v>8</v>
      </c>
      <c r="AB1511">
        <v>3</v>
      </c>
      <c r="AC1511">
        <v>0</v>
      </c>
      <c r="AD1511">
        <v>10</v>
      </c>
      <c r="AE1511">
        <v>0</v>
      </c>
      <c r="AF1511">
        <v>0</v>
      </c>
      <c r="AG1511">
        <v>1</v>
      </c>
      <c r="AH1511">
        <v>1</v>
      </c>
      <c r="AI1511" t="s">
        <v>1134</v>
      </c>
      <c r="AJ1511">
        <v>35.228819999999999</v>
      </c>
      <c r="AK1511" t="s">
        <v>1135</v>
      </c>
      <c r="AL1511">
        <v>-76.056054000000003</v>
      </c>
      <c r="AM1511">
        <v>25</v>
      </c>
      <c r="AN1511">
        <v>2950</v>
      </c>
      <c r="AO1511" t="s">
        <v>118</v>
      </c>
      <c r="AP1511">
        <v>134</v>
      </c>
      <c r="AQ1511">
        <v>-83</v>
      </c>
      <c r="AR1511">
        <v>192</v>
      </c>
      <c r="AZ1511">
        <v>4516</v>
      </c>
      <c r="BA1511">
        <v>1</v>
      </c>
      <c r="BB1511" t="str">
        <f t="shared" si="141"/>
        <v xml:space="preserve">N79NX   </v>
      </c>
      <c r="BC1511">
        <v>1</v>
      </c>
      <c r="BE1511">
        <v>0</v>
      </c>
      <c r="BF1511">
        <v>0</v>
      </c>
      <c r="BG1511">
        <v>0</v>
      </c>
      <c r="BH1511">
        <v>2800</v>
      </c>
      <c r="BI1511">
        <v>0</v>
      </c>
      <c r="BJ1511">
        <v>0</v>
      </c>
      <c r="BK1511">
        <v>0</v>
      </c>
      <c r="BL1511">
        <v>0</v>
      </c>
      <c r="BO1511">
        <v>0</v>
      </c>
      <c r="BP1511">
        <v>0</v>
      </c>
      <c r="BW1511" t="str">
        <f>"18:46:26.232"</f>
        <v>18:46:26.232</v>
      </c>
      <c r="BZ1511">
        <v>0</v>
      </c>
      <c r="CA1511">
        <v>3008</v>
      </c>
      <c r="CB1511">
        <v>216</v>
      </c>
      <c r="CC1511">
        <v>506.25</v>
      </c>
      <c r="CD1511">
        <v>1</v>
      </c>
      <c r="CE1511">
        <v>1</v>
      </c>
      <c r="CF1511">
        <v>0</v>
      </c>
      <c r="CG1511">
        <v>1</v>
      </c>
      <c r="CH1511">
        <v>0</v>
      </c>
      <c r="CI1511">
        <v>0</v>
      </c>
      <c r="CJ1511">
        <v>0</v>
      </c>
      <c r="CK1511">
        <v>2</v>
      </c>
      <c r="CL1511">
        <v>0</v>
      </c>
      <c r="CM1511">
        <v>2</v>
      </c>
      <c r="CN1511">
        <v>0</v>
      </c>
      <c r="CO1511">
        <v>2</v>
      </c>
      <c r="CP1511" t="s">
        <v>119</v>
      </c>
      <c r="CQ1511">
        <v>145</v>
      </c>
      <c r="CR1511">
        <v>1</v>
      </c>
      <c r="CW1511">
        <v>9163212</v>
      </c>
      <c r="CY1511">
        <v>0</v>
      </c>
      <c r="CZ1511">
        <v>0</v>
      </c>
      <c r="DA1511">
        <v>1</v>
      </c>
      <c r="DB1511">
        <v>0</v>
      </c>
      <c r="DC1511">
        <v>0</v>
      </c>
      <c r="DD1511">
        <v>0</v>
      </c>
      <c r="DE1511">
        <v>0</v>
      </c>
      <c r="DF1511">
        <v>0</v>
      </c>
      <c r="DG1511">
        <v>0</v>
      </c>
      <c r="DH1511">
        <v>0</v>
      </c>
      <c r="DI1511">
        <v>0</v>
      </c>
    </row>
    <row r="1512" spans="1:113" x14ac:dyDescent="0.3">
      <c r="A1512" t="str">
        <f>"02/13/2022 18:46:26.497"</f>
        <v>02/13/2022 18:46:26.497</v>
      </c>
      <c r="C1512" t="str">
        <f t="shared" si="143"/>
        <v>FFDFD7C0</v>
      </c>
      <c r="D1512" t="s">
        <v>113</v>
      </c>
      <c r="E1512">
        <v>3</v>
      </c>
      <c r="F1512">
        <v>1003</v>
      </c>
      <c r="G1512" t="s">
        <v>114</v>
      </c>
      <c r="J1512" t="s">
        <v>115</v>
      </c>
      <c r="K1512">
        <v>0</v>
      </c>
      <c r="L1512">
        <v>3</v>
      </c>
      <c r="M1512">
        <v>0</v>
      </c>
      <c r="N1512">
        <v>2</v>
      </c>
      <c r="O1512">
        <v>1</v>
      </c>
      <c r="P1512">
        <v>0</v>
      </c>
      <c r="Q1512">
        <v>0</v>
      </c>
      <c r="S1512" t="str">
        <f>"18:46:26.227"</f>
        <v>18:46:26.227</v>
      </c>
      <c r="T1512" t="str">
        <f>"18:46:26.127"</f>
        <v>18:46:26.127</v>
      </c>
      <c r="U1512" t="str">
        <f t="shared" si="140"/>
        <v>AAB6EE</v>
      </c>
      <c r="V1512">
        <v>0</v>
      </c>
      <c r="W1512">
        <v>0</v>
      </c>
      <c r="X1512">
        <v>4</v>
      </c>
      <c r="Z1512">
        <v>0</v>
      </c>
      <c r="AA1512">
        <v>8</v>
      </c>
      <c r="AB1512">
        <v>3</v>
      </c>
      <c r="AC1512">
        <v>0</v>
      </c>
      <c r="AD1512">
        <v>10</v>
      </c>
      <c r="AE1512">
        <v>0</v>
      </c>
      <c r="AF1512">
        <v>0</v>
      </c>
      <c r="AG1512">
        <v>1</v>
      </c>
      <c r="AH1512">
        <v>1</v>
      </c>
      <c r="AI1512" t="s">
        <v>1134</v>
      </c>
      <c r="AJ1512">
        <v>35.228819999999999</v>
      </c>
      <c r="AK1512" t="s">
        <v>1135</v>
      </c>
      <c r="AL1512">
        <v>-76.056054000000003</v>
      </c>
      <c r="AM1512">
        <v>25</v>
      </c>
      <c r="AN1512">
        <v>2950</v>
      </c>
      <c r="AO1512" t="s">
        <v>118</v>
      </c>
      <c r="AP1512">
        <v>134</v>
      </c>
      <c r="AQ1512">
        <v>-83</v>
      </c>
      <c r="AR1512">
        <v>192</v>
      </c>
      <c r="AZ1512">
        <v>4516</v>
      </c>
      <c r="BA1512">
        <v>1</v>
      </c>
      <c r="BB1512" t="str">
        <f t="shared" si="141"/>
        <v xml:space="preserve">N79NX   </v>
      </c>
      <c r="BC1512">
        <v>1</v>
      </c>
      <c r="BE1512">
        <v>0</v>
      </c>
      <c r="BF1512">
        <v>0</v>
      </c>
      <c r="BG1512">
        <v>0</v>
      </c>
      <c r="BH1512">
        <v>2800</v>
      </c>
      <c r="BI1512">
        <v>0</v>
      </c>
      <c r="BJ1512">
        <v>0</v>
      </c>
      <c r="BK1512">
        <v>0</v>
      </c>
      <c r="BL1512">
        <v>0</v>
      </c>
      <c r="BO1512">
        <v>0</v>
      </c>
      <c r="BP1512">
        <v>0</v>
      </c>
      <c r="BW1512" t="str">
        <f>"18:46:26.232"</f>
        <v>18:46:26.232</v>
      </c>
      <c r="BZ1512">
        <v>0</v>
      </c>
      <c r="CA1512">
        <v>3008</v>
      </c>
      <c r="CB1512">
        <v>216</v>
      </c>
      <c r="CC1512">
        <v>506.25</v>
      </c>
      <c r="CD1512">
        <v>1</v>
      </c>
      <c r="CE1512">
        <v>1</v>
      </c>
      <c r="CF1512">
        <v>0</v>
      </c>
      <c r="CG1512">
        <v>1</v>
      </c>
      <c r="CH1512">
        <v>0</v>
      </c>
      <c r="CI1512">
        <v>0</v>
      </c>
      <c r="CJ1512">
        <v>0</v>
      </c>
      <c r="CK1512">
        <v>2</v>
      </c>
      <c r="CL1512">
        <v>0</v>
      </c>
      <c r="CM1512">
        <v>2</v>
      </c>
      <c r="CN1512">
        <v>0</v>
      </c>
      <c r="CO1512">
        <v>2</v>
      </c>
      <c r="CP1512" t="s">
        <v>119</v>
      </c>
      <c r="CQ1512">
        <v>145</v>
      </c>
      <c r="CR1512">
        <v>1</v>
      </c>
      <c r="CW1512">
        <v>9163212</v>
      </c>
      <c r="CY1512">
        <v>0</v>
      </c>
      <c r="CZ1512">
        <v>0</v>
      </c>
      <c r="DA1512">
        <v>1</v>
      </c>
      <c r="DB1512">
        <v>0</v>
      </c>
      <c r="DC1512">
        <v>0</v>
      </c>
      <c r="DD1512">
        <v>0</v>
      </c>
      <c r="DE1512">
        <v>0</v>
      </c>
      <c r="DF1512">
        <v>0</v>
      </c>
      <c r="DG1512">
        <v>0</v>
      </c>
      <c r="DH1512">
        <v>0</v>
      </c>
      <c r="DI1512">
        <v>0</v>
      </c>
    </row>
    <row r="1513" spans="1:113" x14ac:dyDescent="0.3">
      <c r="A1513" t="str">
        <f>"02/13/2022 18:46:27.513"</f>
        <v>02/13/2022 18:46:27.513</v>
      </c>
      <c r="C1513" t="str">
        <f t="shared" si="143"/>
        <v>FFDFD7C0</v>
      </c>
      <c r="D1513" t="s">
        <v>121</v>
      </c>
      <c r="E1513">
        <v>2</v>
      </c>
      <c r="H1513">
        <v>158</v>
      </c>
      <c r="I1513" t="s">
        <v>120</v>
      </c>
      <c r="J1513" t="s">
        <v>122</v>
      </c>
      <c r="K1513">
        <v>0</v>
      </c>
      <c r="L1513">
        <v>3</v>
      </c>
      <c r="M1513">
        <v>0</v>
      </c>
      <c r="N1513">
        <v>2</v>
      </c>
      <c r="O1513">
        <v>1</v>
      </c>
      <c r="P1513">
        <v>0</v>
      </c>
      <c r="Q1513">
        <v>0</v>
      </c>
      <c r="S1513" t="str">
        <f>"18:46:27.297"</f>
        <v>18:46:27.297</v>
      </c>
      <c r="T1513" t="str">
        <f>"18:46:27.197"</f>
        <v>18:46:27.197</v>
      </c>
      <c r="U1513" t="str">
        <f t="shared" si="140"/>
        <v>AAB6EE</v>
      </c>
      <c r="V1513">
        <v>0</v>
      </c>
      <c r="W1513">
        <v>0</v>
      </c>
      <c r="X1513">
        <v>4</v>
      </c>
      <c r="Z1513">
        <v>0</v>
      </c>
      <c r="AA1513">
        <v>8</v>
      </c>
      <c r="AB1513">
        <v>3</v>
      </c>
      <c r="AC1513">
        <v>0</v>
      </c>
      <c r="AD1513">
        <v>10</v>
      </c>
      <c r="AE1513">
        <v>0</v>
      </c>
      <c r="AF1513">
        <v>0</v>
      </c>
      <c r="AG1513">
        <v>1</v>
      </c>
      <c r="AH1513">
        <v>1</v>
      </c>
      <c r="AI1513" t="s">
        <v>1061</v>
      </c>
      <c r="AJ1513">
        <v>35.228411999999999</v>
      </c>
      <c r="AK1513" t="s">
        <v>1136</v>
      </c>
      <c r="AL1513">
        <v>-76.055323999999999</v>
      </c>
      <c r="AM1513">
        <v>25</v>
      </c>
      <c r="AN1513">
        <v>2950</v>
      </c>
      <c r="AO1513" t="s">
        <v>118</v>
      </c>
      <c r="AP1513">
        <v>131</v>
      </c>
      <c r="AQ1513">
        <v>-88</v>
      </c>
      <c r="AR1513">
        <v>128</v>
      </c>
      <c r="AZ1513">
        <v>4516</v>
      </c>
      <c r="BA1513">
        <v>1</v>
      </c>
      <c r="BB1513" t="str">
        <f t="shared" si="141"/>
        <v xml:space="preserve">N79NX   </v>
      </c>
      <c r="BC1513">
        <v>1</v>
      </c>
      <c r="BE1513">
        <v>0</v>
      </c>
      <c r="BF1513">
        <v>0</v>
      </c>
      <c r="BG1513">
        <v>0</v>
      </c>
      <c r="BH1513">
        <v>2800</v>
      </c>
      <c r="BI1513">
        <v>0</v>
      </c>
      <c r="BJ1513">
        <v>0</v>
      </c>
      <c r="BK1513">
        <v>0</v>
      </c>
      <c r="BL1513">
        <v>0</v>
      </c>
      <c r="BO1513">
        <v>0</v>
      </c>
      <c r="BP1513">
        <v>0</v>
      </c>
      <c r="BW1513" t="str">
        <f>"18:46:27.302"</f>
        <v>18:46:27.302</v>
      </c>
      <c r="BZ1513">
        <v>0</v>
      </c>
      <c r="CA1513">
        <v>3008</v>
      </c>
      <c r="CB1513">
        <v>216</v>
      </c>
      <c r="CC1513">
        <v>506.25</v>
      </c>
      <c r="CD1513">
        <v>1</v>
      </c>
      <c r="CE1513">
        <v>1</v>
      </c>
      <c r="CF1513">
        <v>0</v>
      </c>
      <c r="CG1513">
        <v>1</v>
      </c>
      <c r="CH1513">
        <v>0</v>
      </c>
      <c r="CI1513">
        <v>0</v>
      </c>
      <c r="CJ1513">
        <v>0</v>
      </c>
      <c r="CK1513">
        <v>2</v>
      </c>
      <c r="CL1513">
        <v>0</v>
      </c>
      <c r="CM1513">
        <v>2</v>
      </c>
      <c r="CN1513">
        <v>0</v>
      </c>
      <c r="CO1513">
        <v>3</v>
      </c>
      <c r="CP1513" t="s">
        <v>119</v>
      </c>
      <c r="CQ1513">
        <v>145</v>
      </c>
      <c r="CR1513">
        <v>1</v>
      </c>
      <c r="CW1513">
        <v>9163701</v>
      </c>
      <c r="CY1513">
        <v>0</v>
      </c>
      <c r="CZ1513">
        <v>0</v>
      </c>
      <c r="DA1513">
        <v>0</v>
      </c>
      <c r="DB1513">
        <v>0</v>
      </c>
      <c r="DC1513">
        <v>0</v>
      </c>
      <c r="DD1513">
        <v>0</v>
      </c>
      <c r="DE1513">
        <v>0</v>
      </c>
      <c r="DF1513">
        <v>0</v>
      </c>
      <c r="DG1513">
        <v>0</v>
      </c>
      <c r="DH1513">
        <v>0</v>
      </c>
      <c r="DI1513">
        <v>0</v>
      </c>
    </row>
    <row r="1514" spans="1:113" x14ac:dyDescent="0.3">
      <c r="A1514" t="str">
        <f>"02/13/2022 18:46:27.560"</f>
        <v>02/13/2022 18:46:27.560</v>
      </c>
      <c r="C1514" t="str">
        <f t="shared" si="143"/>
        <v>FFDFD7C0</v>
      </c>
      <c r="D1514" t="s">
        <v>113</v>
      </c>
      <c r="E1514">
        <v>3</v>
      </c>
      <c r="F1514">
        <v>1003</v>
      </c>
      <c r="G1514" t="s">
        <v>114</v>
      </c>
      <c r="J1514" t="s">
        <v>115</v>
      </c>
      <c r="K1514">
        <v>0</v>
      </c>
      <c r="L1514">
        <v>3</v>
      </c>
      <c r="M1514">
        <v>0</v>
      </c>
      <c r="N1514">
        <v>2</v>
      </c>
      <c r="O1514">
        <v>1</v>
      </c>
      <c r="P1514">
        <v>0</v>
      </c>
      <c r="Q1514">
        <v>0</v>
      </c>
      <c r="S1514" t="str">
        <f>"18:46:27.297"</f>
        <v>18:46:27.297</v>
      </c>
      <c r="T1514" t="str">
        <f>"18:46:27.197"</f>
        <v>18:46:27.197</v>
      </c>
      <c r="U1514" t="str">
        <f t="shared" si="140"/>
        <v>AAB6EE</v>
      </c>
      <c r="V1514">
        <v>0</v>
      </c>
      <c r="W1514">
        <v>0</v>
      </c>
      <c r="X1514">
        <v>4</v>
      </c>
      <c r="Z1514">
        <v>0</v>
      </c>
      <c r="AA1514">
        <v>8</v>
      </c>
      <c r="AB1514">
        <v>3</v>
      </c>
      <c r="AC1514">
        <v>0</v>
      </c>
      <c r="AD1514">
        <v>10</v>
      </c>
      <c r="AE1514">
        <v>0</v>
      </c>
      <c r="AF1514">
        <v>0</v>
      </c>
      <c r="AG1514">
        <v>1</v>
      </c>
      <c r="AH1514">
        <v>1</v>
      </c>
      <c r="AI1514" t="s">
        <v>1061</v>
      </c>
      <c r="AJ1514">
        <v>35.228411999999999</v>
      </c>
      <c r="AK1514" t="s">
        <v>1136</v>
      </c>
      <c r="AL1514">
        <v>-76.055323999999999</v>
      </c>
      <c r="AM1514">
        <v>25</v>
      </c>
      <c r="AN1514">
        <v>2950</v>
      </c>
      <c r="AO1514" t="s">
        <v>118</v>
      </c>
      <c r="AP1514">
        <v>131</v>
      </c>
      <c r="AQ1514">
        <v>-88</v>
      </c>
      <c r="AR1514">
        <v>128</v>
      </c>
      <c r="AZ1514">
        <v>4516</v>
      </c>
      <c r="BA1514">
        <v>1</v>
      </c>
      <c r="BB1514" t="str">
        <f t="shared" si="141"/>
        <v xml:space="preserve">N79NX   </v>
      </c>
      <c r="BC1514">
        <v>1</v>
      </c>
      <c r="BE1514">
        <v>0</v>
      </c>
      <c r="BF1514">
        <v>0</v>
      </c>
      <c r="BG1514">
        <v>0</v>
      </c>
      <c r="BH1514">
        <v>2800</v>
      </c>
      <c r="BI1514">
        <v>0</v>
      </c>
      <c r="BJ1514">
        <v>0</v>
      </c>
      <c r="BK1514">
        <v>0</v>
      </c>
      <c r="BL1514">
        <v>0</v>
      </c>
      <c r="BO1514">
        <v>0</v>
      </c>
      <c r="BP1514">
        <v>0</v>
      </c>
      <c r="BW1514" t="str">
        <f>"18:46:27.302"</f>
        <v>18:46:27.302</v>
      </c>
      <c r="BZ1514">
        <v>0</v>
      </c>
      <c r="CA1514">
        <v>3008</v>
      </c>
      <c r="CB1514">
        <v>216</v>
      </c>
      <c r="CC1514">
        <v>506.25</v>
      </c>
      <c r="CD1514">
        <v>1</v>
      </c>
      <c r="CE1514">
        <v>1</v>
      </c>
      <c r="CF1514">
        <v>0</v>
      </c>
      <c r="CG1514">
        <v>1</v>
      </c>
      <c r="CH1514">
        <v>0</v>
      </c>
      <c r="CI1514">
        <v>0</v>
      </c>
      <c r="CJ1514">
        <v>0</v>
      </c>
      <c r="CK1514">
        <v>2</v>
      </c>
      <c r="CL1514">
        <v>0</v>
      </c>
      <c r="CM1514">
        <v>2</v>
      </c>
      <c r="CN1514">
        <v>0</v>
      </c>
      <c r="CO1514">
        <v>3</v>
      </c>
      <c r="CP1514" t="s">
        <v>119</v>
      </c>
      <c r="CQ1514">
        <v>145</v>
      </c>
      <c r="CR1514">
        <v>1</v>
      </c>
      <c r="CW1514">
        <v>9163701</v>
      </c>
      <c r="CY1514">
        <v>0</v>
      </c>
      <c r="CZ1514">
        <v>0</v>
      </c>
      <c r="DA1514">
        <v>1</v>
      </c>
      <c r="DB1514">
        <v>0</v>
      </c>
      <c r="DC1514">
        <v>0</v>
      </c>
      <c r="DD1514">
        <v>0</v>
      </c>
      <c r="DE1514">
        <v>0</v>
      </c>
      <c r="DF1514">
        <v>0</v>
      </c>
      <c r="DG1514">
        <v>0</v>
      </c>
      <c r="DH1514">
        <v>0</v>
      </c>
      <c r="DI1514">
        <v>0</v>
      </c>
    </row>
    <row r="1515" spans="1:113" x14ac:dyDescent="0.3">
      <c r="A1515" t="str">
        <f>"02/13/2022 18:46:27.560"</f>
        <v>02/13/2022 18:46:27.560</v>
      </c>
      <c r="C1515" t="str">
        <f t="shared" si="143"/>
        <v>FFDFD7C0</v>
      </c>
      <c r="D1515" t="s">
        <v>113</v>
      </c>
      <c r="E1515">
        <v>4</v>
      </c>
      <c r="F1515">
        <v>1004</v>
      </c>
      <c r="G1515" t="s">
        <v>120</v>
      </c>
      <c r="J1515" t="s">
        <v>115</v>
      </c>
      <c r="K1515">
        <v>0</v>
      </c>
      <c r="L1515">
        <v>3</v>
      </c>
      <c r="M1515">
        <v>0</v>
      </c>
      <c r="N1515">
        <v>2</v>
      </c>
      <c r="O1515">
        <v>1</v>
      </c>
      <c r="P1515">
        <v>0</v>
      </c>
      <c r="Q1515">
        <v>0</v>
      </c>
      <c r="S1515" t="str">
        <f>"18:46:27.297"</f>
        <v>18:46:27.297</v>
      </c>
      <c r="T1515" t="str">
        <f>"18:46:27.197"</f>
        <v>18:46:27.197</v>
      </c>
      <c r="U1515" t="str">
        <f t="shared" si="140"/>
        <v>AAB6EE</v>
      </c>
      <c r="V1515">
        <v>0</v>
      </c>
      <c r="W1515">
        <v>0</v>
      </c>
      <c r="X1515">
        <v>4</v>
      </c>
      <c r="Z1515">
        <v>0</v>
      </c>
      <c r="AA1515">
        <v>8</v>
      </c>
      <c r="AB1515">
        <v>3</v>
      </c>
      <c r="AC1515">
        <v>0</v>
      </c>
      <c r="AD1515">
        <v>10</v>
      </c>
      <c r="AE1515">
        <v>0</v>
      </c>
      <c r="AF1515">
        <v>0</v>
      </c>
      <c r="AG1515">
        <v>1</v>
      </c>
      <c r="AH1515">
        <v>1</v>
      </c>
      <c r="AI1515" t="s">
        <v>1061</v>
      </c>
      <c r="AJ1515">
        <v>35.228411999999999</v>
      </c>
      <c r="AK1515" t="s">
        <v>1136</v>
      </c>
      <c r="AL1515">
        <v>-76.055323999999999</v>
      </c>
      <c r="AM1515">
        <v>25</v>
      </c>
      <c r="AN1515">
        <v>2950</v>
      </c>
      <c r="AO1515" t="s">
        <v>118</v>
      </c>
      <c r="AP1515">
        <v>131</v>
      </c>
      <c r="AQ1515">
        <v>-88</v>
      </c>
      <c r="AR1515">
        <v>128</v>
      </c>
      <c r="AZ1515">
        <v>4516</v>
      </c>
      <c r="BA1515">
        <v>1</v>
      </c>
      <c r="BB1515" t="str">
        <f t="shared" si="141"/>
        <v xml:space="preserve">N79NX   </v>
      </c>
      <c r="BC1515">
        <v>1</v>
      </c>
      <c r="BE1515">
        <v>0</v>
      </c>
      <c r="BF1515">
        <v>0</v>
      </c>
      <c r="BG1515">
        <v>0</v>
      </c>
      <c r="BH1515">
        <v>2800</v>
      </c>
      <c r="BI1515">
        <v>0</v>
      </c>
      <c r="BJ1515">
        <v>0</v>
      </c>
      <c r="BK1515">
        <v>0</v>
      </c>
      <c r="BL1515">
        <v>0</v>
      </c>
      <c r="BO1515">
        <v>0</v>
      </c>
      <c r="BP1515">
        <v>0</v>
      </c>
      <c r="BW1515" t="str">
        <f>"18:46:27.302"</f>
        <v>18:46:27.302</v>
      </c>
      <c r="BZ1515">
        <v>0</v>
      </c>
      <c r="CA1515">
        <v>3008</v>
      </c>
      <c r="CB1515">
        <v>216</v>
      </c>
      <c r="CC1515">
        <v>506.25</v>
      </c>
      <c r="CD1515">
        <v>1</v>
      </c>
      <c r="CE1515">
        <v>1</v>
      </c>
      <c r="CF1515">
        <v>0</v>
      </c>
      <c r="CG1515">
        <v>1</v>
      </c>
      <c r="CH1515">
        <v>0</v>
      </c>
      <c r="CI1515">
        <v>0</v>
      </c>
      <c r="CJ1515">
        <v>0</v>
      </c>
      <c r="CK1515">
        <v>2</v>
      </c>
      <c r="CL1515">
        <v>0</v>
      </c>
      <c r="CM1515">
        <v>2</v>
      </c>
      <c r="CN1515">
        <v>0</v>
      </c>
      <c r="CO1515">
        <v>3</v>
      </c>
      <c r="CP1515" t="s">
        <v>119</v>
      </c>
      <c r="CQ1515">
        <v>145</v>
      </c>
      <c r="CR1515">
        <v>1</v>
      </c>
      <c r="CW1515">
        <v>9163701</v>
      </c>
      <c r="CY1515">
        <v>0</v>
      </c>
      <c r="CZ1515">
        <v>0</v>
      </c>
      <c r="DA1515">
        <v>1</v>
      </c>
      <c r="DB1515">
        <v>0</v>
      </c>
      <c r="DC1515">
        <v>0</v>
      </c>
      <c r="DD1515">
        <v>0</v>
      </c>
      <c r="DE1515">
        <v>0</v>
      </c>
      <c r="DF1515">
        <v>0</v>
      </c>
      <c r="DG1515">
        <v>0</v>
      </c>
      <c r="DH1515">
        <v>0</v>
      </c>
      <c r="DI1515">
        <v>0</v>
      </c>
    </row>
    <row r="1516" spans="1:113" x14ac:dyDescent="0.3">
      <c r="A1516" t="str">
        <f>"02/13/2022 18:46:28.529"</f>
        <v>02/13/2022 18:46:28.529</v>
      </c>
      <c r="C1516" t="str">
        <f t="shared" si="143"/>
        <v>FFDFD7C0</v>
      </c>
      <c r="D1516" t="s">
        <v>121</v>
      </c>
      <c r="E1516">
        <v>2</v>
      </c>
      <c r="H1516">
        <v>158</v>
      </c>
      <c r="I1516" t="s">
        <v>120</v>
      </c>
      <c r="J1516" t="s">
        <v>122</v>
      </c>
      <c r="K1516">
        <v>0</v>
      </c>
      <c r="L1516">
        <v>3</v>
      </c>
      <c r="M1516">
        <v>0</v>
      </c>
      <c r="N1516">
        <v>2</v>
      </c>
      <c r="O1516">
        <v>1</v>
      </c>
      <c r="P1516">
        <v>0</v>
      </c>
      <c r="Q1516">
        <v>0</v>
      </c>
      <c r="S1516" t="str">
        <f>"18:46:28.336"</f>
        <v>18:46:28.336</v>
      </c>
      <c r="T1516" t="str">
        <f>"18:46:28.136"</f>
        <v>18:46:28.136</v>
      </c>
      <c r="U1516" t="str">
        <f t="shared" si="140"/>
        <v>AAB6EE</v>
      </c>
      <c r="V1516">
        <v>0</v>
      </c>
      <c r="W1516">
        <v>0</v>
      </c>
      <c r="X1516">
        <v>4</v>
      </c>
      <c r="Z1516">
        <v>0</v>
      </c>
      <c r="AA1516">
        <v>8</v>
      </c>
      <c r="AB1516">
        <v>3</v>
      </c>
      <c r="AC1516">
        <v>0</v>
      </c>
      <c r="AD1516">
        <v>10</v>
      </c>
      <c r="AE1516">
        <v>0</v>
      </c>
      <c r="AF1516">
        <v>0</v>
      </c>
      <c r="AG1516">
        <v>1</v>
      </c>
      <c r="AH1516">
        <v>1</v>
      </c>
      <c r="AI1516" t="s">
        <v>1137</v>
      </c>
      <c r="AJ1516">
        <v>35.227939999999997</v>
      </c>
      <c r="AK1516" t="s">
        <v>1138</v>
      </c>
      <c r="AL1516">
        <v>-76.05453</v>
      </c>
      <c r="AM1516">
        <v>25</v>
      </c>
      <c r="AN1516">
        <v>2950</v>
      </c>
      <c r="AO1516" t="s">
        <v>118</v>
      </c>
      <c r="AP1516">
        <v>128</v>
      </c>
      <c r="AQ1516">
        <v>-91</v>
      </c>
      <c r="AR1516">
        <v>0</v>
      </c>
      <c r="AZ1516">
        <v>4516</v>
      </c>
      <c r="BA1516">
        <v>1</v>
      </c>
      <c r="BB1516" t="str">
        <f t="shared" si="141"/>
        <v xml:space="preserve">N79NX   </v>
      </c>
      <c r="BC1516">
        <v>1</v>
      </c>
      <c r="BE1516">
        <v>0</v>
      </c>
      <c r="BF1516">
        <v>0</v>
      </c>
      <c r="BG1516">
        <v>0</v>
      </c>
      <c r="BH1516">
        <v>2800</v>
      </c>
      <c r="BI1516">
        <v>0</v>
      </c>
      <c r="BJ1516">
        <v>0</v>
      </c>
      <c r="BK1516">
        <v>0</v>
      </c>
      <c r="BL1516">
        <v>0</v>
      </c>
      <c r="BO1516">
        <v>0</v>
      </c>
      <c r="BP1516">
        <v>0</v>
      </c>
      <c r="BW1516" t="str">
        <f>"18:46:28.342"</f>
        <v>18:46:28.342</v>
      </c>
      <c r="BZ1516">
        <v>0</v>
      </c>
      <c r="CA1516">
        <v>3008</v>
      </c>
      <c r="CB1516">
        <v>216</v>
      </c>
      <c r="CC1516">
        <v>506.25</v>
      </c>
      <c r="CD1516">
        <v>1</v>
      </c>
      <c r="CE1516">
        <v>1</v>
      </c>
      <c r="CF1516">
        <v>0</v>
      </c>
      <c r="CG1516">
        <v>1</v>
      </c>
      <c r="CH1516">
        <v>0</v>
      </c>
      <c r="CI1516">
        <v>0</v>
      </c>
      <c r="CJ1516">
        <v>0</v>
      </c>
      <c r="CK1516">
        <v>2</v>
      </c>
      <c r="CL1516">
        <v>0</v>
      </c>
      <c r="CM1516">
        <v>2</v>
      </c>
      <c r="CN1516">
        <v>0</v>
      </c>
      <c r="CO1516">
        <v>3</v>
      </c>
      <c r="CP1516" t="s">
        <v>119</v>
      </c>
      <c r="CQ1516">
        <v>145</v>
      </c>
      <c r="CR1516">
        <v>1</v>
      </c>
      <c r="CW1516">
        <v>9164236</v>
      </c>
      <c r="CY1516">
        <v>0</v>
      </c>
      <c r="CZ1516">
        <v>0</v>
      </c>
      <c r="DA1516">
        <v>0</v>
      </c>
      <c r="DB1516">
        <v>0</v>
      </c>
      <c r="DC1516">
        <v>0</v>
      </c>
      <c r="DD1516">
        <v>0</v>
      </c>
      <c r="DE1516">
        <v>0</v>
      </c>
      <c r="DF1516">
        <v>0</v>
      </c>
      <c r="DG1516">
        <v>0</v>
      </c>
      <c r="DH1516">
        <v>0</v>
      </c>
      <c r="DI1516">
        <v>0</v>
      </c>
    </row>
    <row r="1517" spans="1:113" x14ac:dyDescent="0.3">
      <c r="A1517" t="str">
        <f>"02/13/2022 18:46:28.576"</f>
        <v>02/13/2022 18:46:28.576</v>
      </c>
      <c r="C1517" t="str">
        <f t="shared" si="143"/>
        <v>FFDFD7C0</v>
      </c>
      <c r="D1517" t="s">
        <v>113</v>
      </c>
      <c r="E1517">
        <v>3</v>
      </c>
      <c r="F1517">
        <v>1003</v>
      </c>
      <c r="G1517" t="s">
        <v>114</v>
      </c>
      <c r="J1517" t="s">
        <v>115</v>
      </c>
      <c r="K1517">
        <v>0</v>
      </c>
      <c r="L1517">
        <v>3</v>
      </c>
      <c r="M1517">
        <v>0</v>
      </c>
      <c r="N1517">
        <v>2</v>
      </c>
      <c r="O1517">
        <v>1</v>
      </c>
      <c r="P1517">
        <v>0</v>
      </c>
      <c r="Q1517">
        <v>0</v>
      </c>
      <c r="S1517" t="str">
        <f>"18:46:28.336"</f>
        <v>18:46:28.336</v>
      </c>
      <c r="T1517" t="str">
        <f>"18:46:28.136"</f>
        <v>18:46:28.136</v>
      </c>
      <c r="U1517" t="str">
        <f t="shared" si="140"/>
        <v>AAB6EE</v>
      </c>
      <c r="V1517">
        <v>0</v>
      </c>
      <c r="W1517">
        <v>0</v>
      </c>
      <c r="X1517">
        <v>4</v>
      </c>
      <c r="Z1517">
        <v>0</v>
      </c>
      <c r="AA1517">
        <v>8</v>
      </c>
      <c r="AB1517">
        <v>3</v>
      </c>
      <c r="AC1517">
        <v>0</v>
      </c>
      <c r="AD1517">
        <v>10</v>
      </c>
      <c r="AE1517">
        <v>0</v>
      </c>
      <c r="AF1517">
        <v>0</v>
      </c>
      <c r="AG1517">
        <v>1</v>
      </c>
      <c r="AH1517">
        <v>1</v>
      </c>
      <c r="AI1517" t="s">
        <v>1137</v>
      </c>
      <c r="AJ1517">
        <v>35.227939999999997</v>
      </c>
      <c r="AK1517" t="s">
        <v>1138</v>
      </c>
      <c r="AL1517">
        <v>-76.05453</v>
      </c>
      <c r="AM1517">
        <v>25</v>
      </c>
      <c r="AN1517">
        <v>2950</v>
      </c>
      <c r="AO1517" t="s">
        <v>118</v>
      </c>
      <c r="AP1517">
        <v>128</v>
      </c>
      <c r="AQ1517">
        <v>-91</v>
      </c>
      <c r="AR1517">
        <v>0</v>
      </c>
      <c r="AZ1517">
        <v>4516</v>
      </c>
      <c r="BA1517">
        <v>1</v>
      </c>
      <c r="BB1517" t="str">
        <f t="shared" si="141"/>
        <v xml:space="preserve">N79NX   </v>
      </c>
      <c r="BC1517">
        <v>1</v>
      </c>
      <c r="BE1517">
        <v>0</v>
      </c>
      <c r="BF1517">
        <v>0</v>
      </c>
      <c r="BG1517">
        <v>0</v>
      </c>
      <c r="BH1517">
        <v>2800</v>
      </c>
      <c r="BI1517">
        <v>0</v>
      </c>
      <c r="BJ1517">
        <v>0</v>
      </c>
      <c r="BK1517">
        <v>0</v>
      </c>
      <c r="BL1517">
        <v>0</v>
      </c>
      <c r="BO1517">
        <v>0</v>
      </c>
      <c r="BP1517">
        <v>0</v>
      </c>
      <c r="BW1517" t="str">
        <f>"18:46:28.342"</f>
        <v>18:46:28.342</v>
      </c>
      <c r="BZ1517">
        <v>0</v>
      </c>
      <c r="CA1517">
        <v>3008</v>
      </c>
      <c r="CB1517">
        <v>216</v>
      </c>
      <c r="CC1517">
        <v>506.25</v>
      </c>
      <c r="CD1517">
        <v>1</v>
      </c>
      <c r="CE1517">
        <v>1</v>
      </c>
      <c r="CF1517">
        <v>0</v>
      </c>
      <c r="CG1517">
        <v>1</v>
      </c>
      <c r="CH1517">
        <v>0</v>
      </c>
      <c r="CI1517">
        <v>0</v>
      </c>
      <c r="CJ1517">
        <v>0</v>
      </c>
      <c r="CK1517">
        <v>2</v>
      </c>
      <c r="CL1517">
        <v>0</v>
      </c>
      <c r="CM1517">
        <v>2</v>
      </c>
      <c r="CN1517">
        <v>0</v>
      </c>
      <c r="CO1517">
        <v>3</v>
      </c>
      <c r="CP1517" t="s">
        <v>119</v>
      </c>
      <c r="CQ1517">
        <v>145</v>
      </c>
      <c r="CR1517">
        <v>1</v>
      </c>
      <c r="CW1517">
        <v>9164236</v>
      </c>
      <c r="CY1517">
        <v>0</v>
      </c>
      <c r="CZ1517">
        <v>0</v>
      </c>
      <c r="DA1517">
        <v>1</v>
      </c>
      <c r="DB1517">
        <v>0</v>
      </c>
      <c r="DC1517">
        <v>0</v>
      </c>
      <c r="DD1517">
        <v>0</v>
      </c>
      <c r="DE1517">
        <v>0</v>
      </c>
      <c r="DF1517">
        <v>0</v>
      </c>
      <c r="DG1517">
        <v>0</v>
      </c>
      <c r="DH1517">
        <v>0</v>
      </c>
      <c r="DI1517">
        <v>0</v>
      </c>
    </row>
    <row r="1518" spans="1:113" x14ac:dyDescent="0.3">
      <c r="A1518" t="str">
        <f>"02/13/2022 18:46:28.576"</f>
        <v>02/13/2022 18:46:28.576</v>
      </c>
      <c r="C1518" t="str">
        <f t="shared" si="143"/>
        <v>FFDFD7C0</v>
      </c>
      <c r="D1518" t="s">
        <v>113</v>
      </c>
      <c r="E1518">
        <v>4</v>
      </c>
      <c r="F1518">
        <v>1004</v>
      </c>
      <c r="G1518" t="s">
        <v>120</v>
      </c>
      <c r="J1518" t="s">
        <v>115</v>
      </c>
      <c r="K1518">
        <v>0</v>
      </c>
      <c r="L1518">
        <v>3</v>
      </c>
      <c r="M1518">
        <v>0</v>
      </c>
      <c r="N1518">
        <v>2</v>
      </c>
      <c r="O1518">
        <v>1</v>
      </c>
      <c r="P1518">
        <v>0</v>
      </c>
      <c r="Q1518">
        <v>0</v>
      </c>
      <c r="S1518" t="str">
        <f>"18:46:28.336"</f>
        <v>18:46:28.336</v>
      </c>
      <c r="T1518" t="str">
        <f>"18:46:28.136"</f>
        <v>18:46:28.136</v>
      </c>
      <c r="U1518" t="str">
        <f t="shared" si="140"/>
        <v>AAB6EE</v>
      </c>
      <c r="V1518">
        <v>0</v>
      </c>
      <c r="W1518">
        <v>0</v>
      </c>
      <c r="X1518">
        <v>4</v>
      </c>
      <c r="Z1518">
        <v>0</v>
      </c>
      <c r="AA1518">
        <v>8</v>
      </c>
      <c r="AB1518">
        <v>3</v>
      </c>
      <c r="AC1518">
        <v>0</v>
      </c>
      <c r="AD1518">
        <v>10</v>
      </c>
      <c r="AE1518">
        <v>0</v>
      </c>
      <c r="AF1518">
        <v>0</v>
      </c>
      <c r="AG1518">
        <v>1</v>
      </c>
      <c r="AH1518">
        <v>1</v>
      </c>
      <c r="AI1518" t="s">
        <v>1137</v>
      </c>
      <c r="AJ1518">
        <v>35.227939999999997</v>
      </c>
      <c r="AK1518" t="s">
        <v>1138</v>
      </c>
      <c r="AL1518">
        <v>-76.05453</v>
      </c>
      <c r="AM1518">
        <v>25</v>
      </c>
      <c r="AN1518">
        <v>2950</v>
      </c>
      <c r="AO1518" t="s">
        <v>118</v>
      </c>
      <c r="AP1518">
        <v>128</v>
      </c>
      <c r="AQ1518">
        <v>-91</v>
      </c>
      <c r="AR1518">
        <v>0</v>
      </c>
      <c r="AZ1518">
        <v>4516</v>
      </c>
      <c r="BA1518">
        <v>1</v>
      </c>
      <c r="BB1518" t="str">
        <f t="shared" si="141"/>
        <v xml:space="preserve">N79NX   </v>
      </c>
      <c r="BC1518">
        <v>1</v>
      </c>
      <c r="BE1518">
        <v>0</v>
      </c>
      <c r="BF1518">
        <v>0</v>
      </c>
      <c r="BG1518">
        <v>0</v>
      </c>
      <c r="BH1518">
        <v>2800</v>
      </c>
      <c r="BI1518">
        <v>0</v>
      </c>
      <c r="BJ1518">
        <v>0</v>
      </c>
      <c r="BK1518">
        <v>0</v>
      </c>
      <c r="BL1518">
        <v>0</v>
      </c>
      <c r="BO1518">
        <v>0</v>
      </c>
      <c r="BP1518">
        <v>0</v>
      </c>
      <c r="BW1518" t="str">
        <f>"18:46:28.342"</f>
        <v>18:46:28.342</v>
      </c>
      <c r="BZ1518">
        <v>0</v>
      </c>
      <c r="CA1518">
        <v>3008</v>
      </c>
      <c r="CB1518">
        <v>216</v>
      </c>
      <c r="CC1518">
        <v>506.25</v>
      </c>
      <c r="CD1518">
        <v>1</v>
      </c>
      <c r="CE1518">
        <v>1</v>
      </c>
      <c r="CF1518">
        <v>0</v>
      </c>
      <c r="CG1518">
        <v>1</v>
      </c>
      <c r="CH1518">
        <v>0</v>
      </c>
      <c r="CI1518">
        <v>0</v>
      </c>
      <c r="CJ1518">
        <v>0</v>
      </c>
      <c r="CK1518">
        <v>2</v>
      </c>
      <c r="CL1518">
        <v>0</v>
      </c>
      <c r="CM1518">
        <v>2</v>
      </c>
      <c r="CN1518">
        <v>0</v>
      </c>
      <c r="CO1518">
        <v>3</v>
      </c>
      <c r="CP1518" t="s">
        <v>119</v>
      </c>
      <c r="CQ1518">
        <v>145</v>
      </c>
      <c r="CR1518">
        <v>1</v>
      </c>
      <c r="CW1518">
        <v>9164236</v>
      </c>
      <c r="CY1518">
        <v>0</v>
      </c>
      <c r="CZ1518">
        <v>0</v>
      </c>
      <c r="DA1518">
        <v>1</v>
      </c>
      <c r="DB1518">
        <v>0</v>
      </c>
      <c r="DC1518">
        <v>0</v>
      </c>
      <c r="DD1518">
        <v>0</v>
      </c>
      <c r="DE1518">
        <v>0</v>
      </c>
      <c r="DF1518">
        <v>0</v>
      </c>
      <c r="DG1518">
        <v>0</v>
      </c>
      <c r="DH1518">
        <v>0</v>
      </c>
      <c r="DI1518">
        <v>0</v>
      </c>
    </row>
    <row r="1519" spans="1:113" x14ac:dyDescent="0.3">
      <c r="A1519" t="str">
        <f>"02/13/2022 18:46:29.594"</f>
        <v>02/13/2022 18:46:29.594</v>
      </c>
      <c r="C1519" t="str">
        <f t="shared" si="143"/>
        <v>FFDFD7C0</v>
      </c>
      <c r="D1519" t="s">
        <v>113</v>
      </c>
      <c r="E1519">
        <v>3</v>
      </c>
      <c r="F1519">
        <v>1003</v>
      </c>
      <c r="G1519" t="s">
        <v>114</v>
      </c>
      <c r="J1519" t="s">
        <v>115</v>
      </c>
      <c r="K1519">
        <v>0</v>
      </c>
      <c r="L1519">
        <v>3</v>
      </c>
      <c r="M1519">
        <v>0</v>
      </c>
      <c r="N1519">
        <v>2</v>
      </c>
      <c r="O1519">
        <v>1</v>
      </c>
      <c r="P1519">
        <v>0</v>
      </c>
      <c r="Q1519">
        <v>0</v>
      </c>
      <c r="S1519" t="str">
        <f>"18:46:29.352"</f>
        <v>18:46:29.352</v>
      </c>
      <c r="T1519" t="str">
        <f>"18:46:29.152"</f>
        <v>18:46:29.152</v>
      </c>
      <c r="U1519" t="str">
        <f t="shared" si="140"/>
        <v>AAB6EE</v>
      </c>
      <c r="V1519">
        <v>0</v>
      </c>
      <c r="W1519">
        <v>0</v>
      </c>
      <c r="X1519">
        <v>4</v>
      </c>
      <c r="Z1519">
        <v>0</v>
      </c>
      <c r="AA1519">
        <v>8</v>
      </c>
      <c r="AB1519">
        <v>3</v>
      </c>
      <c r="AC1519">
        <v>0</v>
      </c>
      <c r="AD1519">
        <v>10</v>
      </c>
      <c r="AE1519">
        <v>0</v>
      </c>
      <c r="AF1519">
        <v>0</v>
      </c>
      <c r="AG1519">
        <v>1</v>
      </c>
      <c r="AH1519">
        <v>1</v>
      </c>
      <c r="AI1519" t="s">
        <v>1139</v>
      </c>
      <c r="AJ1519">
        <v>35.227531999999997</v>
      </c>
      <c r="AK1519" t="s">
        <v>1140</v>
      </c>
      <c r="AL1519">
        <v>-76.053801000000007</v>
      </c>
      <c r="AM1519">
        <v>25</v>
      </c>
      <c r="AN1519">
        <v>2950</v>
      </c>
      <c r="AO1519" t="s">
        <v>118</v>
      </c>
      <c r="AP1519">
        <v>126</v>
      </c>
      <c r="AQ1519">
        <v>-94</v>
      </c>
      <c r="AR1519">
        <v>-64</v>
      </c>
      <c r="AZ1519">
        <v>4516</v>
      </c>
      <c r="BA1519">
        <v>1</v>
      </c>
      <c r="BB1519" t="str">
        <f t="shared" si="141"/>
        <v xml:space="preserve">N79NX   </v>
      </c>
      <c r="BC1519">
        <v>1</v>
      </c>
      <c r="BE1519">
        <v>0</v>
      </c>
      <c r="BF1519">
        <v>0</v>
      </c>
      <c r="BG1519">
        <v>0</v>
      </c>
      <c r="BH1519">
        <v>2800</v>
      </c>
      <c r="BI1519">
        <v>0</v>
      </c>
      <c r="BJ1519">
        <v>0</v>
      </c>
      <c r="BK1519">
        <v>0</v>
      </c>
      <c r="BL1519">
        <v>0</v>
      </c>
      <c r="BO1519">
        <v>0</v>
      </c>
      <c r="BP1519">
        <v>0</v>
      </c>
      <c r="BW1519" t="str">
        <f>"18:46:29.352"</f>
        <v>18:46:29.352</v>
      </c>
      <c r="BZ1519">
        <v>0</v>
      </c>
      <c r="CA1519">
        <v>3008</v>
      </c>
      <c r="CB1519">
        <v>216</v>
      </c>
      <c r="CC1519">
        <v>506.25</v>
      </c>
      <c r="CD1519">
        <v>1</v>
      </c>
      <c r="CE1519">
        <v>1</v>
      </c>
      <c r="CF1519">
        <v>0</v>
      </c>
      <c r="CG1519">
        <v>1</v>
      </c>
      <c r="CH1519">
        <v>0</v>
      </c>
      <c r="CI1519">
        <v>0</v>
      </c>
      <c r="CJ1519">
        <v>0</v>
      </c>
      <c r="CK1519">
        <v>2</v>
      </c>
      <c r="CL1519">
        <v>0</v>
      </c>
      <c r="CM1519">
        <v>2</v>
      </c>
      <c r="CN1519">
        <v>0</v>
      </c>
      <c r="CO1519">
        <v>2</v>
      </c>
      <c r="CP1519" t="s">
        <v>119</v>
      </c>
      <c r="CQ1519">
        <v>145</v>
      </c>
      <c r="CR1519">
        <v>1</v>
      </c>
      <c r="CW1519">
        <v>9164796</v>
      </c>
      <c r="CY1519">
        <v>0</v>
      </c>
      <c r="CZ1519">
        <v>0</v>
      </c>
      <c r="DA1519">
        <v>0</v>
      </c>
      <c r="DB1519">
        <v>0</v>
      </c>
      <c r="DC1519">
        <v>0</v>
      </c>
      <c r="DD1519">
        <v>0</v>
      </c>
      <c r="DE1519">
        <v>0</v>
      </c>
      <c r="DF1519">
        <v>0</v>
      </c>
      <c r="DG1519">
        <v>0</v>
      </c>
      <c r="DH1519">
        <v>0</v>
      </c>
      <c r="DI1519">
        <v>0</v>
      </c>
    </row>
    <row r="1520" spans="1:113" x14ac:dyDescent="0.3">
      <c r="A1520" t="str">
        <f>"02/13/2022 18:46:29.594"</f>
        <v>02/13/2022 18:46:29.594</v>
      </c>
      <c r="C1520" t="str">
        <f t="shared" si="143"/>
        <v>FFDFD7C0</v>
      </c>
      <c r="D1520" t="s">
        <v>113</v>
      </c>
      <c r="E1520">
        <v>4</v>
      </c>
      <c r="F1520">
        <v>1004</v>
      </c>
      <c r="G1520" t="s">
        <v>120</v>
      </c>
      <c r="J1520" t="s">
        <v>115</v>
      </c>
      <c r="K1520">
        <v>0</v>
      </c>
      <c r="L1520">
        <v>3</v>
      </c>
      <c r="M1520">
        <v>0</v>
      </c>
      <c r="N1520">
        <v>2</v>
      </c>
      <c r="O1520">
        <v>1</v>
      </c>
      <c r="P1520">
        <v>0</v>
      </c>
      <c r="Q1520">
        <v>0</v>
      </c>
      <c r="S1520" t="str">
        <f>"18:46:29.352"</f>
        <v>18:46:29.352</v>
      </c>
      <c r="T1520" t="str">
        <f>"18:46:29.152"</f>
        <v>18:46:29.152</v>
      </c>
      <c r="U1520" t="str">
        <f t="shared" si="140"/>
        <v>AAB6EE</v>
      </c>
      <c r="V1520">
        <v>0</v>
      </c>
      <c r="W1520">
        <v>0</v>
      </c>
      <c r="X1520">
        <v>4</v>
      </c>
      <c r="Z1520">
        <v>0</v>
      </c>
      <c r="AA1520">
        <v>8</v>
      </c>
      <c r="AB1520">
        <v>3</v>
      </c>
      <c r="AC1520">
        <v>0</v>
      </c>
      <c r="AD1520">
        <v>10</v>
      </c>
      <c r="AE1520">
        <v>0</v>
      </c>
      <c r="AF1520">
        <v>0</v>
      </c>
      <c r="AG1520">
        <v>1</v>
      </c>
      <c r="AH1520">
        <v>1</v>
      </c>
      <c r="AI1520" t="s">
        <v>1139</v>
      </c>
      <c r="AJ1520">
        <v>35.227531999999997</v>
      </c>
      <c r="AK1520" t="s">
        <v>1140</v>
      </c>
      <c r="AL1520">
        <v>-76.053801000000007</v>
      </c>
      <c r="AM1520">
        <v>25</v>
      </c>
      <c r="AN1520">
        <v>2950</v>
      </c>
      <c r="AO1520" t="s">
        <v>118</v>
      </c>
      <c r="AP1520">
        <v>126</v>
      </c>
      <c r="AQ1520">
        <v>-94</v>
      </c>
      <c r="AR1520">
        <v>-64</v>
      </c>
      <c r="AZ1520">
        <v>4516</v>
      </c>
      <c r="BA1520">
        <v>1</v>
      </c>
      <c r="BB1520" t="str">
        <f t="shared" si="141"/>
        <v xml:space="preserve">N79NX   </v>
      </c>
      <c r="BC1520">
        <v>1</v>
      </c>
      <c r="BE1520">
        <v>0</v>
      </c>
      <c r="BF1520">
        <v>0</v>
      </c>
      <c r="BG1520">
        <v>0</v>
      </c>
      <c r="BH1520">
        <v>2800</v>
      </c>
      <c r="BI1520">
        <v>0</v>
      </c>
      <c r="BJ1520">
        <v>0</v>
      </c>
      <c r="BK1520">
        <v>0</v>
      </c>
      <c r="BL1520">
        <v>0</v>
      </c>
      <c r="BO1520">
        <v>0</v>
      </c>
      <c r="BP1520">
        <v>0</v>
      </c>
      <c r="BW1520" t="str">
        <f>"18:46:29.352"</f>
        <v>18:46:29.352</v>
      </c>
      <c r="BZ1520">
        <v>0</v>
      </c>
      <c r="CA1520">
        <v>3008</v>
      </c>
      <c r="CB1520">
        <v>216</v>
      </c>
      <c r="CC1520">
        <v>506.25</v>
      </c>
      <c r="CD1520">
        <v>1</v>
      </c>
      <c r="CE1520">
        <v>1</v>
      </c>
      <c r="CF1520">
        <v>0</v>
      </c>
      <c r="CG1520">
        <v>1</v>
      </c>
      <c r="CH1520">
        <v>0</v>
      </c>
      <c r="CI1520">
        <v>0</v>
      </c>
      <c r="CJ1520">
        <v>0</v>
      </c>
      <c r="CK1520">
        <v>2</v>
      </c>
      <c r="CL1520">
        <v>0</v>
      </c>
      <c r="CM1520">
        <v>2</v>
      </c>
      <c r="CN1520">
        <v>0</v>
      </c>
      <c r="CO1520">
        <v>2</v>
      </c>
      <c r="CP1520" t="s">
        <v>119</v>
      </c>
      <c r="CQ1520">
        <v>145</v>
      </c>
      <c r="CR1520">
        <v>1</v>
      </c>
      <c r="CW1520">
        <v>9164796</v>
      </c>
      <c r="CY1520">
        <v>0</v>
      </c>
      <c r="CZ1520">
        <v>0</v>
      </c>
      <c r="DA1520">
        <v>1</v>
      </c>
      <c r="DB1520">
        <v>0</v>
      </c>
      <c r="DC1520">
        <v>0</v>
      </c>
      <c r="DD1520">
        <v>0</v>
      </c>
      <c r="DE1520">
        <v>0</v>
      </c>
      <c r="DF1520">
        <v>0</v>
      </c>
      <c r="DG1520">
        <v>0</v>
      </c>
      <c r="DH1520">
        <v>0</v>
      </c>
      <c r="DI1520">
        <v>0</v>
      </c>
    </row>
    <row r="1521" spans="1:113" x14ac:dyDescent="0.3">
      <c r="A1521" t="str">
        <f>"02/13/2022 18:46:29.594"</f>
        <v>02/13/2022 18:46:29.594</v>
      </c>
      <c r="C1521" t="str">
        <f t="shared" si="143"/>
        <v>FFDFD7C0</v>
      </c>
      <c r="D1521" t="s">
        <v>121</v>
      </c>
      <c r="E1521">
        <v>2</v>
      </c>
      <c r="H1521">
        <v>158</v>
      </c>
      <c r="I1521" t="s">
        <v>120</v>
      </c>
      <c r="J1521" t="s">
        <v>122</v>
      </c>
      <c r="K1521">
        <v>0</v>
      </c>
      <c r="L1521">
        <v>3</v>
      </c>
      <c r="M1521">
        <v>0</v>
      </c>
      <c r="N1521">
        <v>2</v>
      </c>
      <c r="O1521">
        <v>1</v>
      </c>
      <c r="P1521">
        <v>0</v>
      </c>
      <c r="Q1521">
        <v>0</v>
      </c>
      <c r="S1521" t="str">
        <f>"18:46:29.352"</f>
        <v>18:46:29.352</v>
      </c>
      <c r="T1521" t="str">
        <f>"18:46:29.152"</f>
        <v>18:46:29.152</v>
      </c>
      <c r="U1521" t="str">
        <f t="shared" si="140"/>
        <v>AAB6EE</v>
      </c>
      <c r="V1521">
        <v>0</v>
      </c>
      <c r="W1521">
        <v>0</v>
      </c>
      <c r="X1521">
        <v>4</v>
      </c>
      <c r="Z1521">
        <v>0</v>
      </c>
      <c r="AA1521">
        <v>8</v>
      </c>
      <c r="AB1521">
        <v>3</v>
      </c>
      <c r="AC1521">
        <v>0</v>
      </c>
      <c r="AD1521">
        <v>10</v>
      </c>
      <c r="AE1521">
        <v>0</v>
      </c>
      <c r="AF1521">
        <v>0</v>
      </c>
      <c r="AG1521">
        <v>1</v>
      </c>
      <c r="AH1521">
        <v>1</v>
      </c>
      <c r="AI1521" t="s">
        <v>1139</v>
      </c>
      <c r="AJ1521">
        <v>35.227531999999997</v>
      </c>
      <c r="AK1521" t="s">
        <v>1140</v>
      </c>
      <c r="AL1521">
        <v>-76.053801000000007</v>
      </c>
      <c r="AM1521">
        <v>25</v>
      </c>
      <c r="AN1521">
        <v>2950</v>
      </c>
      <c r="AO1521" t="s">
        <v>118</v>
      </c>
      <c r="AP1521">
        <v>126</v>
      </c>
      <c r="AQ1521">
        <v>-94</v>
      </c>
      <c r="AR1521">
        <v>-64</v>
      </c>
      <c r="AZ1521">
        <v>4516</v>
      </c>
      <c r="BA1521">
        <v>1</v>
      </c>
      <c r="BB1521" t="str">
        <f t="shared" si="141"/>
        <v xml:space="preserve">N79NX   </v>
      </c>
      <c r="BC1521">
        <v>1</v>
      </c>
      <c r="BE1521">
        <v>0</v>
      </c>
      <c r="BF1521">
        <v>0</v>
      </c>
      <c r="BG1521">
        <v>0</v>
      </c>
      <c r="BH1521">
        <v>2800</v>
      </c>
      <c r="BI1521">
        <v>0</v>
      </c>
      <c r="BJ1521">
        <v>0</v>
      </c>
      <c r="BK1521">
        <v>0</v>
      </c>
      <c r="BL1521">
        <v>0</v>
      </c>
      <c r="BO1521">
        <v>0</v>
      </c>
      <c r="BP1521">
        <v>0</v>
      </c>
      <c r="BW1521" t="str">
        <f>"18:46:29.352"</f>
        <v>18:46:29.352</v>
      </c>
      <c r="BZ1521">
        <v>0</v>
      </c>
      <c r="CA1521">
        <v>3008</v>
      </c>
      <c r="CB1521">
        <v>216</v>
      </c>
      <c r="CC1521">
        <v>506.25</v>
      </c>
      <c r="CD1521">
        <v>1</v>
      </c>
      <c r="CE1521">
        <v>1</v>
      </c>
      <c r="CF1521">
        <v>0</v>
      </c>
      <c r="CG1521">
        <v>1</v>
      </c>
      <c r="CH1521">
        <v>0</v>
      </c>
      <c r="CI1521">
        <v>0</v>
      </c>
      <c r="CJ1521">
        <v>0</v>
      </c>
      <c r="CK1521">
        <v>2</v>
      </c>
      <c r="CL1521">
        <v>0</v>
      </c>
      <c r="CM1521">
        <v>2</v>
      </c>
      <c r="CN1521">
        <v>0</v>
      </c>
      <c r="CO1521">
        <v>2</v>
      </c>
      <c r="CP1521" t="s">
        <v>119</v>
      </c>
      <c r="CQ1521">
        <v>145</v>
      </c>
      <c r="CR1521">
        <v>1</v>
      </c>
      <c r="CW1521">
        <v>9164796</v>
      </c>
      <c r="CY1521">
        <v>0</v>
      </c>
      <c r="CZ1521">
        <v>0</v>
      </c>
      <c r="DA1521">
        <v>1</v>
      </c>
      <c r="DB1521">
        <v>0</v>
      </c>
      <c r="DC1521">
        <v>0</v>
      </c>
      <c r="DD1521">
        <v>0</v>
      </c>
      <c r="DE1521">
        <v>0</v>
      </c>
      <c r="DF1521">
        <v>0</v>
      </c>
      <c r="DG1521">
        <v>0</v>
      </c>
      <c r="DH1521">
        <v>0</v>
      </c>
      <c r="DI1521">
        <v>0</v>
      </c>
    </row>
    <row r="1522" spans="1:113" x14ac:dyDescent="0.3">
      <c r="A1522" t="str">
        <f>"02/13/2022 18:46:31.274"</f>
        <v>02/13/2022 18:46:31.274</v>
      </c>
      <c r="C1522" t="str">
        <f t="shared" si="143"/>
        <v>FFDFD7C0</v>
      </c>
      <c r="D1522" t="s">
        <v>113</v>
      </c>
      <c r="E1522">
        <v>3</v>
      </c>
      <c r="F1522">
        <v>1003</v>
      </c>
      <c r="G1522" t="s">
        <v>114</v>
      </c>
      <c r="J1522" t="s">
        <v>115</v>
      </c>
      <c r="K1522">
        <v>0</v>
      </c>
      <c r="L1522">
        <v>3</v>
      </c>
      <c r="M1522">
        <v>0</v>
      </c>
      <c r="N1522">
        <v>2</v>
      </c>
      <c r="O1522">
        <v>1</v>
      </c>
      <c r="P1522">
        <v>0</v>
      </c>
      <c r="Q1522">
        <v>0</v>
      </c>
      <c r="S1522" t="str">
        <f t="shared" ref="S1522:T1524" si="144">"18:46:31.070"</f>
        <v>18:46:31.070</v>
      </c>
      <c r="T1522" t="str">
        <f t="shared" si="144"/>
        <v>18:46:31.070</v>
      </c>
      <c r="U1522" t="str">
        <f t="shared" si="140"/>
        <v>AAB6EE</v>
      </c>
      <c r="V1522">
        <v>0</v>
      </c>
      <c r="W1522">
        <v>0</v>
      </c>
      <c r="X1522">
        <v>4</v>
      </c>
      <c r="Z1522">
        <v>0</v>
      </c>
      <c r="AA1522">
        <v>8</v>
      </c>
      <c r="AB1522">
        <v>3</v>
      </c>
      <c r="AC1522">
        <v>0</v>
      </c>
      <c r="AD1522">
        <v>10</v>
      </c>
      <c r="AE1522">
        <v>0</v>
      </c>
      <c r="AF1522">
        <v>0</v>
      </c>
      <c r="AG1522">
        <v>1</v>
      </c>
      <c r="AH1522">
        <v>1</v>
      </c>
      <c r="AI1522" t="s">
        <v>1141</v>
      </c>
      <c r="AJ1522">
        <v>35.226737999999997</v>
      </c>
      <c r="AK1522" t="s">
        <v>1142</v>
      </c>
      <c r="AL1522">
        <v>-76.052620000000005</v>
      </c>
      <c r="AM1522">
        <v>25</v>
      </c>
      <c r="AN1522">
        <v>2950</v>
      </c>
      <c r="AO1522" t="s">
        <v>118</v>
      </c>
      <c r="AP1522">
        <v>123</v>
      </c>
      <c r="AQ1522">
        <v>-99</v>
      </c>
      <c r="AR1522">
        <v>-128</v>
      </c>
      <c r="AZ1522">
        <v>4516</v>
      </c>
      <c r="BA1522">
        <v>1</v>
      </c>
      <c r="BB1522" t="str">
        <f t="shared" si="141"/>
        <v xml:space="preserve">N79NX   </v>
      </c>
      <c r="BC1522">
        <v>1</v>
      </c>
      <c r="BE1522">
        <v>0</v>
      </c>
      <c r="BF1522">
        <v>0</v>
      </c>
      <c r="BG1522">
        <v>0</v>
      </c>
      <c r="BH1522">
        <v>2800</v>
      </c>
      <c r="BI1522">
        <v>0</v>
      </c>
      <c r="BJ1522">
        <v>0</v>
      </c>
      <c r="BK1522">
        <v>0</v>
      </c>
      <c r="BL1522">
        <v>0</v>
      </c>
      <c r="BO1522">
        <v>0</v>
      </c>
      <c r="BP1522">
        <v>0</v>
      </c>
      <c r="BW1522" t="str">
        <f>"18:46:31.072"</f>
        <v>18:46:31.072</v>
      </c>
      <c r="BZ1522">
        <v>0</v>
      </c>
      <c r="CA1522">
        <v>3008</v>
      </c>
      <c r="CB1522">
        <v>216</v>
      </c>
      <c r="CC1522">
        <v>506.25</v>
      </c>
      <c r="CD1522">
        <v>1</v>
      </c>
      <c r="CE1522">
        <v>1</v>
      </c>
      <c r="CF1522">
        <v>0</v>
      </c>
      <c r="CG1522">
        <v>1</v>
      </c>
      <c r="CH1522">
        <v>0</v>
      </c>
      <c r="CI1522">
        <v>0</v>
      </c>
      <c r="CJ1522">
        <v>0</v>
      </c>
      <c r="CK1522">
        <v>2</v>
      </c>
      <c r="CL1522">
        <v>0</v>
      </c>
      <c r="CM1522">
        <v>2</v>
      </c>
      <c r="CN1522">
        <v>0</v>
      </c>
      <c r="CO1522">
        <v>1</v>
      </c>
      <c r="CP1522" t="s">
        <v>119</v>
      </c>
      <c r="CQ1522">
        <v>145</v>
      </c>
      <c r="CR1522">
        <v>1</v>
      </c>
      <c r="CW1522">
        <v>9165700</v>
      </c>
      <c r="CY1522">
        <v>0</v>
      </c>
      <c r="CZ1522">
        <v>0</v>
      </c>
      <c r="DA1522">
        <v>0</v>
      </c>
      <c r="DB1522">
        <v>0</v>
      </c>
      <c r="DC1522">
        <v>0</v>
      </c>
      <c r="DD1522">
        <v>0</v>
      </c>
      <c r="DE1522">
        <v>0</v>
      </c>
      <c r="DF1522">
        <v>0</v>
      </c>
      <c r="DG1522">
        <v>0</v>
      </c>
      <c r="DH1522">
        <v>0</v>
      </c>
      <c r="DI1522">
        <v>0</v>
      </c>
    </row>
    <row r="1523" spans="1:113" x14ac:dyDescent="0.3">
      <c r="A1523" t="str">
        <f>"02/13/2022 18:46:31.274"</f>
        <v>02/13/2022 18:46:31.274</v>
      </c>
      <c r="C1523" t="str">
        <f t="shared" si="143"/>
        <v>FFDFD7C0</v>
      </c>
      <c r="D1523" t="s">
        <v>113</v>
      </c>
      <c r="E1523">
        <v>4</v>
      </c>
      <c r="F1523">
        <v>1004</v>
      </c>
      <c r="G1523" t="s">
        <v>120</v>
      </c>
      <c r="J1523" t="s">
        <v>115</v>
      </c>
      <c r="K1523">
        <v>0</v>
      </c>
      <c r="L1523">
        <v>3</v>
      </c>
      <c r="M1523">
        <v>0</v>
      </c>
      <c r="N1523">
        <v>2</v>
      </c>
      <c r="O1523">
        <v>1</v>
      </c>
      <c r="P1523">
        <v>0</v>
      </c>
      <c r="Q1523">
        <v>0</v>
      </c>
      <c r="S1523" t="str">
        <f t="shared" si="144"/>
        <v>18:46:31.070</v>
      </c>
      <c r="T1523" t="str">
        <f t="shared" si="144"/>
        <v>18:46:31.070</v>
      </c>
      <c r="U1523" t="str">
        <f t="shared" si="140"/>
        <v>AAB6EE</v>
      </c>
      <c r="V1523">
        <v>0</v>
      </c>
      <c r="W1523">
        <v>0</v>
      </c>
      <c r="X1523">
        <v>4</v>
      </c>
      <c r="Z1523">
        <v>0</v>
      </c>
      <c r="AA1523">
        <v>8</v>
      </c>
      <c r="AB1523">
        <v>3</v>
      </c>
      <c r="AC1523">
        <v>0</v>
      </c>
      <c r="AD1523">
        <v>10</v>
      </c>
      <c r="AE1523">
        <v>0</v>
      </c>
      <c r="AF1523">
        <v>0</v>
      </c>
      <c r="AG1523">
        <v>1</v>
      </c>
      <c r="AH1523">
        <v>1</v>
      </c>
      <c r="AI1523" t="s">
        <v>1141</v>
      </c>
      <c r="AJ1523">
        <v>35.226737999999997</v>
      </c>
      <c r="AK1523" t="s">
        <v>1142</v>
      </c>
      <c r="AL1523">
        <v>-76.052620000000005</v>
      </c>
      <c r="AM1523">
        <v>25</v>
      </c>
      <c r="AN1523">
        <v>2950</v>
      </c>
      <c r="AO1523" t="s">
        <v>118</v>
      </c>
      <c r="AP1523">
        <v>123</v>
      </c>
      <c r="AQ1523">
        <v>-99</v>
      </c>
      <c r="AR1523">
        <v>-128</v>
      </c>
      <c r="AZ1523">
        <v>4516</v>
      </c>
      <c r="BA1523">
        <v>1</v>
      </c>
      <c r="BB1523" t="str">
        <f t="shared" si="141"/>
        <v xml:space="preserve">N79NX   </v>
      </c>
      <c r="BC1523">
        <v>1</v>
      </c>
      <c r="BE1523">
        <v>0</v>
      </c>
      <c r="BF1523">
        <v>0</v>
      </c>
      <c r="BG1523">
        <v>0</v>
      </c>
      <c r="BH1523">
        <v>2800</v>
      </c>
      <c r="BI1523">
        <v>0</v>
      </c>
      <c r="BJ1523">
        <v>0</v>
      </c>
      <c r="BK1523">
        <v>0</v>
      </c>
      <c r="BL1523">
        <v>0</v>
      </c>
      <c r="BO1523">
        <v>0</v>
      </c>
      <c r="BP1523">
        <v>0</v>
      </c>
      <c r="BW1523" t="str">
        <f>"18:46:31.072"</f>
        <v>18:46:31.072</v>
      </c>
      <c r="BZ1523">
        <v>0</v>
      </c>
      <c r="CA1523">
        <v>3008</v>
      </c>
      <c r="CB1523">
        <v>216</v>
      </c>
      <c r="CC1523">
        <v>506.25</v>
      </c>
      <c r="CD1523">
        <v>1</v>
      </c>
      <c r="CE1523">
        <v>1</v>
      </c>
      <c r="CF1523">
        <v>0</v>
      </c>
      <c r="CG1523">
        <v>1</v>
      </c>
      <c r="CH1523">
        <v>0</v>
      </c>
      <c r="CI1523">
        <v>0</v>
      </c>
      <c r="CJ1523">
        <v>0</v>
      </c>
      <c r="CK1523">
        <v>2</v>
      </c>
      <c r="CL1523">
        <v>0</v>
      </c>
      <c r="CM1523">
        <v>2</v>
      </c>
      <c r="CN1523">
        <v>0</v>
      </c>
      <c r="CO1523">
        <v>1</v>
      </c>
      <c r="CP1523" t="s">
        <v>119</v>
      </c>
      <c r="CQ1523">
        <v>145</v>
      </c>
      <c r="CR1523">
        <v>1</v>
      </c>
      <c r="CW1523">
        <v>9165700</v>
      </c>
      <c r="CY1523">
        <v>0</v>
      </c>
      <c r="CZ1523">
        <v>0</v>
      </c>
      <c r="DA1523">
        <v>1</v>
      </c>
      <c r="DB1523">
        <v>0</v>
      </c>
      <c r="DC1523">
        <v>0</v>
      </c>
      <c r="DD1523">
        <v>0</v>
      </c>
      <c r="DE1523">
        <v>0</v>
      </c>
      <c r="DF1523">
        <v>0</v>
      </c>
      <c r="DG1523">
        <v>0</v>
      </c>
      <c r="DH1523">
        <v>0</v>
      </c>
      <c r="DI1523">
        <v>0</v>
      </c>
    </row>
    <row r="1524" spans="1:113" x14ac:dyDescent="0.3">
      <c r="A1524" t="str">
        <f>"02/13/2022 18:46:31.320"</f>
        <v>02/13/2022 18:46:31.320</v>
      </c>
      <c r="C1524" t="str">
        <f t="shared" si="143"/>
        <v>FFDFD7C0</v>
      </c>
      <c r="D1524" t="s">
        <v>121</v>
      </c>
      <c r="E1524">
        <v>2</v>
      </c>
      <c r="H1524">
        <v>158</v>
      </c>
      <c r="I1524" t="s">
        <v>120</v>
      </c>
      <c r="J1524" t="s">
        <v>122</v>
      </c>
      <c r="K1524">
        <v>0</v>
      </c>
      <c r="L1524">
        <v>3</v>
      </c>
      <c r="M1524">
        <v>0</v>
      </c>
      <c r="N1524">
        <v>2</v>
      </c>
      <c r="O1524">
        <v>1</v>
      </c>
      <c r="P1524">
        <v>0</v>
      </c>
      <c r="Q1524">
        <v>0</v>
      </c>
      <c r="S1524" t="str">
        <f t="shared" si="144"/>
        <v>18:46:31.070</v>
      </c>
      <c r="T1524" t="str">
        <f t="shared" si="144"/>
        <v>18:46:31.070</v>
      </c>
      <c r="U1524" t="str">
        <f t="shared" si="140"/>
        <v>AAB6EE</v>
      </c>
      <c r="V1524">
        <v>0</v>
      </c>
      <c r="W1524">
        <v>0</v>
      </c>
      <c r="X1524">
        <v>4</v>
      </c>
      <c r="Z1524">
        <v>0</v>
      </c>
      <c r="AA1524">
        <v>8</v>
      </c>
      <c r="AB1524">
        <v>3</v>
      </c>
      <c r="AC1524">
        <v>0</v>
      </c>
      <c r="AD1524">
        <v>10</v>
      </c>
      <c r="AE1524">
        <v>0</v>
      </c>
      <c r="AF1524">
        <v>0</v>
      </c>
      <c r="AG1524">
        <v>1</v>
      </c>
      <c r="AH1524">
        <v>1</v>
      </c>
      <c r="AI1524" t="s">
        <v>1141</v>
      </c>
      <c r="AJ1524">
        <v>35.226737999999997</v>
      </c>
      <c r="AK1524" t="s">
        <v>1142</v>
      </c>
      <c r="AL1524">
        <v>-76.052620000000005</v>
      </c>
      <c r="AM1524">
        <v>25</v>
      </c>
      <c r="AN1524">
        <v>2950</v>
      </c>
      <c r="AO1524" t="s">
        <v>118</v>
      </c>
      <c r="AP1524">
        <v>123</v>
      </c>
      <c r="AQ1524">
        <v>-99</v>
      </c>
      <c r="AR1524">
        <v>-128</v>
      </c>
      <c r="AZ1524">
        <v>4516</v>
      </c>
      <c r="BA1524">
        <v>1</v>
      </c>
      <c r="BB1524" t="str">
        <f t="shared" si="141"/>
        <v xml:space="preserve">N79NX   </v>
      </c>
      <c r="BC1524">
        <v>1</v>
      </c>
      <c r="BE1524">
        <v>0</v>
      </c>
      <c r="BF1524">
        <v>0</v>
      </c>
      <c r="BG1524">
        <v>0</v>
      </c>
      <c r="BH1524">
        <v>2800</v>
      </c>
      <c r="BI1524">
        <v>0</v>
      </c>
      <c r="BJ1524">
        <v>0</v>
      </c>
      <c r="BK1524">
        <v>0</v>
      </c>
      <c r="BL1524">
        <v>0</v>
      </c>
      <c r="BO1524">
        <v>0</v>
      </c>
      <c r="BP1524">
        <v>0</v>
      </c>
      <c r="BW1524" t="str">
        <f>"18:46:31.072"</f>
        <v>18:46:31.072</v>
      </c>
      <c r="BZ1524">
        <v>0</v>
      </c>
      <c r="CA1524">
        <v>3008</v>
      </c>
      <c r="CB1524">
        <v>216</v>
      </c>
      <c r="CC1524">
        <v>506.25</v>
      </c>
      <c r="CD1524">
        <v>1</v>
      </c>
      <c r="CE1524">
        <v>1</v>
      </c>
      <c r="CF1524">
        <v>0</v>
      </c>
      <c r="CG1524">
        <v>1</v>
      </c>
      <c r="CH1524">
        <v>0</v>
      </c>
      <c r="CI1524">
        <v>0</v>
      </c>
      <c r="CJ1524">
        <v>0</v>
      </c>
      <c r="CK1524">
        <v>2</v>
      </c>
      <c r="CL1524">
        <v>0</v>
      </c>
      <c r="CM1524">
        <v>2</v>
      </c>
      <c r="CN1524">
        <v>0</v>
      </c>
      <c r="CO1524">
        <v>1</v>
      </c>
      <c r="CP1524" t="s">
        <v>119</v>
      </c>
      <c r="CQ1524">
        <v>145</v>
      </c>
      <c r="CR1524">
        <v>1</v>
      </c>
      <c r="CW1524">
        <v>9165700</v>
      </c>
      <c r="CY1524">
        <v>0</v>
      </c>
      <c r="CZ1524">
        <v>0</v>
      </c>
      <c r="DA1524">
        <v>1</v>
      </c>
      <c r="DB1524">
        <v>0</v>
      </c>
      <c r="DC1524">
        <v>0</v>
      </c>
      <c r="DD1524">
        <v>0</v>
      </c>
      <c r="DE1524">
        <v>0</v>
      </c>
      <c r="DF1524">
        <v>0</v>
      </c>
      <c r="DG1524">
        <v>0</v>
      </c>
      <c r="DH1524">
        <v>0</v>
      </c>
      <c r="DI1524">
        <v>0</v>
      </c>
    </row>
    <row r="1525" spans="1:113" x14ac:dyDescent="0.3">
      <c r="A1525" t="str">
        <f>"02/13/2022 18:46:32.774"</f>
        <v>02/13/2022 18:46:32.774</v>
      </c>
      <c r="C1525" t="str">
        <f t="shared" si="143"/>
        <v>FFDFD7C0</v>
      </c>
      <c r="D1525" t="s">
        <v>121</v>
      </c>
      <c r="E1525">
        <v>2</v>
      </c>
      <c r="H1525">
        <v>158</v>
      </c>
      <c r="I1525" t="s">
        <v>120</v>
      </c>
      <c r="J1525" t="s">
        <v>122</v>
      </c>
      <c r="K1525">
        <v>0</v>
      </c>
      <c r="L1525">
        <v>3</v>
      </c>
      <c r="M1525">
        <v>0</v>
      </c>
      <c r="N1525">
        <v>2</v>
      </c>
      <c r="O1525">
        <v>1</v>
      </c>
      <c r="P1525">
        <v>0</v>
      </c>
      <c r="Q1525">
        <v>0</v>
      </c>
      <c r="S1525" t="str">
        <f>"18:46:32.531"</f>
        <v>18:46:32.531</v>
      </c>
      <c r="T1525" t="str">
        <f>"18:46:32.031"</f>
        <v>18:46:32.031</v>
      </c>
      <c r="U1525" t="str">
        <f t="shared" si="140"/>
        <v>AAB6EE</v>
      </c>
      <c r="V1525">
        <v>0</v>
      </c>
      <c r="W1525">
        <v>0</v>
      </c>
      <c r="X1525">
        <v>4</v>
      </c>
      <c r="Z1525">
        <v>0</v>
      </c>
      <c r="AA1525">
        <v>8</v>
      </c>
      <c r="AB1525">
        <v>3</v>
      </c>
      <c r="AC1525">
        <v>0</v>
      </c>
      <c r="AD1525">
        <v>10</v>
      </c>
      <c r="AE1525">
        <v>0</v>
      </c>
      <c r="AF1525">
        <v>0</v>
      </c>
      <c r="AG1525">
        <v>1</v>
      </c>
      <c r="AH1525">
        <v>1</v>
      </c>
      <c r="AI1525" t="s">
        <v>1143</v>
      </c>
      <c r="AJ1525">
        <v>35.226052000000003</v>
      </c>
      <c r="AK1525" t="s">
        <v>1144</v>
      </c>
      <c r="AL1525">
        <v>-76.051632999999995</v>
      </c>
      <c r="AM1525">
        <v>25</v>
      </c>
      <c r="AN1525">
        <v>2950</v>
      </c>
      <c r="AO1525" t="s">
        <v>118</v>
      </c>
      <c r="AP1525">
        <v>121</v>
      </c>
      <c r="AQ1525">
        <v>-100</v>
      </c>
      <c r="AR1525">
        <v>-128</v>
      </c>
      <c r="AZ1525">
        <v>4516</v>
      </c>
      <c r="BA1525">
        <v>1</v>
      </c>
      <c r="BB1525" t="str">
        <f t="shared" si="141"/>
        <v xml:space="preserve">N79NX   </v>
      </c>
      <c r="BC1525">
        <v>1</v>
      </c>
      <c r="BE1525">
        <v>0</v>
      </c>
      <c r="BF1525">
        <v>0</v>
      </c>
      <c r="BG1525">
        <v>0</v>
      </c>
      <c r="BH1525">
        <v>2800</v>
      </c>
      <c r="BI1525">
        <v>0</v>
      </c>
      <c r="BJ1525">
        <v>0</v>
      </c>
      <c r="BK1525">
        <v>0</v>
      </c>
      <c r="BL1525">
        <v>0</v>
      </c>
      <c r="BO1525">
        <v>0</v>
      </c>
      <c r="BP1525">
        <v>0</v>
      </c>
      <c r="BW1525" t="str">
        <f>"18:46:32.532"</f>
        <v>18:46:32.532</v>
      </c>
      <c r="BZ1525">
        <v>0</v>
      </c>
      <c r="CA1525">
        <v>3008</v>
      </c>
      <c r="CB1525">
        <v>216</v>
      </c>
      <c r="CC1525">
        <v>506.25</v>
      </c>
      <c r="CD1525">
        <v>1</v>
      </c>
      <c r="CE1525">
        <v>1</v>
      </c>
      <c r="CF1525">
        <v>0</v>
      </c>
      <c r="CG1525">
        <v>1</v>
      </c>
      <c r="CH1525">
        <v>0</v>
      </c>
      <c r="CI1525">
        <v>0</v>
      </c>
      <c r="CJ1525">
        <v>0</v>
      </c>
      <c r="CK1525">
        <v>2</v>
      </c>
      <c r="CL1525">
        <v>0</v>
      </c>
      <c r="CM1525">
        <v>2</v>
      </c>
      <c r="CN1525">
        <v>0</v>
      </c>
      <c r="CO1525">
        <v>2</v>
      </c>
      <c r="CP1525" t="s">
        <v>119</v>
      </c>
      <c r="CQ1525">
        <v>145</v>
      </c>
      <c r="CR1525">
        <v>1</v>
      </c>
      <c r="CW1525">
        <v>9166406</v>
      </c>
      <c r="CY1525">
        <v>0</v>
      </c>
      <c r="CZ1525">
        <v>0</v>
      </c>
      <c r="DA1525">
        <v>0</v>
      </c>
      <c r="DB1525">
        <v>0</v>
      </c>
      <c r="DC1525">
        <v>0</v>
      </c>
      <c r="DD1525">
        <v>0</v>
      </c>
      <c r="DE1525">
        <v>0</v>
      </c>
      <c r="DF1525">
        <v>0</v>
      </c>
      <c r="DG1525">
        <v>0</v>
      </c>
      <c r="DH1525">
        <v>0</v>
      </c>
      <c r="DI1525">
        <v>0</v>
      </c>
    </row>
    <row r="1526" spans="1:113" x14ac:dyDescent="0.3">
      <c r="A1526" t="str">
        <f>"02/13/2022 18:46:32.774"</f>
        <v>02/13/2022 18:46:32.774</v>
      </c>
      <c r="C1526" t="str">
        <f t="shared" si="143"/>
        <v>FFDFD7C0</v>
      </c>
      <c r="D1526" t="s">
        <v>113</v>
      </c>
      <c r="E1526">
        <v>3</v>
      </c>
      <c r="F1526">
        <v>1003</v>
      </c>
      <c r="G1526" t="s">
        <v>114</v>
      </c>
      <c r="J1526" t="s">
        <v>115</v>
      </c>
      <c r="K1526">
        <v>0</v>
      </c>
      <c r="L1526">
        <v>3</v>
      </c>
      <c r="M1526">
        <v>0</v>
      </c>
      <c r="N1526">
        <v>2</v>
      </c>
      <c r="O1526">
        <v>1</v>
      </c>
      <c r="P1526">
        <v>0</v>
      </c>
      <c r="Q1526">
        <v>0</v>
      </c>
      <c r="S1526" t="str">
        <f>"18:46:32.531"</f>
        <v>18:46:32.531</v>
      </c>
      <c r="T1526" t="str">
        <f>"18:46:32.031"</f>
        <v>18:46:32.031</v>
      </c>
      <c r="U1526" t="str">
        <f t="shared" si="140"/>
        <v>AAB6EE</v>
      </c>
      <c r="V1526">
        <v>0</v>
      </c>
      <c r="W1526">
        <v>0</v>
      </c>
      <c r="X1526">
        <v>4</v>
      </c>
      <c r="Z1526">
        <v>0</v>
      </c>
      <c r="AA1526">
        <v>8</v>
      </c>
      <c r="AB1526">
        <v>3</v>
      </c>
      <c r="AC1526">
        <v>0</v>
      </c>
      <c r="AD1526">
        <v>10</v>
      </c>
      <c r="AE1526">
        <v>0</v>
      </c>
      <c r="AF1526">
        <v>0</v>
      </c>
      <c r="AG1526">
        <v>1</v>
      </c>
      <c r="AH1526">
        <v>1</v>
      </c>
      <c r="AI1526" t="s">
        <v>1143</v>
      </c>
      <c r="AJ1526">
        <v>35.226052000000003</v>
      </c>
      <c r="AK1526" t="s">
        <v>1144</v>
      </c>
      <c r="AL1526">
        <v>-76.051632999999995</v>
      </c>
      <c r="AM1526">
        <v>25</v>
      </c>
      <c r="AN1526">
        <v>2950</v>
      </c>
      <c r="AO1526" t="s">
        <v>118</v>
      </c>
      <c r="AP1526">
        <v>121</v>
      </c>
      <c r="AQ1526">
        <v>-100</v>
      </c>
      <c r="AR1526">
        <v>-128</v>
      </c>
      <c r="AZ1526">
        <v>4516</v>
      </c>
      <c r="BA1526">
        <v>1</v>
      </c>
      <c r="BB1526" t="str">
        <f t="shared" si="141"/>
        <v xml:space="preserve">N79NX   </v>
      </c>
      <c r="BC1526">
        <v>1</v>
      </c>
      <c r="BE1526">
        <v>0</v>
      </c>
      <c r="BF1526">
        <v>0</v>
      </c>
      <c r="BG1526">
        <v>0</v>
      </c>
      <c r="BH1526">
        <v>2800</v>
      </c>
      <c r="BI1526">
        <v>0</v>
      </c>
      <c r="BJ1526">
        <v>0</v>
      </c>
      <c r="BK1526">
        <v>0</v>
      </c>
      <c r="BL1526">
        <v>0</v>
      </c>
      <c r="BO1526">
        <v>0</v>
      </c>
      <c r="BP1526">
        <v>0</v>
      </c>
      <c r="BW1526" t="str">
        <f>"18:46:32.532"</f>
        <v>18:46:32.532</v>
      </c>
      <c r="BZ1526">
        <v>0</v>
      </c>
      <c r="CA1526">
        <v>3008</v>
      </c>
      <c r="CB1526">
        <v>216</v>
      </c>
      <c r="CC1526">
        <v>506.25</v>
      </c>
      <c r="CD1526">
        <v>1</v>
      </c>
      <c r="CE1526">
        <v>1</v>
      </c>
      <c r="CF1526">
        <v>0</v>
      </c>
      <c r="CG1526">
        <v>1</v>
      </c>
      <c r="CH1526">
        <v>0</v>
      </c>
      <c r="CI1526">
        <v>0</v>
      </c>
      <c r="CJ1526">
        <v>0</v>
      </c>
      <c r="CK1526">
        <v>2</v>
      </c>
      <c r="CL1526">
        <v>0</v>
      </c>
      <c r="CM1526">
        <v>2</v>
      </c>
      <c r="CN1526">
        <v>0</v>
      </c>
      <c r="CO1526">
        <v>2</v>
      </c>
      <c r="CP1526" t="s">
        <v>119</v>
      </c>
      <c r="CQ1526">
        <v>145</v>
      </c>
      <c r="CR1526">
        <v>1</v>
      </c>
      <c r="CW1526">
        <v>9166406</v>
      </c>
      <c r="CY1526">
        <v>0</v>
      </c>
      <c r="CZ1526">
        <v>0</v>
      </c>
      <c r="DA1526">
        <v>1</v>
      </c>
      <c r="DB1526">
        <v>0</v>
      </c>
      <c r="DC1526">
        <v>0</v>
      </c>
      <c r="DD1526">
        <v>0</v>
      </c>
      <c r="DE1526">
        <v>0</v>
      </c>
      <c r="DF1526">
        <v>0</v>
      </c>
      <c r="DG1526">
        <v>0</v>
      </c>
      <c r="DH1526">
        <v>0</v>
      </c>
      <c r="DI1526">
        <v>0</v>
      </c>
    </row>
    <row r="1527" spans="1:113" x14ac:dyDescent="0.3">
      <c r="A1527" t="str">
        <f>"02/13/2022 18:46:32.774"</f>
        <v>02/13/2022 18:46:32.774</v>
      </c>
      <c r="C1527" t="str">
        <f t="shared" si="143"/>
        <v>FFDFD7C0</v>
      </c>
      <c r="D1527" t="s">
        <v>113</v>
      </c>
      <c r="E1527">
        <v>4</v>
      </c>
      <c r="F1527">
        <v>1004</v>
      </c>
      <c r="G1527" t="s">
        <v>120</v>
      </c>
      <c r="J1527" t="s">
        <v>115</v>
      </c>
      <c r="K1527">
        <v>0</v>
      </c>
      <c r="L1527">
        <v>3</v>
      </c>
      <c r="M1527">
        <v>0</v>
      </c>
      <c r="N1527">
        <v>2</v>
      </c>
      <c r="O1527">
        <v>1</v>
      </c>
      <c r="P1527">
        <v>0</v>
      </c>
      <c r="Q1527">
        <v>0</v>
      </c>
      <c r="S1527" t="str">
        <f>"18:46:32.531"</f>
        <v>18:46:32.531</v>
      </c>
      <c r="T1527" t="str">
        <f>"18:46:32.031"</f>
        <v>18:46:32.031</v>
      </c>
      <c r="U1527" t="str">
        <f t="shared" si="140"/>
        <v>AAB6EE</v>
      </c>
      <c r="V1527">
        <v>0</v>
      </c>
      <c r="W1527">
        <v>0</v>
      </c>
      <c r="X1527">
        <v>4</v>
      </c>
      <c r="Z1527">
        <v>0</v>
      </c>
      <c r="AA1527">
        <v>8</v>
      </c>
      <c r="AB1527">
        <v>3</v>
      </c>
      <c r="AC1527">
        <v>0</v>
      </c>
      <c r="AD1527">
        <v>10</v>
      </c>
      <c r="AE1527">
        <v>0</v>
      </c>
      <c r="AF1527">
        <v>0</v>
      </c>
      <c r="AG1527">
        <v>1</v>
      </c>
      <c r="AH1527">
        <v>1</v>
      </c>
      <c r="AI1527" t="s">
        <v>1143</v>
      </c>
      <c r="AJ1527">
        <v>35.226052000000003</v>
      </c>
      <c r="AK1527" t="s">
        <v>1144</v>
      </c>
      <c r="AL1527">
        <v>-76.051632999999995</v>
      </c>
      <c r="AM1527">
        <v>25</v>
      </c>
      <c r="AN1527">
        <v>2950</v>
      </c>
      <c r="AO1527" t="s">
        <v>118</v>
      </c>
      <c r="AP1527">
        <v>121</v>
      </c>
      <c r="AQ1527">
        <v>-100</v>
      </c>
      <c r="AR1527">
        <v>-128</v>
      </c>
      <c r="AZ1527">
        <v>4516</v>
      </c>
      <c r="BA1527">
        <v>1</v>
      </c>
      <c r="BB1527" t="str">
        <f t="shared" si="141"/>
        <v xml:space="preserve">N79NX   </v>
      </c>
      <c r="BC1527">
        <v>1</v>
      </c>
      <c r="BE1527">
        <v>0</v>
      </c>
      <c r="BF1527">
        <v>0</v>
      </c>
      <c r="BG1527">
        <v>0</v>
      </c>
      <c r="BH1527">
        <v>2800</v>
      </c>
      <c r="BI1527">
        <v>0</v>
      </c>
      <c r="BJ1527">
        <v>0</v>
      </c>
      <c r="BK1527">
        <v>0</v>
      </c>
      <c r="BL1527">
        <v>0</v>
      </c>
      <c r="BO1527">
        <v>0</v>
      </c>
      <c r="BP1527">
        <v>0</v>
      </c>
      <c r="BW1527" t="str">
        <f>"18:46:32.532"</f>
        <v>18:46:32.532</v>
      </c>
      <c r="BZ1527">
        <v>0</v>
      </c>
      <c r="CA1527">
        <v>3008</v>
      </c>
      <c r="CB1527">
        <v>216</v>
      </c>
      <c r="CC1527">
        <v>506.25</v>
      </c>
      <c r="CD1527">
        <v>1</v>
      </c>
      <c r="CE1527">
        <v>1</v>
      </c>
      <c r="CF1527">
        <v>0</v>
      </c>
      <c r="CG1527">
        <v>1</v>
      </c>
      <c r="CH1527">
        <v>0</v>
      </c>
      <c r="CI1527">
        <v>0</v>
      </c>
      <c r="CJ1527">
        <v>0</v>
      </c>
      <c r="CK1527">
        <v>2</v>
      </c>
      <c r="CL1527">
        <v>0</v>
      </c>
      <c r="CM1527">
        <v>2</v>
      </c>
      <c r="CN1527">
        <v>0</v>
      </c>
      <c r="CO1527">
        <v>2</v>
      </c>
      <c r="CP1527" t="s">
        <v>119</v>
      </c>
      <c r="CQ1527">
        <v>145</v>
      </c>
      <c r="CR1527">
        <v>1</v>
      </c>
      <c r="CW1527">
        <v>9166406</v>
      </c>
      <c r="CY1527">
        <v>0</v>
      </c>
      <c r="CZ1527">
        <v>0</v>
      </c>
      <c r="DA1527">
        <v>1</v>
      </c>
      <c r="DB1527">
        <v>0</v>
      </c>
      <c r="DC1527">
        <v>0</v>
      </c>
      <c r="DD1527">
        <v>0</v>
      </c>
      <c r="DE1527">
        <v>0</v>
      </c>
      <c r="DF1527">
        <v>0</v>
      </c>
      <c r="DG1527">
        <v>0</v>
      </c>
      <c r="DH1527">
        <v>0</v>
      </c>
      <c r="DI1527">
        <v>0</v>
      </c>
    </row>
    <row r="1528" spans="1:113" x14ac:dyDescent="0.3">
      <c r="A1528" t="str">
        <f>"02/13/2022 18:46:33.664"</f>
        <v>02/13/2022 18:46:33.664</v>
      </c>
      <c r="C1528" t="str">
        <f t="shared" si="143"/>
        <v>FFDFD7C0</v>
      </c>
      <c r="D1528" t="s">
        <v>121</v>
      </c>
      <c r="E1528">
        <v>2</v>
      </c>
      <c r="H1528">
        <v>158</v>
      </c>
      <c r="I1528" t="s">
        <v>120</v>
      </c>
      <c r="J1528" t="s">
        <v>122</v>
      </c>
      <c r="K1528">
        <v>0</v>
      </c>
      <c r="L1528">
        <v>3</v>
      </c>
      <c r="M1528">
        <v>0</v>
      </c>
      <c r="N1528">
        <v>2</v>
      </c>
      <c r="O1528">
        <v>1</v>
      </c>
      <c r="P1528">
        <v>0</v>
      </c>
      <c r="Q1528">
        <v>0</v>
      </c>
      <c r="S1528" t="str">
        <f>"18:46:33.438"</f>
        <v>18:46:33.438</v>
      </c>
      <c r="T1528" t="str">
        <f>"18:46:33.038"</f>
        <v>18:46:33.038</v>
      </c>
      <c r="U1528" t="str">
        <f t="shared" si="140"/>
        <v>AAB6EE</v>
      </c>
      <c r="V1528">
        <v>0</v>
      </c>
      <c r="W1528">
        <v>0</v>
      </c>
      <c r="X1528">
        <v>4</v>
      </c>
      <c r="Z1528">
        <v>0</v>
      </c>
      <c r="AA1528">
        <v>8</v>
      </c>
      <c r="AB1528">
        <v>3</v>
      </c>
      <c r="AC1528">
        <v>0</v>
      </c>
      <c r="AD1528">
        <v>10</v>
      </c>
      <c r="AE1528">
        <v>0</v>
      </c>
      <c r="AF1528">
        <v>0</v>
      </c>
      <c r="AG1528">
        <v>1</v>
      </c>
      <c r="AH1528">
        <v>1</v>
      </c>
      <c r="AI1528" t="s">
        <v>1145</v>
      </c>
      <c r="AJ1528">
        <v>35.225622999999999</v>
      </c>
      <c r="AK1528" t="s">
        <v>1146</v>
      </c>
      <c r="AL1528">
        <v>-76.050967999999997</v>
      </c>
      <c r="AM1528">
        <v>25</v>
      </c>
      <c r="AN1528">
        <v>2950</v>
      </c>
      <c r="AO1528" t="s">
        <v>118</v>
      </c>
      <c r="AP1528">
        <v>120</v>
      </c>
      <c r="AQ1528">
        <v>-102</v>
      </c>
      <c r="AR1528">
        <v>-64</v>
      </c>
      <c r="AZ1528">
        <v>4516</v>
      </c>
      <c r="BA1528">
        <v>1</v>
      </c>
      <c r="BB1528" t="str">
        <f t="shared" si="141"/>
        <v xml:space="preserve">N79NX   </v>
      </c>
      <c r="BC1528">
        <v>1</v>
      </c>
      <c r="BE1528">
        <v>0</v>
      </c>
      <c r="BF1528">
        <v>0</v>
      </c>
      <c r="BG1528">
        <v>0</v>
      </c>
      <c r="BH1528">
        <v>2800</v>
      </c>
      <c r="BI1528">
        <v>0</v>
      </c>
      <c r="BJ1528">
        <v>0</v>
      </c>
      <c r="BK1528">
        <v>0</v>
      </c>
      <c r="BL1528">
        <v>0</v>
      </c>
      <c r="BO1528">
        <v>0</v>
      </c>
      <c r="BP1528">
        <v>0</v>
      </c>
      <c r="BW1528" t="str">
        <f>"18:46:33.442"</f>
        <v>18:46:33.442</v>
      </c>
      <c r="BZ1528">
        <v>0</v>
      </c>
      <c r="CA1528">
        <v>3008</v>
      </c>
      <c r="CB1528">
        <v>216</v>
      </c>
      <c r="CC1528">
        <v>506.25</v>
      </c>
      <c r="CD1528">
        <v>1</v>
      </c>
      <c r="CE1528">
        <v>1</v>
      </c>
      <c r="CF1528">
        <v>0</v>
      </c>
      <c r="CG1528">
        <v>1</v>
      </c>
      <c r="CH1528">
        <v>0</v>
      </c>
      <c r="CI1528">
        <v>0</v>
      </c>
      <c r="CJ1528">
        <v>0</v>
      </c>
      <c r="CK1528">
        <v>2</v>
      </c>
      <c r="CL1528">
        <v>0</v>
      </c>
      <c r="CM1528">
        <v>2</v>
      </c>
      <c r="CN1528">
        <v>0</v>
      </c>
      <c r="CO1528">
        <v>1</v>
      </c>
      <c r="CP1528" t="s">
        <v>119</v>
      </c>
      <c r="CQ1528">
        <v>145</v>
      </c>
      <c r="CR1528">
        <v>1</v>
      </c>
      <c r="CW1528">
        <v>9166874</v>
      </c>
      <c r="CY1528">
        <v>0</v>
      </c>
      <c r="CZ1528">
        <v>0</v>
      </c>
      <c r="DA1528">
        <v>0</v>
      </c>
      <c r="DB1528">
        <v>0</v>
      </c>
      <c r="DC1528">
        <v>0</v>
      </c>
      <c r="DD1528">
        <v>0</v>
      </c>
      <c r="DE1528">
        <v>0</v>
      </c>
      <c r="DF1528">
        <v>0</v>
      </c>
      <c r="DG1528">
        <v>0</v>
      </c>
      <c r="DH1528">
        <v>0</v>
      </c>
      <c r="DI1528">
        <v>0</v>
      </c>
    </row>
    <row r="1529" spans="1:113" x14ac:dyDescent="0.3">
      <c r="A1529" t="str">
        <f>"02/13/2022 18:46:33.664"</f>
        <v>02/13/2022 18:46:33.664</v>
      </c>
      <c r="C1529" t="str">
        <f t="shared" si="143"/>
        <v>FFDFD7C0</v>
      </c>
      <c r="D1529" t="s">
        <v>113</v>
      </c>
      <c r="E1529">
        <v>3</v>
      </c>
      <c r="F1529">
        <v>1003</v>
      </c>
      <c r="G1529" t="s">
        <v>114</v>
      </c>
      <c r="J1529" t="s">
        <v>115</v>
      </c>
      <c r="K1529">
        <v>0</v>
      </c>
      <c r="L1529">
        <v>3</v>
      </c>
      <c r="M1529">
        <v>0</v>
      </c>
      <c r="N1529">
        <v>2</v>
      </c>
      <c r="O1529">
        <v>1</v>
      </c>
      <c r="P1529">
        <v>0</v>
      </c>
      <c r="Q1529">
        <v>0</v>
      </c>
      <c r="S1529" t="str">
        <f>"18:46:33.438"</f>
        <v>18:46:33.438</v>
      </c>
      <c r="T1529" t="str">
        <f>"18:46:33.038"</f>
        <v>18:46:33.038</v>
      </c>
      <c r="U1529" t="str">
        <f t="shared" si="140"/>
        <v>AAB6EE</v>
      </c>
      <c r="V1529">
        <v>0</v>
      </c>
      <c r="W1529">
        <v>0</v>
      </c>
      <c r="X1529">
        <v>4</v>
      </c>
      <c r="Z1529">
        <v>0</v>
      </c>
      <c r="AA1529">
        <v>8</v>
      </c>
      <c r="AB1529">
        <v>3</v>
      </c>
      <c r="AC1529">
        <v>0</v>
      </c>
      <c r="AD1529">
        <v>10</v>
      </c>
      <c r="AE1529">
        <v>0</v>
      </c>
      <c r="AF1529">
        <v>0</v>
      </c>
      <c r="AG1529">
        <v>1</v>
      </c>
      <c r="AH1529">
        <v>1</v>
      </c>
      <c r="AI1529" t="s">
        <v>1145</v>
      </c>
      <c r="AJ1529">
        <v>35.225622999999999</v>
      </c>
      <c r="AK1529" t="s">
        <v>1146</v>
      </c>
      <c r="AL1529">
        <v>-76.050967999999997</v>
      </c>
      <c r="AM1529">
        <v>25</v>
      </c>
      <c r="AN1529">
        <v>2950</v>
      </c>
      <c r="AO1529" t="s">
        <v>118</v>
      </c>
      <c r="AP1529">
        <v>120</v>
      </c>
      <c r="AQ1529">
        <v>-102</v>
      </c>
      <c r="AR1529">
        <v>-64</v>
      </c>
      <c r="AZ1529">
        <v>4516</v>
      </c>
      <c r="BA1529">
        <v>1</v>
      </c>
      <c r="BB1529" t="str">
        <f t="shared" si="141"/>
        <v xml:space="preserve">N79NX   </v>
      </c>
      <c r="BC1529">
        <v>1</v>
      </c>
      <c r="BE1529">
        <v>0</v>
      </c>
      <c r="BF1529">
        <v>0</v>
      </c>
      <c r="BG1529">
        <v>0</v>
      </c>
      <c r="BH1529">
        <v>2800</v>
      </c>
      <c r="BI1529">
        <v>0</v>
      </c>
      <c r="BJ1529">
        <v>0</v>
      </c>
      <c r="BK1529">
        <v>0</v>
      </c>
      <c r="BL1529">
        <v>0</v>
      </c>
      <c r="BO1529">
        <v>0</v>
      </c>
      <c r="BP1529">
        <v>0</v>
      </c>
      <c r="BW1529" t="str">
        <f>"18:46:33.442"</f>
        <v>18:46:33.442</v>
      </c>
      <c r="BZ1529">
        <v>0</v>
      </c>
      <c r="CA1529">
        <v>3008</v>
      </c>
      <c r="CB1529">
        <v>216</v>
      </c>
      <c r="CC1529">
        <v>506.25</v>
      </c>
      <c r="CD1529">
        <v>1</v>
      </c>
      <c r="CE1529">
        <v>1</v>
      </c>
      <c r="CF1529">
        <v>0</v>
      </c>
      <c r="CG1529">
        <v>1</v>
      </c>
      <c r="CH1529">
        <v>0</v>
      </c>
      <c r="CI1529">
        <v>0</v>
      </c>
      <c r="CJ1529">
        <v>0</v>
      </c>
      <c r="CK1529">
        <v>2</v>
      </c>
      <c r="CL1529">
        <v>0</v>
      </c>
      <c r="CM1529">
        <v>2</v>
      </c>
      <c r="CN1529">
        <v>0</v>
      </c>
      <c r="CO1529">
        <v>1</v>
      </c>
      <c r="CP1529" t="s">
        <v>119</v>
      </c>
      <c r="CQ1529">
        <v>145</v>
      </c>
      <c r="CR1529">
        <v>1</v>
      </c>
      <c r="CW1529">
        <v>9166874</v>
      </c>
      <c r="CY1529">
        <v>0</v>
      </c>
      <c r="CZ1529">
        <v>0</v>
      </c>
      <c r="DA1529">
        <v>1</v>
      </c>
      <c r="DB1529">
        <v>0</v>
      </c>
      <c r="DC1529">
        <v>0</v>
      </c>
      <c r="DD1529">
        <v>0</v>
      </c>
      <c r="DE1529">
        <v>0</v>
      </c>
      <c r="DF1529">
        <v>0</v>
      </c>
      <c r="DG1529">
        <v>0</v>
      </c>
      <c r="DH1529">
        <v>0</v>
      </c>
      <c r="DI1529">
        <v>0</v>
      </c>
    </row>
    <row r="1530" spans="1:113" x14ac:dyDescent="0.3">
      <c r="A1530" t="str">
        <f>"02/13/2022 18:46:33.664"</f>
        <v>02/13/2022 18:46:33.664</v>
      </c>
      <c r="C1530" t="str">
        <f t="shared" si="143"/>
        <v>FFDFD7C0</v>
      </c>
      <c r="D1530" t="s">
        <v>113</v>
      </c>
      <c r="E1530">
        <v>4</v>
      </c>
      <c r="F1530">
        <v>1004</v>
      </c>
      <c r="G1530" t="s">
        <v>120</v>
      </c>
      <c r="J1530" t="s">
        <v>115</v>
      </c>
      <c r="K1530">
        <v>0</v>
      </c>
      <c r="L1530">
        <v>3</v>
      </c>
      <c r="M1530">
        <v>0</v>
      </c>
      <c r="N1530">
        <v>2</v>
      </c>
      <c r="O1530">
        <v>1</v>
      </c>
      <c r="P1530">
        <v>0</v>
      </c>
      <c r="Q1530">
        <v>0</v>
      </c>
      <c r="S1530" t="str">
        <f>"18:46:33.438"</f>
        <v>18:46:33.438</v>
      </c>
      <c r="T1530" t="str">
        <f>"18:46:33.038"</f>
        <v>18:46:33.038</v>
      </c>
      <c r="U1530" t="str">
        <f t="shared" si="140"/>
        <v>AAB6EE</v>
      </c>
      <c r="V1530">
        <v>0</v>
      </c>
      <c r="W1530">
        <v>0</v>
      </c>
      <c r="X1530">
        <v>4</v>
      </c>
      <c r="Z1530">
        <v>0</v>
      </c>
      <c r="AA1530">
        <v>8</v>
      </c>
      <c r="AB1530">
        <v>3</v>
      </c>
      <c r="AC1530">
        <v>0</v>
      </c>
      <c r="AD1530">
        <v>10</v>
      </c>
      <c r="AE1530">
        <v>0</v>
      </c>
      <c r="AF1530">
        <v>0</v>
      </c>
      <c r="AG1530">
        <v>1</v>
      </c>
      <c r="AH1530">
        <v>1</v>
      </c>
      <c r="AI1530" t="s">
        <v>1145</v>
      </c>
      <c r="AJ1530">
        <v>35.225622999999999</v>
      </c>
      <c r="AK1530" t="s">
        <v>1146</v>
      </c>
      <c r="AL1530">
        <v>-76.050967999999997</v>
      </c>
      <c r="AM1530">
        <v>25</v>
      </c>
      <c r="AN1530">
        <v>2950</v>
      </c>
      <c r="AO1530" t="s">
        <v>118</v>
      </c>
      <c r="AP1530">
        <v>120</v>
      </c>
      <c r="AQ1530">
        <v>-102</v>
      </c>
      <c r="AR1530">
        <v>-64</v>
      </c>
      <c r="AZ1530">
        <v>4516</v>
      </c>
      <c r="BA1530">
        <v>1</v>
      </c>
      <c r="BB1530" t="str">
        <f t="shared" si="141"/>
        <v xml:space="preserve">N79NX   </v>
      </c>
      <c r="BC1530">
        <v>1</v>
      </c>
      <c r="BE1530">
        <v>0</v>
      </c>
      <c r="BF1530">
        <v>0</v>
      </c>
      <c r="BG1530">
        <v>0</v>
      </c>
      <c r="BH1530">
        <v>2800</v>
      </c>
      <c r="BI1530">
        <v>0</v>
      </c>
      <c r="BJ1530">
        <v>0</v>
      </c>
      <c r="BK1530">
        <v>0</v>
      </c>
      <c r="BL1530">
        <v>0</v>
      </c>
      <c r="BO1530">
        <v>0</v>
      </c>
      <c r="BP1530">
        <v>0</v>
      </c>
      <c r="BW1530" t="str">
        <f>"18:46:33.442"</f>
        <v>18:46:33.442</v>
      </c>
      <c r="BZ1530">
        <v>0</v>
      </c>
      <c r="CA1530">
        <v>3008</v>
      </c>
      <c r="CB1530">
        <v>216</v>
      </c>
      <c r="CC1530">
        <v>506.25</v>
      </c>
      <c r="CD1530">
        <v>1</v>
      </c>
      <c r="CE1530">
        <v>1</v>
      </c>
      <c r="CF1530">
        <v>0</v>
      </c>
      <c r="CG1530">
        <v>1</v>
      </c>
      <c r="CH1530">
        <v>0</v>
      </c>
      <c r="CI1530">
        <v>0</v>
      </c>
      <c r="CJ1530">
        <v>0</v>
      </c>
      <c r="CK1530">
        <v>2</v>
      </c>
      <c r="CL1530">
        <v>0</v>
      </c>
      <c r="CM1530">
        <v>2</v>
      </c>
      <c r="CN1530">
        <v>0</v>
      </c>
      <c r="CO1530">
        <v>1</v>
      </c>
      <c r="CP1530" t="s">
        <v>119</v>
      </c>
      <c r="CQ1530">
        <v>145</v>
      </c>
      <c r="CR1530">
        <v>1</v>
      </c>
      <c r="CW1530">
        <v>9166874</v>
      </c>
      <c r="CY1530">
        <v>0</v>
      </c>
      <c r="CZ1530">
        <v>0</v>
      </c>
      <c r="DA1530">
        <v>1</v>
      </c>
      <c r="DB1530">
        <v>0</v>
      </c>
      <c r="DC1530">
        <v>0</v>
      </c>
      <c r="DD1530">
        <v>0</v>
      </c>
      <c r="DE1530">
        <v>0</v>
      </c>
      <c r="DF1530">
        <v>0</v>
      </c>
      <c r="DG1530">
        <v>0</v>
      </c>
      <c r="DH1530">
        <v>0</v>
      </c>
      <c r="DI1530">
        <v>0</v>
      </c>
    </row>
    <row r="1531" spans="1:113" x14ac:dyDescent="0.3">
      <c r="A1531" t="str">
        <f>"02/13/2022 18:46:34.714"</f>
        <v>02/13/2022 18:46:34.714</v>
      </c>
      <c r="C1531" t="str">
        <f t="shared" si="143"/>
        <v>FFDFD7C0</v>
      </c>
      <c r="D1531" t="s">
        <v>113</v>
      </c>
      <c r="E1531">
        <v>4</v>
      </c>
      <c r="F1531">
        <v>1004</v>
      </c>
      <c r="G1531" t="s">
        <v>120</v>
      </c>
      <c r="J1531" t="s">
        <v>115</v>
      </c>
      <c r="K1531">
        <v>0</v>
      </c>
      <c r="L1531">
        <v>3</v>
      </c>
      <c r="M1531">
        <v>0</v>
      </c>
      <c r="N1531">
        <v>2</v>
      </c>
      <c r="O1531">
        <v>1</v>
      </c>
      <c r="P1531">
        <v>0</v>
      </c>
      <c r="Q1531">
        <v>0</v>
      </c>
      <c r="S1531" t="str">
        <f t="shared" ref="S1531:T1533" si="145">"18:46:34.492"</f>
        <v>18:46:34.492</v>
      </c>
      <c r="T1531" t="str">
        <f t="shared" si="145"/>
        <v>18:46:34.492</v>
      </c>
      <c r="U1531" t="str">
        <f t="shared" si="140"/>
        <v>AAB6EE</v>
      </c>
      <c r="V1531">
        <v>0</v>
      </c>
      <c r="W1531">
        <v>0</v>
      </c>
      <c r="X1531">
        <v>4</v>
      </c>
      <c r="Z1531">
        <v>0</v>
      </c>
      <c r="AA1531">
        <v>8</v>
      </c>
      <c r="AB1531">
        <v>3</v>
      </c>
      <c r="AC1531">
        <v>0</v>
      </c>
      <c r="AD1531">
        <v>10</v>
      </c>
      <c r="AE1531">
        <v>0</v>
      </c>
      <c r="AF1531">
        <v>0</v>
      </c>
      <c r="AG1531">
        <v>1</v>
      </c>
      <c r="AH1531">
        <v>1</v>
      </c>
      <c r="AI1531" t="s">
        <v>1147</v>
      </c>
      <c r="AJ1531">
        <v>35.225150999999997</v>
      </c>
      <c r="AK1531" t="s">
        <v>1148</v>
      </c>
      <c r="AL1531">
        <v>-76.050346000000005</v>
      </c>
      <c r="AM1531">
        <v>25</v>
      </c>
      <c r="AN1531">
        <v>2950</v>
      </c>
      <c r="AO1531" t="s">
        <v>118</v>
      </c>
      <c r="AP1531">
        <v>119</v>
      </c>
      <c r="AQ1531">
        <v>-104</v>
      </c>
      <c r="AR1531">
        <v>-64</v>
      </c>
      <c r="AZ1531">
        <v>4516</v>
      </c>
      <c r="BA1531">
        <v>1</v>
      </c>
      <c r="BB1531" t="str">
        <f t="shared" si="141"/>
        <v xml:space="preserve">N79NX   </v>
      </c>
      <c r="BC1531">
        <v>1</v>
      </c>
      <c r="BE1531">
        <v>0</v>
      </c>
      <c r="BF1531">
        <v>0</v>
      </c>
      <c r="BG1531">
        <v>0</v>
      </c>
      <c r="BH1531">
        <v>2800</v>
      </c>
      <c r="BI1531">
        <v>0</v>
      </c>
      <c r="BJ1531">
        <v>0</v>
      </c>
      <c r="BK1531">
        <v>0</v>
      </c>
      <c r="BL1531">
        <v>0</v>
      </c>
      <c r="BO1531">
        <v>0</v>
      </c>
      <c r="BP1531">
        <v>0</v>
      </c>
      <c r="BW1531" t="str">
        <f>"18:46:34.492"</f>
        <v>18:46:34.492</v>
      </c>
      <c r="BZ1531">
        <v>0</v>
      </c>
      <c r="CA1531">
        <v>3008</v>
      </c>
      <c r="CB1531">
        <v>216</v>
      </c>
      <c r="CC1531">
        <v>506.25</v>
      </c>
      <c r="CD1531">
        <v>1</v>
      </c>
      <c r="CE1531">
        <v>1</v>
      </c>
      <c r="CF1531">
        <v>0</v>
      </c>
      <c r="CG1531">
        <v>1</v>
      </c>
      <c r="CH1531">
        <v>0</v>
      </c>
      <c r="CI1531">
        <v>0</v>
      </c>
      <c r="CJ1531">
        <v>0</v>
      </c>
      <c r="CK1531">
        <v>2</v>
      </c>
      <c r="CL1531">
        <v>0</v>
      </c>
      <c r="CM1531">
        <v>2</v>
      </c>
      <c r="CN1531">
        <v>0</v>
      </c>
      <c r="CO1531">
        <v>1</v>
      </c>
      <c r="CP1531" t="s">
        <v>119</v>
      </c>
      <c r="CQ1531">
        <v>145</v>
      </c>
      <c r="CR1531">
        <v>1</v>
      </c>
      <c r="CW1531">
        <v>9167441</v>
      </c>
      <c r="CY1531">
        <v>0</v>
      </c>
      <c r="CZ1531">
        <v>0</v>
      </c>
      <c r="DA1531">
        <v>0</v>
      </c>
      <c r="DB1531">
        <v>0</v>
      </c>
      <c r="DC1531">
        <v>0</v>
      </c>
      <c r="DD1531">
        <v>0</v>
      </c>
      <c r="DE1531">
        <v>0</v>
      </c>
      <c r="DF1531">
        <v>0</v>
      </c>
      <c r="DG1531">
        <v>0</v>
      </c>
      <c r="DH1531">
        <v>0</v>
      </c>
      <c r="DI1531">
        <v>0</v>
      </c>
    </row>
    <row r="1532" spans="1:113" x14ac:dyDescent="0.3">
      <c r="A1532" t="str">
        <f>"02/13/2022 18:46:34.746"</f>
        <v>02/13/2022 18:46:34.746</v>
      </c>
      <c r="C1532" t="str">
        <f t="shared" si="143"/>
        <v>FFDFD7C0</v>
      </c>
      <c r="D1532" t="s">
        <v>121</v>
      </c>
      <c r="E1532">
        <v>2</v>
      </c>
      <c r="H1532">
        <v>158</v>
      </c>
      <c r="I1532" t="s">
        <v>120</v>
      </c>
      <c r="J1532" t="s">
        <v>122</v>
      </c>
      <c r="K1532">
        <v>0</v>
      </c>
      <c r="L1532">
        <v>3</v>
      </c>
      <c r="M1532">
        <v>0</v>
      </c>
      <c r="N1532">
        <v>2</v>
      </c>
      <c r="O1532">
        <v>1</v>
      </c>
      <c r="P1532">
        <v>0</v>
      </c>
      <c r="Q1532">
        <v>0</v>
      </c>
      <c r="S1532" t="str">
        <f t="shared" si="145"/>
        <v>18:46:34.492</v>
      </c>
      <c r="T1532" t="str">
        <f t="shared" si="145"/>
        <v>18:46:34.492</v>
      </c>
      <c r="U1532" t="str">
        <f t="shared" si="140"/>
        <v>AAB6EE</v>
      </c>
      <c r="V1532">
        <v>0</v>
      </c>
      <c r="W1532">
        <v>0</v>
      </c>
      <c r="X1532">
        <v>4</v>
      </c>
      <c r="Z1532">
        <v>0</v>
      </c>
      <c r="AA1532">
        <v>8</v>
      </c>
      <c r="AB1532">
        <v>3</v>
      </c>
      <c r="AC1532">
        <v>0</v>
      </c>
      <c r="AD1532">
        <v>10</v>
      </c>
      <c r="AE1532">
        <v>0</v>
      </c>
      <c r="AF1532">
        <v>0</v>
      </c>
      <c r="AG1532">
        <v>1</v>
      </c>
      <c r="AH1532">
        <v>1</v>
      </c>
      <c r="AI1532" t="s">
        <v>1147</v>
      </c>
      <c r="AJ1532">
        <v>35.225150999999997</v>
      </c>
      <c r="AK1532" t="s">
        <v>1148</v>
      </c>
      <c r="AL1532">
        <v>-76.050346000000005</v>
      </c>
      <c r="AM1532">
        <v>25</v>
      </c>
      <c r="AN1532">
        <v>2950</v>
      </c>
      <c r="AO1532" t="s">
        <v>118</v>
      </c>
      <c r="AP1532">
        <v>119</v>
      </c>
      <c r="AQ1532">
        <v>-104</v>
      </c>
      <c r="AR1532">
        <v>-64</v>
      </c>
      <c r="AZ1532">
        <v>4516</v>
      </c>
      <c r="BA1532">
        <v>1</v>
      </c>
      <c r="BB1532" t="str">
        <f t="shared" si="141"/>
        <v xml:space="preserve">N79NX   </v>
      </c>
      <c r="BC1532">
        <v>1</v>
      </c>
      <c r="BE1532">
        <v>0</v>
      </c>
      <c r="BF1532">
        <v>0</v>
      </c>
      <c r="BG1532">
        <v>0</v>
      </c>
      <c r="BH1532">
        <v>2800</v>
      </c>
      <c r="BI1532">
        <v>0</v>
      </c>
      <c r="BJ1532">
        <v>0</v>
      </c>
      <c r="BK1532">
        <v>0</v>
      </c>
      <c r="BL1532">
        <v>0</v>
      </c>
      <c r="BO1532">
        <v>0</v>
      </c>
      <c r="BP1532">
        <v>0</v>
      </c>
      <c r="BW1532" t="str">
        <f>"18:46:34.492"</f>
        <v>18:46:34.492</v>
      </c>
      <c r="BZ1532">
        <v>0</v>
      </c>
      <c r="CA1532">
        <v>3008</v>
      </c>
      <c r="CB1532">
        <v>216</v>
      </c>
      <c r="CC1532">
        <v>506.25</v>
      </c>
      <c r="CD1532">
        <v>1</v>
      </c>
      <c r="CE1532">
        <v>1</v>
      </c>
      <c r="CF1532">
        <v>0</v>
      </c>
      <c r="CG1532">
        <v>1</v>
      </c>
      <c r="CH1532">
        <v>0</v>
      </c>
      <c r="CI1532">
        <v>0</v>
      </c>
      <c r="CJ1532">
        <v>0</v>
      </c>
      <c r="CK1532">
        <v>2</v>
      </c>
      <c r="CL1532">
        <v>0</v>
      </c>
      <c r="CM1532">
        <v>2</v>
      </c>
      <c r="CN1532">
        <v>0</v>
      </c>
      <c r="CO1532">
        <v>1</v>
      </c>
      <c r="CP1532" t="s">
        <v>119</v>
      </c>
      <c r="CQ1532">
        <v>145</v>
      </c>
      <c r="CR1532">
        <v>1</v>
      </c>
      <c r="CW1532">
        <v>9167441</v>
      </c>
      <c r="CY1532">
        <v>0</v>
      </c>
      <c r="CZ1532">
        <v>0</v>
      </c>
      <c r="DA1532">
        <v>1</v>
      </c>
      <c r="DB1532">
        <v>0</v>
      </c>
      <c r="DC1532">
        <v>0</v>
      </c>
      <c r="DD1532">
        <v>0</v>
      </c>
      <c r="DE1532">
        <v>0</v>
      </c>
      <c r="DF1532">
        <v>0</v>
      </c>
      <c r="DG1532">
        <v>0</v>
      </c>
      <c r="DH1532">
        <v>0</v>
      </c>
      <c r="DI1532">
        <v>0</v>
      </c>
    </row>
    <row r="1533" spans="1:113" x14ac:dyDescent="0.3">
      <c r="A1533" t="str">
        <f>"02/13/2022 18:46:34.746"</f>
        <v>02/13/2022 18:46:34.746</v>
      </c>
      <c r="C1533" t="str">
        <f t="shared" si="143"/>
        <v>FFDFD7C0</v>
      </c>
      <c r="D1533" t="s">
        <v>113</v>
      </c>
      <c r="E1533">
        <v>3</v>
      </c>
      <c r="F1533">
        <v>1003</v>
      </c>
      <c r="G1533" t="s">
        <v>114</v>
      </c>
      <c r="J1533" t="s">
        <v>115</v>
      </c>
      <c r="K1533">
        <v>0</v>
      </c>
      <c r="L1533">
        <v>3</v>
      </c>
      <c r="M1533">
        <v>0</v>
      </c>
      <c r="N1533">
        <v>2</v>
      </c>
      <c r="O1533">
        <v>1</v>
      </c>
      <c r="P1533">
        <v>0</v>
      </c>
      <c r="Q1533">
        <v>0</v>
      </c>
      <c r="S1533" t="str">
        <f t="shared" si="145"/>
        <v>18:46:34.492</v>
      </c>
      <c r="T1533" t="str">
        <f t="shared" si="145"/>
        <v>18:46:34.492</v>
      </c>
      <c r="U1533" t="str">
        <f t="shared" si="140"/>
        <v>AAB6EE</v>
      </c>
      <c r="V1533">
        <v>0</v>
      </c>
      <c r="W1533">
        <v>0</v>
      </c>
      <c r="X1533">
        <v>4</v>
      </c>
      <c r="Z1533">
        <v>0</v>
      </c>
      <c r="AA1533">
        <v>8</v>
      </c>
      <c r="AB1533">
        <v>3</v>
      </c>
      <c r="AC1533">
        <v>0</v>
      </c>
      <c r="AD1533">
        <v>10</v>
      </c>
      <c r="AE1533">
        <v>0</v>
      </c>
      <c r="AF1533">
        <v>0</v>
      </c>
      <c r="AG1533">
        <v>1</v>
      </c>
      <c r="AH1533">
        <v>1</v>
      </c>
      <c r="AI1533" t="s">
        <v>1147</v>
      </c>
      <c r="AJ1533">
        <v>35.225150999999997</v>
      </c>
      <c r="AK1533" t="s">
        <v>1148</v>
      </c>
      <c r="AL1533">
        <v>-76.050346000000005</v>
      </c>
      <c r="AM1533">
        <v>25</v>
      </c>
      <c r="AN1533">
        <v>2950</v>
      </c>
      <c r="AO1533" t="s">
        <v>118</v>
      </c>
      <c r="AP1533">
        <v>119</v>
      </c>
      <c r="AQ1533">
        <v>-104</v>
      </c>
      <c r="AR1533">
        <v>-64</v>
      </c>
      <c r="AZ1533">
        <v>4516</v>
      </c>
      <c r="BA1533">
        <v>1</v>
      </c>
      <c r="BB1533" t="str">
        <f t="shared" si="141"/>
        <v xml:space="preserve">N79NX   </v>
      </c>
      <c r="BC1533">
        <v>1</v>
      </c>
      <c r="BE1533">
        <v>0</v>
      </c>
      <c r="BF1533">
        <v>0</v>
      </c>
      <c r="BG1533">
        <v>0</v>
      </c>
      <c r="BH1533">
        <v>2800</v>
      </c>
      <c r="BI1533">
        <v>0</v>
      </c>
      <c r="BJ1533">
        <v>0</v>
      </c>
      <c r="BK1533">
        <v>0</v>
      </c>
      <c r="BL1533">
        <v>0</v>
      </c>
      <c r="BO1533">
        <v>0</v>
      </c>
      <c r="BP1533">
        <v>0</v>
      </c>
      <c r="BW1533" t="str">
        <f>"18:46:34.492"</f>
        <v>18:46:34.492</v>
      </c>
      <c r="BZ1533">
        <v>0</v>
      </c>
      <c r="CA1533">
        <v>3008</v>
      </c>
      <c r="CB1533">
        <v>216</v>
      </c>
      <c r="CC1533">
        <v>506.25</v>
      </c>
      <c r="CD1533">
        <v>1</v>
      </c>
      <c r="CE1533">
        <v>1</v>
      </c>
      <c r="CF1533">
        <v>0</v>
      </c>
      <c r="CG1533">
        <v>1</v>
      </c>
      <c r="CH1533">
        <v>0</v>
      </c>
      <c r="CI1533">
        <v>0</v>
      </c>
      <c r="CJ1533">
        <v>0</v>
      </c>
      <c r="CK1533">
        <v>2</v>
      </c>
      <c r="CL1533">
        <v>0</v>
      </c>
      <c r="CM1533">
        <v>2</v>
      </c>
      <c r="CN1533">
        <v>0</v>
      </c>
      <c r="CO1533">
        <v>1</v>
      </c>
      <c r="CP1533" t="s">
        <v>119</v>
      </c>
      <c r="CQ1533">
        <v>145</v>
      </c>
      <c r="CR1533">
        <v>1</v>
      </c>
      <c r="CW1533">
        <v>9167441</v>
      </c>
      <c r="CY1533">
        <v>0</v>
      </c>
      <c r="CZ1533">
        <v>0</v>
      </c>
      <c r="DA1533">
        <v>1</v>
      </c>
      <c r="DB1533">
        <v>0</v>
      </c>
      <c r="DC1533">
        <v>0</v>
      </c>
      <c r="DD1533">
        <v>0</v>
      </c>
      <c r="DE1533">
        <v>0</v>
      </c>
      <c r="DF1533">
        <v>0</v>
      </c>
      <c r="DG1533">
        <v>0</v>
      </c>
      <c r="DH1533">
        <v>0</v>
      </c>
      <c r="DI1533">
        <v>0</v>
      </c>
    </row>
    <row r="1534" spans="1:113" x14ac:dyDescent="0.3">
      <c r="A1534" t="str">
        <f>"02/13/2022 18:46:35.652"</f>
        <v>02/13/2022 18:46:35.652</v>
      </c>
      <c r="C1534" t="str">
        <f t="shared" si="143"/>
        <v>FFDFD7C0</v>
      </c>
      <c r="D1534" t="s">
        <v>121</v>
      </c>
      <c r="E1534">
        <v>2</v>
      </c>
      <c r="H1534">
        <v>158</v>
      </c>
      <c r="I1534" t="s">
        <v>120</v>
      </c>
      <c r="J1534" t="s">
        <v>122</v>
      </c>
      <c r="K1534">
        <v>0</v>
      </c>
      <c r="L1534">
        <v>3</v>
      </c>
      <c r="M1534">
        <v>0</v>
      </c>
      <c r="N1534">
        <v>2</v>
      </c>
      <c r="O1534">
        <v>1</v>
      </c>
      <c r="P1534">
        <v>0</v>
      </c>
      <c r="Q1534">
        <v>0</v>
      </c>
      <c r="S1534" t="str">
        <f>"18:46:35.422"</f>
        <v>18:46:35.422</v>
      </c>
      <c r="T1534" t="str">
        <f>"18:46:35.322"</f>
        <v>18:46:35.322</v>
      </c>
      <c r="U1534" t="str">
        <f t="shared" si="140"/>
        <v>AAB6EE</v>
      </c>
      <c r="V1534">
        <v>0</v>
      </c>
      <c r="W1534">
        <v>0</v>
      </c>
      <c r="X1534">
        <v>4</v>
      </c>
      <c r="Z1534">
        <v>0</v>
      </c>
      <c r="AA1534">
        <v>8</v>
      </c>
      <c r="AB1534">
        <v>3</v>
      </c>
      <c r="AC1534">
        <v>0</v>
      </c>
      <c r="AD1534">
        <v>10</v>
      </c>
      <c r="AE1534">
        <v>0</v>
      </c>
      <c r="AF1534">
        <v>0</v>
      </c>
      <c r="AG1534">
        <v>1</v>
      </c>
      <c r="AH1534">
        <v>1</v>
      </c>
      <c r="AI1534" t="s">
        <v>1149</v>
      </c>
      <c r="AJ1534">
        <v>35.224679000000002</v>
      </c>
      <c r="AK1534" t="s">
        <v>1150</v>
      </c>
      <c r="AL1534">
        <v>-76.049659000000005</v>
      </c>
      <c r="AM1534">
        <v>25</v>
      </c>
      <c r="AN1534">
        <v>2925</v>
      </c>
      <c r="AO1534" t="s">
        <v>118</v>
      </c>
      <c r="AP1534">
        <v>118</v>
      </c>
      <c r="AQ1534">
        <v>-105</v>
      </c>
      <c r="AR1534">
        <v>-64</v>
      </c>
      <c r="AZ1534">
        <v>4516</v>
      </c>
      <c r="BA1534">
        <v>1</v>
      </c>
      <c r="BB1534" t="str">
        <f t="shared" si="141"/>
        <v xml:space="preserve">N79NX   </v>
      </c>
      <c r="BC1534">
        <v>1</v>
      </c>
      <c r="BE1534">
        <v>0</v>
      </c>
      <c r="BF1534">
        <v>0</v>
      </c>
      <c r="BG1534">
        <v>0</v>
      </c>
      <c r="BH1534">
        <v>2775</v>
      </c>
      <c r="BI1534">
        <v>0</v>
      </c>
      <c r="BJ1534">
        <v>0</v>
      </c>
      <c r="BK1534">
        <v>0</v>
      </c>
      <c r="BL1534">
        <v>0</v>
      </c>
      <c r="BO1534">
        <v>0</v>
      </c>
      <c r="BP1534">
        <v>0</v>
      </c>
      <c r="BW1534" t="str">
        <f>"18:46:35.422"</f>
        <v>18:46:35.422</v>
      </c>
      <c r="BZ1534">
        <v>0</v>
      </c>
      <c r="CA1534">
        <v>3008</v>
      </c>
      <c r="CB1534">
        <v>216</v>
      </c>
      <c r="CC1534">
        <v>506.25</v>
      </c>
      <c r="CD1534">
        <v>1</v>
      </c>
      <c r="CE1534">
        <v>1</v>
      </c>
      <c r="CF1534">
        <v>0</v>
      </c>
      <c r="CG1534">
        <v>1</v>
      </c>
      <c r="CH1534">
        <v>0</v>
      </c>
      <c r="CI1534">
        <v>0</v>
      </c>
      <c r="CJ1534">
        <v>0</v>
      </c>
      <c r="CK1534">
        <v>2</v>
      </c>
      <c r="CL1534">
        <v>0</v>
      </c>
      <c r="CM1534">
        <v>2</v>
      </c>
      <c r="CN1534">
        <v>0</v>
      </c>
      <c r="CO1534">
        <v>1</v>
      </c>
      <c r="CP1534" t="s">
        <v>119</v>
      </c>
      <c r="CQ1534">
        <v>145</v>
      </c>
      <c r="CR1534">
        <v>1</v>
      </c>
      <c r="CW1534">
        <v>9167895</v>
      </c>
      <c r="CY1534">
        <v>0</v>
      </c>
      <c r="CZ1534">
        <v>0</v>
      </c>
      <c r="DA1534">
        <v>0</v>
      </c>
      <c r="DB1534">
        <v>0</v>
      </c>
      <c r="DC1534">
        <v>0</v>
      </c>
      <c r="DD1534">
        <v>0</v>
      </c>
      <c r="DE1534">
        <v>0</v>
      </c>
      <c r="DF1534">
        <v>0</v>
      </c>
      <c r="DG1534">
        <v>0</v>
      </c>
      <c r="DH1534">
        <v>0</v>
      </c>
      <c r="DI1534">
        <v>0</v>
      </c>
    </row>
    <row r="1535" spans="1:113" x14ac:dyDescent="0.3">
      <c r="A1535" t="str">
        <f>"02/13/2022 18:46:35.652"</f>
        <v>02/13/2022 18:46:35.652</v>
      </c>
      <c r="C1535" t="str">
        <f t="shared" si="143"/>
        <v>FFDFD7C0</v>
      </c>
      <c r="D1535" t="s">
        <v>113</v>
      </c>
      <c r="E1535">
        <v>3</v>
      </c>
      <c r="F1535">
        <v>1003</v>
      </c>
      <c r="G1535" t="s">
        <v>114</v>
      </c>
      <c r="J1535" t="s">
        <v>115</v>
      </c>
      <c r="K1535">
        <v>0</v>
      </c>
      <c r="L1535">
        <v>3</v>
      </c>
      <c r="M1535">
        <v>0</v>
      </c>
      <c r="N1535">
        <v>2</v>
      </c>
      <c r="O1535">
        <v>1</v>
      </c>
      <c r="P1535">
        <v>0</v>
      </c>
      <c r="Q1535">
        <v>0</v>
      </c>
      <c r="S1535" t="str">
        <f>"18:46:35.422"</f>
        <v>18:46:35.422</v>
      </c>
      <c r="T1535" t="str">
        <f>"18:46:35.322"</f>
        <v>18:46:35.322</v>
      </c>
      <c r="U1535" t="str">
        <f t="shared" si="140"/>
        <v>AAB6EE</v>
      </c>
      <c r="V1535">
        <v>0</v>
      </c>
      <c r="W1535">
        <v>0</v>
      </c>
      <c r="X1535">
        <v>4</v>
      </c>
      <c r="Z1535">
        <v>0</v>
      </c>
      <c r="AA1535">
        <v>8</v>
      </c>
      <c r="AB1535">
        <v>3</v>
      </c>
      <c r="AC1535">
        <v>0</v>
      </c>
      <c r="AD1535">
        <v>10</v>
      </c>
      <c r="AE1535">
        <v>0</v>
      </c>
      <c r="AF1535">
        <v>0</v>
      </c>
      <c r="AG1535">
        <v>1</v>
      </c>
      <c r="AH1535">
        <v>1</v>
      </c>
      <c r="AI1535" t="s">
        <v>1149</v>
      </c>
      <c r="AJ1535">
        <v>35.224679000000002</v>
      </c>
      <c r="AK1535" t="s">
        <v>1150</v>
      </c>
      <c r="AL1535">
        <v>-76.049659000000005</v>
      </c>
      <c r="AM1535">
        <v>25</v>
      </c>
      <c r="AN1535">
        <v>2925</v>
      </c>
      <c r="AO1535" t="s">
        <v>118</v>
      </c>
      <c r="AP1535">
        <v>118</v>
      </c>
      <c r="AQ1535">
        <v>-105</v>
      </c>
      <c r="AR1535">
        <v>-64</v>
      </c>
      <c r="AZ1535">
        <v>4516</v>
      </c>
      <c r="BA1535">
        <v>1</v>
      </c>
      <c r="BB1535" t="str">
        <f t="shared" si="141"/>
        <v xml:space="preserve">N79NX   </v>
      </c>
      <c r="BC1535">
        <v>1</v>
      </c>
      <c r="BE1535">
        <v>0</v>
      </c>
      <c r="BF1535">
        <v>0</v>
      </c>
      <c r="BG1535">
        <v>0</v>
      </c>
      <c r="BH1535">
        <v>2775</v>
      </c>
      <c r="BI1535">
        <v>0</v>
      </c>
      <c r="BJ1535">
        <v>0</v>
      </c>
      <c r="BK1535">
        <v>0</v>
      </c>
      <c r="BL1535">
        <v>0</v>
      </c>
      <c r="BO1535">
        <v>0</v>
      </c>
      <c r="BP1535">
        <v>0</v>
      </c>
      <c r="BW1535" t="str">
        <f>"18:46:35.422"</f>
        <v>18:46:35.422</v>
      </c>
      <c r="BZ1535">
        <v>0</v>
      </c>
      <c r="CA1535">
        <v>3008</v>
      </c>
      <c r="CB1535">
        <v>216</v>
      </c>
      <c r="CC1535">
        <v>506.25</v>
      </c>
      <c r="CD1535">
        <v>1</v>
      </c>
      <c r="CE1535">
        <v>1</v>
      </c>
      <c r="CF1535">
        <v>0</v>
      </c>
      <c r="CG1535">
        <v>1</v>
      </c>
      <c r="CH1535">
        <v>0</v>
      </c>
      <c r="CI1535">
        <v>0</v>
      </c>
      <c r="CJ1535">
        <v>0</v>
      </c>
      <c r="CK1535">
        <v>2</v>
      </c>
      <c r="CL1535">
        <v>0</v>
      </c>
      <c r="CM1535">
        <v>2</v>
      </c>
      <c r="CN1535">
        <v>0</v>
      </c>
      <c r="CO1535">
        <v>1</v>
      </c>
      <c r="CP1535" t="s">
        <v>119</v>
      </c>
      <c r="CQ1535">
        <v>145</v>
      </c>
      <c r="CR1535">
        <v>1</v>
      </c>
      <c r="CW1535">
        <v>9167895</v>
      </c>
      <c r="CY1535">
        <v>0</v>
      </c>
      <c r="CZ1535">
        <v>0</v>
      </c>
      <c r="DA1535">
        <v>1</v>
      </c>
      <c r="DB1535">
        <v>0</v>
      </c>
      <c r="DC1535">
        <v>0</v>
      </c>
      <c r="DD1535">
        <v>0</v>
      </c>
      <c r="DE1535">
        <v>0</v>
      </c>
      <c r="DF1535">
        <v>0</v>
      </c>
      <c r="DG1535">
        <v>0</v>
      </c>
      <c r="DH1535">
        <v>0</v>
      </c>
      <c r="DI1535">
        <v>0</v>
      </c>
    </row>
    <row r="1536" spans="1:113" x14ac:dyDescent="0.3">
      <c r="A1536" t="str">
        <f>"02/13/2022 18:46:35.652"</f>
        <v>02/13/2022 18:46:35.652</v>
      </c>
      <c r="C1536" t="str">
        <f t="shared" si="143"/>
        <v>FFDFD7C0</v>
      </c>
      <c r="D1536" t="s">
        <v>113</v>
      </c>
      <c r="E1536">
        <v>4</v>
      </c>
      <c r="F1536">
        <v>1004</v>
      </c>
      <c r="G1536" t="s">
        <v>120</v>
      </c>
      <c r="J1536" t="s">
        <v>115</v>
      </c>
      <c r="K1536">
        <v>0</v>
      </c>
      <c r="L1536">
        <v>3</v>
      </c>
      <c r="M1536">
        <v>0</v>
      </c>
      <c r="N1536">
        <v>2</v>
      </c>
      <c r="O1536">
        <v>1</v>
      </c>
      <c r="P1536">
        <v>0</v>
      </c>
      <c r="Q1536">
        <v>0</v>
      </c>
      <c r="S1536" t="str">
        <f>"18:46:35.422"</f>
        <v>18:46:35.422</v>
      </c>
      <c r="T1536" t="str">
        <f>"18:46:35.322"</f>
        <v>18:46:35.322</v>
      </c>
      <c r="U1536" t="str">
        <f t="shared" si="140"/>
        <v>AAB6EE</v>
      </c>
      <c r="V1536">
        <v>0</v>
      </c>
      <c r="W1536">
        <v>0</v>
      </c>
      <c r="X1536">
        <v>4</v>
      </c>
      <c r="Z1536">
        <v>0</v>
      </c>
      <c r="AA1536">
        <v>8</v>
      </c>
      <c r="AB1536">
        <v>3</v>
      </c>
      <c r="AC1536">
        <v>0</v>
      </c>
      <c r="AD1536">
        <v>10</v>
      </c>
      <c r="AE1536">
        <v>0</v>
      </c>
      <c r="AF1536">
        <v>0</v>
      </c>
      <c r="AG1536">
        <v>1</v>
      </c>
      <c r="AH1536">
        <v>1</v>
      </c>
      <c r="AI1536" t="s">
        <v>1149</v>
      </c>
      <c r="AJ1536">
        <v>35.224679000000002</v>
      </c>
      <c r="AK1536" t="s">
        <v>1150</v>
      </c>
      <c r="AL1536">
        <v>-76.049659000000005</v>
      </c>
      <c r="AM1536">
        <v>25</v>
      </c>
      <c r="AN1536">
        <v>2925</v>
      </c>
      <c r="AO1536" t="s">
        <v>118</v>
      </c>
      <c r="AP1536">
        <v>118</v>
      </c>
      <c r="AQ1536">
        <v>-105</v>
      </c>
      <c r="AR1536">
        <v>-64</v>
      </c>
      <c r="AZ1536">
        <v>4516</v>
      </c>
      <c r="BA1536">
        <v>1</v>
      </c>
      <c r="BB1536" t="str">
        <f t="shared" si="141"/>
        <v xml:space="preserve">N79NX   </v>
      </c>
      <c r="BC1536">
        <v>1</v>
      </c>
      <c r="BE1536">
        <v>0</v>
      </c>
      <c r="BF1536">
        <v>0</v>
      </c>
      <c r="BG1536">
        <v>0</v>
      </c>
      <c r="BH1536">
        <v>2775</v>
      </c>
      <c r="BI1536">
        <v>0</v>
      </c>
      <c r="BJ1536">
        <v>0</v>
      </c>
      <c r="BK1536">
        <v>0</v>
      </c>
      <c r="BL1536">
        <v>0</v>
      </c>
      <c r="BO1536">
        <v>0</v>
      </c>
      <c r="BP1536">
        <v>0</v>
      </c>
      <c r="BW1536" t="str">
        <f>"18:46:35.422"</f>
        <v>18:46:35.422</v>
      </c>
      <c r="BZ1536">
        <v>0</v>
      </c>
      <c r="CA1536">
        <v>3008</v>
      </c>
      <c r="CB1536">
        <v>216</v>
      </c>
      <c r="CC1536">
        <v>506.25</v>
      </c>
      <c r="CD1536">
        <v>1</v>
      </c>
      <c r="CE1536">
        <v>1</v>
      </c>
      <c r="CF1536">
        <v>0</v>
      </c>
      <c r="CG1536">
        <v>1</v>
      </c>
      <c r="CH1536">
        <v>0</v>
      </c>
      <c r="CI1536">
        <v>0</v>
      </c>
      <c r="CJ1536">
        <v>0</v>
      </c>
      <c r="CK1536">
        <v>2</v>
      </c>
      <c r="CL1536">
        <v>0</v>
      </c>
      <c r="CM1536">
        <v>2</v>
      </c>
      <c r="CN1536">
        <v>0</v>
      </c>
      <c r="CO1536">
        <v>1</v>
      </c>
      <c r="CP1536" t="s">
        <v>119</v>
      </c>
      <c r="CQ1536">
        <v>145</v>
      </c>
      <c r="CR1536">
        <v>1</v>
      </c>
      <c r="CW1536">
        <v>9167895</v>
      </c>
      <c r="CY1536">
        <v>0</v>
      </c>
      <c r="CZ1536">
        <v>0</v>
      </c>
      <c r="DA1536">
        <v>1</v>
      </c>
      <c r="DB1536">
        <v>0</v>
      </c>
      <c r="DC1536">
        <v>0</v>
      </c>
      <c r="DD1536">
        <v>0</v>
      </c>
      <c r="DE1536">
        <v>0</v>
      </c>
      <c r="DF1536">
        <v>0</v>
      </c>
      <c r="DG1536">
        <v>0</v>
      </c>
      <c r="DH1536">
        <v>0</v>
      </c>
      <c r="DI1536">
        <v>0</v>
      </c>
    </row>
    <row r="1537" spans="1:113" x14ac:dyDescent="0.3">
      <c r="A1537" t="str">
        <f>"02/13/2022 18:46:36.590"</f>
        <v>02/13/2022 18:46:36.590</v>
      </c>
      <c r="C1537" t="str">
        <f t="shared" si="143"/>
        <v>FFDFD7C0</v>
      </c>
      <c r="D1537" t="s">
        <v>121</v>
      </c>
      <c r="E1537">
        <v>2</v>
      </c>
      <c r="H1537">
        <v>158</v>
      </c>
      <c r="I1537" t="s">
        <v>120</v>
      </c>
      <c r="J1537" t="s">
        <v>122</v>
      </c>
      <c r="K1537">
        <v>0</v>
      </c>
      <c r="L1537">
        <v>3</v>
      </c>
      <c r="M1537">
        <v>0</v>
      </c>
      <c r="N1537">
        <v>2</v>
      </c>
      <c r="O1537">
        <v>1</v>
      </c>
      <c r="P1537">
        <v>0</v>
      </c>
      <c r="Q1537">
        <v>0</v>
      </c>
      <c r="S1537" t="str">
        <f t="shared" ref="S1537:T1539" si="146">"18:46:36.359"</f>
        <v>18:46:36.359</v>
      </c>
      <c r="T1537" t="str">
        <f t="shared" si="146"/>
        <v>18:46:36.359</v>
      </c>
      <c r="U1537" t="str">
        <f t="shared" si="140"/>
        <v>AAB6EE</v>
      </c>
      <c r="V1537">
        <v>0</v>
      </c>
      <c r="W1537">
        <v>0</v>
      </c>
      <c r="X1537">
        <v>4</v>
      </c>
      <c r="Z1537">
        <v>0</v>
      </c>
      <c r="AA1537">
        <v>8</v>
      </c>
      <c r="AB1537">
        <v>3</v>
      </c>
      <c r="AC1537">
        <v>0</v>
      </c>
      <c r="AD1537">
        <v>10</v>
      </c>
      <c r="AE1537">
        <v>0</v>
      </c>
      <c r="AF1537">
        <v>0</v>
      </c>
      <c r="AG1537">
        <v>1</v>
      </c>
      <c r="AH1537">
        <v>1</v>
      </c>
      <c r="AI1537" t="s">
        <v>1151</v>
      </c>
      <c r="AJ1537">
        <v>35.224227999999997</v>
      </c>
      <c r="AK1537" t="s">
        <v>1152</v>
      </c>
      <c r="AL1537">
        <v>-76.049036999999998</v>
      </c>
      <c r="AM1537">
        <v>25</v>
      </c>
      <c r="AN1537">
        <v>2925</v>
      </c>
      <c r="AO1537" t="s">
        <v>118</v>
      </c>
      <c r="AP1537">
        <v>117</v>
      </c>
      <c r="AQ1537">
        <v>-106</v>
      </c>
      <c r="AR1537">
        <v>-64</v>
      </c>
      <c r="AZ1537">
        <v>4516</v>
      </c>
      <c r="BA1537">
        <v>1</v>
      </c>
      <c r="BB1537" t="str">
        <f t="shared" si="141"/>
        <v xml:space="preserve">N79NX   </v>
      </c>
      <c r="BC1537">
        <v>1</v>
      </c>
      <c r="BE1537">
        <v>0</v>
      </c>
      <c r="BF1537">
        <v>0</v>
      </c>
      <c r="BG1537">
        <v>0</v>
      </c>
      <c r="BH1537">
        <v>2775</v>
      </c>
      <c r="BI1537">
        <v>0</v>
      </c>
      <c r="BJ1537">
        <v>0</v>
      </c>
      <c r="BK1537">
        <v>0</v>
      </c>
      <c r="BL1537">
        <v>0</v>
      </c>
      <c r="BO1537">
        <v>0</v>
      </c>
      <c r="BP1537">
        <v>0</v>
      </c>
      <c r="BW1537" t="str">
        <f>"18:46:36.362"</f>
        <v>18:46:36.362</v>
      </c>
      <c r="BZ1537">
        <v>0</v>
      </c>
      <c r="CA1537">
        <v>3008</v>
      </c>
      <c r="CB1537">
        <v>216</v>
      </c>
      <c r="CC1537">
        <v>506.25</v>
      </c>
      <c r="CD1537">
        <v>1</v>
      </c>
      <c r="CE1537">
        <v>1</v>
      </c>
      <c r="CF1537">
        <v>0</v>
      </c>
      <c r="CG1537">
        <v>1</v>
      </c>
      <c r="CH1537">
        <v>0</v>
      </c>
      <c r="CI1537">
        <v>0</v>
      </c>
      <c r="CJ1537">
        <v>0</v>
      </c>
      <c r="CK1537">
        <v>2</v>
      </c>
      <c r="CL1537">
        <v>0</v>
      </c>
      <c r="CM1537">
        <v>2</v>
      </c>
      <c r="CN1537">
        <v>0</v>
      </c>
      <c r="CO1537">
        <v>1</v>
      </c>
      <c r="CP1537" t="s">
        <v>119</v>
      </c>
      <c r="CQ1537">
        <v>145</v>
      </c>
      <c r="CR1537">
        <v>1</v>
      </c>
      <c r="CW1537">
        <v>9168305</v>
      </c>
      <c r="CY1537">
        <v>0</v>
      </c>
      <c r="CZ1537">
        <v>0</v>
      </c>
      <c r="DA1537">
        <v>0</v>
      </c>
      <c r="DB1537">
        <v>0</v>
      </c>
      <c r="DC1537">
        <v>0</v>
      </c>
      <c r="DD1537">
        <v>0</v>
      </c>
      <c r="DE1537">
        <v>0</v>
      </c>
      <c r="DF1537">
        <v>0</v>
      </c>
      <c r="DG1537">
        <v>0</v>
      </c>
      <c r="DH1537">
        <v>0</v>
      </c>
      <c r="DI1537">
        <v>0</v>
      </c>
    </row>
    <row r="1538" spans="1:113" x14ac:dyDescent="0.3">
      <c r="A1538" t="str">
        <f>"02/13/2022 18:46:36.590"</f>
        <v>02/13/2022 18:46:36.590</v>
      </c>
      <c r="C1538" t="str">
        <f t="shared" si="143"/>
        <v>FFDFD7C0</v>
      </c>
      <c r="D1538" t="s">
        <v>113</v>
      </c>
      <c r="E1538">
        <v>3</v>
      </c>
      <c r="F1538">
        <v>1003</v>
      </c>
      <c r="G1538" t="s">
        <v>114</v>
      </c>
      <c r="J1538" t="s">
        <v>115</v>
      </c>
      <c r="K1538">
        <v>0</v>
      </c>
      <c r="L1538">
        <v>3</v>
      </c>
      <c r="M1538">
        <v>0</v>
      </c>
      <c r="N1538">
        <v>2</v>
      </c>
      <c r="O1538">
        <v>1</v>
      </c>
      <c r="P1538">
        <v>0</v>
      </c>
      <c r="Q1538">
        <v>0</v>
      </c>
      <c r="S1538" t="str">
        <f t="shared" si="146"/>
        <v>18:46:36.359</v>
      </c>
      <c r="T1538" t="str">
        <f t="shared" si="146"/>
        <v>18:46:36.359</v>
      </c>
      <c r="U1538" t="str">
        <f t="shared" ref="U1538:U1601" si="147">"AAB6EE"</f>
        <v>AAB6EE</v>
      </c>
      <c r="V1538">
        <v>0</v>
      </c>
      <c r="W1538">
        <v>0</v>
      </c>
      <c r="X1538">
        <v>4</v>
      </c>
      <c r="Z1538">
        <v>0</v>
      </c>
      <c r="AA1538">
        <v>8</v>
      </c>
      <c r="AB1538">
        <v>3</v>
      </c>
      <c r="AC1538">
        <v>0</v>
      </c>
      <c r="AD1538">
        <v>10</v>
      </c>
      <c r="AE1538">
        <v>0</v>
      </c>
      <c r="AF1538">
        <v>0</v>
      </c>
      <c r="AG1538">
        <v>1</v>
      </c>
      <c r="AH1538">
        <v>1</v>
      </c>
      <c r="AI1538" t="s">
        <v>1151</v>
      </c>
      <c r="AJ1538">
        <v>35.224227999999997</v>
      </c>
      <c r="AK1538" t="s">
        <v>1152</v>
      </c>
      <c r="AL1538">
        <v>-76.049036999999998</v>
      </c>
      <c r="AM1538">
        <v>25</v>
      </c>
      <c r="AN1538">
        <v>2925</v>
      </c>
      <c r="AO1538" t="s">
        <v>118</v>
      </c>
      <c r="AP1538">
        <v>117</v>
      </c>
      <c r="AQ1538">
        <v>-106</v>
      </c>
      <c r="AR1538">
        <v>-64</v>
      </c>
      <c r="AZ1538">
        <v>4516</v>
      </c>
      <c r="BA1538">
        <v>1</v>
      </c>
      <c r="BB1538" t="str">
        <f t="shared" si="141"/>
        <v xml:space="preserve">N79NX   </v>
      </c>
      <c r="BC1538">
        <v>1</v>
      </c>
      <c r="BE1538">
        <v>0</v>
      </c>
      <c r="BF1538">
        <v>0</v>
      </c>
      <c r="BG1538">
        <v>0</v>
      </c>
      <c r="BH1538">
        <v>2775</v>
      </c>
      <c r="BI1538">
        <v>0</v>
      </c>
      <c r="BJ1538">
        <v>0</v>
      </c>
      <c r="BK1538">
        <v>0</v>
      </c>
      <c r="BL1538">
        <v>0</v>
      </c>
      <c r="BO1538">
        <v>0</v>
      </c>
      <c r="BP1538">
        <v>0</v>
      </c>
      <c r="BW1538" t="str">
        <f>"18:46:36.362"</f>
        <v>18:46:36.362</v>
      </c>
      <c r="BZ1538">
        <v>0</v>
      </c>
      <c r="CA1538">
        <v>3008</v>
      </c>
      <c r="CB1538">
        <v>216</v>
      </c>
      <c r="CC1538">
        <v>506.25</v>
      </c>
      <c r="CD1538">
        <v>1</v>
      </c>
      <c r="CE1538">
        <v>1</v>
      </c>
      <c r="CF1538">
        <v>0</v>
      </c>
      <c r="CG1538">
        <v>1</v>
      </c>
      <c r="CH1538">
        <v>0</v>
      </c>
      <c r="CI1538">
        <v>0</v>
      </c>
      <c r="CJ1538">
        <v>0</v>
      </c>
      <c r="CK1538">
        <v>2</v>
      </c>
      <c r="CL1538">
        <v>0</v>
      </c>
      <c r="CM1538">
        <v>2</v>
      </c>
      <c r="CN1538">
        <v>0</v>
      </c>
      <c r="CO1538">
        <v>1</v>
      </c>
      <c r="CP1538" t="s">
        <v>119</v>
      </c>
      <c r="CQ1538">
        <v>145</v>
      </c>
      <c r="CR1538">
        <v>1</v>
      </c>
      <c r="CW1538">
        <v>9168305</v>
      </c>
      <c r="CY1538">
        <v>0</v>
      </c>
      <c r="CZ1538">
        <v>0</v>
      </c>
      <c r="DA1538">
        <v>1</v>
      </c>
      <c r="DB1538">
        <v>0</v>
      </c>
      <c r="DC1538">
        <v>0</v>
      </c>
      <c r="DD1538">
        <v>0</v>
      </c>
      <c r="DE1538">
        <v>0</v>
      </c>
      <c r="DF1538">
        <v>0</v>
      </c>
      <c r="DG1538">
        <v>0</v>
      </c>
      <c r="DH1538">
        <v>0</v>
      </c>
      <c r="DI1538">
        <v>0</v>
      </c>
    </row>
    <row r="1539" spans="1:113" x14ac:dyDescent="0.3">
      <c r="A1539" t="str">
        <f>"02/13/2022 18:46:36.590"</f>
        <v>02/13/2022 18:46:36.590</v>
      </c>
      <c r="C1539" t="str">
        <f t="shared" si="143"/>
        <v>FFDFD7C0</v>
      </c>
      <c r="D1539" t="s">
        <v>113</v>
      </c>
      <c r="E1539">
        <v>4</v>
      </c>
      <c r="F1539">
        <v>1004</v>
      </c>
      <c r="G1539" t="s">
        <v>120</v>
      </c>
      <c r="J1539" t="s">
        <v>115</v>
      </c>
      <c r="K1539">
        <v>0</v>
      </c>
      <c r="L1539">
        <v>3</v>
      </c>
      <c r="M1539">
        <v>0</v>
      </c>
      <c r="N1539">
        <v>2</v>
      </c>
      <c r="O1539">
        <v>1</v>
      </c>
      <c r="P1539">
        <v>0</v>
      </c>
      <c r="Q1539">
        <v>0</v>
      </c>
      <c r="S1539" t="str">
        <f t="shared" si="146"/>
        <v>18:46:36.359</v>
      </c>
      <c r="T1539" t="str">
        <f t="shared" si="146"/>
        <v>18:46:36.359</v>
      </c>
      <c r="U1539" t="str">
        <f t="shared" si="147"/>
        <v>AAB6EE</v>
      </c>
      <c r="V1539">
        <v>0</v>
      </c>
      <c r="W1539">
        <v>0</v>
      </c>
      <c r="X1539">
        <v>4</v>
      </c>
      <c r="Z1539">
        <v>0</v>
      </c>
      <c r="AA1539">
        <v>8</v>
      </c>
      <c r="AB1539">
        <v>3</v>
      </c>
      <c r="AC1539">
        <v>0</v>
      </c>
      <c r="AD1539">
        <v>10</v>
      </c>
      <c r="AE1539">
        <v>0</v>
      </c>
      <c r="AF1539">
        <v>0</v>
      </c>
      <c r="AG1539">
        <v>1</v>
      </c>
      <c r="AH1539">
        <v>1</v>
      </c>
      <c r="AI1539" t="s">
        <v>1151</v>
      </c>
      <c r="AJ1539">
        <v>35.224227999999997</v>
      </c>
      <c r="AK1539" t="s">
        <v>1152</v>
      </c>
      <c r="AL1539">
        <v>-76.049036999999998</v>
      </c>
      <c r="AM1539">
        <v>25</v>
      </c>
      <c r="AN1539">
        <v>2925</v>
      </c>
      <c r="AO1539" t="s">
        <v>118</v>
      </c>
      <c r="AP1539">
        <v>117</v>
      </c>
      <c r="AQ1539">
        <v>-106</v>
      </c>
      <c r="AR1539">
        <v>-64</v>
      </c>
      <c r="AZ1539">
        <v>4516</v>
      </c>
      <c r="BA1539">
        <v>1</v>
      </c>
      <c r="BB1539" t="str">
        <f t="shared" si="141"/>
        <v xml:space="preserve">N79NX   </v>
      </c>
      <c r="BC1539">
        <v>1</v>
      </c>
      <c r="BE1539">
        <v>0</v>
      </c>
      <c r="BF1539">
        <v>0</v>
      </c>
      <c r="BG1539">
        <v>0</v>
      </c>
      <c r="BH1539">
        <v>2775</v>
      </c>
      <c r="BI1539">
        <v>0</v>
      </c>
      <c r="BJ1539">
        <v>0</v>
      </c>
      <c r="BK1539">
        <v>0</v>
      </c>
      <c r="BL1539">
        <v>0</v>
      </c>
      <c r="BO1539">
        <v>0</v>
      </c>
      <c r="BP1539">
        <v>0</v>
      </c>
      <c r="BW1539" t="str">
        <f>"18:46:36.362"</f>
        <v>18:46:36.362</v>
      </c>
      <c r="BZ1539">
        <v>0</v>
      </c>
      <c r="CA1539">
        <v>3008</v>
      </c>
      <c r="CB1539">
        <v>216</v>
      </c>
      <c r="CC1539">
        <v>506.25</v>
      </c>
      <c r="CD1539">
        <v>1</v>
      </c>
      <c r="CE1539">
        <v>1</v>
      </c>
      <c r="CF1539">
        <v>0</v>
      </c>
      <c r="CG1539">
        <v>1</v>
      </c>
      <c r="CH1539">
        <v>0</v>
      </c>
      <c r="CI1539">
        <v>0</v>
      </c>
      <c r="CJ1539">
        <v>0</v>
      </c>
      <c r="CK1539">
        <v>2</v>
      </c>
      <c r="CL1539">
        <v>0</v>
      </c>
      <c r="CM1539">
        <v>2</v>
      </c>
      <c r="CN1539">
        <v>0</v>
      </c>
      <c r="CO1539">
        <v>1</v>
      </c>
      <c r="CP1539" t="s">
        <v>119</v>
      </c>
      <c r="CQ1539">
        <v>145</v>
      </c>
      <c r="CR1539">
        <v>1</v>
      </c>
      <c r="CW1539">
        <v>9168305</v>
      </c>
      <c r="CY1539">
        <v>0</v>
      </c>
      <c r="CZ1539">
        <v>0</v>
      </c>
      <c r="DA1539">
        <v>1</v>
      </c>
      <c r="DB1539">
        <v>0</v>
      </c>
      <c r="DC1539">
        <v>0</v>
      </c>
      <c r="DD1539">
        <v>0</v>
      </c>
      <c r="DE1539">
        <v>0</v>
      </c>
      <c r="DF1539">
        <v>0</v>
      </c>
      <c r="DG1539">
        <v>0</v>
      </c>
      <c r="DH1539">
        <v>0</v>
      </c>
      <c r="DI1539">
        <v>0</v>
      </c>
    </row>
    <row r="1540" spans="1:113" x14ac:dyDescent="0.3">
      <c r="A1540" t="str">
        <f>"02/13/2022 18:46:37.419"</f>
        <v>02/13/2022 18:46:37.419</v>
      </c>
      <c r="C1540" t="str">
        <f t="shared" si="143"/>
        <v>FFDFD7C0</v>
      </c>
      <c r="D1540" t="s">
        <v>113</v>
      </c>
      <c r="E1540">
        <v>3</v>
      </c>
      <c r="F1540">
        <v>1003</v>
      </c>
      <c r="G1540" t="s">
        <v>114</v>
      </c>
      <c r="J1540" t="s">
        <v>115</v>
      </c>
      <c r="K1540">
        <v>0</v>
      </c>
      <c r="L1540">
        <v>3</v>
      </c>
      <c r="M1540">
        <v>0</v>
      </c>
      <c r="N1540">
        <v>2</v>
      </c>
      <c r="O1540">
        <v>1</v>
      </c>
      <c r="P1540">
        <v>0</v>
      </c>
      <c r="Q1540">
        <v>0</v>
      </c>
      <c r="S1540" t="str">
        <f>"18:46:37.188"</f>
        <v>18:46:37.188</v>
      </c>
      <c r="T1540" t="str">
        <f>"18:46:36.988"</f>
        <v>18:46:36.988</v>
      </c>
      <c r="U1540" t="str">
        <f t="shared" si="147"/>
        <v>AAB6EE</v>
      </c>
      <c r="V1540">
        <v>0</v>
      </c>
      <c r="W1540">
        <v>0</v>
      </c>
      <c r="X1540">
        <v>4</v>
      </c>
      <c r="Z1540">
        <v>0</v>
      </c>
      <c r="AA1540">
        <v>8</v>
      </c>
      <c r="AB1540">
        <v>3</v>
      </c>
      <c r="AC1540">
        <v>0</v>
      </c>
      <c r="AD1540">
        <v>10</v>
      </c>
      <c r="AE1540">
        <v>0</v>
      </c>
      <c r="AF1540">
        <v>0</v>
      </c>
      <c r="AG1540">
        <v>1</v>
      </c>
      <c r="AH1540">
        <v>1</v>
      </c>
      <c r="AI1540" t="s">
        <v>1153</v>
      </c>
      <c r="AJ1540">
        <v>35.223820000000003</v>
      </c>
      <c r="AK1540" t="s">
        <v>1154</v>
      </c>
      <c r="AL1540">
        <v>-76.048542999999995</v>
      </c>
      <c r="AM1540">
        <v>25</v>
      </c>
      <c r="AN1540">
        <v>2925</v>
      </c>
      <c r="AO1540" t="s">
        <v>118</v>
      </c>
      <c r="AP1540">
        <v>117</v>
      </c>
      <c r="AQ1540">
        <v>-106</v>
      </c>
      <c r="AR1540">
        <v>-64</v>
      </c>
      <c r="AZ1540">
        <v>4516</v>
      </c>
      <c r="BA1540">
        <v>1</v>
      </c>
      <c r="BB1540" t="str">
        <f t="shared" si="141"/>
        <v xml:space="preserve">N79NX   </v>
      </c>
      <c r="BC1540">
        <v>1</v>
      </c>
      <c r="BE1540">
        <v>0</v>
      </c>
      <c r="BF1540">
        <v>0</v>
      </c>
      <c r="BG1540">
        <v>0</v>
      </c>
      <c r="BH1540">
        <v>2775</v>
      </c>
      <c r="BI1540">
        <v>0</v>
      </c>
      <c r="BJ1540">
        <v>0</v>
      </c>
      <c r="BK1540">
        <v>0</v>
      </c>
      <c r="BL1540">
        <v>0</v>
      </c>
      <c r="BO1540">
        <v>0</v>
      </c>
      <c r="BP1540">
        <v>0</v>
      </c>
      <c r="BW1540" t="str">
        <f>"18:46:37.192"</f>
        <v>18:46:37.192</v>
      </c>
      <c r="BZ1540">
        <v>0</v>
      </c>
      <c r="CA1540">
        <v>3008</v>
      </c>
      <c r="CB1540">
        <v>216</v>
      </c>
      <c r="CC1540">
        <v>506.25</v>
      </c>
      <c r="CD1540">
        <v>1</v>
      </c>
      <c r="CE1540">
        <v>1</v>
      </c>
      <c r="CF1540">
        <v>0</v>
      </c>
      <c r="CG1540">
        <v>1</v>
      </c>
      <c r="CH1540">
        <v>0</v>
      </c>
      <c r="CI1540">
        <v>0</v>
      </c>
      <c r="CJ1540">
        <v>0</v>
      </c>
      <c r="CK1540">
        <v>2</v>
      </c>
      <c r="CL1540">
        <v>0</v>
      </c>
      <c r="CM1540">
        <v>2</v>
      </c>
      <c r="CN1540">
        <v>0</v>
      </c>
      <c r="CO1540">
        <v>1</v>
      </c>
      <c r="CP1540" t="s">
        <v>119</v>
      </c>
      <c r="CQ1540">
        <v>145</v>
      </c>
      <c r="CR1540">
        <v>1</v>
      </c>
      <c r="CW1540">
        <v>9168703</v>
      </c>
      <c r="CY1540">
        <v>0</v>
      </c>
      <c r="CZ1540">
        <v>0</v>
      </c>
      <c r="DA1540">
        <v>0</v>
      </c>
      <c r="DB1540">
        <v>0</v>
      </c>
      <c r="DC1540">
        <v>0</v>
      </c>
      <c r="DD1540">
        <v>0</v>
      </c>
      <c r="DE1540">
        <v>0</v>
      </c>
      <c r="DF1540">
        <v>0</v>
      </c>
      <c r="DG1540">
        <v>0</v>
      </c>
      <c r="DH1540">
        <v>0</v>
      </c>
      <c r="DI1540">
        <v>0</v>
      </c>
    </row>
    <row r="1541" spans="1:113" x14ac:dyDescent="0.3">
      <c r="A1541" t="str">
        <f>"02/13/2022 18:46:37.434"</f>
        <v>02/13/2022 18:46:37.434</v>
      </c>
      <c r="C1541" t="str">
        <f t="shared" si="143"/>
        <v>FFDFD7C0</v>
      </c>
      <c r="D1541" t="s">
        <v>113</v>
      </c>
      <c r="E1541">
        <v>4</v>
      </c>
      <c r="F1541">
        <v>1004</v>
      </c>
      <c r="G1541" t="s">
        <v>120</v>
      </c>
      <c r="J1541" t="s">
        <v>115</v>
      </c>
      <c r="K1541">
        <v>0</v>
      </c>
      <c r="L1541">
        <v>3</v>
      </c>
      <c r="M1541">
        <v>0</v>
      </c>
      <c r="N1541">
        <v>2</v>
      </c>
      <c r="O1541">
        <v>1</v>
      </c>
      <c r="P1541">
        <v>0</v>
      </c>
      <c r="Q1541">
        <v>0</v>
      </c>
      <c r="S1541" t="str">
        <f>"18:46:37.188"</f>
        <v>18:46:37.188</v>
      </c>
      <c r="T1541" t="str">
        <f>"18:46:36.988"</f>
        <v>18:46:36.988</v>
      </c>
      <c r="U1541" t="str">
        <f t="shared" si="147"/>
        <v>AAB6EE</v>
      </c>
      <c r="V1541">
        <v>0</v>
      </c>
      <c r="W1541">
        <v>0</v>
      </c>
      <c r="X1541">
        <v>4</v>
      </c>
      <c r="Z1541">
        <v>0</v>
      </c>
      <c r="AA1541">
        <v>8</v>
      </c>
      <c r="AB1541">
        <v>3</v>
      </c>
      <c r="AC1541">
        <v>0</v>
      </c>
      <c r="AD1541">
        <v>10</v>
      </c>
      <c r="AE1541">
        <v>0</v>
      </c>
      <c r="AF1541">
        <v>0</v>
      </c>
      <c r="AG1541">
        <v>1</v>
      </c>
      <c r="AH1541">
        <v>1</v>
      </c>
      <c r="AI1541" t="s">
        <v>1153</v>
      </c>
      <c r="AJ1541">
        <v>35.223820000000003</v>
      </c>
      <c r="AK1541" t="s">
        <v>1154</v>
      </c>
      <c r="AL1541">
        <v>-76.048542999999995</v>
      </c>
      <c r="AM1541">
        <v>25</v>
      </c>
      <c r="AN1541">
        <v>2925</v>
      </c>
      <c r="AO1541" t="s">
        <v>118</v>
      </c>
      <c r="AP1541">
        <v>117</v>
      </c>
      <c r="AQ1541">
        <v>-106</v>
      </c>
      <c r="AR1541">
        <v>-64</v>
      </c>
      <c r="AZ1541">
        <v>4516</v>
      </c>
      <c r="BA1541">
        <v>1</v>
      </c>
      <c r="BB1541" t="str">
        <f t="shared" ref="BB1541:BB1604" si="148">"N79NX   "</f>
        <v xml:space="preserve">N79NX   </v>
      </c>
      <c r="BC1541">
        <v>1</v>
      </c>
      <c r="BE1541">
        <v>0</v>
      </c>
      <c r="BF1541">
        <v>0</v>
      </c>
      <c r="BG1541">
        <v>0</v>
      </c>
      <c r="BH1541">
        <v>2775</v>
      </c>
      <c r="BI1541">
        <v>0</v>
      </c>
      <c r="BJ1541">
        <v>0</v>
      </c>
      <c r="BK1541">
        <v>0</v>
      </c>
      <c r="BL1541">
        <v>0</v>
      </c>
      <c r="BO1541">
        <v>0</v>
      </c>
      <c r="BP1541">
        <v>0</v>
      </c>
      <c r="BW1541" t="str">
        <f>"18:46:37.192"</f>
        <v>18:46:37.192</v>
      </c>
      <c r="BZ1541">
        <v>0</v>
      </c>
      <c r="CA1541">
        <v>3008</v>
      </c>
      <c r="CB1541">
        <v>216</v>
      </c>
      <c r="CC1541">
        <v>506.25</v>
      </c>
      <c r="CD1541">
        <v>1</v>
      </c>
      <c r="CE1541">
        <v>1</v>
      </c>
      <c r="CF1541">
        <v>0</v>
      </c>
      <c r="CG1541">
        <v>1</v>
      </c>
      <c r="CH1541">
        <v>0</v>
      </c>
      <c r="CI1541">
        <v>0</v>
      </c>
      <c r="CJ1541">
        <v>0</v>
      </c>
      <c r="CK1541">
        <v>2</v>
      </c>
      <c r="CL1541">
        <v>0</v>
      </c>
      <c r="CM1541">
        <v>2</v>
      </c>
      <c r="CN1541">
        <v>0</v>
      </c>
      <c r="CO1541">
        <v>1</v>
      </c>
      <c r="CP1541" t="s">
        <v>119</v>
      </c>
      <c r="CQ1541">
        <v>145</v>
      </c>
      <c r="CR1541">
        <v>1</v>
      </c>
      <c r="CW1541">
        <v>9168703</v>
      </c>
      <c r="CY1541">
        <v>0</v>
      </c>
      <c r="CZ1541">
        <v>0</v>
      </c>
      <c r="DA1541">
        <v>1</v>
      </c>
      <c r="DB1541">
        <v>0</v>
      </c>
      <c r="DC1541">
        <v>0</v>
      </c>
      <c r="DD1541">
        <v>0</v>
      </c>
      <c r="DE1541">
        <v>0</v>
      </c>
      <c r="DF1541">
        <v>0</v>
      </c>
      <c r="DG1541">
        <v>0</v>
      </c>
      <c r="DH1541">
        <v>0</v>
      </c>
      <c r="DI1541">
        <v>0</v>
      </c>
    </row>
    <row r="1542" spans="1:113" x14ac:dyDescent="0.3">
      <c r="A1542" t="str">
        <f>"02/13/2022 18:46:37.419"</f>
        <v>02/13/2022 18:46:37.419</v>
      </c>
      <c r="C1542" t="str">
        <f t="shared" si="143"/>
        <v>FFDFD7C0</v>
      </c>
      <c r="D1542" t="s">
        <v>121</v>
      </c>
      <c r="E1542">
        <v>2</v>
      </c>
      <c r="H1542">
        <v>158</v>
      </c>
      <c r="I1542" t="s">
        <v>120</v>
      </c>
      <c r="J1542" t="s">
        <v>122</v>
      </c>
      <c r="K1542">
        <v>0</v>
      </c>
      <c r="L1542">
        <v>3</v>
      </c>
      <c r="M1542">
        <v>0</v>
      </c>
      <c r="N1542">
        <v>2</v>
      </c>
      <c r="O1542">
        <v>1</v>
      </c>
      <c r="P1542">
        <v>0</v>
      </c>
      <c r="Q1542">
        <v>0</v>
      </c>
      <c r="S1542" t="str">
        <f>"18:46:37.188"</f>
        <v>18:46:37.188</v>
      </c>
      <c r="T1542" t="str">
        <f>"18:46:36.988"</f>
        <v>18:46:36.988</v>
      </c>
      <c r="U1542" t="str">
        <f t="shared" si="147"/>
        <v>AAB6EE</v>
      </c>
      <c r="V1542">
        <v>0</v>
      </c>
      <c r="W1542">
        <v>0</v>
      </c>
      <c r="X1542">
        <v>4</v>
      </c>
      <c r="Z1542">
        <v>0</v>
      </c>
      <c r="AA1542">
        <v>8</v>
      </c>
      <c r="AB1542">
        <v>3</v>
      </c>
      <c r="AC1542">
        <v>0</v>
      </c>
      <c r="AD1542">
        <v>10</v>
      </c>
      <c r="AE1542">
        <v>0</v>
      </c>
      <c r="AF1542">
        <v>0</v>
      </c>
      <c r="AG1542">
        <v>1</v>
      </c>
      <c r="AH1542">
        <v>1</v>
      </c>
      <c r="AI1542" t="s">
        <v>1153</v>
      </c>
      <c r="AJ1542">
        <v>35.223820000000003</v>
      </c>
      <c r="AK1542" t="s">
        <v>1154</v>
      </c>
      <c r="AL1542">
        <v>-76.048542999999995</v>
      </c>
      <c r="AM1542">
        <v>25</v>
      </c>
      <c r="AN1542">
        <v>2925</v>
      </c>
      <c r="AO1542" t="s">
        <v>118</v>
      </c>
      <c r="AP1542">
        <v>117</v>
      </c>
      <c r="AQ1542">
        <v>-106</v>
      </c>
      <c r="AR1542">
        <v>-64</v>
      </c>
      <c r="AZ1542">
        <v>4516</v>
      </c>
      <c r="BA1542">
        <v>1</v>
      </c>
      <c r="BB1542" t="str">
        <f t="shared" si="148"/>
        <v xml:space="preserve">N79NX   </v>
      </c>
      <c r="BC1542">
        <v>1</v>
      </c>
      <c r="BE1542">
        <v>0</v>
      </c>
      <c r="BF1542">
        <v>0</v>
      </c>
      <c r="BG1542">
        <v>0</v>
      </c>
      <c r="BH1542">
        <v>2775</v>
      </c>
      <c r="BI1542">
        <v>0</v>
      </c>
      <c r="BJ1542">
        <v>0</v>
      </c>
      <c r="BK1542">
        <v>0</v>
      </c>
      <c r="BL1542">
        <v>0</v>
      </c>
      <c r="BO1542">
        <v>0</v>
      </c>
      <c r="BP1542">
        <v>0</v>
      </c>
      <c r="BW1542" t="str">
        <f>"18:46:37.192"</f>
        <v>18:46:37.192</v>
      </c>
      <c r="BZ1542">
        <v>0</v>
      </c>
      <c r="CA1542">
        <v>3008</v>
      </c>
      <c r="CB1542">
        <v>216</v>
      </c>
      <c r="CC1542">
        <v>506.25</v>
      </c>
      <c r="CD1542">
        <v>1</v>
      </c>
      <c r="CE1542">
        <v>1</v>
      </c>
      <c r="CF1542">
        <v>0</v>
      </c>
      <c r="CG1542">
        <v>1</v>
      </c>
      <c r="CH1542">
        <v>0</v>
      </c>
      <c r="CI1542">
        <v>0</v>
      </c>
      <c r="CJ1542">
        <v>0</v>
      </c>
      <c r="CK1542">
        <v>2</v>
      </c>
      <c r="CL1542">
        <v>0</v>
      </c>
      <c r="CM1542">
        <v>2</v>
      </c>
      <c r="CN1542">
        <v>0</v>
      </c>
      <c r="CO1542">
        <v>1</v>
      </c>
      <c r="CP1542" t="s">
        <v>119</v>
      </c>
      <c r="CQ1542">
        <v>145</v>
      </c>
      <c r="CR1542">
        <v>1</v>
      </c>
      <c r="CW1542">
        <v>9168703</v>
      </c>
      <c r="CY1542">
        <v>0</v>
      </c>
      <c r="CZ1542">
        <v>0</v>
      </c>
      <c r="DA1542">
        <v>1</v>
      </c>
      <c r="DB1542">
        <v>0</v>
      </c>
      <c r="DC1542">
        <v>0</v>
      </c>
      <c r="DD1542">
        <v>0</v>
      </c>
      <c r="DE1542">
        <v>0</v>
      </c>
      <c r="DF1542">
        <v>0</v>
      </c>
      <c r="DG1542">
        <v>0</v>
      </c>
      <c r="DH1542">
        <v>0</v>
      </c>
      <c r="DI1542">
        <v>0</v>
      </c>
    </row>
    <row r="1543" spans="1:113" x14ac:dyDescent="0.3">
      <c r="A1543" t="str">
        <f>"02/13/2022 18:46:38.919"</f>
        <v>02/13/2022 18:46:38.919</v>
      </c>
      <c r="C1543" t="str">
        <f t="shared" si="143"/>
        <v>FFDFD7C0</v>
      </c>
      <c r="D1543" t="s">
        <v>113</v>
      </c>
      <c r="E1543">
        <v>3</v>
      </c>
      <c r="F1543">
        <v>1003</v>
      </c>
      <c r="G1543" t="s">
        <v>114</v>
      </c>
      <c r="J1543" t="s">
        <v>115</v>
      </c>
      <c r="K1543">
        <v>0</v>
      </c>
      <c r="L1543">
        <v>3</v>
      </c>
      <c r="M1543">
        <v>0</v>
      </c>
      <c r="N1543">
        <v>2</v>
      </c>
      <c r="O1543">
        <v>1</v>
      </c>
      <c r="P1543">
        <v>0</v>
      </c>
      <c r="Q1543">
        <v>0</v>
      </c>
      <c r="S1543" t="str">
        <f>"18:46:38.672"</f>
        <v>18:46:38.672</v>
      </c>
      <c r="T1543" t="str">
        <f>"18:46:38.572"</f>
        <v>18:46:38.572</v>
      </c>
      <c r="U1543" t="str">
        <f t="shared" si="147"/>
        <v>AAB6EE</v>
      </c>
      <c r="V1543">
        <v>0</v>
      </c>
      <c r="W1543">
        <v>0</v>
      </c>
      <c r="X1543">
        <v>4</v>
      </c>
      <c r="Z1543">
        <v>0</v>
      </c>
      <c r="AA1543">
        <v>8</v>
      </c>
      <c r="AB1543">
        <v>3</v>
      </c>
      <c r="AC1543">
        <v>0</v>
      </c>
      <c r="AD1543">
        <v>10</v>
      </c>
      <c r="AE1543">
        <v>0</v>
      </c>
      <c r="AF1543">
        <v>0</v>
      </c>
      <c r="AG1543">
        <v>1</v>
      </c>
      <c r="AH1543">
        <v>1</v>
      </c>
      <c r="AI1543" t="s">
        <v>1155</v>
      </c>
      <c r="AJ1543">
        <v>35.223090999999997</v>
      </c>
      <c r="AK1543" t="s">
        <v>344</v>
      </c>
      <c r="AL1543">
        <v>-76.047534999999996</v>
      </c>
      <c r="AM1543">
        <v>25</v>
      </c>
      <c r="AN1543">
        <v>2925</v>
      </c>
      <c r="AO1543" t="s">
        <v>118</v>
      </c>
      <c r="AP1543">
        <v>116</v>
      </c>
      <c r="AQ1543">
        <v>-107</v>
      </c>
      <c r="AR1543">
        <v>0</v>
      </c>
      <c r="AZ1543">
        <v>4516</v>
      </c>
      <c r="BA1543">
        <v>1</v>
      </c>
      <c r="BB1543" t="str">
        <f t="shared" si="148"/>
        <v xml:space="preserve">N79NX   </v>
      </c>
      <c r="BC1543">
        <v>1</v>
      </c>
      <c r="BE1543">
        <v>0</v>
      </c>
      <c r="BF1543">
        <v>0</v>
      </c>
      <c r="BG1543">
        <v>0</v>
      </c>
      <c r="BH1543">
        <v>2775</v>
      </c>
      <c r="BI1543">
        <v>0</v>
      </c>
      <c r="BJ1543">
        <v>0</v>
      </c>
      <c r="BK1543">
        <v>0</v>
      </c>
      <c r="BL1543">
        <v>0</v>
      </c>
      <c r="BO1543">
        <v>0</v>
      </c>
      <c r="BP1543">
        <v>0</v>
      </c>
      <c r="BW1543" t="str">
        <f>"18:46:38.672"</f>
        <v>18:46:38.672</v>
      </c>
      <c r="BZ1543">
        <v>0</v>
      </c>
      <c r="CA1543">
        <v>3008</v>
      </c>
      <c r="CB1543">
        <v>216</v>
      </c>
      <c r="CC1543">
        <v>506.25</v>
      </c>
      <c r="CD1543">
        <v>1</v>
      </c>
      <c r="CE1543">
        <v>1</v>
      </c>
      <c r="CF1543">
        <v>0</v>
      </c>
      <c r="CG1543">
        <v>1</v>
      </c>
      <c r="CH1543">
        <v>0</v>
      </c>
      <c r="CI1543">
        <v>0</v>
      </c>
      <c r="CJ1543">
        <v>0</v>
      </c>
      <c r="CK1543">
        <v>2</v>
      </c>
      <c r="CL1543">
        <v>0</v>
      </c>
      <c r="CM1543">
        <v>2</v>
      </c>
      <c r="CN1543">
        <v>0</v>
      </c>
      <c r="CO1543">
        <v>2</v>
      </c>
      <c r="CP1543" t="s">
        <v>119</v>
      </c>
      <c r="CQ1543">
        <v>145</v>
      </c>
      <c r="CR1543">
        <v>1</v>
      </c>
      <c r="CW1543">
        <v>9169546</v>
      </c>
      <c r="CY1543">
        <v>0</v>
      </c>
      <c r="CZ1543">
        <v>0</v>
      </c>
      <c r="DA1543">
        <v>0</v>
      </c>
      <c r="DB1543">
        <v>0</v>
      </c>
      <c r="DC1543">
        <v>0</v>
      </c>
      <c r="DD1543">
        <v>0</v>
      </c>
      <c r="DE1543">
        <v>0</v>
      </c>
      <c r="DF1543">
        <v>0</v>
      </c>
      <c r="DG1543">
        <v>0</v>
      </c>
      <c r="DH1543">
        <v>0</v>
      </c>
      <c r="DI1543">
        <v>0</v>
      </c>
    </row>
    <row r="1544" spans="1:113" x14ac:dyDescent="0.3">
      <c r="A1544" t="str">
        <f>"02/13/2022 18:46:38.919"</f>
        <v>02/13/2022 18:46:38.919</v>
      </c>
      <c r="C1544" t="str">
        <f t="shared" si="143"/>
        <v>FFDFD7C0</v>
      </c>
      <c r="D1544" t="s">
        <v>121</v>
      </c>
      <c r="E1544">
        <v>2</v>
      </c>
      <c r="H1544">
        <v>158</v>
      </c>
      <c r="I1544" t="s">
        <v>120</v>
      </c>
      <c r="J1544" t="s">
        <v>122</v>
      </c>
      <c r="K1544">
        <v>0</v>
      </c>
      <c r="L1544">
        <v>3</v>
      </c>
      <c r="M1544">
        <v>0</v>
      </c>
      <c r="N1544">
        <v>2</v>
      </c>
      <c r="O1544">
        <v>1</v>
      </c>
      <c r="P1544">
        <v>0</v>
      </c>
      <c r="Q1544">
        <v>0</v>
      </c>
      <c r="S1544" t="str">
        <f>"18:46:38.672"</f>
        <v>18:46:38.672</v>
      </c>
      <c r="T1544" t="str">
        <f>"18:46:38.572"</f>
        <v>18:46:38.572</v>
      </c>
      <c r="U1544" t="str">
        <f t="shared" si="147"/>
        <v>AAB6EE</v>
      </c>
      <c r="V1544">
        <v>0</v>
      </c>
      <c r="W1544">
        <v>0</v>
      </c>
      <c r="X1544">
        <v>4</v>
      </c>
      <c r="Z1544">
        <v>0</v>
      </c>
      <c r="AA1544">
        <v>8</v>
      </c>
      <c r="AB1544">
        <v>3</v>
      </c>
      <c r="AC1544">
        <v>0</v>
      </c>
      <c r="AD1544">
        <v>10</v>
      </c>
      <c r="AE1544">
        <v>0</v>
      </c>
      <c r="AF1544">
        <v>0</v>
      </c>
      <c r="AG1544">
        <v>1</v>
      </c>
      <c r="AH1544">
        <v>1</v>
      </c>
      <c r="AI1544" t="s">
        <v>1155</v>
      </c>
      <c r="AJ1544">
        <v>35.223090999999997</v>
      </c>
      <c r="AK1544" t="s">
        <v>344</v>
      </c>
      <c r="AL1544">
        <v>-76.047534999999996</v>
      </c>
      <c r="AM1544">
        <v>25</v>
      </c>
      <c r="AN1544">
        <v>2925</v>
      </c>
      <c r="AO1544" t="s">
        <v>118</v>
      </c>
      <c r="AP1544">
        <v>116</v>
      </c>
      <c r="AQ1544">
        <v>-107</v>
      </c>
      <c r="AR1544">
        <v>0</v>
      </c>
      <c r="AZ1544">
        <v>4516</v>
      </c>
      <c r="BA1544">
        <v>1</v>
      </c>
      <c r="BB1544" t="str">
        <f t="shared" si="148"/>
        <v xml:space="preserve">N79NX   </v>
      </c>
      <c r="BC1544">
        <v>1</v>
      </c>
      <c r="BE1544">
        <v>0</v>
      </c>
      <c r="BF1544">
        <v>0</v>
      </c>
      <c r="BG1544">
        <v>0</v>
      </c>
      <c r="BH1544">
        <v>2775</v>
      </c>
      <c r="BI1544">
        <v>0</v>
      </c>
      <c r="BJ1544">
        <v>0</v>
      </c>
      <c r="BK1544">
        <v>0</v>
      </c>
      <c r="BL1544">
        <v>0</v>
      </c>
      <c r="BO1544">
        <v>0</v>
      </c>
      <c r="BP1544">
        <v>0</v>
      </c>
      <c r="BW1544" t="str">
        <f>"18:46:38.672"</f>
        <v>18:46:38.672</v>
      </c>
      <c r="BZ1544">
        <v>0</v>
      </c>
      <c r="CA1544">
        <v>3008</v>
      </c>
      <c r="CB1544">
        <v>216</v>
      </c>
      <c r="CC1544">
        <v>506.25</v>
      </c>
      <c r="CD1544">
        <v>1</v>
      </c>
      <c r="CE1544">
        <v>1</v>
      </c>
      <c r="CF1544">
        <v>0</v>
      </c>
      <c r="CG1544">
        <v>1</v>
      </c>
      <c r="CH1544">
        <v>0</v>
      </c>
      <c r="CI1544">
        <v>0</v>
      </c>
      <c r="CJ1544">
        <v>0</v>
      </c>
      <c r="CK1544">
        <v>2</v>
      </c>
      <c r="CL1544">
        <v>0</v>
      </c>
      <c r="CM1544">
        <v>2</v>
      </c>
      <c r="CN1544">
        <v>0</v>
      </c>
      <c r="CO1544">
        <v>2</v>
      </c>
      <c r="CP1544" t="s">
        <v>119</v>
      </c>
      <c r="CQ1544">
        <v>145</v>
      </c>
      <c r="CR1544">
        <v>1</v>
      </c>
      <c r="CW1544">
        <v>9169546</v>
      </c>
      <c r="CY1544">
        <v>0</v>
      </c>
      <c r="CZ1544">
        <v>0</v>
      </c>
      <c r="DA1544">
        <v>1</v>
      </c>
      <c r="DB1544">
        <v>0</v>
      </c>
      <c r="DC1544">
        <v>0</v>
      </c>
      <c r="DD1544">
        <v>0</v>
      </c>
      <c r="DE1544">
        <v>0</v>
      </c>
      <c r="DF1544">
        <v>0</v>
      </c>
      <c r="DG1544">
        <v>0</v>
      </c>
      <c r="DH1544">
        <v>0</v>
      </c>
      <c r="DI1544">
        <v>0</v>
      </c>
    </row>
    <row r="1545" spans="1:113" x14ac:dyDescent="0.3">
      <c r="A1545" t="str">
        <f>"02/13/2022 18:46:38.919"</f>
        <v>02/13/2022 18:46:38.919</v>
      </c>
      <c r="C1545" t="str">
        <f t="shared" si="143"/>
        <v>FFDFD7C0</v>
      </c>
      <c r="D1545" t="s">
        <v>113</v>
      </c>
      <c r="E1545">
        <v>4</v>
      </c>
      <c r="F1545">
        <v>1004</v>
      </c>
      <c r="G1545" t="s">
        <v>120</v>
      </c>
      <c r="J1545" t="s">
        <v>115</v>
      </c>
      <c r="K1545">
        <v>0</v>
      </c>
      <c r="L1545">
        <v>3</v>
      </c>
      <c r="M1545">
        <v>0</v>
      </c>
      <c r="N1545">
        <v>2</v>
      </c>
      <c r="O1545">
        <v>1</v>
      </c>
      <c r="P1545">
        <v>0</v>
      </c>
      <c r="Q1545">
        <v>0</v>
      </c>
      <c r="S1545" t="str">
        <f>"18:46:38.672"</f>
        <v>18:46:38.672</v>
      </c>
      <c r="T1545" t="str">
        <f>"18:46:38.572"</f>
        <v>18:46:38.572</v>
      </c>
      <c r="U1545" t="str">
        <f t="shared" si="147"/>
        <v>AAB6EE</v>
      </c>
      <c r="V1545">
        <v>0</v>
      </c>
      <c r="W1545">
        <v>0</v>
      </c>
      <c r="X1545">
        <v>4</v>
      </c>
      <c r="Z1545">
        <v>0</v>
      </c>
      <c r="AA1545">
        <v>8</v>
      </c>
      <c r="AB1545">
        <v>3</v>
      </c>
      <c r="AC1545">
        <v>0</v>
      </c>
      <c r="AD1545">
        <v>10</v>
      </c>
      <c r="AE1545">
        <v>0</v>
      </c>
      <c r="AF1545">
        <v>0</v>
      </c>
      <c r="AG1545">
        <v>1</v>
      </c>
      <c r="AH1545">
        <v>1</v>
      </c>
      <c r="AI1545" t="s">
        <v>1155</v>
      </c>
      <c r="AJ1545">
        <v>35.223090999999997</v>
      </c>
      <c r="AK1545" t="s">
        <v>344</v>
      </c>
      <c r="AL1545">
        <v>-76.047534999999996</v>
      </c>
      <c r="AM1545">
        <v>25</v>
      </c>
      <c r="AN1545">
        <v>2925</v>
      </c>
      <c r="AO1545" t="s">
        <v>118</v>
      </c>
      <c r="AP1545">
        <v>116</v>
      </c>
      <c r="AQ1545">
        <v>-107</v>
      </c>
      <c r="AR1545">
        <v>0</v>
      </c>
      <c r="AZ1545">
        <v>4516</v>
      </c>
      <c r="BA1545">
        <v>1</v>
      </c>
      <c r="BB1545" t="str">
        <f t="shared" si="148"/>
        <v xml:space="preserve">N79NX   </v>
      </c>
      <c r="BC1545">
        <v>1</v>
      </c>
      <c r="BE1545">
        <v>0</v>
      </c>
      <c r="BF1545">
        <v>0</v>
      </c>
      <c r="BG1545">
        <v>0</v>
      </c>
      <c r="BH1545">
        <v>2775</v>
      </c>
      <c r="BI1545">
        <v>0</v>
      </c>
      <c r="BJ1545">
        <v>0</v>
      </c>
      <c r="BK1545">
        <v>0</v>
      </c>
      <c r="BL1545">
        <v>0</v>
      </c>
      <c r="BO1545">
        <v>0</v>
      </c>
      <c r="BP1545">
        <v>0</v>
      </c>
      <c r="BW1545" t="str">
        <f>"18:46:38.672"</f>
        <v>18:46:38.672</v>
      </c>
      <c r="BZ1545">
        <v>0</v>
      </c>
      <c r="CA1545">
        <v>3008</v>
      </c>
      <c r="CB1545">
        <v>216</v>
      </c>
      <c r="CC1545">
        <v>506.25</v>
      </c>
      <c r="CD1545">
        <v>1</v>
      </c>
      <c r="CE1545">
        <v>1</v>
      </c>
      <c r="CF1545">
        <v>0</v>
      </c>
      <c r="CG1545">
        <v>1</v>
      </c>
      <c r="CH1545">
        <v>0</v>
      </c>
      <c r="CI1545">
        <v>0</v>
      </c>
      <c r="CJ1545">
        <v>0</v>
      </c>
      <c r="CK1545">
        <v>2</v>
      </c>
      <c r="CL1545">
        <v>0</v>
      </c>
      <c r="CM1545">
        <v>2</v>
      </c>
      <c r="CN1545">
        <v>0</v>
      </c>
      <c r="CO1545">
        <v>2</v>
      </c>
      <c r="CP1545" t="s">
        <v>119</v>
      </c>
      <c r="CQ1545">
        <v>145</v>
      </c>
      <c r="CR1545">
        <v>1</v>
      </c>
      <c r="CW1545">
        <v>9169546</v>
      </c>
      <c r="CY1545">
        <v>0</v>
      </c>
      <c r="CZ1545">
        <v>0</v>
      </c>
      <c r="DA1545">
        <v>1</v>
      </c>
      <c r="DB1545">
        <v>0</v>
      </c>
      <c r="DC1545">
        <v>0</v>
      </c>
      <c r="DD1545">
        <v>0</v>
      </c>
      <c r="DE1545">
        <v>0</v>
      </c>
      <c r="DF1545">
        <v>0</v>
      </c>
      <c r="DG1545">
        <v>0</v>
      </c>
      <c r="DH1545">
        <v>0</v>
      </c>
      <c r="DI1545">
        <v>0</v>
      </c>
    </row>
    <row r="1546" spans="1:113" x14ac:dyDescent="0.3">
      <c r="A1546" t="str">
        <f>"02/13/2022 18:46:39.796"</f>
        <v>02/13/2022 18:46:39.796</v>
      </c>
      <c r="C1546" t="str">
        <f t="shared" si="143"/>
        <v>FFDFD7C0</v>
      </c>
      <c r="D1546" t="s">
        <v>113</v>
      </c>
      <c r="E1546">
        <v>3</v>
      </c>
      <c r="F1546">
        <v>1003</v>
      </c>
      <c r="G1546" t="s">
        <v>114</v>
      </c>
      <c r="J1546" t="s">
        <v>115</v>
      </c>
      <c r="K1546">
        <v>0</v>
      </c>
      <c r="L1546">
        <v>3</v>
      </c>
      <c r="M1546">
        <v>0</v>
      </c>
      <c r="N1546">
        <v>2</v>
      </c>
      <c r="O1546">
        <v>1</v>
      </c>
      <c r="P1546">
        <v>0</v>
      </c>
      <c r="Q1546">
        <v>0</v>
      </c>
      <c r="S1546" t="str">
        <f>"18:46:39.602"</f>
        <v>18:46:39.602</v>
      </c>
      <c r="T1546" t="str">
        <f>"18:46:39.102"</f>
        <v>18:46:39.102</v>
      </c>
      <c r="U1546" t="str">
        <f t="shared" si="147"/>
        <v>AAB6EE</v>
      </c>
      <c r="V1546">
        <v>0</v>
      </c>
      <c r="W1546">
        <v>0</v>
      </c>
      <c r="X1546">
        <v>4</v>
      </c>
      <c r="Z1546">
        <v>0</v>
      </c>
      <c r="AA1546">
        <v>8</v>
      </c>
      <c r="AB1546">
        <v>3</v>
      </c>
      <c r="AC1546">
        <v>0</v>
      </c>
      <c r="AD1546">
        <v>10</v>
      </c>
      <c r="AE1546">
        <v>0</v>
      </c>
      <c r="AF1546">
        <v>0</v>
      </c>
      <c r="AG1546">
        <v>1</v>
      </c>
      <c r="AH1546">
        <v>1</v>
      </c>
      <c r="AI1546" t="s">
        <v>1156</v>
      </c>
      <c r="AJ1546">
        <v>35.222619000000002</v>
      </c>
      <c r="AK1546" t="s">
        <v>1157</v>
      </c>
      <c r="AL1546">
        <v>-76.046976999999998</v>
      </c>
      <c r="AM1546">
        <v>25</v>
      </c>
      <c r="AN1546">
        <v>2925</v>
      </c>
      <c r="AO1546" t="s">
        <v>118</v>
      </c>
      <c r="AP1546">
        <v>116</v>
      </c>
      <c r="AQ1546">
        <v>-107</v>
      </c>
      <c r="AR1546">
        <v>0</v>
      </c>
      <c r="AZ1546">
        <v>4516</v>
      </c>
      <c r="BA1546">
        <v>1</v>
      </c>
      <c r="BB1546" t="str">
        <f t="shared" si="148"/>
        <v xml:space="preserve">N79NX   </v>
      </c>
      <c r="BC1546">
        <v>1</v>
      </c>
      <c r="BE1546">
        <v>0</v>
      </c>
      <c r="BF1546">
        <v>0</v>
      </c>
      <c r="BG1546">
        <v>0</v>
      </c>
      <c r="BH1546">
        <v>2775</v>
      </c>
      <c r="BI1546">
        <v>0</v>
      </c>
      <c r="BJ1546">
        <v>0</v>
      </c>
      <c r="BK1546">
        <v>0</v>
      </c>
      <c r="BL1546">
        <v>0</v>
      </c>
      <c r="BO1546">
        <v>0</v>
      </c>
      <c r="BP1546">
        <v>0</v>
      </c>
      <c r="BW1546" t="str">
        <f>"18:46:39.602"</f>
        <v>18:46:39.602</v>
      </c>
      <c r="BZ1546">
        <v>0</v>
      </c>
      <c r="CA1546">
        <v>3008</v>
      </c>
      <c r="CB1546">
        <v>216</v>
      </c>
      <c r="CC1546">
        <v>506.25</v>
      </c>
      <c r="CD1546">
        <v>1</v>
      </c>
      <c r="CE1546">
        <v>1</v>
      </c>
      <c r="CF1546">
        <v>0</v>
      </c>
      <c r="CG1546">
        <v>1</v>
      </c>
      <c r="CH1546">
        <v>0</v>
      </c>
      <c r="CI1546">
        <v>0</v>
      </c>
      <c r="CJ1546">
        <v>0</v>
      </c>
      <c r="CK1546">
        <v>2</v>
      </c>
      <c r="CL1546">
        <v>0</v>
      </c>
      <c r="CM1546">
        <v>2</v>
      </c>
      <c r="CN1546">
        <v>0</v>
      </c>
      <c r="CO1546">
        <v>2</v>
      </c>
      <c r="CP1546" t="s">
        <v>119</v>
      </c>
      <c r="CQ1546">
        <v>145</v>
      </c>
      <c r="CR1546">
        <v>1</v>
      </c>
      <c r="CW1546">
        <v>9170030</v>
      </c>
      <c r="CY1546">
        <v>0</v>
      </c>
      <c r="CZ1546">
        <v>0</v>
      </c>
      <c r="DA1546">
        <v>0</v>
      </c>
      <c r="DB1546">
        <v>0</v>
      </c>
      <c r="DC1546">
        <v>0</v>
      </c>
      <c r="DD1546">
        <v>0</v>
      </c>
      <c r="DE1546">
        <v>0</v>
      </c>
      <c r="DF1546">
        <v>0</v>
      </c>
      <c r="DG1546">
        <v>0</v>
      </c>
      <c r="DH1546">
        <v>0</v>
      </c>
      <c r="DI1546">
        <v>0</v>
      </c>
    </row>
    <row r="1547" spans="1:113" x14ac:dyDescent="0.3">
      <c r="A1547" t="str">
        <f>"02/13/2022 18:46:39.796"</f>
        <v>02/13/2022 18:46:39.796</v>
      </c>
      <c r="C1547" t="str">
        <f t="shared" si="143"/>
        <v>FFDFD7C0</v>
      </c>
      <c r="D1547" t="s">
        <v>121</v>
      </c>
      <c r="E1547">
        <v>2</v>
      </c>
      <c r="H1547">
        <v>158</v>
      </c>
      <c r="I1547" t="s">
        <v>120</v>
      </c>
      <c r="J1547" t="s">
        <v>122</v>
      </c>
      <c r="K1547">
        <v>0</v>
      </c>
      <c r="L1547">
        <v>3</v>
      </c>
      <c r="M1547">
        <v>0</v>
      </c>
      <c r="N1547">
        <v>2</v>
      </c>
      <c r="O1547">
        <v>1</v>
      </c>
      <c r="P1547">
        <v>0</v>
      </c>
      <c r="Q1547">
        <v>0</v>
      </c>
      <c r="S1547" t="str">
        <f>"18:46:39.602"</f>
        <v>18:46:39.602</v>
      </c>
      <c r="T1547" t="str">
        <f>"18:46:39.102"</f>
        <v>18:46:39.102</v>
      </c>
      <c r="U1547" t="str">
        <f t="shared" si="147"/>
        <v>AAB6EE</v>
      </c>
      <c r="V1547">
        <v>0</v>
      </c>
      <c r="W1547">
        <v>0</v>
      </c>
      <c r="X1547">
        <v>4</v>
      </c>
      <c r="Z1547">
        <v>0</v>
      </c>
      <c r="AA1547">
        <v>8</v>
      </c>
      <c r="AB1547">
        <v>3</v>
      </c>
      <c r="AC1547">
        <v>0</v>
      </c>
      <c r="AD1547">
        <v>10</v>
      </c>
      <c r="AE1547">
        <v>0</v>
      </c>
      <c r="AF1547">
        <v>0</v>
      </c>
      <c r="AG1547">
        <v>1</v>
      </c>
      <c r="AH1547">
        <v>1</v>
      </c>
      <c r="AI1547" t="s">
        <v>1156</v>
      </c>
      <c r="AJ1547">
        <v>35.222619000000002</v>
      </c>
      <c r="AK1547" t="s">
        <v>1157</v>
      </c>
      <c r="AL1547">
        <v>-76.046976999999998</v>
      </c>
      <c r="AM1547">
        <v>25</v>
      </c>
      <c r="AN1547">
        <v>2925</v>
      </c>
      <c r="AO1547" t="s">
        <v>118</v>
      </c>
      <c r="AP1547">
        <v>116</v>
      </c>
      <c r="AQ1547">
        <v>-107</v>
      </c>
      <c r="AR1547">
        <v>0</v>
      </c>
      <c r="AZ1547">
        <v>4516</v>
      </c>
      <c r="BA1547">
        <v>1</v>
      </c>
      <c r="BB1547" t="str">
        <f t="shared" si="148"/>
        <v xml:space="preserve">N79NX   </v>
      </c>
      <c r="BC1547">
        <v>1</v>
      </c>
      <c r="BE1547">
        <v>0</v>
      </c>
      <c r="BF1547">
        <v>0</v>
      </c>
      <c r="BG1547">
        <v>0</v>
      </c>
      <c r="BH1547">
        <v>2775</v>
      </c>
      <c r="BI1547">
        <v>0</v>
      </c>
      <c r="BJ1547">
        <v>0</v>
      </c>
      <c r="BK1547">
        <v>0</v>
      </c>
      <c r="BL1547">
        <v>0</v>
      </c>
      <c r="BO1547">
        <v>0</v>
      </c>
      <c r="BP1547">
        <v>0</v>
      </c>
      <c r="BW1547" t="str">
        <f>"18:46:39.602"</f>
        <v>18:46:39.602</v>
      </c>
      <c r="BZ1547">
        <v>0</v>
      </c>
      <c r="CA1547">
        <v>3008</v>
      </c>
      <c r="CB1547">
        <v>216</v>
      </c>
      <c r="CC1547">
        <v>506.25</v>
      </c>
      <c r="CD1547">
        <v>1</v>
      </c>
      <c r="CE1547">
        <v>1</v>
      </c>
      <c r="CF1547">
        <v>0</v>
      </c>
      <c r="CG1547">
        <v>1</v>
      </c>
      <c r="CH1547">
        <v>0</v>
      </c>
      <c r="CI1547">
        <v>0</v>
      </c>
      <c r="CJ1547">
        <v>0</v>
      </c>
      <c r="CK1547">
        <v>2</v>
      </c>
      <c r="CL1547">
        <v>0</v>
      </c>
      <c r="CM1547">
        <v>2</v>
      </c>
      <c r="CN1547">
        <v>0</v>
      </c>
      <c r="CO1547">
        <v>2</v>
      </c>
      <c r="CP1547" t="s">
        <v>119</v>
      </c>
      <c r="CQ1547">
        <v>145</v>
      </c>
      <c r="CR1547">
        <v>1</v>
      </c>
      <c r="CW1547">
        <v>9170030</v>
      </c>
      <c r="CY1547">
        <v>0</v>
      </c>
      <c r="CZ1547">
        <v>0</v>
      </c>
      <c r="DA1547">
        <v>1</v>
      </c>
      <c r="DB1547">
        <v>0</v>
      </c>
      <c r="DC1547">
        <v>0</v>
      </c>
      <c r="DD1547">
        <v>0</v>
      </c>
      <c r="DE1547">
        <v>0</v>
      </c>
      <c r="DF1547">
        <v>0</v>
      </c>
      <c r="DG1547">
        <v>0</v>
      </c>
      <c r="DH1547">
        <v>0</v>
      </c>
      <c r="DI1547">
        <v>0</v>
      </c>
    </row>
    <row r="1548" spans="1:113" x14ac:dyDescent="0.3">
      <c r="A1548" t="str">
        <f>"02/13/2022 18:46:39.796"</f>
        <v>02/13/2022 18:46:39.796</v>
      </c>
      <c r="C1548" t="str">
        <f t="shared" si="143"/>
        <v>FFDFD7C0</v>
      </c>
      <c r="D1548" t="s">
        <v>113</v>
      </c>
      <c r="E1548">
        <v>4</v>
      </c>
      <c r="F1548">
        <v>1004</v>
      </c>
      <c r="G1548" t="s">
        <v>120</v>
      </c>
      <c r="J1548" t="s">
        <v>115</v>
      </c>
      <c r="K1548">
        <v>0</v>
      </c>
      <c r="L1548">
        <v>3</v>
      </c>
      <c r="M1548">
        <v>0</v>
      </c>
      <c r="N1548">
        <v>2</v>
      </c>
      <c r="O1548">
        <v>1</v>
      </c>
      <c r="P1548">
        <v>0</v>
      </c>
      <c r="Q1548">
        <v>0</v>
      </c>
      <c r="S1548" t="str">
        <f>"18:46:39.602"</f>
        <v>18:46:39.602</v>
      </c>
      <c r="T1548" t="str">
        <f>"18:46:39.102"</f>
        <v>18:46:39.102</v>
      </c>
      <c r="U1548" t="str">
        <f t="shared" si="147"/>
        <v>AAB6EE</v>
      </c>
      <c r="V1548">
        <v>0</v>
      </c>
      <c r="W1548">
        <v>0</v>
      </c>
      <c r="X1548">
        <v>4</v>
      </c>
      <c r="Z1548">
        <v>0</v>
      </c>
      <c r="AA1548">
        <v>8</v>
      </c>
      <c r="AB1548">
        <v>3</v>
      </c>
      <c r="AC1548">
        <v>0</v>
      </c>
      <c r="AD1548">
        <v>10</v>
      </c>
      <c r="AE1548">
        <v>0</v>
      </c>
      <c r="AF1548">
        <v>0</v>
      </c>
      <c r="AG1548">
        <v>1</v>
      </c>
      <c r="AH1548">
        <v>1</v>
      </c>
      <c r="AI1548" t="s">
        <v>1156</v>
      </c>
      <c r="AJ1548">
        <v>35.222619000000002</v>
      </c>
      <c r="AK1548" t="s">
        <v>1157</v>
      </c>
      <c r="AL1548">
        <v>-76.046976999999998</v>
      </c>
      <c r="AM1548">
        <v>25</v>
      </c>
      <c r="AN1548">
        <v>2925</v>
      </c>
      <c r="AO1548" t="s">
        <v>118</v>
      </c>
      <c r="AP1548">
        <v>116</v>
      </c>
      <c r="AQ1548">
        <v>-107</v>
      </c>
      <c r="AR1548">
        <v>0</v>
      </c>
      <c r="AZ1548">
        <v>4516</v>
      </c>
      <c r="BA1548">
        <v>1</v>
      </c>
      <c r="BB1548" t="str">
        <f t="shared" si="148"/>
        <v xml:space="preserve">N79NX   </v>
      </c>
      <c r="BC1548">
        <v>1</v>
      </c>
      <c r="BE1548">
        <v>0</v>
      </c>
      <c r="BF1548">
        <v>0</v>
      </c>
      <c r="BG1548">
        <v>0</v>
      </c>
      <c r="BH1548">
        <v>2775</v>
      </c>
      <c r="BI1548">
        <v>0</v>
      </c>
      <c r="BJ1548">
        <v>0</v>
      </c>
      <c r="BK1548">
        <v>0</v>
      </c>
      <c r="BL1548">
        <v>0</v>
      </c>
      <c r="BO1548">
        <v>0</v>
      </c>
      <c r="BP1548">
        <v>0</v>
      </c>
      <c r="BW1548" t="str">
        <f>"18:46:39.602"</f>
        <v>18:46:39.602</v>
      </c>
      <c r="BZ1548">
        <v>0</v>
      </c>
      <c r="CA1548">
        <v>3008</v>
      </c>
      <c r="CB1548">
        <v>216</v>
      </c>
      <c r="CC1548">
        <v>506.25</v>
      </c>
      <c r="CD1548">
        <v>1</v>
      </c>
      <c r="CE1548">
        <v>1</v>
      </c>
      <c r="CF1548">
        <v>0</v>
      </c>
      <c r="CG1548">
        <v>1</v>
      </c>
      <c r="CH1548">
        <v>0</v>
      </c>
      <c r="CI1548">
        <v>0</v>
      </c>
      <c r="CJ1548">
        <v>0</v>
      </c>
      <c r="CK1548">
        <v>2</v>
      </c>
      <c r="CL1548">
        <v>0</v>
      </c>
      <c r="CM1548">
        <v>2</v>
      </c>
      <c r="CN1548">
        <v>0</v>
      </c>
      <c r="CO1548">
        <v>2</v>
      </c>
      <c r="CP1548" t="s">
        <v>119</v>
      </c>
      <c r="CQ1548">
        <v>145</v>
      </c>
      <c r="CR1548">
        <v>1</v>
      </c>
      <c r="CW1548">
        <v>9170030</v>
      </c>
      <c r="CY1548">
        <v>0</v>
      </c>
      <c r="CZ1548">
        <v>0</v>
      </c>
      <c r="DA1548">
        <v>1</v>
      </c>
      <c r="DB1548">
        <v>0</v>
      </c>
      <c r="DC1548">
        <v>0</v>
      </c>
      <c r="DD1548">
        <v>0</v>
      </c>
      <c r="DE1548">
        <v>0</v>
      </c>
      <c r="DF1548">
        <v>0</v>
      </c>
      <c r="DG1548">
        <v>0</v>
      </c>
      <c r="DH1548">
        <v>0</v>
      </c>
      <c r="DI1548">
        <v>0</v>
      </c>
    </row>
    <row r="1549" spans="1:113" x14ac:dyDescent="0.3">
      <c r="A1549" t="str">
        <f>"02/13/2022 18:46:40.735"</f>
        <v>02/13/2022 18:46:40.735</v>
      </c>
      <c r="C1549" t="str">
        <f t="shared" si="143"/>
        <v>FFDFD7C0</v>
      </c>
      <c r="D1549" t="s">
        <v>113</v>
      </c>
      <c r="E1549">
        <v>3</v>
      </c>
      <c r="F1549">
        <v>1003</v>
      </c>
      <c r="G1549" t="s">
        <v>114</v>
      </c>
      <c r="J1549" t="s">
        <v>115</v>
      </c>
      <c r="K1549">
        <v>0</v>
      </c>
      <c r="L1549">
        <v>3</v>
      </c>
      <c r="M1549">
        <v>0</v>
      </c>
      <c r="N1549">
        <v>2</v>
      </c>
      <c r="O1549">
        <v>1</v>
      </c>
      <c r="P1549">
        <v>0</v>
      </c>
      <c r="Q1549">
        <v>0</v>
      </c>
      <c r="S1549" t="str">
        <f t="shared" ref="S1549:T1551" si="149">"18:46:40.508"</f>
        <v>18:46:40.508</v>
      </c>
      <c r="T1549" t="str">
        <f t="shared" si="149"/>
        <v>18:46:40.508</v>
      </c>
      <c r="U1549" t="str">
        <f t="shared" si="147"/>
        <v>AAB6EE</v>
      </c>
      <c r="V1549">
        <v>0</v>
      </c>
      <c r="W1549">
        <v>0</v>
      </c>
      <c r="X1549">
        <v>4</v>
      </c>
      <c r="Z1549">
        <v>0</v>
      </c>
      <c r="AA1549">
        <v>8</v>
      </c>
      <c r="AB1549">
        <v>3</v>
      </c>
      <c r="AC1549">
        <v>0</v>
      </c>
      <c r="AD1549">
        <v>10</v>
      </c>
      <c r="AE1549">
        <v>0</v>
      </c>
      <c r="AF1549">
        <v>0</v>
      </c>
      <c r="AG1549">
        <v>1</v>
      </c>
      <c r="AH1549">
        <v>1</v>
      </c>
      <c r="AI1549" t="s">
        <v>1158</v>
      </c>
      <c r="AJ1549">
        <v>35.222124999999998</v>
      </c>
      <c r="AK1549" t="s">
        <v>1159</v>
      </c>
      <c r="AL1549">
        <v>-76.046289999999999</v>
      </c>
      <c r="AM1549">
        <v>25</v>
      </c>
      <c r="AN1549">
        <v>2925</v>
      </c>
      <c r="AO1549" t="s">
        <v>118</v>
      </c>
      <c r="AP1549">
        <v>116</v>
      </c>
      <c r="AQ1549">
        <v>-108</v>
      </c>
      <c r="AR1549">
        <v>0</v>
      </c>
      <c r="AZ1549">
        <v>4516</v>
      </c>
      <c r="BA1549">
        <v>1</v>
      </c>
      <c r="BB1549" t="str">
        <f t="shared" si="148"/>
        <v xml:space="preserve">N79NX   </v>
      </c>
      <c r="BC1549">
        <v>1</v>
      </c>
      <c r="BE1549">
        <v>0</v>
      </c>
      <c r="BF1549">
        <v>0</v>
      </c>
      <c r="BG1549">
        <v>0</v>
      </c>
      <c r="BH1549">
        <v>2775</v>
      </c>
      <c r="BI1549">
        <v>0</v>
      </c>
      <c r="BJ1549">
        <v>0</v>
      </c>
      <c r="BK1549">
        <v>0</v>
      </c>
      <c r="BL1549">
        <v>0</v>
      </c>
      <c r="BO1549">
        <v>0</v>
      </c>
      <c r="BP1549">
        <v>0</v>
      </c>
      <c r="BW1549" t="str">
        <f>"18:46:40.512"</f>
        <v>18:46:40.512</v>
      </c>
      <c r="BZ1549">
        <v>0</v>
      </c>
      <c r="CA1549">
        <v>3008</v>
      </c>
      <c r="CB1549">
        <v>216</v>
      </c>
      <c r="CC1549">
        <v>506.25</v>
      </c>
      <c r="CD1549">
        <v>1</v>
      </c>
      <c r="CE1549">
        <v>1</v>
      </c>
      <c r="CF1549">
        <v>0</v>
      </c>
      <c r="CG1549">
        <v>1</v>
      </c>
      <c r="CH1549">
        <v>0</v>
      </c>
      <c r="CI1549">
        <v>0</v>
      </c>
      <c r="CJ1549">
        <v>0</v>
      </c>
      <c r="CK1549">
        <v>2</v>
      </c>
      <c r="CL1549">
        <v>0</v>
      </c>
      <c r="CM1549">
        <v>2</v>
      </c>
      <c r="CN1549">
        <v>0</v>
      </c>
      <c r="CO1549">
        <v>3</v>
      </c>
      <c r="CP1549" t="s">
        <v>119</v>
      </c>
      <c r="CQ1549">
        <v>145</v>
      </c>
      <c r="CR1549">
        <v>1</v>
      </c>
      <c r="CW1549">
        <v>9170437</v>
      </c>
      <c r="CY1549">
        <v>0</v>
      </c>
      <c r="CZ1549">
        <v>0</v>
      </c>
      <c r="DA1549">
        <v>0</v>
      </c>
      <c r="DB1549">
        <v>0</v>
      </c>
      <c r="DC1549">
        <v>0</v>
      </c>
      <c r="DD1549">
        <v>0</v>
      </c>
      <c r="DE1549">
        <v>0</v>
      </c>
      <c r="DF1549">
        <v>0</v>
      </c>
      <c r="DG1549">
        <v>0</v>
      </c>
      <c r="DH1549">
        <v>0</v>
      </c>
      <c r="DI1549">
        <v>0</v>
      </c>
    </row>
    <row r="1550" spans="1:113" x14ac:dyDescent="0.3">
      <c r="A1550" t="str">
        <f>"02/13/2022 18:46:40.735"</f>
        <v>02/13/2022 18:46:40.735</v>
      </c>
      <c r="C1550" t="str">
        <f t="shared" si="143"/>
        <v>FFDFD7C0</v>
      </c>
      <c r="D1550" t="s">
        <v>121</v>
      </c>
      <c r="E1550">
        <v>2</v>
      </c>
      <c r="H1550">
        <v>158</v>
      </c>
      <c r="I1550" t="s">
        <v>120</v>
      </c>
      <c r="J1550" t="s">
        <v>122</v>
      </c>
      <c r="K1550">
        <v>0</v>
      </c>
      <c r="L1550">
        <v>3</v>
      </c>
      <c r="M1550">
        <v>0</v>
      </c>
      <c r="N1550">
        <v>2</v>
      </c>
      <c r="O1550">
        <v>1</v>
      </c>
      <c r="P1550">
        <v>0</v>
      </c>
      <c r="Q1550">
        <v>0</v>
      </c>
      <c r="S1550" t="str">
        <f t="shared" si="149"/>
        <v>18:46:40.508</v>
      </c>
      <c r="T1550" t="str">
        <f t="shared" si="149"/>
        <v>18:46:40.508</v>
      </c>
      <c r="U1550" t="str">
        <f t="shared" si="147"/>
        <v>AAB6EE</v>
      </c>
      <c r="V1550">
        <v>0</v>
      </c>
      <c r="W1550">
        <v>0</v>
      </c>
      <c r="X1550">
        <v>4</v>
      </c>
      <c r="Z1550">
        <v>0</v>
      </c>
      <c r="AA1550">
        <v>8</v>
      </c>
      <c r="AB1550">
        <v>3</v>
      </c>
      <c r="AC1550">
        <v>0</v>
      </c>
      <c r="AD1550">
        <v>10</v>
      </c>
      <c r="AE1550">
        <v>0</v>
      </c>
      <c r="AF1550">
        <v>0</v>
      </c>
      <c r="AG1550">
        <v>1</v>
      </c>
      <c r="AH1550">
        <v>1</v>
      </c>
      <c r="AI1550" t="s">
        <v>1158</v>
      </c>
      <c r="AJ1550">
        <v>35.222124999999998</v>
      </c>
      <c r="AK1550" t="s">
        <v>1159</v>
      </c>
      <c r="AL1550">
        <v>-76.046289999999999</v>
      </c>
      <c r="AM1550">
        <v>25</v>
      </c>
      <c r="AN1550">
        <v>2925</v>
      </c>
      <c r="AO1550" t="s">
        <v>118</v>
      </c>
      <c r="AP1550">
        <v>116</v>
      </c>
      <c r="AQ1550">
        <v>-108</v>
      </c>
      <c r="AR1550">
        <v>0</v>
      </c>
      <c r="AZ1550">
        <v>4516</v>
      </c>
      <c r="BA1550">
        <v>1</v>
      </c>
      <c r="BB1550" t="str">
        <f t="shared" si="148"/>
        <v xml:space="preserve">N79NX   </v>
      </c>
      <c r="BC1550">
        <v>1</v>
      </c>
      <c r="BE1550">
        <v>0</v>
      </c>
      <c r="BF1550">
        <v>0</v>
      </c>
      <c r="BG1550">
        <v>0</v>
      </c>
      <c r="BH1550">
        <v>2775</v>
      </c>
      <c r="BI1550">
        <v>0</v>
      </c>
      <c r="BJ1550">
        <v>0</v>
      </c>
      <c r="BK1550">
        <v>0</v>
      </c>
      <c r="BL1550">
        <v>0</v>
      </c>
      <c r="BO1550">
        <v>0</v>
      </c>
      <c r="BP1550">
        <v>0</v>
      </c>
      <c r="BW1550" t="str">
        <f>"18:46:40.512"</f>
        <v>18:46:40.512</v>
      </c>
      <c r="BZ1550">
        <v>0</v>
      </c>
      <c r="CA1550">
        <v>3008</v>
      </c>
      <c r="CB1550">
        <v>216</v>
      </c>
      <c r="CC1550">
        <v>506.25</v>
      </c>
      <c r="CD1550">
        <v>1</v>
      </c>
      <c r="CE1550">
        <v>1</v>
      </c>
      <c r="CF1550">
        <v>0</v>
      </c>
      <c r="CG1550">
        <v>1</v>
      </c>
      <c r="CH1550">
        <v>0</v>
      </c>
      <c r="CI1550">
        <v>0</v>
      </c>
      <c r="CJ1550">
        <v>0</v>
      </c>
      <c r="CK1550">
        <v>2</v>
      </c>
      <c r="CL1550">
        <v>0</v>
      </c>
      <c r="CM1550">
        <v>2</v>
      </c>
      <c r="CN1550">
        <v>0</v>
      </c>
      <c r="CO1550">
        <v>3</v>
      </c>
      <c r="CP1550" t="s">
        <v>119</v>
      </c>
      <c r="CQ1550">
        <v>145</v>
      </c>
      <c r="CR1550">
        <v>1</v>
      </c>
      <c r="CW1550">
        <v>9170437</v>
      </c>
      <c r="CY1550">
        <v>0</v>
      </c>
      <c r="CZ1550">
        <v>0</v>
      </c>
      <c r="DA1550">
        <v>1</v>
      </c>
      <c r="DB1550">
        <v>0</v>
      </c>
      <c r="DC1550">
        <v>0</v>
      </c>
      <c r="DD1550">
        <v>0</v>
      </c>
      <c r="DE1550">
        <v>0</v>
      </c>
      <c r="DF1550">
        <v>0</v>
      </c>
      <c r="DG1550">
        <v>0</v>
      </c>
      <c r="DH1550">
        <v>0</v>
      </c>
      <c r="DI1550">
        <v>0</v>
      </c>
    </row>
    <row r="1551" spans="1:113" x14ac:dyDescent="0.3">
      <c r="A1551" t="str">
        <f>"02/13/2022 18:46:40.735"</f>
        <v>02/13/2022 18:46:40.735</v>
      </c>
      <c r="C1551" t="str">
        <f t="shared" si="143"/>
        <v>FFDFD7C0</v>
      </c>
      <c r="D1551" t="s">
        <v>113</v>
      </c>
      <c r="E1551">
        <v>4</v>
      </c>
      <c r="F1551">
        <v>1004</v>
      </c>
      <c r="G1551" t="s">
        <v>120</v>
      </c>
      <c r="J1551" t="s">
        <v>115</v>
      </c>
      <c r="K1551">
        <v>0</v>
      </c>
      <c r="L1551">
        <v>3</v>
      </c>
      <c r="M1551">
        <v>0</v>
      </c>
      <c r="N1551">
        <v>2</v>
      </c>
      <c r="O1551">
        <v>1</v>
      </c>
      <c r="P1551">
        <v>0</v>
      </c>
      <c r="Q1551">
        <v>0</v>
      </c>
      <c r="S1551" t="str">
        <f t="shared" si="149"/>
        <v>18:46:40.508</v>
      </c>
      <c r="T1551" t="str">
        <f t="shared" si="149"/>
        <v>18:46:40.508</v>
      </c>
      <c r="U1551" t="str">
        <f t="shared" si="147"/>
        <v>AAB6EE</v>
      </c>
      <c r="V1551">
        <v>0</v>
      </c>
      <c r="W1551">
        <v>0</v>
      </c>
      <c r="X1551">
        <v>4</v>
      </c>
      <c r="Z1551">
        <v>0</v>
      </c>
      <c r="AA1551">
        <v>8</v>
      </c>
      <c r="AB1551">
        <v>3</v>
      </c>
      <c r="AC1551">
        <v>0</v>
      </c>
      <c r="AD1551">
        <v>10</v>
      </c>
      <c r="AE1551">
        <v>0</v>
      </c>
      <c r="AF1551">
        <v>0</v>
      </c>
      <c r="AG1551">
        <v>1</v>
      </c>
      <c r="AH1551">
        <v>1</v>
      </c>
      <c r="AI1551" t="s">
        <v>1158</v>
      </c>
      <c r="AJ1551">
        <v>35.222124999999998</v>
      </c>
      <c r="AK1551" t="s">
        <v>1159</v>
      </c>
      <c r="AL1551">
        <v>-76.046289999999999</v>
      </c>
      <c r="AM1551">
        <v>25</v>
      </c>
      <c r="AN1551">
        <v>2925</v>
      </c>
      <c r="AO1551" t="s">
        <v>118</v>
      </c>
      <c r="AP1551">
        <v>116</v>
      </c>
      <c r="AQ1551">
        <v>-108</v>
      </c>
      <c r="AR1551">
        <v>0</v>
      </c>
      <c r="AZ1551">
        <v>4516</v>
      </c>
      <c r="BA1551">
        <v>1</v>
      </c>
      <c r="BB1551" t="str">
        <f t="shared" si="148"/>
        <v xml:space="preserve">N79NX   </v>
      </c>
      <c r="BC1551">
        <v>1</v>
      </c>
      <c r="BE1551">
        <v>0</v>
      </c>
      <c r="BF1551">
        <v>0</v>
      </c>
      <c r="BG1551">
        <v>0</v>
      </c>
      <c r="BH1551">
        <v>2775</v>
      </c>
      <c r="BI1551">
        <v>0</v>
      </c>
      <c r="BJ1551">
        <v>0</v>
      </c>
      <c r="BK1551">
        <v>0</v>
      </c>
      <c r="BL1551">
        <v>0</v>
      </c>
      <c r="BO1551">
        <v>0</v>
      </c>
      <c r="BP1551">
        <v>0</v>
      </c>
      <c r="BW1551" t="str">
        <f>"18:46:40.512"</f>
        <v>18:46:40.512</v>
      </c>
      <c r="BZ1551">
        <v>0</v>
      </c>
      <c r="CA1551">
        <v>3008</v>
      </c>
      <c r="CB1551">
        <v>216</v>
      </c>
      <c r="CC1551">
        <v>506.25</v>
      </c>
      <c r="CD1551">
        <v>1</v>
      </c>
      <c r="CE1551">
        <v>1</v>
      </c>
      <c r="CF1551">
        <v>0</v>
      </c>
      <c r="CG1551">
        <v>1</v>
      </c>
      <c r="CH1551">
        <v>0</v>
      </c>
      <c r="CI1551">
        <v>0</v>
      </c>
      <c r="CJ1551">
        <v>0</v>
      </c>
      <c r="CK1551">
        <v>2</v>
      </c>
      <c r="CL1551">
        <v>0</v>
      </c>
      <c r="CM1551">
        <v>2</v>
      </c>
      <c r="CN1551">
        <v>0</v>
      </c>
      <c r="CO1551">
        <v>3</v>
      </c>
      <c r="CP1551" t="s">
        <v>119</v>
      </c>
      <c r="CQ1551">
        <v>145</v>
      </c>
      <c r="CR1551">
        <v>1</v>
      </c>
      <c r="CW1551">
        <v>9170437</v>
      </c>
      <c r="CY1551">
        <v>0</v>
      </c>
      <c r="CZ1551">
        <v>0</v>
      </c>
      <c r="DA1551">
        <v>1</v>
      </c>
      <c r="DB1551">
        <v>0</v>
      </c>
      <c r="DC1551">
        <v>0</v>
      </c>
      <c r="DD1551">
        <v>0</v>
      </c>
      <c r="DE1551">
        <v>0</v>
      </c>
      <c r="DF1551">
        <v>0</v>
      </c>
      <c r="DG1551">
        <v>0</v>
      </c>
      <c r="DH1551">
        <v>0</v>
      </c>
      <c r="DI1551">
        <v>0</v>
      </c>
    </row>
    <row r="1552" spans="1:113" x14ac:dyDescent="0.3">
      <c r="A1552" t="str">
        <f>"02/13/2022 18:46:41.879"</f>
        <v>02/13/2022 18:46:41.879</v>
      </c>
      <c r="C1552" t="str">
        <f t="shared" si="143"/>
        <v>FFDFD7C0</v>
      </c>
      <c r="D1552" t="s">
        <v>113</v>
      </c>
      <c r="E1552">
        <v>3</v>
      </c>
      <c r="F1552">
        <v>1003</v>
      </c>
      <c r="G1552" t="s">
        <v>114</v>
      </c>
      <c r="J1552" t="s">
        <v>115</v>
      </c>
      <c r="K1552">
        <v>0</v>
      </c>
      <c r="L1552">
        <v>3</v>
      </c>
      <c r="M1552">
        <v>0</v>
      </c>
      <c r="N1552">
        <v>2</v>
      </c>
      <c r="O1552">
        <v>1</v>
      </c>
      <c r="P1552">
        <v>0</v>
      </c>
      <c r="Q1552">
        <v>0</v>
      </c>
      <c r="S1552" t="str">
        <f>"18:46:41.656"</f>
        <v>18:46:41.656</v>
      </c>
      <c r="T1552" t="str">
        <f>"18:46:41.456"</f>
        <v>18:46:41.456</v>
      </c>
      <c r="U1552" t="str">
        <f t="shared" si="147"/>
        <v>AAB6EE</v>
      </c>
      <c r="V1552">
        <v>0</v>
      </c>
      <c r="W1552">
        <v>0</v>
      </c>
      <c r="X1552">
        <v>4</v>
      </c>
      <c r="Z1552">
        <v>0</v>
      </c>
      <c r="AA1552">
        <v>8</v>
      </c>
      <c r="AB1552">
        <v>3</v>
      </c>
      <c r="AC1552">
        <v>0</v>
      </c>
      <c r="AD1552">
        <v>10</v>
      </c>
      <c r="AE1552">
        <v>0</v>
      </c>
      <c r="AF1552">
        <v>0</v>
      </c>
      <c r="AG1552">
        <v>1</v>
      </c>
      <c r="AH1552">
        <v>1</v>
      </c>
      <c r="AI1552" t="s">
        <v>1160</v>
      </c>
      <c r="AJ1552">
        <v>35.221609999999998</v>
      </c>
      <c r="AK1552" t="s">
        <v>1161</v>
      </c>
      <c r="AL1552">
        <v>-76.045581999999996</v>
      </c>
      <c r="AM1552">
        <v>25</v>
      </c>
      <c r="AN1552">
        <v>2925</v>
      </c>
      <c r="AO1552" t="s">
        <v>118</v>
      </c>
      <c r="AP1552">
        <v>116</v>
      </c>
      <c r="AQ1552">
        <v>-108</v>
      </c>
      <c r="AR1552">
        <v>0</v>
      </c>
      <c r="AZ1552">
        <v>4516</v>
      </c>
      <c r="BA1552">
        <v>1</v>
      </c>
      <c r="BB1552" t="str">
        <f t="shared" si="148"/>
        <v xml:space="preserve">N79NX   </v>
      </c>
      <c r="BC1552">
        <v>1</v>
      </c>
      <c r="BE1552">
        <v>0</v>
      </c>
      <c r="BF1552">
        <v>0</v>
      </c>
      <c r="BG1552">
        <v>0</v>
      </c>
      <c r="BH1552">
        <v>2775</v>
      </c>
      <c r="BI1552">
        <v>0</v>
      </c>
      <c r="BJ1552">
        <v>0</v>
      </c>
      <c r="BK1552">
        <v>0</v>
      </c>
      <c r="BL1552">
        <v>0</v>
      </c>
      <c r="BO1552">
        <v>0</v>
      </c>
      <c r="BP1552">
        <v>0</v>
      </c>
      <c r="BW1552" t="str">
        <f>"18:46:41.662"</f>
        <v>18:46:41.662</v>
      </c>
      <c r="BZ1552">
        <v>0</v>
      </c>
      <c r="CA1552">
        <v>3008</v>
      </c>
      <c r="CB1552">
        <v>216</v>
      </c>
      <c r="CC1552">
        <v>506.25</v>
      </c>
      <c r="CD1552">
        <v>1</v>
      </c>
      <c r="CE1552">
        <v>1</v>
      </c>
      <c r="CF1552">
        <v>0</v>
      </c>
      <c r="CG1552">
        <v>1</v>
      </c>
      <c r="CH1552">
        <v>0</v>
      </c>
      <c r="CI1552">
        <v>0</v>
      </c>
      <c r="CJ1552">
        <v>0</v>
      </c>
      <c r="CK1552">
        <v>2</v>
      </c>
      <c r="CL1552">
        <v>0</v>
      </c>
      <c r="CM1552">
        <v>2</v>
      </c>
      <c r="CN1552">
        <v>0</v>
      </c>
      <c r="CO1552">
        <v>2</v>
      </c>
      <c r="CP1552" t="s">
        <v>119</v>
      </c>
      <c r="CQ1552">
        <v>145</v>
      </c>
      <c r="CR1552">
        <v>1</v>
      </c>
      <c r="CW1552">
        <v>9170932</v>
      </c>
      <c r="CY1552">
        <v>0</v>
      </c>
      <c r="CZ1552">
        <v>0</v>
      </c>
      <c r="DA1552">
        <v>0</v>
      </c>
      <c r="DB1552">
        <v>0</v>
      </c>
      <c r="DC1552">
        <v>0</v>
      </c>
      <c r="DD1552">
        <v>0</v>
      </c>
      <c r="DE1552">
        <v>0</v>
      </c>
      <c r="DF1552">
        <v>0</v>
      </c>
      <c r="DG1552">
        <v>0</v>
      </c>
      <c r="DH1552">
        <v>0</v>
      </c>
      <c r="DI1552">
        <v>0</v>
      </c>
    </row>
    <row r="1553" spans="1:113" x14ac:dyDescent="0.3">
      <c r="A1553" t="str">
        <f>"02/13/2022 18:46:41.879"</f>
        <v>02/13/2022 18:46:41.879</v>
      </c>
      <c r="C1553" t="str">
        <f t="shared" si="143"/>
        <v>FFDFD7C0</v>
      </c>
      <c r="D1553" t="s">
        <v>113</v>
      </c>
      <c r="E1553">
        <v>4</v>
      </c>
      <c r="F1553">
        <v>1004</v>
      </c>
      <c r="G1553" t="s">
        <v>120</v>
      </c>
      <c r="J1553" t="s">
        <v>115</v>
      </c>
      <c r="K1553">
        <v>0</v>
      </c>
      <c r="L1553">
        <v>3</v>
      </c>
      <c r="M1553">
        <v>0</v>
      </c>
      <c r="N1553">
        <v>2</v>
      </c>
      <c r="O1553">
        <v>1</v>
      </c>
      <c r="P1553">
        <v>0</v>
      </c>
      <c r="Q1553">
        <v>0</v>
      </c>
      <c r="S1553" t="str">
        <f>"18:46:41.656"</f>
        <v>18:46:41.656</v>
      </c>
      <c r="T1553" t="str">
        <f>"18:46:41.456"</f>
        <v>18:46:41.456</v>
      </c>
      <c r="U1553" t="str">
        <f t="shared" si="147"/>
        <v>AAB6EE</v>
      </c>
      <c r="V1553">
        <v>0</v>
      </c>
      <c r="W1553">
        <v>0</v>
      </c>
      <c r="X1553">
        <v>4</v>
      </c>
      <c r="Z1553">
        <v>0</v>
      </c>
      <c r="AA1553">
        <v>8</v>
      </c>
      <c r="AB1553">
        <v>3</v>
      </c>
      <c r="AC1553">
        <v>0</v>
      </c>
      <c r="AD1553">
        <v>10</v>
      </c>
      <c r="AE1553">
        <v>0</v>
      </c>
      <c r="AF1553">
        <v>0</v>
      </c>
      <c r="AG1553">
        <v>1</v>
      </c>
      <c r="AH1553">
        <v>1</v>
      </c>
      <c r="AI1553" t="s">
        <v>1160</v>
      </c>
      <c r="AJ1553">
        <v>35.221609999999998</v>
      </c>
      <c r="AK1553" t="s">
        <v>1161</v>
      </c>
      <c r="AL1553">
        <v>-76.045581999999996</v>
      </c>
      <c r="AM1553">
        <v>25</v>
      </c>
      <c r="AN1553">
        <v>2925</v>
      </c>
      <c r="AO1553" t="s">
        <v>118</v>
      </c>
      <c r="AP1553">
        <v>116</v>
      </c>
      <c r="AQ1553">
        <v>-108</v>
      </c>
      <c r="AR1553">
        <v>0</v>
      </c>
      <c r="AZ1553">
        <v>4516</v>
      </c>
      <c r="BA1553">
        <v>1</v>
      </c>
      <c r="BB1553" t="str">
        <f t="shared" si="148"/>
        <v xml:space="preserve">N79NX   </v>
      </c>
      <c r="BC1553">
        <v>1</v>
      </c>
      <c r="BE1553">
        <v>0</v>
      </c>
      <c r="BF1553">
        <v>0</v>
      </c>
      <c r="BG1553">
        <v>0</v>
      </c>
      <c r="BH1553">
        <v>2775</v>
      </c>
      <c r="BI1553">
        <v>0</v>
      </c>
      <c r="BJ1553">
        <v>0</v>
      </c>
      <c r="BK1553">
        <v>0</v>
      </c>
      <c r="BL1553">
        <v>0</v>
      </c>
      <c r="BO1553">
        <v>0</v>
      </c>
      <c r="BP1553">
        <v>0</v>
      </c>
      <c r="BW1553" t="str">
        <f>"18:46:41.662"</f>
        <v>18:46:41.662</v>
      </c>
      <c r="BZ1553">
        <v>0</v>
      </c>
      <c r="CA1553">
        <v>3008</v>
      </c>
      <c r="CB1553">
        <v>216</v>
      </c>
      <c r="CC1553">
        <v>506.25</v>
      </c>
      <c r="CD1553">
        <v>1</v>
      </c>
      <c r="CE1553">
        <v>1</v>
      </c>
      <c r="CF1553">
        <v>0</v>
      </c>
      <c r="CG1553">
        <v>1</v>
      </c>
      <c r="CH1553">
        <v>0</v>
      </c>
      <c r="CI1553">
        <v>0</v>
      </c>
      <c r="CJ1553">
        <v>0</v>
      </c>
      <c r="CK1553">
        <v>2</v>
      </c>
      <c r="CL1553">
        <v>0</v>
      </c>
      <c r="CM1553">
        <v>2</v>
      </c>
      <c r="CN1553">
        <v>0</v>
      </c>
      <c r="CO1553">
        <v>2</v>
      </c>
      <c r="CP1553" t="s">
        <v>119</v>
      </c>
      <c r="CQ1553">
        <v>145</v>
      </c>
      <c r="CR1553">
        <v>1</v>
      </c>
      <c r="CW1553">
        <v>9170932</v>
      </c>
      <c r="CY1553">
        <v>0</v>
      </c>
      <c r="CZ1553">
        <v>0</v>
      </c>
      <c r="DA1553">
        <v>1</v>
      </c>
      <c r="DB1553">
        <v>0</v>
      </c>
      <c r="DC1553">
        <v>0</v>
      </c>
      <c r="DD1553">
        <v>0</v>
      </c>
      <c r="DE1553">
        <v>0</v>
      </c>
      <c r="DF1553">
        <v>0</v>
      </c>
      <c r="DG1553">
        <v>0</v>
      </c>
      <c r="DH1553">
        <v>0</v>
      </c>
      <c r="DI1553">
        <v>0</v>
      </c>
    </row>
    <row r="1554" spans="1:113" x14ac:dyDescent="0.3">
      <c r="A1554" t="str">
        <f>"02/13/2022 18:46:41.879"</f>
        <v>02/13/2022 18:46:41.879</v>
      </c>
      <c r="C1554" t="str">
        <f t="shared" si="143"/>
        <v>FFDFD7C0</v>
      </c>
      <c r="D1554" t="s">
        <v>121</v>
      </c>
      <c r="E1554">
        <v>2</v>
      </c>
      <c r="H1554">
        <v>158</v>
      </c>
      <c r="I1554" t="s">
        <v>120</v>
      </c>
      <c r="J1554" t="s">
        <v>122</v>
      </c>
      <c r="K1554">
        <v>0</v>
      </c>
      <c r="L1554">
        <v>3</v>
      </c>
      <c r="M1554">
        <v>0</v>
      </c>
      <c r="N1554">
        <v>2</v>
      </c>
      <c r="O1554">
        <v>1</v>
      </c>
      <c r="P1554">
        <v>0</v>
      </c>
      <c r="Q1554">
        <v>0</v>
      </c>
      <c r="S1554" t="str">
        <f>"18:46:41.656"</f>
        <v>18:46:41.656</v>
      </c>
      <c r="T1554" t="str">
        <f>"18:46:41.456"</f>
        <v>18:46:41.456</v>
      </c>
      <c r="U1554" t="str">
        <f t="shared" si="147"/>
        <v>AAB6EE</v>
      </c>
      <c r="V1554">
        <v>0</v>
      </c>
      <c r="W1554">
        <v>0</v>
      </c>
      <c r="X1554">
        <v>4</v>
      </c>
      <c r="Z1554">
        <v>0</v>
      </c>
      <c r="AA1554">
        <v>8</v>
      </c>
      <c r="AB1554">
        <v>3</v>
      </c>
      <c r="AC1554">
        <v>0</v>
      </c>
      <c r="AD1554">
        <v>10</v>
      </c>
      <c r="AE1554">
        <v>0</v>
      </c>
      <c r="AF1554">
        <v>0</v>
      </c>
      <c r="AG1554">
        <v>1</v>
      </c>
      <c r="AH1554">
        <v>1</v>
      </c>
      <c r="AI1554" t="s">
        <v>1160</v>
      </c>
      <c r="AJ1554">
        <v>35.221609999999998</v>
      </c>
      <c r="AK1554" t="s">
        <v>1161</v>
      </c>
      <c r="AL1554">
        <v>-76.045581999999996</v>
      </c>
      <c r="AM1554">
        <v>25</v>
      </c>
      <c r="AN1554">
        <v>2925</v>
      </c>
      <c r="AO1554" t="s">
        <v>118</v>
      </c>
      <c r="AP1554">
        <v>116</v>
      </c>
      <c r="AQ1554">
        <v>-108</v>
      </c>
      <c r="AR1554">
        <v>0</v>
      </c>
      <c r="AZ1554">
        <v>4516</v>
      </c>
      <c r="BA1554">
        <v>1</v>
      </c>
      <c r="BB1554" t="str">
        <f t="shared" si="148"/>
        <v xml:space="preserve">N79NX   </v>
      </c>
      <c r="BC1554">
        <v>1</v>
      </c>
      <c r="BE1554">
        <v>0</v>
      </c>
      <c r="BF1554">
        <v>0</v>
      </c>
      <c r="BG1554">
        <v>0</v>
      </c>
      <c r="BH1554">
        <v>2775</v>
      </c>
      <c r="BI1554">
        <v>0</v>
      </c>
      <c r="BJ1554">
        <v>0</v>
      </c>
      <c r="BK1554">
        <v>0</v>
      </c>
      <c r="BL1554">
        <v>0</v>
      </c>
      <c r="BO1554">
        <v>0</v>
      </c>
      <c r="BP1554">
        <v>0</v>
      </c>
      <c r="BW1554" t="str">
        <f>"18:46:41.662"</f>
        <v>18:46:41.662</v>
      </c>
      <c r="BZ1554">
        <v>0</v>
      </c>
      <c r="CA1554">
        <v>3008</v>
      </c>
      <c r="CB1554">
        <v>216</v>
      </c>
      <c r="CC1554">
        <v>506.25</v>
      </c>
      <c r="CD1554">
        <v>1</v>
      </c>
      <c r="CE1554">
        <v>1</v>
      </c>
      <c r="CF1554">
        <v>0</v>
      </c>
      <c r="CG1554">
        <v>1</v>
      </c>
      <c r="CH1554">
        <v>0</v>
      </c>
      <c r="CI1554">
        <v>0</v>
      </c>
      <c r="CJ1554">
        <v>0</v>
      </c>
      <c r="CK1554">
        <v>2</v>
      </c>
      <c r="CL1554">
        <v>0</v>
      </c>
      <c r="CM1554">
        <v>2</v>
      </c>
      <c r="CN1554">
        <v>0</v>
      </c>
      <c r="CO1554">
        <v>2</v>
      </c>
      <c r="CP1554" t="s">
        <v>119</v>
      </c>
      <c r="CQ1554">
        <v>145</v>
      </c>
      <c r="CR1554">
        <v>1</v>
      </c>
      <c r="CW1554">
        <v>9170932</v>
      </c>
      <c r="CY1554">
        <v>0</v>
      </c>
      <c r="CZ1554">
        <v>0</v>
      </c>
      <c r="DA1554">
        <v>1</v>
      </c>
      <c r="DB1554">
        <v>0</v>
      </c>
      <c r="DC1554">
        <v>0</v>
      </c>
      <c r="DD1554">
        <v>0</v>
      </c>
      <c r="DE1554">
        <v>0</v>
      </c>
      <c r="DF1554">
        <v>0</v>
      </c>
      <c r="DG1554">
        <v>0</v>
      </c>
      <c r="DH1554">
        <v>0</v>
      </c>
      <c r="DI1554">
        <v>0</v>
      </c>
    </row>
    <row r="1555" spans="1:113" x14ac:dyDescent="0.3">
      <c r="A1555" t="str">
        <f>"02/13/2022 18:46:42.879"</f>
        <v>02/13/2022 18:46:42.879</v>
      </c>
      <c r="C1555" t="str">
        <f t="shared" si="143"/>
        <v>FFDFD7C0</v>
      </c>
      <c r="D1555" t="s">
        <v>113</v>
      </c>
      <c r="E1555">
        <v>3</v>
      </c>
      <c r="F1555">
        <v>1003</v>
      </c>
      <c r="G1555" t="s">
        <v>114</v>
      </c>
      <c r="J1555" t="s">
        <v>115</v>
      </c>
      <c r="K1555">
        <v>0</v>
      </c>
      <c r="L1555">
        <v>3</v>
      </c>
      <c r="M1555">
        <v>0</v>
      </c>
      <c r="N1555">
        <v>2</v>
      </c>
      <c r="O1555">
        <v>1</v>
      </c>
      <c r="P1555">
        <v>0</v>
      </c>
      <c r="Q1555">
        <v>0</v>
      </c>
      <c r="S1555" t="str">
        <f>"18:46:42.672"</f>
        <v>18:46:42.672</v>
      </c>
      <c r="T1555" t="str">
        <f>"18:46:42.472"</f>
        <v>18:46:42.472</v>
      </c>
      <c r="U1555" t="str">
        <f t="shared" si="147"/>
        <v>AAB6EE</v>
      </c>
      <c r="V1555">
        <v>0</v>
      </c>
      <c r="W1555">
        <v>0</v>
      </c>
      <c r="X1555">
        <v>4</v>
      </c>
      <c r="Z1555">
        <v>0</v>
      </c>
      <c r="AA1555">
        <v>8</v>
      </c>
      <c r="AB1555">
        <v>3</v>
      </c>
      <c r="AC1555">
        <v>0</v>
      </c>
      <c r="AD1555">
        <v>10</v>
      </c>
      <c r="AE1555">
        <v>0</v>
      </c>
      <c r="AF1555">
        <v>0</v>
      </c>
      <c r="AG1555">
        <v>1</v>
      </c>
      <c r="AH1555">
        <v>1</v>
      </c>
      <c r="AI1555" t="s">
        <v>1162</v>
      </c>
      <c r="AJ1555">
        <v>35.221094999999998</v>
      </c>
      <c r="AK1555" t="s">
        <v>1163</v>
      </c>
      <c r="AL1555">
        <v>-76.044895999999994</v>
      </c>
      <c r="AM1555">
        <v>25</v>
      </c>
      <c r="AN1555">
        <v>2925</v>
      </c>
      <c r="AO1555" t="s">
        <v>118</v>
      </c>
      <c r="AP1555">
        <v>116</v>
      </c>
      <c r="AQ1555">
        <v>-108</v>
      </c>
      <c r="AR1555">
        <v>64</v>
      </c>
      <c r="AZ1555">
        <v>4516</v>
      </c>
      <c r="BA1555">
        <v>1</v>
      </c>
      <c r="BB1555" t="str">
        <f t="shared" si="148"/>
        <v xml:space="preserve">N79NX   </v>
      </c>
      <c r="BC1555">
        <v>1</v>
      </c>
      <c r="BE1555">
        <v>0</v>
      </c>
      <c r="BF1555">
        <v>0</v>
      </c>
      <c r="BG1555">
        <v>0</v>
      </c>
      <c r="BH1555">
        <v>2775</v>
      </c>
      <c r="BI1555">
        <v>0</v>
      </c>
      <c r="BJ1555">
        <v>0</v>
      </c>
      <c r="BK1555">
        <v>0</v>
      </c>
      <c r="BL1555">
        <v>0</v>
      </c>
      <c r="BO1555">
        <v>0</v>
      </c>
      <c r="BP1555">
        <v>0</v>
      </c>
      <c r="BW1555" t="str">
        <f>"18:46:42.672"</f>
        <v>18:46:42.672</v>
      </c>
      <c r="BZ1555">
        <v>0</v>
      </c>
      <c r="CA1555">
        <v>3008</v>
      </c>
      <c r="CB1555">
        <v>216</v>
      </c>
      <c r="CC1555">
        <v>506.25</v>
      </c>
      <c r="CD1555">
        <v>1</v>
      </c>
      <c r="CE1555">
        <v>1</v>
      </c>
      <c r="CF1555">
        <v>0</v>
      </c>
      <c r="CG1555">
        <v>1</v>
      </c>
      <c r="CH1555">
        <v>0</v>
      </c>
      <c r="CI1555">
        <v>0</v>
      </c>
      <c r="CJ1555">
        <v>0</v>
      </c>
      <c r="CK1555">
        <v>2</v>
      </c>
      <c r="CL1555">
        <v>0</v>
      </c>
      <c r="CM1555">
        <v>2</v>
      </c>
      <c r="CN1555">
        <v>0</v>
      </c>
      <c r="CO1555">
        <v>2</v>
      </c>
      <c r="CP1555" t="s">
        <v>119</v>
      </c>
      <c r="CQ1555">
        <v>145</v>
      </c>
      <c r="CR1555">
        <v>1</v>
      </c>
      <c r="CW1555">
        <v>9171497</v>
      </c>
      <c r="CY1555">
        <v>0</v>
      </c>
      <c r="CZ1555">
        <v>0</v>
      </c>
      <c r="DA1555">
        <v>0</v>
      </c>
      <c r="DB1555">
        <v>0</v>
      </c>
      <c r="DC1555">
        <v>0</v>
      </c>
      <c r="DD1555">
        <v>0</v>
      </c>
      <c r="DE1555">
        <v>0</v>
      </c>
      <c r="DF1555">
        <v>0</v>
      </c>
      <c r="DG1555">
        <v>0</v>
      </c>
      <c r="DH1555">
        <v>0</v>
      </c>
      <c r="DI1555">
        <v>0</v>
      </c>
    </row>
    <row r="1556" spans="1:113" x14ac:dyDescent="0.3">
      <c r="A1556" t="str">
        <f>"02/13/2022 18:46:42.879"</f>
        <v>02/13/2022 18:46:42.879</v>
      </c>
      <c r="C1556" t="str">
        <f t="shared" si="143"/>
        <v>FFDFD7C0</v>
      </c>
      <c r="D1556" t="s">
        <v>113</v>
      </c>
      <c r="E1556">
        <v>4</v>
      </c>
      <c r="F1556">
        <v>1004</v>
      </c>
      <c r="G1556" t="s">
        <v>120</v>
      </c>
      <c r="J1556" t="s">
        <v>115</v>
      </c>
      <c r="K1556">
        <v>0</v>
      </c>
      <c r="L1556">
        <v>3</v>
      </c>
      <c r="M1556">
        <v>0</v>
      </c>
      <c r="N1556">
        <v>2</v>
      </c>
      <c r="O1556">
        <v>1</v>
      </c>
      <c r="P1556">
        <v>0</v>
      </c>
      <c r="Q1556">
        <v>0</v>
      </c>
      <c r="S1556" t="str">
        <f>"18:46:42.672"</f>
        <v>18:46:42.672</v>
      </c>
      <c r="T1556" t="str">
        <f>"18:46:42.472"</f>
        <v>18:46:42.472</v>
      </c>
      <c r="U1556" t="str">
        <f t="shared" si="147"/>
        <v>AAB6EE</v>
      </c>
      <c r="V1556">
        <v>0</v>
      </c>
      <c r="W1556">
        <v>0</v>
      </c>
      <c r="X1556">
        <v>4</v>
      </c>
      <c r="Z1556">
        <v>0</v>
      </c>
      <c r="AA1556">
        <v>8</v>
      </c>
      <c r="AB1556">
        <v>3</v>
      </c>
      <c r="AC1556">
        <v>0</v>
      </c>
      <c r="AD1556">
        <v>10</v>
      </c>
      <c r="AE1556">
        <v>0</v>
      </c>
      <c r="AF1556">
        <v>0</v>
      </c>
      <c r="AG1556">
        <v>1</v>
      </c>
      <c r="AH1556">
        <v>1</v>
      </c>
      <c r="AI1556" t="s">
        <v>1162</v>
      </c>
      <c r="AJ1556">
        <v>35.221094999999998</v>
      </c>
      <c r="AK1556" t="s">
        <v>1163</v>
      </c>
      <c r="AL1556">
        <v>-76.044895999999994</v>
      </c>
      <c r="AM1556">
        <v>25</v>
      </c>
      <c r="AN1556">
        <v>2925</v>
      </c>
      <c r="AO1556" t="s">
        <v>118</v>
      </c>
      <c r="AP1556">
        <v>116</v>
      </c>
      <c r="AQ1556">
        <v>-108</v>
      </c>
      <c r="AR1556">
        <v>64</v>
      </c>
      <c r="AZ1556">
        <v>4516</v>
      </c>
      <c r="BA1556">
        <v>1</v>
      </c>
      <c r="BB1556" t="str">
        <f t="shared" si="148"/>
        <v xml:space="preserve">N79NX   </v>
      </c>
      <c r="BC1556">
        <v>1</v>
      </c>
      <c r="BE1556">
        <v>0</v>
      </c>
      <c r="BF1556">
        <v>0</v>
      </c>
      <c r="BG1556">
        <v>0</v>
      </c>
      <c r="BH1556">
        <v>2775</v>
      </c>
      <c r="BI1556">
        <v>0</v>
      </c>
      <c r="BJ1556">
        <v>0</v>
      </c>
      <c r="BK1556">
        <v>0</v>
      </c>
      <c r="BL1556">
        <v>0</v>
      </c>
      <c r="BO1556">
        <v>0</v>
      </c>
      <c r="BP1556">
        <v>0</v>
      </c>
      <c r="BW1556" t="str">
        <f>"18:46:42.672"</f>
        <v>18:46:42.672</v>
      </c>
      <c r="BZ1556">
        <v>0</v>
      </c>
      <c r="CA1556">
        <v>3008</v>
      </c>
      <c r="CB1556">
        <v>216</v>
      </c>
      <c r="CC1556">
        <v>506.25</v>
      </c>
      <c r="CD1556">
        <v>1</v>
      </c>
      <c r="CE1556">
        <v>1</v>
      </c>
      <c r="CF1556">
        <v>0</v>
      </c>
      <c r="CG1556">
        <v>1</v>
      </c>
      <c r="CH1556">
        <v>0</v>
      </c>
      <c r="CI1556">
        <v>0</v>
      </c>
      <c r="CJ1556">
        <v>0</v>
      </c>
      <c r="CK1556">
        <v>2</v>
      </c>
      <c r="CL1556">
        <v>0</v>
      </c>
      <c r="CM1556">
        <v>2</v>
      </c>
      <c r="CN1556">
        <v>0</v>
      </c>
      <c r="CO1556">
        <v>2</v>
      </c>
      <c r="CP1556" t="s">
        <v>119</v>
      </c>
      <c r="CQ1556">
        <v>145</v>
      </c>
      <c r="CR1556">
        <v>1</v>
      </c>
      <c r="CW1556">
        <v>9171497</v>
      </c>
      <c r="CY1556">
        <v>0</v>
      </c>
      <c r="CZ1556">
        <v>0</v>
      </c>
      <c r="DA1556">
        <v>1</v>
      </c>
      <c r="DB1556">
        <v>0</v>
      </c>
      <c r="DC1556">
        <v>0</v>
      </c>
      <c r="DD1556">
        <v>0</v>
      </c>
      <c r="DE1556">
        <v>0</v>
      </c>
      <c r="DF1556">
        <v>0</v>
      </c>
      <c r="DG1556">
        <v>0</v>
      </c>
      <c r="DH1556">
        <v>0</v>
      </c>
      <c r="DI1556">
        <v>0</v>
      </c>
    </row>
    <row r="1557" spans="1:113" x14ac:dyDescent="0.3">
      <c r="A1557" t="str">
        <f>"02/13/2022 18:46:42.879"</f>
        <v>02/13/2022 18:46:42.879</v>
      </c>
      <c r="C1557" t="str">
        <f t="shared" si="143"/>
        <v>FFDFD7C0</v>
      </c>
      <c r="D1557" t="s">
        <v>121</v>
      </c>
      <c r="E1557">
        <v>2</v>
      </c>
      <c r="H1557">
        <v>158</v>
      </c>
      <c r="I1557" t="s">
        <v>120</v>
      </c>
      <c r="J1557" t="s">
        <v>122</v>
      </c>
      <c r="K1557">
        <v>0</v>
      </c>
      <c r="L1557">
        <v>3</v>
      </c>
      <c r="M1557">
        <v>0</v>
      </c>
      <c r="N1557">
        <v>2</v>
      </c>
      <c r="O1557">
        <v>1</v>
      </c>
      <c r="P1557">
        <v>0</v>
      </c>
      <c r="Q1557">
        <v>0</v>
      </c>
      <c r="S1557" t="str">
        <f>"18:46:42.672"</f>
        <v>18:46:42.672</v>
      </c>
      <c r="T1557" t="str">
        <f>"18:46:42.472"</f>
        <v>18:46:42.472</v>
      </c>
      <c r="U1557" t="str">
        <f t="shared" si="147"/>
        <v>AAB6EE</v>
      </c>
      <c r="V1557">
        <v>0</v>
      </c>
      <c r="W1557">
        <v>0</v>
      </c>
      <c r="X1557">
        <v>4</v>
      </c>
      <c r="Z1557">
        <v>0</v>
      </c>
      <c r="AA1557">
        <v>8</v>
      </c>
      <c r="AB1557">
        <v>3</v>
      </c>
      <c r="AC1557">
        <v>0</v>
      </c>
      <c r="AD1557">
        <v>10</v>
      </c>
      <c r="AE1557">
        <v>0</v>
      </c>
      <c r="AF1557">
        <v>0</v>
      </c>
      <c r="AG1557">
        <v>1</v>
      </c>
      <c r="AH1557">
        <v>1</v>
      </c>
      <c r="AI1557" t="s">
        <v>1162</v>
      </c>
      <c r="AJ1557">
        <v>35.221094999999998</v>
      </c>
      <c r="AK1557" t="s">
        <v>1163</v>
      </c>
      <c r="AL1557">
        <v>-76.044895999999994</v>
      </c>
      <c r="AM1557">
        <v>25</v>
      </c>
      <c r="AN1557">
        <v>2925</v>
      </c>
      <c r="AO1557" t="s">
        <v>118</v>
      </c>
      <c r="AP1557">
        <v>116</v>
      </c>
      <c r="AQ1557">
        <v>-108</v>
      </c>
      <c r="AR1557">
        <v>64</v>
      </c>
      <c r="AZ1557">
        <v>4516</v>
      </c>
      <c r="BA1557">
        <v>1</v>
      </c>
      <c r="BB1557" t="str">
        <f t="shared" si="148"/>
        <v xml:space="preserve">N79NX   </v>
      </c>
      <c r="BC1557">
        <v>1</v>
      </c>
      <c r="BE1557">
        <v>0</v>
      </c>
      <c r="BF1557">
        <v>0</v>
      </c>
      <c r="BG1557">
        <v>0</v>
      </c>
      <c r="BH1557">
        <v>2775</v>
      </c>
      <c r="BI1557">
        <v>0</v>
      </c>
      <c r="BJ1557">
        <v>0</v>
      </c>
      <c r="BK1557">
        <v>0</v>
      </c>
      <c r="BL1557">
        <v>0</v>
      </c>
      <c r="BO1557">
        <v>0</v>
      </c>
      <c r="BP1557">
        <v>0</v>
      </c>
      <c r="BW1557" t="str">
        <f>"18:46:42.672"</f>
        <v>18:46:42.672</v>
      </c>
      <c r="BZ1557">
        <v>0</v>
      </c>
      <c r="CA1557">
        <v>3008</v>
      </c>
      <c r="CB1557">
        <v>216</v>
      </c>
      <c r="CC1557">
        <v>506.25</v>
      </c>
      <c r="CD1557">
        <v>1</v>
      </c>
      <c r="CE1557">
        <v>1</v>
      </c>
      <c r="CF1557">
        <v>0</v>
      </c>
      <c r="CG1557">
        <v>1</v>
      </c>
      <c r="CH1557">
        <v>0</v>
      </c>
      <c r="CI1557">
        <v>0</v>
      </c>
      <c r="CJ1557">
        <v>0</v>
      </c>
      <c r="CK1557">
        <v>2</v>
      </c>
      <c r="CL1557">
        <v>0</v>
      </c>
      <c r="CM1557">
        <v>2</v>
      </c>
      <c r="CN1557">
        <v>0</v>
      </c>
      <c r="CO1557">
        <v>2</v>
      </c>
      <c r="CP1557" t="s">
        <v>119</v>
      </c>
      <c r="CQ1557">
        <v>145</v>
      </c>
      <c r="CR1557">
        <v>1</v>
      </c>
      <c r="CW1557">
        <v>9171497</v>
      </c>
      <c r="CY1557">
        <v>0</v>
      </c>
      <c r="CZ1557">
        <v>0</v>
      </c>
      <c r="DA1557">
        <v>1</v>
      </c>
      <c r="DB1557">
        <v>0</v>
      </c>
      <c r="DC1557">
        <v>0</v>
      </c>
      <c r="DD1557">
        <v>0</v>
      </c>
      <c r="DE1557">
        <v>0</v>
      </c>
      <c r="DF1557">
        <v>0</v>
      </c>
      <c r="DG1557">
        <v>0</v>
      </c>
      <c r="DH1557">
        <v>0</v>
      </c>
      <c r="DI1557">
        <v>0</v>
      </c>
    </row>
    <row r="1558" spans="1:113" x14ac:dyDescent="0.3">
      <c r="A1558" t="str">
        <f>"02/13/2022 18:46:44.083"</f>
        <v>02/13/2022 18:46:44.083</v>
      </c>
      <c r="C1558" t="str">
        <f t="shared" si="143"/>
        <v>FFDFD7C0</v>
      </c>
      <c r="D1558" t="s">
        <v>113</v>
      </c>
      <c r="E1558">
        <v>3</v>
      </c>
      <c r="F1558">
        <v>1003</v>
      </c>
      <c r="G1558" t="s">
        <v>114</v>
      </c>
      <c r="J1558" t="s">
        <v>115</v>
      </c>
      <c r="K1558">
        <v>0</v>
      </c>
      <c r="L1558">
        <v>3</v>
      </c>
      <c r="M1558">
        <v>0</v>
      </c>
      <c r="N1558">
        <v>2</v>
      </c>
      <c r="O1558">
        <v>1</v>
      </c>
      <c r="P1558">
        <v>0</v>
      </c>
      <c r="Q1558">
        <v>0</v>
      </c>
      <c r="S1558" t="str">
        <f>"18:46:43.828"</f>
        <v>18:46:43.828</v>
      </c>
      <c r="T1558" t="str">
        <f>"18:46:43.328"</f>
        <v>18:46:43.328</v>
      </c>
      <c r="U1558" t="str">
        <f t="shared" si="147"/>
        <v>AAB6EE</v>
      </c>
      <c r="V1558">
        <v>0</v>
      </c>
      <c r="W1558">
        <v>0</v>
      </c>
      <c r="X1558">
        <v>4</v>
      </c>
      <c r="Z1558">
        <v>0</v>
      </c>
      <c r="AA1558">
        <v>8</v>
      </c>
      <c r="AB1558">
        <v>3</v>
      </c>
      <c r="AC1558">
        <v>0</v>
      </c>
      <c r="AD1558">
        <v>10</v>
      </c>
      <c r="AE1558">
        <v>0</v>
      </c>
      <c r="AF1558">
        <v>0</v>
      </c>
      <c r="AG1558">
        <v>1</v>
      </c>
      <c r="AH1558">
        <v>1</v>
      </c>
      <c r="AI1558" t="s">
        <v>1164</v>
      </c>
      <c r="AJ1558">
        <v>35.220494000000002</v>
      </c>
      <c r="AK1558" t="s">
        <v>1165</v>
      </c>
      <c r="AL1558">
        <v>-76.044166000000004</v>
      </c>
      <c r="AM1558">
        <v>25</v>
      </c>
      <c r="AN1558">
        <v>2925</v>
      </c>
      <c r="AO1558" t="s">
        <v>118</v>
      </c>
      <c r="AP1558">
        <v>116</v>
      </c>
      <c r="AQ1558">
        <v>-108</v>
      </c>
      <c r="AR1558">
        <v>64</v>
      </c>
      <c r="AZ1558">
        <v>4516</v>
      </c>
      <c r="BA1558">
        <v>1</v>
      </c>
      <c r="BB1558" t="str">
        <f t="shared" si="148"/>
        <v xml:space="preserve">N79NX   </v>
      </c>
      <c r="BC1558">
        <v>1</v>
      </c>
      <c r="BE1558">
        <v>0</v>
      </c>
      <c r="BF1558">
        <v>0</v>
      </c>
      <c r="BG1558">
        <v>0</v>
      </c>
      <c r="BH1558">
        <v>2775</v>
      </c>
      <c r="BI1558">
        <v>0</v>
      </c>
      <c r="BJ1558">
        <v>0</v>
      </c>
      <c r="BK1558">
        <v>0</v>
      </c>
      <c r="BL1558">
        <v>0</v>
      </c>
      <c r="BO1558">
        <v>0</v>
      </c>
      <c r="BP1558">
        <v>0</v>
      </c>
      <c r="BW1558" t="str">
        <f>"18:46:43.832"</f>
        <v>18:46:43.832</v>
      </c>
      <c r="BZ1558">
        <v>0</v>
      </c>
      <c r="CA1558">
        <v>3008</v>
      </c>
      <c r="CB1558">
        <v>216</v>
      </c>
      <c r="CC1558">
        <v>506.25</v>
      </c>
      <c r="CD1558">
        <v>1</v>
      </c>
      <c r="CE1558">
        <v>1</v>
      </c>
      <c r="CF1558">
        <v>0</v>
      </c>
      <c r="CG1558">
        <v>1</v>
      </c>
      <c r="CH1558">
        <v>0</v>
      </c>
      <c r="CI1558">
        <v>0</v>
      </c>
      <c r="CJ1558">
        <v>0</v>
      </c>
      <c r="CK1558">
        <v>2</v>
      </c>
      <c r="CL1558">
        <v>0</v>
      </c>
      <c r="CM1558">
        <v>2</v>
      </c>
      <c r="CN1558">
        <v>0</v>
      </c>
      <c r="CO1558">
        <v>2</v>
      </c>
      <c r="CP1558" t="s">
        <v>119</v>
      </c>
      <c r="CQ1558">
        <v>145</v>
      </c>
      <c r="CR1558">
        <v>1</v>
      </c>
      <c r="CW1558">
        <v>9172161</v>
      </c>
      <c r="CY1558">
        <v>0</v>
      </c>
      <c r="CZ1558">
        <v>0</v>
      </c>
      <c r="DA1558">
        <v>0</v>
      </c>
      <c r="DB1558">
        <v>0</v>
      </c>
      <c r="DC1558">
        <v>0</v>
      </c>
      <c r="DD1558">
        <v>0</v>
      </c>
      <c r="DE1558">
        <v>0</v>
      </c>
      <c r="DF1558">
        <v>0</v>
      </c>
      <c r="DG1558">
        <v>0</v>
      </c>
      <c r="DH1558">
        <v>0</v>
      </c>
      <c r="DI1558">
        <v>0</v>
      </c>
    </row>
    <row r="1559" spans="1:113" x14ac:dyDescent="0.3">
      <c r="A1559" t="str">
        <f>"02/13/2022 18:46:44.083"</f>
        <v>02/13/2022 18:46:44.083</v>
      </c>
      <c r="C1559" t="str">
        <f t="shared" si="143"/>
        <v>FFDFD7C0</v>
      </c>
      <c r="D1559" t="s">
        <v>121</v>
      </c>
      <c r="E1559">
        <v>2</v>
      </c>
      <c r="H1559">
        <v>158</v>
      </c>
      <c r="I1559" t="s">
        <v>120</v>
      </c>
      <c r="J1559" t="s">
        <v>122</v>
      </c>
      <c r="K1559">
        <v>0</v>
      </c>
      <c r="L1559">
        <v>3</v>
      </c>
      <c r="M1559">
        <v>0</v>
      </c>
      <c r="N1559">
        <v>2</v>
      </c>
      <c r="O1559">
        <v>1</v>
      </c>
      <c r="P1559">
        <v>0</v>
      </c>
      <c r="Q1559">
        <v>0</v>
      </c>
      <c r="S1559" t="str">
        <f>"18:46:43.828"</f>
        <v>18:46:43.828</v>
      </c>
      <c r="T1559" t="str">
        <f>"18:46:43.328"</f>
        <v>18:46:43.328</v>
      </c>
      <c r="U1559" t="str">
        <f t="shared" si="147"/>
        <v>AAB6EE</v>
      </c>
      <c r="V1559">
        <v>0</v>
      </c>
      <c r="W1559">
        <v>0</v>
      </c>
      <c r="X1559">
        <v>4</v>
      </c>
      <c r="Z1559">
        <v>0</v>
      </c>
      <c r="AA1559">
        <v>8</v>
      </c>
      <c r="AB1559">
        <v>3</v>
      </c>
      <c r="AC1559">
        <v>0</v>
      </c>
      <c r="AD1559">
        <v>10</v>
      </c>
      <c r="AE1559">
        <v>0</v>
      </c>
      <c r="AF1559">
        <v>0</v>
      </c>
      <c r="AG1559">
        <v>1</v>
      </c>
      <c r="AH1559">
        <v>1</v>
      </c>
      <c r="AI1559" t="s">
        <v>1164</v>
      </c>
      <c r="AJ1559">
        <v>35.220494000000002</v>
      </c>
      <c r="AK1559" t="s">
        <v>1165</v>
      </c>
      <c r="AL1559">
        <v>-76.044166000000004</v>
      </c>
      <c r="AM1559">
        <v>25</v>
      </c>
      <c r="AN1559">
        <v>2925</v>
      </c>
      <c r="AO1559" t="s">
        <v>118</v>
      </c>
      <c r="AP1559">
        <v>116</v>
      </c>
      <c r="AQ1559">
        <v>-108</v>
      </c>
      <c r="AR1559">
        <v>64</v>
      </c>
      <c r="AZ1559">
        <v>4516</v>
      </c>
      <c r="BA1559">
        <v>1</v>
      </c>
      <c r="BB1559" t="str">
        <f t="shared" si="148"/>
        <v xml:space="preserve">N79NX   </v>
      </c>
      <c r="BC1559">
        <v>1</v>
      </c>
      <c r="BE1559">
        <v>0</v>
      </c>
      <c r="BF1559">
        <v>0</v>
      </c>
      <c r="BG1559">
        <v>0</v>
      </c>
      <c r="BH1559">
        <v>2775</v>
      </c>
      <c r="BI1559">
        <v>0</v>
      </c>
      <c r="BJ1559">
        <v>0</v>
      </c>
      <c r="BK1559">
        <v>0</v>
      </c>
      <c r="BL1559">
        <v>0</v>
      </c>
      <c r="BO1559">
        <v>0</v>
      </c>
      <c r="BP1559">
        <v>0</v>
      </c>
      <c r="BW1559" t="str">
        <f>"18:46:43.832"</f>
        <v>18:46:43.832</v>
      </c>
      <c r="BZ1559">
        <v>0</v>
      </c>
      <c r="CA1559">
        <v>3008</v>
      </c>
      <c r="CB1559">
        <v>216</v>
      </c>
      <c r="CC1559">
        <v>506.25</v>
      </c>
      <c r="CD1559">
        <v>1</v>
      </c>
      <c r="CE1559">
        <v>1</v>
      </c>
      <c r="CF1559">
        <v>0</v>
      </c>
      <c r="CG1559">
        <v>1</v>
      </c>
      <c r="CH1559">
        <v>0</v>
      </c>
      <c r="CI1559">
        <v>0</v>
      </c>
      <c r="CJ1559">
        <v>0</v>
      </c>
      <c r="CK1559">
        <v>2</v>
      </c>
      <c r="CL1559">
        <v>0</v>
      </c>
      <c r="CM1559">
        <v>2</v>
      </c>
      <c r="CN1559">
        <v>0</v>
      </c>
      <c r="CO1559">
        <v>2</v>
      </c>
      <c r="CP1559" t="s">
        <v>119</v>
      </c>
      <c r="CQ1559">
        <v>145</v>
      </c>
      <c r="CR1559">
        <v>1</v>
      </c>
      <c r="CW1559">
        <v>9172161</v>
      </c>
      <c r="CY1559">
        <v>0</v>
      </c>
      <c r="CZ1559">
        <v>0</v>
      </c>
      <c r="DA1559">
        <v>1</v>
      </c>
      <c r="DB1559">
        <v>0</v>
      </c>
      <c r="DC1559">
        <v>0</v>
      </c>
      <c r="DD1559">
        <v>0</v>
      </c>
      <c r="DE1559">
        <v>0</v>
      </c>
      <c r="DF1559">
        <v>0</v>
      </c>
      <c r="DG1559">
        <v>0</v>
      </c>
      <c r="DH1559">
        <v>0</v>
      </c>
      <c r="DI1559">
        <v>0</v>
      </c>
    </row>
    <row r="1560" spans="1:113" x14ac:dyDescent="0.3">
      <c r="A1560" t="str">
        <f>"02/13/2022 18:46:44.083"</f>
        <v>02/13/2022 18:46:44.083</v>
      </c>
      <c r="C1560" t="str">
        <f t="shared" si="143"/>
        <v>FFDFD7C0</v>
      </c>
      <c r="D1560" t="s">
        <v>113</v>
      </c>
      <c r="E1560">
        <v>4</v>
      </c>
      <c r="F1560">
        <v>1004</v>
      </c>
      <c r="G1560" t="s">
        <v>120</v>
      </c>
      <c r="J1560" t="s">
        <v>115</v>
      </c>
      <c r="K1560">
        <v>0</v>
      </c>
      <c r="L1560">
        <v>3</v>
      </c>
      <c r="M1560">
        <v>0</v>
      </c>
      <c r="N1560">
        <v>2</v>
      </c>
      <c r="O1560">
        <v>1</v>
      </c>
      <c r="P1560">
        <v>0</v>
      </c>
      <c r="Q1560">
        <v>0</v>
      </c>
      <c r="S1560" t="str">
        <f>"18:46:43.828"</f>
        <v>18:46:43.828</v>
      </c>
      <c r="T1560" t="str">
        <f>"18:46:43.328"</f>
        <v>18:46:43.328</v>
      </c>
      <c r="U1560" t="str">
        <f t="shared" si="147"/>
        <v>AAB6EE</v>
      </c>
      <c r="V1560">
        <v>0</v>
      </c>
      <c r="W1560">
        <v>0</v>
      </c>
      <c r="X1560">
        <v>4</v>
      </c>
      <c r="Z1560">
        <v>0</v>
      </c>
      <c r="AA1560">
        <v>8</v>
      </c>
      <c r="AB1560">
        <v>3</v>
      </c>
      <c r="AC1560">
        <v>0</v>
      </c>
      <c r="AD1560">
        <v>10</v>
      </c>
      <c r="AE1560">
        <v>0</v>
      </c>
      <c r="AF1560">
        <v>0</v>
      </c>
      <c r="AG1560">
        <v>1</v>
      </c>
      <c r="AH1560">
        <v>1</v>
      </c>
      <c r="AI1560" t="s">
        <v>1164</v>
      </c>
      <c r="AJ1560">
        <v>35.220494000000002</v>
      </c>
      <c r="AK1560" t="s">
        <v>1165</v>
      </c>
      <c r="AL1560">
        <v>-76.044166000000004</v>
      </c>
      <c r="AM1560">
        <v>25</v>
      </c>
      <c r="AN1560">
        <v>2925</v>
      </c>
      <c r="AO1560" t="s">
        <v>118</v>
      </c>
      <c r="AP1560">
        <v>116</v>
      </c>
      <c r="AQ1560">
        <v>-108</v>
      </c>
      <c r="AR1560">
        <v>64</v>
      </c>
      <c r="AZ1560">
        <v>4516</v>
      </c>
      <c r="BA1560">
        <v>1</v>
      </c>
      <c r="BB1560" t="str">
        <f t="shared" si="148"/>
        <v xml:space="preserve">N79NX   </v>
      </c>
      <c r="BC1560">
        <v>1</v>
      </c>
      <c r="BE1560">
        <v>0</v>
      </c>
      <c r="BF1560">
        <v>0</v>
      </c>
      <c r="BG1560">
        <v>0</v>
      </c>
      <c r="BH1560">
        <v>2775</v>
      </c>
      <c r="BI1560">
        <v>0</v>
      </c>
      <c r="BJ1560">
        <v>0</v>
      </c>
      <c r="BK1560">
        <v>0</v>
      </c>
      <c r="BL1560">
        <v>0</v>
      </c>
      <c r="BO1560">
        <v>0</v>
      </c>
      <c r="BP1560">
        <v>0</v>
      </c>
      <c r="BW1560" t="str">
        <f>"18:46:43.832"</f>
        <v>18:46:43.832</v>
      </c>
      <c r="BZ1560">
        <v>0</v>
      </c>
      <c r="CA1560">
        <v>3008</v>
      </c>
      <c r="CB1560">
        <v>216</v>
      </c>
      <c r="CC1560">
        <v>506.25</v>
      </c>
      <c r="CD1560">
        <v>1</v>
      </c>
      <c r="CE1560">
        <v>1</v>
      </c>
      <c r="CF1560">
        <v>0</v>
      </c>
      <c r="CG1560">
        <v>1</v>
      </c>
      <c r="CH1560">
        <v>0</v>
      </c>
      <c r="CI1560">
        <v>0</v>
      </c>
      <c r="CJ1560">
        <v>0</v>
      </c>
      <c r="CK1560">
        <v>2</v>
      </c>
      <c r="CL1560">
        <v>0</v>
      </c>
      <c r="CM1560">
        <v>2</v>
      </c>
      <c r="CN1560">
        <v>0</v>
      </c>
      <c r="CO1560">
        <v>2</v>
      </c>
      <c r="CP1560" t="s">
        <v>119</v>
      </c>
      <c r="CQ1560">
        <v>145</v>
      </c>
      <c r="CR1560">
        <v>1</v>
      </c>
      <c r="CW1560">
        <v>9172161</v>
      </c>
      <c r="CY1560">
        <v>0</v>
      </c>
      <c r="CZ1560">
        <v>0</v>
      </c>
      <c r="DA1560">
        <v>1</v>
      </c>
      <c r="DB1560">
        <v>0</v>
      </c>
      <c r="DC1560">
        <v>0</v>
      </c>
      <c r="DD1560">
        <v>0</v>
      </c>
      <c r="DE1560">
        <v>0</v>
      </c>
      <c r="DF1560">
        <v>0</v>
      </c>
      <c r="DG1560">
        <v>0</v>
      </c>
      <c r="DH1560">
        <v>0</v>
      </c>
      <c r="DI1560">
        <v>0</v>
      </c>
    </row>
    <row r="1561" spans="1:113" x14ac:dyDescent="0.3">
      <c r="A1561" t="str">
        <f>"02/13/2022 18:46:45.089"</f>
        <v>02/13/2022 18:46:45.089</v>
      </c>
      <c r="C1561" t="str">
        <f t="shared" si="143"/>
        <v>FFDFD7C0</v>
      </c>
      <c r="D1561" t="s">
        <v>113</v>
      </c>
      <c r="E1561">
        <v>3</v>
      </c>
      <c r="F1561">
        <v>1003</v>
      </c>
      <c r="G1561" t="s">
        <v>114</v>
      </c>
      <c r="J1561" t="s">
        <v>115</v>
      </c>
      <c r="K1561">
        <v>0</v>
      </c>
      <c r="L1561">
        <v>3</v>
      </c>
      <c r="M1561">
        <v>0</v>
      </c>
      <c r="N1561">
        <v>2</v>
      </c>
      <c r="O1561">
        <v>1</v>
      </c>
      <c r="P1561">
        <v>0</v>
      </c>
      <c r="Q1561">
        <v>0</v>
      </c>
      <c r="S1561" t="str">
        <f>"18:46:44.906"</f>
        <v>18:46:44.906</v>
      </c>
      <c r="T1561" t="str">
        <f>"18:46:44.306"</f>
        <v>18:46:44.306</v>
      </c>
      <c r="U1561" t="str">
        <f t="shared" si="147"/>
        <v>AAB6EE</v>
      </c>
      <c r="V1561">
        <v>0</v>
      </c>
      <c r="W1561">
        <v>0</v>
      </c>
      <c r="X1561">
        <v>4</v>
      </c>
      <c r="Z1561">
        <v>0</v>
      </c>
      <c r="AA1561">
        <v>8</v>
      </c>
      <c r="AB1561">
        <v>3</v>
      </c>
      <c r="AC1561">
        <v>0</v>
      </c>
      <c r="AD1561">
        <v>10</v>
      </c>
      <c r="AE1561">
        <v>0</v>
      </c>
      <c r="AF1561">
        <v>0</v>
      </c>
      <c r="AG1561">
        <v>1</v>
      </c>
      <c r="AH1561">
        <v>1</v>
      </c>
      <c r="AI1561" t="s">
        <v>1166</v>
      </c>
      <c r="AJ1561">
        <v>35.219915</v>
      </c>
      <c r="AK1561" t="s">
        <v>1167</v>
      </c>
      <c r="AL1561">
        <v>-76.043436999999997</v>
      </c>
      <c r="AM1561">
        <v>25</v>
      </c>
      <c r="AN1561">
        <v>2925</v>
      </c>
      <c r="AO1561" t="s">
        <v>118</v>
      </c>
      <c r="AP1561">
        <v>116</v>
      </c>
      <c r="AQ1561">
        <v>-108</v>
      </c>
      <c r="AR1561">
        <v>64</v>
      </c>
      <c r="AZ1561">
        <v>4516</v>
      </c>
      <c r="BA1561">
        <v>1</v>
      </c>
      <c r="BB1561" t="str">
        <f t="shared" si="148"/>
        <v xml:space="preserve">N79NX   </v>
      </c>
      <c r="BC1561">
        <v>1</v>
      </c>
      <c r="BE1561">
        <v>0</v>
      </c>
      <c r="BF1561">
        <v>0</v>
      </c>
      <c r="BG1561">
        <v>0</v>
      </c>
      <c r="BH1561">
        <v>2775</v>
      </c>
      <c r="BI1561">
        <v>0</v>
      </c>
      <c r="BJ1561">
        <v>0</v>
      </c>
      <c r="BK1561">
        <v>0</v>
      </c>
      <c r="BL1561">
        <v>0</v>
      </c>
      <c r="BO1561">
        <v>0</v>
      </c>
      <c r="BP1561">
        <v>0</v>
      </c>
      <c r="BW1561" t="str">
        <f>"18:46:44.912"</f>
        <v>18:46:44.912</v>
      </c>
      <c r="BZ1561">
        <v>0</v>
      </c>
      <c r="CA1561">
        <v>3008</v>
      </c>
      <c r="CB1561">
        <v>216</v>
      </c>
      <c r="CC1561">
        <v>506.25</v>
      </c>
      <c r="CD1561">
        <v>1</v>
      </c>
      <c r="CE1561">
        <v>1</v>
      </c>
      <c r="CF1561">
        <v>0</v>
      </c>
      <c r="CG1561">
        <v>1</v>
      </c>
      <c r="CH1561">
        <v>0</v>
      </c>
      <c r="CI1561">
        <v>0</v>
      </c>
      <c r="CJ1561">
        <v>0</v>
      </c>
      <c r="CK1561">
        <v>2</v>
      </c>
      <c r="CL1561">
        <v>0</v>
      </c>
      <c r="CM1561">
        <v>2</v>
      </c>
      <c r="CN1561">
        <v>0</v>
      </c>
      <c r="CO1561">
        <v>2</v>
      </c>
      <c r="CP1561" t="s">
        <v>119</v>
      </c>
      <c r="CQ1561">
        <v>145</v>
      </c>
      <c r="CR1561">
        <v>1</v>
      </c>
      <c r="CW1561">
        <v>9172676</v>
      </c>
      <c r="CY1561">
        <v>0</v>
      </c>
      <c r="CZ1561">
        <v>0</v>
      </c>
      <c r="DA1561">
        <v>0</v>
      </c>
      <c r="DB1561">
        <v>0</v>
      </c>
      <c r="DC1561">
        <v>0</v>
      </c>
      <c r="DD1561">
        <v>0</v>
      </c>
      <c r="DE1561">
        <v>0</v>
      </c>
      <c r="DF1561">
        <v>0</v>
      </c>
      <c r="DG1561">
        <v>0</v>
      </c>
      <c r="DH1561">
        <v>0</v>
      </c>
      <c r="DI1561">
        <v>0</v>
      </c>
    </row>
    <row r="1562" spans="1:113" x14ac:dyDescent="0.3">
      <c r="A1562" t="str">
        <f>"02/13/2022 18:46:45.089"</f>
        <v>02/13/2022 18:46:45.089</v>
      </c>
      <c r="C1562" t="str">
        <f t="shared" si="143"/>
        <v>FFDFD7C0</v>
      </c>
      <c r="D1562" t="s">
        <v>113</v>
      </c>
      <c r="E1562">
        <v>4</v>
      </c>
      <c r="F1562">
        <v>1004</v>
      </c>
      <c r="G1562" t="s">
        <v>120</v>
      </c>
      <c r="J1562" t="s">
        <v>115</v>
      </c>
      <c r="K1562">
        <v>0</v>
      </c>
      <c r="L1562">
        <v>3</v>
      </c>
      <c r="M1562">
        <v>0</v>
      </c>
      <c r="N1562">
        <v>2</v>
      </c>
      <c r="O1562">
        <v>1</v>
      </c>
      <c r="P1562">
        <v>0</v>
      </c>
      <c r="Q1562">
        <v>0</v>
      </c>
      <c r="S1562" t="str">
        <f>"18:46:44.906"</f>
        <v>18:46:44.906</v>
      </c>
      <c r="T1562" t="str">
        <f>"18:46:44.306"</f>
        <v>18:46:44.306</v>
      </c>
      <c r="U1562" t="str">
        <f t="shared" si="147"/>
        <v>AAB6EE</v>
      </c>
      <c r="V1562">
        <v>0</v>
      </c>
      <c r="W1562">
        <v>0</v>
      </c>
      <c r="X1562">
        <v>4</v>
      </c>
      <c r="Z1562">
        <v>0</v>
      </c>
      <c r="AA1562">
        <v>8</v>
      </c>
      <c r="AB1562">
        <v>3</v>
      </c>
      <c r="AC1562">
        <v>0</v>
      </c>
      <c r="AD1562">
        <v>10</v>
      </c>
      <c r="AE1562">
        <v>0</v>
      </c>
      <c r="AF1562">
        <v>0</v>
      </c>
      <c r="AG1562">
        <v>1</v>
      </c>
      <c r="AH1562">
        <v>1</v>
      </c>
      <c r="AI1562" t="s">
        <v>1166</v>
      </c>
      <c r="AJ1562">
        <v>35.219915</v>
      </c>
      <c r="AK1562" t="s">
        <v>1167</v>
      </c>
      <c r="AL1562">
        <v>-76.043436999999997</v>
      </c>
      <c r="AM1562">
        <v>25</v>
      </c>
      <c r="AN1562">
        <v>2925</v>
      </c>
      <c r="AO1562" t="s">
        <v>118</v>
      </c>
      <c r="AP1562">
        <v>116</v>
      </c>
      <c r="AQ1562">
        <v>-108</v>
      </c>
      <c r="AR1562">
        <v>64</v>
      </c>
      <c r="AZ1562">
        <v>4516</v>
      </c>
      <c r="BA1562">
        <v>1</v>
      </c>
      <c r="BB1562" t="str">
        <f t="shared" si="148"/>
        <v xml:space="preserve">N79NX   </v>
      </c>
      <c r="BC1562">
        <v>1</v>
      </c>
      <c r="BE1562">
        <v>0</v>
      </c>
      <c r="BF1562">
        <v>0</v>
      </c>
      <c r="BG1562">
        <v>0</v>
      </c>
      <c r="BH1562">
        <v>2775</v>
      </c>
      <c r="BI1562">
        <v>0</v>
      </c>
      <c r="BJ1562">
        <v>0</v>
      </c>
      <c r="BK1562">
        <v>0</v>
      </c>
      <c r="BL1562">
        <v>0</v>
      </c>
      <c r="BO1562">
        <v>0</v>
      </c>
      <c r="BP1562">
        <v>0</v>
      </c>
      <c r="BW1562" t="str">
        <f>"18:46:44.912"</f>
        <v>18:46:44.912</v>
      </c>
      <c r="BZ1562">
        <v>0</v>
      </c>
      <c r="CA1562">
        <v>3008</v>
      </c>
      <c r="CB1562">
        <v>216</v>
      </c>
      <c r="CC1562">
        <v>506.25</v>
      </c>
      <c r="CD1562">
        <v>1</v>
      </c>
      <c r="CE1562">
        <v>1</v>
      </c>
      <c r="CF1562">
        <v>0</v>
      </c>
      <c r="CG1562">
        <v>1</v>
      </c>
      <c r="CH1562">
        <v>0</v>
      </c>
      <c r="CI1562">
        <v>0</v>
      </c>
      <c r="CJ1562">
        <v>0</v>
      </c>
      <c r="CK1562">
        <v>2</v>
      </c>
      <c r="CL1562">
        <v>0</v>
      </c>
      <c r="CM1562">
        <v>2</v>
      </c>
      <c r="CN1562">
        <v>0</v>
      </c>
      <c r="CO1562">
        <v>2</v>
      </c>
      <c r="CP1562" t="s">
        <v>119</v>
      </c>
      <c r="CQ1562">
        <v>145</v>
      </c>
      <c r="CR1562">
        <v>1</v>
      </c>
      <c r="CW1562">
        <v>9172676</v>
      </c>
      <c r="CY1562">
        <v>0</v>
      </c>
      <c r="CZ1562">
        <v>0</v>
      </c>
      <c r="DA1562">
        <v>1</v>
      </c>
      <c r="DB1562">
        <v>0</v>
      </c>
      <c r="DC1562">
        <v>0</v>
      </c>
      <c r="DD1562">
        <v>0</v>
      </c>
      <c r="DE1562">
        <v>0</v>
      </c>
      <c r="DF1562">
        <v>0</v>
      </c>
      <c r="DG1562">
        <v>0</v>
      </c>
      <c r="DH1562">
        <v>0</v>
      </c>
      <c r="DI1562">
        <v>0</v>
      </c>
    </row>
    <row r="1563" spans="1:113" x14ac:dyDescent="0.3">
      <c r="A1563" t="str">
        <f>"02/13/2022 18:46:45.120"</f>
        <v>02/13/2022 18:46:45.120</v>
      </c>
      <c r="C1563" t="str">
        <f t="shared" si="143"/>
        <v>FFDFD7C0</v>
      </c>
      <c r="D1563" t="s">
        <v>121</v>
      </c>
      <c r="E1563">
        <v>2</v>
      </c>
      <c r="H1563">
        <v>158</v>
      </c>
      <c r="I1563" t="s">
        <v>120</v>
      </c>
      <c r="J1563" t="s">
        <v>122</v>
      </c>
      <c r="K1563">
        <v>0</v>
      </c>
      <c r="L1563">
        <v>3</v>
      </c>
      <c r="M1563">
        <v>0</v>
      </c>
      <c r="N1563">
        <v>2</v>
      </c>
      <c r="O1563">
        <v>1</v>
      </c>
      <c r="P1563">
        <v>0</v>
      </c>
      <c r="Q1563">
        <v>0</v>
      </c>
      <c r="S1563" t="str">
        <f>"18:46:44.906"</f>
        <v>18:46:44.906</v>
      </c>
      <c r="T1563" t="str">
        <f>"18:46:44.306"</f>
        <v>18:46:44.306</v>
      </c>
      <c r="U1563" t="str">
        <f t="shared" si="147"/>
        <v>AAB6EE</v>
      </c>
      <c r="V1563">
        <v>0</v>
      </c>
      <c r="W1563">
        <v>0</v>
      </c>
      <c r="X1563">
        <v>4</v>
      </c>
      <c r="Z1563">
        <v>0</v>
      </c>
      <c r="AA1563">
        <v>8</v>
      </c>
      <c r="AB1563">
        <v>3</v>
      </c>
      <c r="AC1563">
        <v>0</v>
      </c>
      <c r="AD1563">
        <v>10</v>
      </c>
      <c r="AE1563">
        <v>0</v>
      </c>
      <c r="AF1563">
        <v>0</v>
      </c>
      <c r="AG1563">
        <v>1</v>
      </c>
      <c r="AH1563">
        <v>1</v>
      </c>
      <c r="AI1563" t="s">
        <v>1166</v>
      </c>
      <c r="AJ1563">
        <v>35.219915</v>
      </c>
      <c r="AK1563" t="s">
        <v>1167</v>
      </c>
      <c r="AL1563">
        <v>-76.043436999999997</v>
      </c>
      <c r="AM1563">
        <v>25</v>
      </c>
      <c r="AN1563">
        <v>2925</v>
      </c>
      <c r="AO1563" t="s">
        <v>118</v>
      </c>
      <c r="AP1563">
        <v>116</v>
      </c>
      <c r="AQ1563">
        <v>-108</v>
      </c>
      <c r="AR1563">
        <v>64</v>
      </c>
      <c r="AZ1563">
        <v>4516</v>
      </c>
      <c r="BA1563">
        <v>1</v>
      </c>
      <c r="BB1563" t="str">
        <f t="shared" si="148"/>
        <v xml:space="preserve">N79NX   </v>
      </c>
      <c r="BC1563">
        <v>1</v>
      </c>
      <c r="BE1563">
        <v>0</v>
      </c>
      <c r="BF1563">
        <v>0</v>
      </c>
      <c r="BG1563">
        <v>0</v>
      </c>
      <c r="BH1563">
        <v>2775</v>
      </c>
      <c r="BI1563">
        <v>0</v>
      </c>
      <c r="BJ1563">
        <v>0</v>
      </c>
      <c r="BK1563">
        <v>0</v>
      </c>
      <c r="BL1563">
        <v>0</v>
      </c>
      <c r="BO1563">
        <v>0</v>
      </c>
      <c r="BP1563">
        <v>0</v>
      </c>
      <c r="BW1563" t="str">
        <f>"18:46:44.912"</f>
        <v>18:46:44.912</v>
      </c>
      <c r="BZ1563">
        <v>0</v>
      </c>
      <c r="CA1563">
        <v>3008</v>
      </c>
      <c r="CB1563">
        <v>216</v>
      </c>
      <c r="CC1563">
        <v>506.25</v>
      </c>
      <c r="CD1563">
        <v>1</v>
      </c>
      <c r="CE1563">
        <v>1</v>
      </c>
      <c r="CF1563">
        <v>0</v>
      </c>
      <c r="CG1563">
        <v>1</v>
      </c>
      <c r="CH1563">
        <v>0</v>
      </c>
      <c r="CI1563">
        <v>0</v>
      </c>
      <c r="CJ1563">
        <v>0</v>
      </c>
      <c r="CK1563">
        <v>2</v>
      </c>
      <c r="CL1563">
        <v>0</v>
      </c>
      <c r="CM1563">
        <v>2</v>
      </c>
      <c r="CN1563">
        <v>0</v>
      </c>
      <c r="CO1563">
        <v>2</v>
      </c>
      <c r="CP1563" t="s">
        <v>119</v>
      </c>
      <c r="CQ1563">
        <v>145</v>
      </c>
      <c r="CR1563">
        <v>1</v>
      </c>
      <c r="CW1563">
        <v>9172676</v>
      </c>
      <c r="CY1563">
        <v>0</v>
      </c>
      <c r="CZ1563">
        <v>0</v>
      </c>
      <c r="DA1563">
        <v>1</v>
      </c>
      <c r="DB1563">
        <v>0</v>
      </c>
      <c r="DC1563">
        <v>0</v>
      </c>
      <c r="DD1563">
        <v>0</v>
      </c>
      <c r="DE1563">
        <v>0</v>
      </c>
      <c r="DF1563">
        <v>0</v>
      </c>
      <c r="DG1563">
        <v>0</v>
      </c>
      <c r="DH1563">
        <v>0</v>
      </c>
      <c r="DI1563">
        <v>0</v>
      </c>
    </row>
    <row r="1564" spans="1:113" x14ac:dyDescent="0.3">
      <c r="A1564" t="str">
        <f>"02/13/2022 18:46:46.278"</f>
        <v>02/13/2022 18:46:46.278</v>
      </c>
      <c r="C1564" t="str">
        <f t="shared" si="143"/>
        <v>FFDFD7C0</v>
      </c>
      <c r="D1564" t="s">
        <v>113</v>
      </c>
      <c r="E1564">
        <v>3</v>
      </c>
      <c r="F1564">
        <v>1003</v>
      </c>
      <c r="G1564" t="s">
        <v>114</v>
      </c>
      <c r="J1564" t="s">
        <v>115</v>
      </c>
      <c r="K1564">
        <v>0</v>
      </c>
      <c r="L1564">
        <v>3</v>
      </c>
      <c r="M1564">
        <v>0</v>
      </c>
      <c r="N1564">
        <v>2</v>
      </c>
      <c r="O1564">
        <v>1</v>
      </c>
      <c r="P1564">
        <v>0</v>
      </c>
      <c r="Q1564">
        <v>0</v>
      </c>
      <c r="S1564" t="str">
        <f>"18:46:45.852"</f>
        <v>18:46:45.852</v>
      </c>
      <c r="T1564" t="str">
        <f>"18:46:45.252"</f>
        <v>18:46:45.252</v>
      </c>
      <c r="U1564" t="str">
        <f t="shared" si="147"/>
        <v>AAB6EE</v>
      </c>
      <c r="V1564">
        <v>0</v>
      </c>
      <c r="W1564">
        <v>0</v>
      </c>
      <c r="X1564">
        <v>4</v>
      </c>
      <c r="Z1564">
        <v>0</v>
      </c>
      <c r="AA1564">
        <v>8</v>
      </c>
      <c r="AB1564">
        <v>3</v>
      </c>
      <c r="AC1564">
        <v>0</v>
      </c>
      <c r="AD1564">
        <v>10</v>
      </c>
      <c r="AE1564">
        <v>0</v>
      </c>
      <c r="AF1564">
        <v>0</v>
      </c>
      <c r="AG1564">
        <v>1</v>
      </c>
      <c r="AH1564">
        <v>1</v>
      </c>
      <c r="AI1564" t="s">
        <v>1168</v>
      </c>
      <c r="AJ1564">
        <v>35.219464000000002</v>
      </c>
      <c r="AK1564" t="s">
        <v>326</v>
      </c>
      <c r="AL1564">
        <v>-76.042835999999994</v>
      </c>
      <c r="AM1564">
        <v>25</v>
      </c>
      <c r="AN1564">
        <v>2925</v>
      </c>
      <c r="AO1564" t="s">
        <v>118</v>
      </c>
      <c r="AP1564">
        <v>116</v>
      </c>
      <c r="AQ1564">
        <v>-108</v>
      </c>
      <c r="AR1564">
        <v>0</v>
      </c>
      <c r="AZ1564">
        <v>4516</v>
      </c>
      <c r="BA1564">
        <v>1</v>
      </c>
      <c r="BB1564" t="str">
        <f t="shared" si="148"/>
        <v xml:space="preserve">N79NX   </v>
      </c>
      <c r="BC1564">
        <v>1</v>
      </c>
      <c r="BE1564">
        <v>0</v>
      </c>
      <c r="BF1564">
        <v>0</v>
      </c>
      <c r="BG1564">
        <v>0</v>
      </c>
      <c r="BH1564">
        <v>2775</v>
      </c>
      <c r="BI1564">
        <v>0</v>
      </c>
      <c r="BJ1564">
        <v>0</v>
      </c>
      <c r="BK1564">
        <v>0</v>
      </c>
      <c r="BL1564">
        <v>0</v>
      </c>
      <c r="BO1564">
        <v>0</v>
      </c>
      <c r="BP1564">
        <v>0</v>
      </c>
      <c r="BW1564" t="str">
        <f>"18:46:45.852"</f>
        <v>18:46:45.852</v>
      </c>
      <c r="BZ1564">
        <v>0</v>
      </c>
      <c r="CA1564">
        <v>3008</v>
      </c>
      <c r="CB1564">
        <v>216</v>
      </c>
      <c r="CC1564">
        <v>506.25</v>
      </c>
      <c r="CD1564">
        <v>1</v>
      </c>
      <c r="CE1564">
        <v>1</v>
      </c>
      <c r="CF1564">
        <v>0</v>
      </c>
      <c r="CG1564">
        <v>1</v>
      </c>
      <c r="CH1564">
        <v>0</v>
      </c>
      <c r="CI1564">
        <v>0</v>
      </c>
      <c r="CJ1564">
        <v>0</v>
      </c>
      <c r="CK1564">
        <v>2</v>
      </c>
      <c r="CL1564">
        <v>0</v>
      </c>
      <c r="CM1564">
        <v>2</v>
      </c>
      <c r="CN1564">
        <v>0</v>
      </c>
      <c r="CO1564">
        <v>2</v>
      </c>
      <c r="CP1564" t="s">
        <v>119</v>
      </c>
      <c r="CQ1564">
        <v>145</v>
      </c>
      <c r="CR1564">
        <v>1</v>
      </c>
      <c r="CW1564">
        <v>9173078</v>
      </c>
      <c r="CY1564">
        <v>0</v>
      </c>
      <c r="CZ1564">
        <v>0</v>
      </c>
      <c r="DA1564">
        <v>0</v>
      </c>
      <c r="DB1564">
        <v>0</v>
      </c>
      <c r="DC1564">
        <v>0</v>
      </c>
      <c r="DD1564">
        <v>0</v>
      </c>
      <c r="DE1564">
        <v>0</v>
      </c>
      <c r="DF1564">
        <v>0</v>
      </c>
      <c r="DG1564">
        <v>0</v>
      </c>
      <c r="DH1564">
        <v>0</v>
      </c>
      <c r="DI1564">
        <v>0</v>
      </c>
    </row>
    <row r="1565" spans="1:113" x14ac:dyDescent="0.3">
      <c r="A1565" t="str">
        <f>"02/13/2022 18:46:46.997"</f>
        <v>02/13/2022 18:46:46.997</v>
      </c>
      <c r="C1565" t="str">
        <f t="shared" si="143"/>
        <v>FFDFD7C0</v>
      </c>
      <c r="D1565" t="s">
        <v>121</v>
      </c>
      <c r="E1565">
        <v>2</v>
      </c>
      <c r="H1565">
        <v>158</v>
      </c>
      <c r="I1565" t="s">
        <v>120</v>
      </c>
      <c r="J1565" t="s">
        <v>122</v>
      </c>
      <c r="K1565">
        <v>0</v>
      </c>
      <c r="L1565">
        <v>3</v>
      </c>
      <c r="M1565">
        <v>0</v>
      </c>
      <c r="N1565">
        <v>2</v>
      </c>
      <c r="O1565">
        <v>1</v>
      </c>
      <c r="P1565">
        <v>0</v>
      </c>
      <c r="Q1565">
        <v>0</v>
      </c>
      <c r="S1565" t="str">
        <f>"18:46:46.758"</f>
        <v>18:46:46.758</v>
      </c>
      <c r="T1565" t="str">
        <f>"18:46:46.358"</f>
        <v>18:46:46.358</v>
      </c>
      <c r="U1565" t="str">
        <f t="shared" si="147"/>
        <v>AAB6EE</v>
      </c>
      <c r="V1565">
        <v>0</v>
      </c>
      <c r="W1565">
        <v>0</v>
      </c>
      <c r="X1565">
        <v>4</v>
      </c>
      <c r="Z1565">
        <v>0</v>
      </c>
      <c r="AA1565">
        <v>8</v>
      </c>
      <c r="AB1565">
        <v>3</v>
      </c>
      <c r="AC1565">
        <v>0</v>
      </c>
      <c r="AD1565">
        <v>10</v>
      </c>
      <c r="AE1565">
        <v>0</v>
      </c>
      <c r="AF1565">
        <v>0</v>
      </c>
      <c r="AG1565">
        <v>1</v>
      </c>
      <c r="AH1565">
        <v>1</v>
      </c>
      <c r="AI1565" t="s">
        <v>1169</v>
      </c>
      <c r="AJ1565">
        <v>35.219056999999999</v>
      </c>
      <c r="AK1565" t="s">
        <v>1170</v>
      </c>
      <c r="AL1565">
        <v>-76.042255999999995</v>
      </c>
      <c r="AM1565">
        <v>25</v>
      </c>
      <c r="AN1565">
        <v>2925</v>
      </c>
      <c r="AO1565" t="s">
        <v>118</v>
      </c>
      <c r="AP1565">
        <v>116</v>
      </c>
      <c r="AQ1565">
        <v>-109</v>
      </c>
      <c r="AR1565">
        <v>0</v>
      </c>
      <c r="AZ1565">
        <v>4516</v>
      </c>
      <c r="BA1565">
        <v>1</v>
      </c>
      <c r="BB1565" t="str">
        <f t="shared" si="148"/>
        <v xml:space="preserve">N79NX   </v>
      </c>
      <c r="BC1565">
        <v>1</v>
      </c>
      <c r="BE1565">
        <v>0</v>
      </c>
      <c r="BF1565">
        <v>0</v>
      </c>
      <c r="BG1565">
        <v>0</v>
      </c>
      <c r="BH1565">
        <v>2775</v>
      </c>
      <c r="BI1565">
        <v>0</v>
      </c>
      <c r="BJ1565">
        <v>0</v>
      </c>
      <c r="BK1565">
        <v>0</v>
      </c>
      <c r="BL1565">
        <v>0</v>
      </c>
      <c r="BO1565">
        <v>0</v>
      </c>
      <c r="BP1565">
        <v>0</v>
      </c>
      <c r="BW1565" t="str">
        <f>"18:46:46.762"</f>
        <v>18:46:46.762</v>
      </c>
      <c r="BZ1565">
        <v>0</v>
      </c>
      <c r="CA1565">
        <v>3008</v>
      </c>
      <c r="CB1565">
        <v>216</v>
      </c>
      <c r="CC1565">
        <v>506.25</v>
      </c>
      <c r="CD1565">
        <v>1</v>
      </c>
      <c r="CE1565">
        <v>1</v>
      </c>
      <c r="CF1565">
        <v>0</v>
      </c>
      <c r="CG1565">
        <v>1</v>
      </c>
      <c r="CH1565">
        <v>0</v>
      </c>
      <c r="CI1565">
        <v>0</v>
      </c>
      <c r="CJ1565">
        <v>0</v>
      </c>
      <c r="CK1565">
        <v>2</v>
      </c>
      <c r="CL1565">
        <v>0</v>
      </c>
      <c r="CM1565">
        <v>2</v>
      </c>
      <c r="CN1565">
        <v>0</v>
      </c>
      <c r="CO1565">
        <v>2</v>
      </c>
      <c r="CP1565" t="s">
        <v>119</v>
      </c>
      <c r="CQ1565">
        <v>145</v>
      </c>
      <c r="CR1565">
        <v>1</v>
      </c>
      <c r="CW1565">
        <v>9173509</v>
      </c>
      <c r="CY1565">
        <v>0</v>
      </c>
      <c r="CZ1565">
        <v>0</v>
      </c>
      <c r="DA1565">
        <v>0</v>
      </c>
      <c r="DB1565">
        <v>0</v>
      </c>
      <c r="DC1565">
        <v>0</v>
      </c>
      <c r="DD1565">
        <v>0</v>
      </c>
      <c r="DE1565">
        <v>0</v>
      </c>
      <c r="DF1565">
        <v>0</v>
      </c>
      <c r="DG1565">
        <v>0</v>
      </c>
      <c r="DH1565">
        <v>0</v>
      </c>
      <c r="DI1565">
        <v>0</v>
      </c>
    </row>
    <row r="1566" spans="1:113" x14ac:dyDescent="0.3">
      <c r="A1566" t="str">
        <f>"02/13/2022 18:46:47.013"</f>
        <v>02/13/2022 18:46:47.013</v>
      </c>
      <c r="C1566" t="str">
        <f t="shared" si="143"/>
        <v>FFDFD7C0</v>
      </c>
      <c r="D1566" t="s">
        <v>113</v>
      </c>
      <c r="E1566">
        <v>3</v>
      </c>
      <c r="F1566">
        <v>1003</v>
      </c>
      <c r="G1566" t="s">
        <v>114</v>
      </c>
      <c r="J1566" t="s">
        <v>115</v>
      </c>
      <c r="K1566">
        <v>0</v>
      </c>
      <c r="L1566">
        <v>3</v>
      </c>
      <c r="M1566">
        <v>0</v>
      </c>
      <c r="N1566">
        <v>2</v>
      </c>
      <c r="O1566">
        <v>1</v>
      </c>
      <c r="P1566">
        <v>0</v>
      </c>
      <c r="Q1566">
        <v>0</v>
      </c>
      <c r="S1566" t="str">
        <f>"18:46:46.758"</f>
        <v>18:46:46.758</v>
      </c>
      <c r="T1566" t="str">
        <f>"18:46:46.358"</f>
        <v>18:46:46.358</v>
      </c>
      <c r="U1566" t="str">
        <f t="shared" si="147"/>
        <v>AAB6EE</v>
      </c>
      <c r="V1566">
        <v>0</v>
      </c>
      <c r="W1566">
        <v>0</v>
      </c>
      <c r="X1566">
        <v>4</v>
      </c>
      <c r="Z1566">
        <v>0</v>
      </c>
      <c r="AA1566">
        <v>8</v>
      </c>
      <c r="AB1566">
        <v>3</v>
      </c>
      <c r="AC1566">
        <v>0</v>
      </c>
      <c r="AD1566">
        <v>10</v>
      </c>
      <c r="AE1566">
        <v>0</v>
      </c>
      <c r="AF1566">
        <v>0</v>
      </c>
      <c r="AG1566">
        <v>1</v>
      </c>
      <c r="AH1566">
        <v>1</v>
      </c>
      <c r="AI1566" t="s">
        <v>1169</v>
      </c>
      <c r="AJ1566">
        <v>35.219056999999999</v>
      </c>
      <c r="AK1566" t="s">
        <v>1170</v>
      </c>
      <c r="AL1566">
        <v>-76.042255999999995</v>
      </c>
      <c r="AM1566">
        <v>25</v>
      </c>
      <c r="AN1566">
        <v>2925</v>
      </c>
      <c r="AO1566" t="s">
        <v>118</v>
      </c>
      <c r="AP1566">
        <v>116</v>
      </c>
      <c r="AQ1566">
        <v>-109</v>
      </c>
      <c r="AR1566">
        <v>0</v>
      </c>
      <c r="AZ1566">
        <v>4516</v>
      </c>
      <c r="BA1566">
        <v>1</v>
      </c>
      <c r="BB1566" t="str">
        <f t="shared" si="148"/>
        <v xml:space="preserve">N79NX   </v>
      </c>
      <c r="BC1566">
        <v>1</v>
      </c>
      <c r="BE1566">
        <v>0</v>
      </c>
      <c r="BF1566">
        <v>0</v>
      </c>
      <c r="BG1566">
        <v>0</v>
      </c>
      <c r="BH1566">
        <v>2775</v>
      </c>
      <c r="BI1566">
        <v>0</v>
      </c>
      <c r="BJ1566">
        <v>0</v>
      </c>
      <c r="BK1566">
        <v>0</v>
      </c>
      <c r="BL1566">
        <v>0</v>
      </c>
      <c r="BO1566">
        <v>0</v>
      </c>
      <c r="BP1566">
        <v>0</v>
      </c>
      <c r="BW1566" t="str">
        <f>"18:46:46.762"</f>
        <v>18:46:46.762</v>
      </c>
      <c r="BZ1566">
        <v>0</v>
      </c>
      <c r="CA1566">
        <v>3008</v>
      </c>
      <c r="CB1566">
        <v>216</v>
      </c>
      <c r="CC1566">
        <v>506.25</v>
      </c>
      <c r="CD1566">
        <v>1</v>
      </c>
      <c r="CE1566">
        <v>1</v>
      </c>
      <c r="CF1566">
        <v>0</v>
      </c>
      <c r="CG1566">
        <v>1</v>
      </c>
      <c r="CH1566">
        <v>0</v>
      </c>
      <c r="CI1566">
        <v>0</v>
      </c>
      <c r="CJ1566">
        <v>0</v>
      </c>
      <c r="CK1566">
        <v>2</v>
      </c>
      <c r="CL1566">
        <v>0</v>
      </c>
      <c r="CM1566">
        <v>2</v>
      </c>
      <c r="CN1566">
        <v>0</v>
      </c>
      <c r="CO1566">
        <v>2</v>
      </c>
      <c r="CP1566" t="s">
        <v>119</v>
      </c>
      <c r="CQ1566">
        <v>145</v>
      </c>
      <c r="CR1566">
        <v>1</v>
      </c>
      <c r="CW1566">
        <v>9173509</v>
      </c>
      <c r="CY1566">
        <v>0</v>
      </c>
      <c r="CZ1566">
        <v>0</v>
      </c>
      <c r="DA1566">
        <v>1</v>
      </c>
      <c r="DB1566">
        <v>0</v>
      </c>
      <c r="DC1566">
        <v>0</v>
      </c>
      <c r="DD1566">
        <v>0</v>
      </c>
      <c r="DE1566">
        <v>0</v>
      </c>
      <c r="DF1566">
        <v>0</v>
      </c>
      <c r="DG1566">
        <v>0</v>
      </c>
      <c r="DH1566">
        <v>0</v>
      </c>
      <c r="DI1566">
        <v>0</v>
      </c>
    </row>
    <row r="1567" spans="1:113" x14ac:dyDescent="0.3">
      <c r="A1567" t="str">
        <f>"02/13/2022 18:46:47.013"</f>
        <v>02/13/2022 18:46:47.013</v>
      </c>
      <c r="C1567" t="str">
        <f t="shared" si="143"/>
        <v>FFDFD7C0</v>
      </c>
      <c r="D1567" t="s">
        <v>113</v>
      </c>
      <c r="E1567">
        <v>4</v>
      </c>
      <c r="F1567">
        <v>1004</v>
      </c>
      <c r="G1567" t="s">
        <v>120</v>
      </c>
      <c r="J1567" t="s">
        <v>115</v>
      </c>
      <c r="K1567">
        <v>0</v>
      </c>
      <c r="L1567">
        <v>3</v>
      </c>
      <c r="M1567">
        <v>0</v>
      </c>
      <c r="N1567">
        <v>2</v>
      </c>
      <c r="O1567">
        <v>1</v>
      </c>
      <c r="P1567">
        <v>0</v>
      </c>
      <c r="Q1567">
        <v>0</v>
      </c>
      <c r="S1567" t="str">
        <f>"18:46:46.758"</f>
        <v>18:46:46.758</v>
      </c>
      <c r="T1567" t="str">
        <f>"18:46:46.358"</f>
        <v>18:46:46.358</v>
      </c>
      <c r="U1567" t="str">
        <f t="shared" si="147"/>
        <v>AAB6EE</v>
      </c>
      <c r="V1567">
        <v>0</v>
      </c>
      <c r="W1567">
        <v>0</v>
      </c>
      <c r="X1567">
        <v>4</v>
      </c>
      <c r="Z1567">
        <v>0</v>
      </c>
      <c r="AA1567">
        <v>8</v>
      </c>
      <c r="AB1567">
        <v>3</v>
      </c>
      <c r="AC1567">
        <v>0</v>
      </c>
      <c r="AD1567">
        <v>10</v>
      </c>
      <c r="AE1567">
        <v>0</v>
      </c>
      <c r="AF1567">
        <v>0</v>
      </c>
      <c r="AG1567">
        <v>1</v>
      </c>
      <c r="AH1567">
        <v>1</v>
      </c>
      <c r="AI1567" t="s">
        <v>1169</v>
      </c>
      <c r="AJ1567">
        <v>35.219056999999999</v>
      </c>
      <c r="AK1567" t="s">
        <v>1170</v>
      </c>
      <c r="AL1567">
        <v>-76.042255999999995</v>
      </c>
      <c r="AM1567">
        <v>25</v>
      </c>
      <c r="AN1567">
        <v>2925</v>
      </c>
      <c r="AO1567" t="s">
        <v>118</v>
      </c>
      <c r="AP1567">
        <v>116</v>
      </c>
      <c r="AQ1567">
        <v>-109</v>
      </c>
      <c r="AR1567">
        <v>0</v>
      </c>
      <c r="AZ1567">
        <v>4516</v>
      </c>
      <c r="BA1567">
        <v>1</v>
      </c>
      <c r="BB1567" t="str">
        <f t="shared" si="148"/>
        <v xml:space="preserve">N79NX   </v>
      </c>
      <c r="BC1567">
        <v>1</v>
      </c>
      <c r="BE1567">
        <v>0</v>
      </c>
      <c r="BF1567">
        <v>0</v>
      </c>
      <c r="BG1567">
        <v>0</v>
      </c>
      <c r="BH1567">
        <v>2775</v>
      </c>
      <c r="BI1567">
        <v>0</v>
      </c>
      <c r="BJ1567">
        <v>0</v>
      </c>
      <c r="BK1567">
        <v>0</v>
      </c>
      <c r="BL1567">
        <v>0</v>
      </c>
      <c r="BO1567">
        <v>0</v>
      </c>
      <c r="BP1567">
        <v>0</v>
      </c>
      <c r="BW1567" t="str">
        <f>"18:46:46.762"</f>
        <v>18:46:46.762</v>
      </c>
      <c r="BZ1567">
        <v>0</v>
      </c>
      <c r="CA1567">
        <v>3008</v>
      </c>
      <c r="CB1567">
        <v>216</v>
      </c>
      <c r="CC1567">
        <v>506.25</v>
      </c>
      <c r="CD1567">
        <v>1</v>
      </c>
      <c r="CE1567">
        <v>1</v>
      </c>
      <c r="CF1567">
        <v>0</v>
      </c>
      <c r="CG1567">
        <v>1</v>
      </c>
      <c r="CH1567">
        <v>0</v>
      </c>
      <c r="CI1567">
        <v>0</v>
      </c>
      <c r="CJ1567">
        <v>0</v>
      </c>
      <c r="CK1567">
        <v>2</v>
      </c>
      <c r="CL1567">
        <v>0</v>
      </c>
      <c r="CM1567">
        <v>2</v>
      </c>
      <c r="CN1567">
        <v>0</v>
      </c>
      <c r="CO1567">
        <v>2</v>
      </c>
      <c r="CP1567" t="s">
        <v>119</v>
      </c>
      <c r="CQ1567">
        <v>145</v>
      </c>
      <c r="CR1567">
        <v>1</v>
      </c>
      <c r="CW1567">
        <v>9173509</v>
      </c>
      <c r="CY1567">
        <v>0</v>
      </c>
      <c r="CZ1567">
        <v>0</v>
      </c>
      <c r="DA1567">
        <v>1</v>
      </c>
      <c r="DB1567">
        <v>0</v>
      </c>
      <c r="DC1567">
        <v>0</v>
      </c>
      <c r="DD1567">
        <v>0</v>
      </c>
      <c r="DE1567">
        <v>0</v>
      </c>
      <c r="DF1567">
        <v>0</v>
      </c>
      <c r="DG1567">
        <v>0</v>
      </c>
      <c r="DH1567">
        <v>0</v>
      </c>
      <c r="DI1567">
        <v>0</v>
      </c>
    </row>
    <row r="1568" spans="1:113" x14ac:dyDescent="0.3">
      <c r="A1568" t="str">
        <f>"02/13/2022 18:46:48.075"</f>
        <v>02/13/2022 18:46:48.075</v>
      </c>
      <c r="C1568" t="str">
        <f t="shared" si="143"/>
        <v>FFDFD7C0</v>
      </c>
      <c r="D1568" t="s">
        <v>113</v>
      </c>
      <c r="E1568">
        <v>3</v>
      </c>
      <c r="F1568">
        <v>1003</v>
      </c>
      <c r="G1568" t="s">
        <v>114</v>
      </c>
      <c r="J1568" t="s">
        <v>115</v>
      </c>
      <c r="K1568">
        <v>0</v>
      </c>
      <c r="L1568">
        <v>3</v>
      </c>
      <c r="M1568">
        <v>0</v>
      </c>
      <c r="N1568">
        <v>2</v>
      </c>
      <c r="O1568">
        <v>1</v>
      </c>
      <c r="P1568">
        <v>0</v>
      </c>
      <c r="Q1568">
        <v>0</v>
      </c>
      <c r="S1568" t="str">
        <f>"18:46:47.805"</f>
        <v>18:46:47.805</v>
      </c>
      <c r="T1568" t="str">
        <f>"18:46:47.405"</f>
        <v>18:46:47.405</v>
      </c>
      <c r="U1568" t="str">
        <f t="shared" si="147"/>
        <v>AAB6EE</v>
      </c>
      <c r="V1568">
        <v>0</v>
      </c>
      <c r="W1568">
        <v>0</v>
      </c>
      <c r="X1568">
        <v>4</v>
      </c>
      <c r="Z1568">
        <v>0</v>
      </c>
      <c r="AA1568">
        <v>8</v>
      </c>
      <c r="AB1568">
        <v>3</v>
      </c>
      <c r="AC1568">
        <v>0</v>
      </c>
      <c r="AD1568">
        <v>10</v>
      </c>
      <c r="AE1568">
        <v>0</v>
      </c>
      <c r="AF1568">
        <v>0</v>
      </c>
      <c r="AG1568">
        <v>1</v>
      </c>
      <c r="AH1568">
        <v>1</v>
      </c>
      <c r="AI1568" t="s">
        <v>1171</v>
      </c>
      <c r="AJ1568">
        <v>35.218499000000001</v>
      </c>
      <c r="AK1568" t="s">
        <v>1172</v>
      </c>
      <c r="AL1568">
        <v>-76.041527000000002</v>
      </c>
      <c r="AM1568">
        <v>25</v>
      </c>
      <c r="AN1568">
        <v>2925</v>
      </c>
      <c r="AO1568" t="s">
        <v>118</v>
      </c>
      <c r="AP1568">
        <v>115</v>
      </c>
      <c r="AQ1568">
        <v>-109</v>
      </c>
      <c r="AR1568">
        <v>-64</v>
      </c>
      <c r="AZ1568">
        <v>4516</v>
      </c>
      <c r="BA1568">
        <v>1</v>
      </c>
      <c r="BB1568" t="str">
        <f t="shared" si="148"/>
        <v xml:space="preserve">N79NX   </v>
      </c>
      <c r="BC1568">
        <v>1</v>
      </c>
      <c r="BE1568">
        <v>0</v>
      </c>
      <c r="BF1568">
        <v>0</v>
      </c>
      <c r="BG1568">
        <v>0</v>
      </c>
      <c r="BH1568">
        <v>2775</v>
      </c>
      <c r="BI1568">
        <v>0</v>
      </c>
      <c r="BJ1568">
        <v>0</v>
      </c>
      <c r="BK1568">
        <v>0</v>
      </c>
      <c r="BL1568">
        <v>0</v>
      </c>
      <c r="BO1568">
        <v>0</v>
      </c>
      <c r="BP1568">
        <v>0</v>
      </c>
      <c r="BW1568" t="str">
        <f>"18:46:47.812"</f>
        <v>18:46:47.812</v>
      </c>
      <c r="BZ1568">
        <v>0</v>
      </c>
      <c r="CA1568">
        <v>3008</v>
      </c>
      <c r="CB1568">
        <v>216</v>
      </c>
      <c r="CC1568">
        <v>506.25</v>
      </c>
      <c r="CD1568">
        <v>1</v>
      </c>
      <c r="CE1568">
        <v>1</v>
      </c>
      <c r="CF1568">
        <v>0</v>
      </c>
      <c r="CG1568">
        <v>1</v>
      </c>
      <c r="CH1568">
        <v>0</v>
      </c>
      <c r="CI1568">
        <v>0</v>
      </c>
      <c r="CJ1568">
        <v>0</v>
      </c>
      <c r="CK1568">
        <v>2</v>
      </c>
      <c r="CL1568">
        <v>0</v>
      </c>
      <c r="CM1568">
        <v>2</v>
      </c>
      <c r="CN1568">
        <v>0</v>
      </c>
      <c r="CO1568">
        <v>2</v>
      </c>
      <c r="CP1568" t="s">
        <v>119</v>
      </c>
      <c r="CQ1568">
        <v>145</v>
      </c>
      <c r="CR1568">
        <v>1</v>
      </c>
      <c r="CW1568">
        <v>9174117</v>
      </c>
      <c r="CY1568">
        <v>0</v>
      </c>
      <c r="CZ1568">
        <v>0</v>
      </c>
      <c r="DA1568">
        <v>0</v>
      </c>
      <c r="DB1568">
        <v>0</v>
      </c>
      <c r="DC1568">
        <v>0</v>
      </c>
      <c r="DD1568">
        <v>0</v>
      </c>
      <c r="DE1568">
        <v>0</v>
      </c>
      <c r="DF1568">
        <v>0</v>
      </c>
      <c r="DG1568">
        <v>0</v>
      </c>
      <c r="DH1568">
        <v>0</v>
      </c>
      <c r="DI1568">
        <v>0</v>
      </c>
    </row>
    <row r="1569" spans="1:113" x14ac:dyDescent="0.3">
      <c r="A1569" t="str">
        <f>"02/13/2022 18:46:48.075"</f>
        <v>02/13/2022 18:46:48.075</v>
      </c>
      <c r="C1569" t="str">
        <f t="shared" si="143"/>
        <v>FFDFD7C0</v>
      </c>
      <c r="D1569" t="s">
        <v>113</v>
      </c>
      <c r="E1569">
        <v>4</v>
      </c>
      <c r="F1569">
        <v>1004</v>
      </c>
      <c r="G1569" t="s">
        <v>120</v>
      </c>
      <c r="J1569" t="s">
        <v>115</v>
      </c>
      <c r="K1569">
        <v>0</v>
      </c>
      <c r="L1569">
        <v>3</v>
      </c>
      <c r="M1569">
        <v>0</v>
      </c>
      <c r="N1569">
        <v>2</v>
      </c>
      <c r="O1569">
        <v>1</v>
      </c>
      <c r="P1569">
        <v>0</v>
      </c>
      <c r="Q1569">
        <v>0</v>
      </c>
      <c r="S1569" t="str">
        <f>"18:46:47.805"</f>
        <v>18:46:47.805</v>
      </c>
      <c r="T1569" t="str">
        <f>"18:46:47.405"</f>
        <v>18:46:47.405</v>
      </c>
      <c r="U1569" t="str">
        <f t="shared" si="147"/>
        <v>AAB6EE</v>
      </c>
      <c r="V1569">
        <v>0</v>
      </c>
      <c r="W1569">
        <v>0</v>
      </c>
      <c r="X1569">
        <v>4</v>
      </c>
      <c r="Z1569">
        <v>0</v>
      </c>
      <c r="AA1569">
        <v>8</v>
      </c>
      <c r="AB1569">
        <v>3</v>
      </c>
      <c r="AC1569">
        <v>0</v>
      </c>
      <c r="AD1569">
        <v>10</v>
      </c>
      <c r="AE1569">
        <v>0</v>
      </c>
      <c r="AF1569">
        <v>0</v>
      </c>
      <c r="AG1569">
        <v>1</v>
      </c>
      <c r="AH1569">
        <v>1</v>
      </c>
      <c r="AI1569" t="s">
        <v>1171</v>
      </c>
      <c r="AJ1569">
        <v>35.218499000000001</v>
      </c>
      <c r="AK1569" t="s">
        <v>1172</v>
      </c>
      <c r="AL1569">
        <v>-76.041527000000002</v>
      </c>
      <c r="AM1569">
        <v>25</v>
      </c>
      <c r="AN1569">
        <v>2925</v>
      </c>
      <c r="AO1569" t="s">
        <v>118</v>
      </c>
      <c r="AP1569">
        <v>115</v>
      </c>
      <c r="AQ1569">
        <v>-109</v>
      </c>
      <c r="AR1569">
        <v>-64</v>
      </c>
      <c r="AZ1569">
        <v>4516</v>
      </c>
      <c r="BA1569">
        <v>1</v>
      </c>
      <c r="BB1569" t="str">
        <f t="shared" si="148"/>
        <v xml:space="preserve">N79NX   </v>
      </c>
      <c r="BC1569">
        <v>1</v>
      </c>
      <c r="BE1569">
        <v>0</v>
      </c>
      <c r="BF1569">
        <v>0</v>
      </c>
      <c r="BG1569">
        <v>0</v>
      </c>
      <c r="BH1569">
        <v>2775</v>
      </c>
      <c r="BI1569">
        <v>0</v>
      </c>
      <c r="BJ1569">
        <v>0</v>
      </c>
      <c r="BK1569">
        <v>0</v>
      </c>
      <c r="BL1569">
        <v>0</v>
      </c>
      <c r="BO1569">
        <v>0</v>
      </c>
      <c r="BP1569">
        <v>0</v>
      </c>
      <c r="BW1569" t="str">
        <f>"18:46:47.812"</f>
        <v>18:46:47.812</v>
      </c>
      <c r="BZ1569">
        <v>0</v>
      </c>
      <c r="CA1569">
        <v>3008</v>
      </c>
      <c r="CB1569">
        <v>216</v>
      </c>
      <c r="CC1569">
        <v>506.25</v>
      </c>
      <c r="CD1569">
        <v>1</v>
      </c>
      <c r="CE1569">
        <v>1</v>
      </c>
      <c r="CF1569">
        <v>0</v>
      </c>
      <c r="CG1569">
        <v>1</v>
      </c>
      <c r="CH1569">
        <v>0</v>
      </c>
      <c r="CI1569">
        <v>0</v>
      </c>
      <c r="CJ1569">
        <v>0</v>
      </c>
      <c r="CK1569">
        <v>2</v>
      </c>
      <c r="CL1569">
        <v>0</v>
      </c>
      <c r="CM1569">
        <v>2</v>
      </c>
      <c r="CN1569">
        <v>0</v>
      </c>
      <c r="CO1569">
        <v>2</v>
      </c>
      <c r="CP1569" t="s">
        <v>119</v>
      </c>
      <c r="CQ1569">
        <v>145</v>
      </c>
      <c r="CR1569">
        <v>1</v>
      </c>
      <c r="CW1569">
        <v>9174117</v>
      </c>
      <c r="CY1569">
        <v>0</v>
      </c>
      <c r="CZ1569">
        <v>0</v>
      </c>
      <c r="DA1569">
        <v>1</v>
      </c>
      <c r="DB1569">
        <v>0</v>
      </c>
      <c r="DC1569">
        <v>0</v>
      </c>
      <c r="DD1569">
        <v>0</v>
      </c>
      <c r="DE1569">
        <v>0</v>
      </c>
      <c r="DF1569">
        <v>0</v>
      </c>
      <c r="DG1569">
        <v>0</v>
      </c>
      <c r="DH1569">
        <v>0</v>
      </c>
      <c r="DI1569">
        <v>0</v>
      </c>
    </row>
    <row r="1570" spans="1:113" x14ac:dyDescent="0.3">
      <c r="A1570" t="str">
        <f>"02/13/2022 18:46:48.138"</f>
        <v>02/13/2022 18:46:48.138</v>
      </c>
      <c r="C1570" t="str">
        <f t="shared" si="143"/>
        <v>FFDFD7C0</v>
      </c>
      <c r="D1570" t="s">
        <v>121</v>
      </c>
      <c r="E1570">
        <v>2</v>
      </c>
      <c r="H1570">
        <v>158</v>
      </c>
      <c r="I1570" t="s">
        <v>120</v>
      </c>
      <c r="J1570" t="s">
        <v>122</v>
      </c>
      <c r="K1570">
        <v>0</v>
      </c>
      <c r="L1570">
        <v>3</v>
      </c>
      <c r="M1570">
        <v>0</v>
      </c>
      <c r="N1570">
        <v>2</v>
      </c>
      <c r="O1570">
        <v>1</v>
      </c>
      <c r="P1570">
        <v>0</v>
      </c>
      <c r="Q1570">
        <v>0</v>
      </c>
      <c r="S1570" t="str">
        <f>"18:46:47.805"</f>
        <v>18:46:47.805</v>
      </c>
      <c r="T1570" t="str">
        <f>"18:46:47.405"</f>
        <v>18:46:47.405</v>
      </c>
      <c r="U1570" t="str">
        <f t="shared" si="147"/>
        <v>AAB6EE</v>
      </c>
      <c r="V1570">
        <v>0</v>
      </c>
      <c r="W1570">
        <v>0</v>
      </c>
      <c r="X1570">
        <v>4</v>
      </c>
      <c r="Z1570">
        <v>0</v>
      </c>
      <c r="AA1570">
        <v>8</v>
      </c>
      <c r="AB1570">
        <v>3</v>
      </c>
      <c r="AC1570">
        <v>0</v>
      </c>
      <c r="AD1570">
        <v>10</v>
      </c>
      <c r="AE1570">
        <v>0</v>
      </c>
      <c r="AF1570">
        <v>0</v>
      </c>
      <c r="AG1570">
        <v>1</v>
      </c>
      <c r="AH1570">
        <v>1</v>
      </c>
      <c r="AI1570" t="s">
        <v>1171</v>
      </c>
      <c r="AJ1570">
        <v>35.218499000000001</v>
      </c>
      <c r="AK1570" t="s">
        <v>1172</v>
      </c>
      <c r="AL1570">
        <v>-76.041527000000002</v>
      </c>
      <c r="AM1570">
        <v>25</v>
      </c>
      <c r="AN1570">
        <v>2925</v>
      </c>
      <c r="AO1570" t="s">
        <v>118</v>
      </c>
      <c r="AP1570">
        <v>115</v>
      </c>
      <c r="AQ1570">
        <v>-109</v>
      </c>
      <c r="AR1570">
        <v>-64</v>
      </c>
      <c r="AZ1570">
        <v>4516</v>
      </c>
      <c r="BA1570">
        <v>1</v>
      </c>
      <c r="BB1570" t="str">
        <f t="shared" si="148"/>
        <v xml:space="preserve">N79NX   </v>
      </c>
      <c r="BC1570">
        <v>1</v>
      </c>
      <c r="BE1570">
        <v>0</v>
      </c>
      <c r="BF1570">
        <v>0</v>
      </c>
      <c r="BG1570">
        <v>0</v>
      </c>
      <c r="BH1570">
        <v>2775</v>
      </c>
      <c r="BI1570">
        <v>0</v>
      </c>
      <c r="BJ1570">
        <v>0</v>
      </c>
      <c r="BK1570">
        <v>0</v>
      </c>
      <c r="BL1570">
        <v>0</v>
      </c>
      <c r="BO1570">
        <v>0</v>
      </c>
      <c r="BP1570">
        <v>0</v>
      </c>
      <c r="BW1570" t="str">
        <f>"18:46:47.812"</f>
        <v>18:46:47.812</v>
      </c>
      <c r="BZ1570">
        <v>0</v>
      </c>
      <c r="CA1570">
        <v>3008</v>
      </c>
      <c r="CB1570">
        <v>216</v>
      </c>
      <c r="CC1570">
        <v>506.25</v>
      </c>
      <c r="CD1570">
        <v>1</v>
      </c>
      <c r="CE1570">
        <v>1</v>
      </c>
      <c r="CF1570">
        <v>0</v>
      </c>
      <c r="CG1570">
        <v>1</v>
      </c>
      <c r="CH1570">
        <v>0</v>
      </c>
      <c r="CI1570">
        <v>0</v>
      </c>
      <c r="CJ1570">
        <v>0</v>
      </c>
      <c r="CK1570">
        <v>2</v>
      </c>
      <c r="CL1570">
        <v>0</v>
      </c>
      <c r="CM1570">
        <v>2</v>
      </c>
      <c r="CN1570">
        <v>0</v>
      </c>
      <c r="CO1570">
        <v>2</v>
      </c>
      <c r="CP1570" t="s">
        <v>119</v>
      </c>
      <c r="CQ1570">
        <v>145</v>
      </c>
      <c r="CR1570">
        <v>1</v>
      </c>
      <c r="CW1570">
        <v>9174117</v>
      </c>
      <c r="CY1570">
        <v>0</v>
      </c>
      <c r="CZ1570">
        <v>0</v>
      </c>
      <c r="DA1570">
        <v>1</v>
      </c>
      <c r="DB1570">
        <v>0</v>
      </c>
      <c r="DC1570">
        <v>0</v>
      </c>
      <c r="DD1570">
        <v>0</v>
      </c>
      <c r="DE1570">
        <v>0</v>
      </c>
      <c r="DF1570">
        <v>0</v>
      </c>
      <c r="DG1570">
        <v>0</v>
      </c>
      <c r="DH1570">
        <v>0</v>
      </c>
      <c r="DI1570">
        <v>0</v>
      </c>
    </row>
    <row r="1571" spans="1:113" x14ac:dyDescent="0.3">
      <c r="A1571" t="str">
        <f>"02/13/2022 18:46:49.530"</f>
        <v>02/13/2022 18:46:49.530</v>
      </c>
      <c r="C1571" t="str">
        <f t="shared" si="143"/>
        <v>FFDFD7C0</v>
      </c>
      <c r="D1571" t="s">
        <v>121</v>
      </c>
      <c r="E1571">
        <v>2</v>
      </c>
      <c r="H1571">
        <v>158</v>
      </c>
      <c r="I1571" t="s">
        <v>120</v>
      </c>
      <c r="J1571" t="s">
        <v>122</v>
      </c>
      <c r="K1571">
        <v>0</v>
      </c>
      <c r="L1571">
        <v>3</v>
      </c>
      <c r="M1571">
        <v>0</v>
      </c>
      <c r="N1571">
        <v>2</v>
      </c>
      <c r="O1571">
        <v>1</v>
      </c>
      <c r="P1571">
        <v>0</v>
      </c>
      <c r="Q1571">
        <v>0</v>
      </c>
      <c r="S1571" t="str">
        <f>"18:46:49.320"</f>
        <v>18:46:49.320</v>
      </c>
      <c r="T1571" t="str">
        <f>"18:46:48.520"</f>
        <v>18:46:48.520</v>
      </c>
      <c r="U1571" t="str">
        <f t="shared" si="147"/>
        <v>AAB6EE</v>
      </c>
      <c r="V1571">
        <v>0</v>
      </c>
      <c r="W1571">
        <v>0</v>
      </c>
      <c r="X1571">
        <v>4</v>
      </c>
      <c r="Z1571">
        <v>0</v>
      </c>
      <c r="AA1571">
        <v>8</v>
      </c>
      <c r="AB1571">
        <v>3</v>
      </c>
      <c r="AC1571">
        <v>0</v>
      </c>
      <c r="AD1571">
        <v>10</v>
      </c>
      <c r="AE1571">
        <v>0</v>
      </c>
      <c r="AF1571">
        <v>0</v>
      </c>
      <c r="AG1571">
        <v>1</v>
      </c>
      <c r="AH1571">
        <v>1</v>
      </c>
      <c r="AI1571" t="s">
        <v>1173</v>
      </c>
      <c r="AJ1571">
        <v>35.217725999999999</v>
      </c>
      <c r="AK1571" t="s">
        <v>1174</v>
      </c>
      <c r="AL1571">
        <v>-76.040582999999998</v>
      </c>
      <c r="AM1571">
        <v>25</v>
      </c>
      <c r="AN1571">
        <v>2925</v>
      </c>
      <c r="AO1571" t="s">
        <v>118</v>
      </c>
      <c r="AP1571">
        <v>114</v>
      </c>
      <c r="AQ1571">
        <v>-110</v>
      </c>
      <c r="AR1571">
        <v>-64</v>
      </c>
      <c r="AZ1571">
        <v>4516</v>
      </c>
      <c r="BA1571">
        <v>1</v>
      </c>
      <c r="BB1571" t="str">
        <f t="shared" si="148"/>
        <v xml:space="preserve">N79NX   </v>
      </c>
      <c r="BC1571">
        <v>1</v>
      </c>
      <c r="BE1571">
        <v>0</v>
      </c>
      <c r="BF1571">
        <v>0</v>
      </c>
      <c r="BG1571">
        <v>0</v>
      </c>
      <c r="BH1571">
        <v>2775</v>
      </c>
      <c r="BI1571">
        <v>0</v>
      </c>
      <c r="BJ1571">
        <v>0</v>
      </c>
      <c r="BK1571">
        <v>0</v>
      </c>
      <c r="BL1571">
        <v>0</v>
      </c>
      <c r="BO1571">
        <v>0</v>
      </c>
      <c r="BP1571">
        <v>0</v>
      </c>
      <c r="BW1571" t="str">
        <f>"18:46:49.322"</f>
        <v>18:46:49.322</v>
      </c>
      <c r="BZ1571">
        <v>0</v>
      </c>
      <c r="CA1571">
        <v>3008</v>
      </c>
      <c r="CB1571">
        <v>216</v>
      </c>
      <c r="CC1571">
        <v>506.25</v>
      </c>
      <c r="CD1571">
        <v>1</v>
      </c>
      <c r="CE1571">
        <v>1</v>
      </c>
      <c r="CF1571">
        <v>0</v>
      </c>
      <c r="CG1571">
        <v>1</v>
      </c>
      <c r="CH1571">
        <v>0</v>
      </c>
      <c r="CI1571">
        <v>0</v>
      </c>
      <c r="CJ1571">
        <v>0</v>
      </c>
      <c r="CK1571">
        <v>2</v>
      </c>
      <c r="CL1571">
        <v>0</v>
      </c>
      <c r="CM1571">
        <v>2</v>
      </c>
      <c r="CN1571">
        <v>0</v>
      </c>
      <c r="CO1571">
        <v>1</v>
      </c>
      <c r="CP1571" t="s">
        <v>119</v>
      </c>
      <c r="CQ1571">
        <v>145</v>
      </c>
      <c r="CR1571">
        <v>1</v>
      </c>
      <c r="CW1571">
        <v>9174854</v>
      </c>
      <c r="CY1571">
        <v>0</v>
      </c>
      <c r="CZ1571">
        <v>0</v>
      </c>
      <c r="DA1571">
        <v>0</v>
      </c>
      <c r="DB1571">
        <v>0</v>
      </c>
      <c r="DC1571">
        <v>0</v>
      </c>
      <c r="DD1571">
        <v>0</v>
      </c>
      <c r="DE1571">
        <v>0</v>
      </c>
      <c r="DF1571">
        <v>0</v>
      </c>
      <c r="DG1571">
        <v>0</v>
      </c>
      <c r="DH1571">
        <v>0</v>
      </c>
      <c r="DI1571">
        <v>0</v>
      </c>
    </row>
    <row r="1572" spans="1:113" x14ac:dyDescent="0.3">
      <c r="A1572" t="str">
        <f>"02/13/2022 18:46:49.531"</f>
        <v>02/13/2022 18:46:49.531</v>
      </c>
      <c r="C1572" t="str">
        <f t="shared" si="143"/>
        <v>FFDFD7C0</v>
      </c>
      <c r="D1572" t="s">
        <v>113</v>
      </c>
      <c r="E1572">
        <v>3</v>
      </c>
      <c r="F1572">
        <v>1003</v>
      </c>
      <c r="G1572" t="s">
        <v>114</v>
      </c>
      <c r="J1572" t="s">
        <v>115</v>
      </c>
      <c r="K1572">
        <v>0</v>
      </c>
      <c r="L1572">
        <v>3</v>
      </c>
      <c r="M1572">
        <v>0</v>
      </c>
      <c r="N1572">
        <v>2</v>
      </c>
      <c r="O1572">
        <v>1</v>
      </c>
      <c r="P1572">
        <v>0</v>
      </c>
      <c r="Q1572">
        <v>0</v>
      </c>
      <c r="S1572" t="str">
        <f>"18:46:49.320"</f>
        <v>18:46:49.320</v>
      </c>
      <c r="T1572" t="str">
        <f>"18:46:48.520"</f>
        <v>18:46:48.520</v>
      </c>
      <c r="U1572" t="str">
        <f t="shared" si="147"/>
        <v>AAB6EE</v>
      </c>
      <c r="V1572">
        <v>0</v>
      </c>
      <c r="W1572">
        <v>0</v>
      </c>
      <c r="X1572">
        <v>4</v>
      </c>
      <c r="Z1572">
        <v>0</v>
      </c>
      <c r="AA1572">
        <v>8</v>
      </c>
      <c r="AB1572">
        <v>3</v>
      </c>
      <c r="AC1572">
        <v>0</v>
      </c>
      <c r="AD1572">
        <v>10</v>
      </c>
      <c r="AE1572">
        <v>0</v>
      </c>
      <c r="AF1572">
        <v>0</v>
      </c>
      <c r="AG1572">
        <v>1</v>
      </c>
      <c r="AH1572">
        <v>1</v>
      </c>
      <c r="AI1572" t="s">
        <v>1173</v>
      </c>
      <c r="AJ1572">
        <v>35.217725999999999</v>
      </c>
      <c r="AK1572" t="s">
        <v>1174</v>
      </c>
      <c r="AL1572">
        <v>-76.040582999999998</v>
      </c>
      <c r="AM1572">
        <v>25</v>
      </c>
      <c r="AN1572">
        <v>2925</v>
      </c>
      <c r="AO1572" t="s">
        <v>118</v>
      </c>
      <c r="AP1572">
        <v>114</v>
      </c>
      <c r="AQ1572">
        <v>-110</v>
      </c>
      <c r="AR1572">
        <v>-64</v>
      </c>
      <c r="AZ1572">
        <v>4516</v>
      </c>
      <c r="BA1572">
        <v>1</v>
      </c>
      <c r="BB1572" t="str">
        <f t="shared" si="148"/>
        <v xml:space="preserve">N79NX   </v>
      </c>
      <c r="BC1572">
        <v>1</v>
      </c>
      <c r="BE1572">
        <v>0</v>
      </c>
      <c r="BF1572">
        <v>0</v>
      </c>
      <c r="BG1572">
        <v>0</v>
      </c>
      <c r="BH1572">
        <v>2775</v>
      </c>
      <c r="BI1572">
        <v>0</v>
      </c>
      <c r="BJ1572">
        <v>0</v>
      </c>
      <c r="BK1572">
        <v>0</v>
      </c>
      <c r="BL1572">
        <v>0</v>
      </c>
      <c r="BO1572">
        <v>0</v>
      </c>
      <c r="BP1572">
        <v>0</v>
      </c>
      <c r="BW1572" t="str">
        <f>"18:46:49.322"</f>
        <v>18:46:49.322</v>
      </c>
      <c r="BZ1572">
        <v>0</v>
      </c>
      <c r="CA1572">
        <v>3008</v>
      </c>
      <c r="CB1572">
        <v>216</v>
      </c>
      <c r="CC1572">
        <v>506.25</v>
      </c>
      <c r="CD1572">
        <v>1</v>
      </c>
      <c r="CE1572">
        <v>1</v>
      </c>
      <c r="CF1572">
        <v>0</v>
      </c>
      <c r="CG1572">
        <v>1</v>
      </c>
      <c r="CH1572">
        <v>0</v>
      </c>
      <c r="CI1572">
        <v>0</v>
      </c>
      <c r="CJ1572">
        <v>0</v>
      </c>
      <c r="CK1572">
        <v>2</v>
      </c>
      <c r="CL1572">
        <v>0</v>
      </c>
      <c r="CM1572">
        <v>2</v>
      </c>
      <c r="CN1572">
        <v>0</v>
      </c>
      <c r="CO1572">
        <v>1</v>
      </c>
      <c r="CP1572" t="s">
        <v>119</v>
      </c>
      <c r="CQ1572">
        <v>145</v>
      </c>
      <c r="CR1572">
        <v>1</v>
      </c>
      <c r="CW1572">
        <v>9174854</v>
      </c>
      <c r="CY1572">
        <v>0</v>
      </c>
      <c r="CZ1572">
        <v>0</v>
      </c>
      <c r="DA1572">
        <v>1</v>
      </c>
      <c r="DB1572">
        <v>0</v>
      </c>
      <c r="DC1572">
        <v>0</v>
      </c>
      <c r="DD1572">
        <v>0</v>
      </c>
      <c r="DE1572">
        <v>0</v>
      </c>
      <c r="DF1572">
        <v>0</v>
      </c>
      <c r="DG1572">
        <v>0</v>
      </c>
      <c r="DH1572">
        <v>0</v>
      </c>
      <c r="DI1572">
        <v>0</v>
      </c>
    </row>
    <row r="1573" spans="1:113" x14ac:dyDescent="0.3">
      <c r="A1573" t="str">
        <f>"02/13/2022 18:46:49.546"</f>
        <v>02/13/2022 18:46:49.546</v>
      </c>
      <c r="C1573" t="str">
        <f t="shared" ref="C1573:C1636" si="150">"FFDFD7C0"</f>
        <v>FFDFD7C0</v>
      </c>
      <c r="D1573" t="s">
        <v>113</v>
      </c>
      <c r="E1573">
        <v>4</v>
      </c>
      <c r="F1573">
        <v>1004</v>
      </c>
      <c r="G1573" t="s">
        <v>120</v>
      </c>
      <c r="J1573" t="s">
        <v>115</v>
      </c>
      <c r="K1573">
        <v>0</v>
      </c>
      <c r="L1573">
        <v>3</v>
      </c>
      <c r="M1573">
        <v>0</v>
      </c>
      <c r="N1573">
        <v>2</v>
      </c>
      <c r="O1573">
        <v>1</v>
      </c>
      <c r="P1573">
        <v>0</v>
      </c>
      <c r="Q1573">
        <v>0</v>
      </c>
      <c r="S1573" t="str">
        <f>"18:46:49.320"</f>
        <v>18:46:49.320</v>
      </c>
      <c r="T1573" t="str">
        <f>"18:46:48.520"</f>
        <v>18:46:48.520</v>
      </c>
      <c r="U1573" t="str">
        <f t="shared" si="147"/>
        <v>AAB6EE</v>
      </c>
      <c r="V1573">
        <v>0</v>
      </c>
      <c r="W1573">
        <v>0</v>
      </c>
      <c r="X1573">
        <v>4</v>
      </c>
      <c r="Z1573">
        <v>0</v>
      </c>
      <c r="AA1573">
        <v>8</v>
      </c>
      <c r="AB1573">
        <v>3</v>
      </c>
      <c r="AC1573">
        <v>0</v>
      </c>
      <c r="AD1573">
        <v>10</v>
      </c>
      <c r="AE1573">
        <v>0</v>
      </c>
      <c r="AF1573">
        <v>0</v>
      </c>
      <c r="AG1573">
        <v>1</v>
      </c>
      <c r="AH1573">
        <v>1</v>
      </c>
      <c r="AI1573" t="s">
        <v>1173</v>
      </c>
      <c r="AJ1573">
        <v>35.217725999999999</v>
      </c>
      <c r="AK1573" t="s">
        <v>1174</v>
      </c>
      <c r="AL1573">
        <v>-76.040582999999998</v>
      </c>
      <c r="AM1573">
        <v>25</v>
      </c>
      <c r="AN1573">
        <v>2925</v>
      </c>
      <c r="AO1573" t="s">
        <v>118</v>
      </c>
      <c r="AP1573">
        <v>114</v>
      </c>
      <c r="AQ1573">
        <v>-110</v>
      </c>
      <c r="AR1573">
        <v>-64</v>
      </c>
      <c r="AZ1573">
        <v>4516</v>
      </c>
      <c r="BA1573">
        <v>1</v>
      </c>
      <c r="BB1573" t="str">
        <f t="shared" si="148"/>
        <v xml:space="preserve">N79NX   </v>
      </c>
      <c r="BC1573">
        <v>1</v>
      </c>
      <c r="BE1573">
        <v>0</v>
      </c>
      <c r="BF1573">
        <v>0</v>
      </c>
      <c r="BG1573">
        <v>0</v>
      </c>
      <c r="BH1573">
        <v>2775</v>
      </c>
      <c r="BI1573">
        <v>0</v>
      </c>
      <c r="BJ1573">
        <v>0</v>
      </c>
      <c r="BK1573">
        <v>0</v>
      </c>
      <c r="BL1573">
        <v>0</v>
      </c>
      <c r="BO1573">
        <v>0</v>
      </c>
      <c r="BP1573">
        <v>0</v>
      </c>
      <c r="BW1573" t="str">
        <f>"18:46:49.322"</f>
        <v>18:46:49.322</v>
      </c>
      <c r="BZ1573">
        <v>0</v>
      </c>
      <c r="CA1573">
        <v>3008</v>
      </c>
      <c r="CB1573">
        <v>216</v>
      </c>
      <c r="CC1573">
        <v>506.25</v>
      </c>
      <c r="CD1573">
        <v>1</v>
      </c>
      <c r="CE1573">
        <v>1</v>
      </c>
      <c r="CF1573">
        <v>0</v>
      </c>
      <c r="CG1573">
        <v>1</v>
      </c>
      <c r="CH1573">
        <v>0</v>
      </c>
      <c r="CI1573">
        <v>0</v>
      </c>
      <c r="CJ1573">
        <v>0</v>
      </c>
      <c r="CK1573">
        <v>2</v>
      </c>
      <c r="CL1573">
        <v>0</v>
      </c>
      <c r="CM1573">
        <v>2</v>
      </c>
      <c r="CN1573">
        <v>0</v>
      </c>
      <c r="CO1573">
        <v>1</v>
      </c>
      <c r="CP1573" t="s">
        <v>119</v>
      </c>
      <c r="CQ1573">
        <v>145</v>
      </c>
      <c r="CR1573">
        <v>1</v>
      </c>
      <c r="CW1573">
        <v>9174854</v>
      </c>
      <c r="CY1573">
        <v>0</v>
      </c>
      <c r="CZ1573">
        <v>0</v>
      </c>
      <c r="DA1573">
        <v>1</v>
      </c>
      <c r="DB1573">
        <v>0</v>
      </c>
      <c r="DC1573">
        <v>0</v>
      </c>
      <c r="DD1573">
        <v>0</v>
      </c>
      <c r="DE1573">
        <v>0</v>
      </c>
      <c r="DF1573">
        <v>0</v>
      </c>
      <c r="DG1573">
        <v>0</v>
      </c>
      <c r="DH1573">
        <v>0</v>
      </c>
      <c r="DI1573">
        <v>0</v>
      </c>
    </row>
    <row r="1574" spans="1:113" x14ac:dyDescent="0.3">
      <c r="A1574" t="str">
        <f>"02/13/2022 18:46:50.500"</f>
        <v>02/13/2022 18:46:50.500</v>
      </c>
      <c r="C1574" t="str">
        <f t="shared" si="150"/>
        <v>FFDFD7C0</v>
      </c>
      <c r="D1574" t="s">
        <v>121</v>
      </c>
      <c r="E1574">
        <v>2</v>
      </c>
      <c r="H1574">
        <v>158</v>
      </c>
      <c r="I1574" t="s">
        <v>120</v>
      </c>
      <c r="J1574" t="s">
        <v>122</v>
      </c>
      <c r="K1574">
        <v>0</v>
      </c>
      <c r="L1574">
        <v>3</v>
      </c>
      <c r="M1574">
        <v>0</v>
      </c>
      <c r="N1574">
        <v>2</v>
      </c>
      <c r="O1574">
        <v>1</v>
      </c>
      <c r="P1574">
        <v>0</v>
      </c>
      <c r="Q1574">
        <v>0</v>
      </c>
      <c r="S1574" t="str">
        <f>"18:46:50.250"</f>
        <v>18:46:50.250</v>
      </c>
      <c r="T1574" t="str">
        <f>"18:46:50.150"</f>
        <v>18:46:50.150</v>
      </c>
      <c r="U1574" t="str">
        <f t="shared" si="147"/>
        <v>AAB6EE</v>
      </c>
      <c r="V1574">
        <v>0</v>
      </c>
      <c r="W1574">
        <v>0</v>
      </c>
      <c r="X1574">
        <v>4</v>
      </c>
      <c r="Z1574">
        <v>0</v>
      </c>
      <c r="AA1574">
        <v>8</v>
      </c>
      <c r="AB1574">
        <v>3</v>
      </c>
      <c r="AC1574">
        <v>0</v>
      </c>
      <c r="AD1574">
        <v>10</v>
      </c>
      <c r="AE1574">
        <v>0</v>
      </c>
      <c r="AF1574">
        <v>0</v>
      </c>
      <c r="AG1574">
        <v>1</v>
      </c>
      <c r="AH1574">
        <v>1</v>
      </c>
      <c r="AI1574" t="s">
        <v>1175</v>
      </c>
      <c r="AJ1574">
        <v>35.217233</v>
      </c>
      <c r="AK1574" t="s">
        <v>1176</v>
      </c>
      <c r="AL1574">
        <v>-76.040046000000004</v>
      </c>
      <c r="AM1574">
        <v>25</v>
      </c>
      <c r="AN1574">
        <v>2925</v>
      </c>
      <c r="AO1574" t="s">
        <v>118</v>
      </c>
      <c r="AP1574">
        <v>110</v>
      </c>
      <c r="AQ1574">
        <v>-114</v>
      </c>
      <c r="AR1574">
        <v>-64</v>
      </c>
      <c r="AZ1574">
        <v>4516</v>
      </c>
      <c r="BA1574">
        <v>1</v>
      </c>
      <c r="BB1574" t="str">
        <f t="shared" si="148"/>
        <v xml:space="preserve">N79NX   </v>
      </c>
      <c r="BC1574">
        <v>1</v>
      </c>
      <c r="BE1574">
        <v>0</v>
      </c>
      <c r="BF1574">
        <v>0</v>
      </c>
      <c r="BG1574">
        <v>0</v>
      </c>
      <c r="BH1574">
        <v>2775</v>
      </c>
      <c r="BI1574">
        <v>0</v>
      </c>
      <c r="BJ1574">
        <v>0</v>
      </c>
      <c r="BK1574">
        <v>0</v>
      </c>
      <c r="BL1574">
        <v>0</v>
      </c>
      <c r="BO1574">
        <v>0</v>
      </c>
      <c r="BP1574">
        <v>0</v>
      </c>
      <c r="BW1574" t="str">
        <f>"18:46:50.252"</f>
        <v>18:46:50.252</v>
      </c>
      <c r="BZ1574">
        <v>0</v>
      </c>
      <c r="CA1574">
        <v>3008</v>
      </c>
      <c r="CB1574">
        <v>216</v>
      </c>
      <c r="CC1574">
        <v>506.25</v>
      </c>
      <c r="CD1574">
        <v>1</v>
      </c>
      <c r="CE1574">
        <v>1</v>
      </c>
      <c r="CF1574">
        <v>0</v>
      </c>
      <c r="CG1574">
        <v>1</v>
      </c>
      <c r="CH1574">
        <v>0</v>
      </c>
      <c r="CI1574">
        <v>1</v>
      </c>
      <c r="CJ1574">
        <v>0</v>
      </c>
      <c r="CK1574">
        <v>2</v>
      </c>
      <c r="CL1574">
        <v>0</v>
      </c>
      <c r="CM1574">
        <v>2</v>
      </c>
      <c r="CN1574">
        <v>0</v>
      </c>
      <c r="CO1574">
        <v>1</v>
      </c>
      <c r="CP1574" t="s">
        <v>119</v>
      </c>
      <c r="CQ1574">
        <v>145</v>
      </c>
      <c r="CR1574">
        <v>1</v>
      </c>
      <c r="CW1574">
        <v>9175262</v>
      </c>
      <c r="CY1574">
        <v>0</v>
      </c>
      <c r="CZ1574">
        <v>0</v>
      </c>
      <c r="DA1574">
        <v>0</v>
      </c>
      <c r="DB1574">
        <v>0</v>
      </c>
      <c r="DC1574">
        <v>0</v>
      </c>
      <c r="DD1574">
        <v>0</v>
      </c>
      <c r="DE1574">
        <v>0</v>
      </c>
      <c r="DF1574">
        <v>0</v>
      </c>
      <c r="DG1574">
        <v>0</v>
      </c>
      <c r="DH1574">
        <v>0</v>
      </c>
      <c r="DI1574">
        <v>0</v>
      </c>
    </row>
    <row r="1575" spans="1:113" x14ac:dyDescent="0.3">
      <c r="A1575" t="str">
        <f>"02/13/2022 18:46:50.515"</f>
        <v>02/13/2022 18:46:50.515</v>
      </c>
      <c r="C1575" t="str">
        <f t="shared" si="150"/>
        <v>FFDFD7C0</v>
      </c>
      <c r="D1575" t="s">
        <v>113</v>
      </c>
      <c r="E1575">
        <v>3</v>
      </c>
      <c r="F1575">
        <v>1003</v>
      </c>
      <c r="G1575" t="s">
        <v>114</v>
      </c>
      <c r="J1575" t="s">
        <v>115</v>
      </c>
      <c r="K1575">
        <v>0</v>
      </c>
      <c r="L1575">
        <v>3</v>
      </c>
      <c r="M1575">
        <v>0</v>
      </c>
      <c r="N1575">
        <v>2</v>
      </c>
      <c r="O1575">
        <v>1</v>
      </c>
      <c r="P1575">
        <v>0</v>
      </c>
      <c r="Q1575">
        <v>0</v>
      </c>
      <c r="S1575" t="str">
        <f>"18:46:50.250"</f>
        <v>18:46:50.250</v>
      </c>
      <c r="T1575" t="str">
        <f>"18:46:50.150"</f>
        <v>18:46:50.150</v>
      </c>
      <c r="U1575" t="str">
        <f t="shared" si="147"/>
        <v>AAB6EE</v>
      </c>
      <c r="V1575">
        <v>0</v>
      </c>
      <c r="W1575">
        <v>0</v>
      </c>
      <c r="X1575">
        <v>4</v>
      </c>
      <c r="Z1575">
        <v>0</v>
      </c>
      <c r="AA1575">
        <v>8</v>
      </c>
      <c r="AB1575">
        <v>3</v>
      </c>
      <c r="AC1575">
        <v>0</v>
      </c>
      <c r="AD1575">
        <v>10</v>
      </c>
      <c r="AE1575">
        <v>0</v>
      </c>
      <c r="AF1575">
        <v>0</v>
      </c>
      <c r="AG1575">
        <v>1</v>
      </c>
      <c r="AH1575">
        <v>1</v>
      </c>
      <c r="AI1575" t="s">
        <v>1175</v>
      </c>
      <c r="AJ1575">
        <v>35.217233</v>
      </c>
      <c r="AK1575" t="s">
        <v>1176</v>
      </c>
      <c r="AL1575">
        <v>-76.040046000000004</v>
      </c>
      <c r="AM1575">
        <v>25</v>
      </c>
      <c r="AN1575">
        <v>2925</v>
      </c>
      <c r="AO1575" t="s">
        <v>118</v>
      </c>
      <c r="AP1575">
        <v>110</v>
      </c>
      <c r="AQ1575">
        <v>-114</v>
      </c>
      <c r="AR1575">
        <v>-64</v>
      </c>
      <c r="AZ1575">
        <v>4516</v>
      </c>
      <c r="BA1575">
        <v>1</v>
      </c>
      <c r="BB1575" t="str">
        <f t="shared" si="148"/>
        <v xml:space="preserve">N79NX   </v>
      </c>
      <c r="BC1575">
        <v>1</v>
      </c>
      <c r="BE1575">
        <v>0</v>
      </c>
      <c r="BF1575">
        <v>0</v>
      </c>
      <c r="BG1575">
        <v>0</v>
      </c>
      <c r="BH1575">
        <v>2775</v>
      </c>
      <c r="BI1575">
        <v>0</v>
      </c>
      <c r="BJ1575">
        <v>0</v>
      </c>
      <c r="BK1575">
        <v>0</v>
      </c>
      <c r="BL1575">
        <v>0</v>
      </c>
      <c r="BO1575">
        <v>0</v>
      </c>
      <c r="BP1575">
        <v>0</v>
      </c>
      <c r="BW1575" t="str">
        <f>"18:46:50.252"</f>
        <v>18:46:50.252</v>
      </c>
      <c r="BZ1575">
        <v>0</v>
      </c>
      <c r="CA1575">
        <v>3008</v>
      </c>
      <c r="CB1575">
        <v>216</v>
      </c>
      <c r="CC1575">
        <v>506.25</v>
      </c>
      <c r="CD1575">
        <v>1</v>
      </c>
      <c r="CE1575">
        <v>1</v>
      </c>
      <c r="CF1575">
        <v>0</v>
      </c>
      <c r="CG1575">
        <v>1</v>
      </c>
      <c r="CH1575">
        <v>0</v>
      </c>
      <c r="CI1575">
        <v>1</v>
      </c>
      <c r="CJ1575">
        <v>0</v>
      </c>
      <c r="CK1575">
        <v>2</v>
      </c>
      <c r="CL1575">
        <v>0</v>
      </c>
      <c r="CM1575">
        <v>2</v>
      </c>
      <c r="CN1575">
        <v>0</v>
      </c>
      <c r="CO1575">
        <v>1</v>
      </c>
      <c r="CP1575" t="s">
        <v>119</v>
      </c>
      <c r="CQ1575">
        <v>145</v>
      </c>
      <c r="CR1575">
        <v>1</v>
      </c>
      <c r="CW1575">
        <v>9175262</v>
      </c>
      <c r="CY1575">
        <v>0</v>
      </c>
      <c r="CZ1575">
        <v>0</v>
      </c>
      <c r="DA1575">
        <v>1</v>
      </c>
      <c r="DB1575">
        <v>0</v>
      </c>
      <c r="DC1575">
        <v>0</v>
      </c>
      <c r="DD1575">
        <v>0</v>
      </c>
      <c r="DE1575">
        <v>0</v>
      </c>
      <c r="DF1575">
        <v>0</v>
      </c>
      <c r="DG1575">
        <v>0</v>
      </c>
      <c r="DH1575">
        <v>0</v>
      </c>
      <c r="DI1575">
        <v>0</v>
      </c>
    </row>
    <row r="1576" spans="1:113" x14ac:dyDescent="0.3">
      <c r="A1576" t="str">
        <f>"02/13/2022 18:46:50.515"</f>
        <v>02/13/2022 18:46:50.515</v>
      </c>
      <c r="C1576" t="str">
        <f t="shared" si="150"/>
        <v>FFDFD7C0</v>
      </c>
      <c r="D1576" t="s">
        <v>113</v>
      </c>
      <c r="E1576">
        <v>4</v>
      </c>
      <c r="F1576">
        <v>1004</v>
      </c>
      <c r="G1576" t="s">
        <v>120</v>
      </c>
      <c r="J1576" t="s">
        <v>115</v>
      </c>
      <c r="K1576">
        <v>0</v>
      </c>
      <c r="L1576">
        <v>3</v>
      </c>
      <c r="M1576">
        <v>0</v>
      </c>
      <c r="N1576">
        <v>2</v>
      </c>
      <c r="O1576">
        <v>1</v>
      </c>
      <c r="P1576">
        <v>0</v>
      </c>
      <c r="Q1576">
        <v>0</v>
      </c>
      <c r="S1576" t="str">
        <f>"18:46:50.250"</f>
        <v>18:46:50.250</v>
      </c>
      <c r="T1576" t="str">
        <f>"18:46:50.150"</f>
        <v>18:46:50.150</v>
      </c>
      <c r="U1576" t="str">
        <f t="shared" si="147"/>
        <v>AAB6EE</v>
      </c>
      <c r="V1576">
        <v>0</v>
      </c>
      <c r="W1576">
        <v>0</v>
      </c>
      <c r="X1576">
        <v>4</v>
      </c>
      <c r="Z1576">
        <v>0</v>
      </c>
      <c r="AA1576">
        <v>8</v>
      </c>
      <c r="AB1576">
        <v>3</v>
      </c>
      <c r="AC1576">
        <v>0</v>
      </c>
      <c r="AD1576">
        <v>10</v>
      </c>
      <c r="AE1576">
        <v>0</v>
      </c>
      <c r="AF1576">
        <v>0</v>
      </c>
      <c r="AG1576">
        <v>1</v>
      </c>
      <c r="AH1576">
        <v>1</v>
      </c>
      <c r="AI1576" t="s">
        <v>1175</v>
      </c>
      <c r="AJ1576">
        <v>35.217233</v>
      </c>
      <c r="AK1576" t="s">
        <v>1176</v>
      </c>
      <c r="AL1576">
        <v>-76.040046000000004</v>
      </c>
      <c r="AM1576">
        <v>25</v>
      </c>
      <c r="AN1576">
        <v>2925</v>
      </c>
      <c r="AO1576" t="s">
        <v>118</v>
      </c>
      <c r="AP1576">
        <v>110</v>
      </c>
      <c r="AQ1576">
        <v>-114</v>
      </c>
      <c r="AR1576">
        <v>-64</v>
      </c>
      <c r="AZ1576">
        <v>4516</v>
      </c>
      <c r="BA1576">
        <v>1</v>
      </c>
      <c r="BB1576" t="str">
        <f t="shared" si="148"/>
        <v xml:space="preserve">N79NX   </v>
      </c>
      <c r="BC1576">
        <v>1</v>
      </c>
      <c r="BE1576">
        <v>0</v>
      </c>
      <c r="BF1576">
        <v>0</v>
      </c>
      <c r="BG1576">
        <v>0</v>
      </c>
      <c r="BH1576">
        <v>2775</v>
      </c>
      <c r="BI1576">
        <v>0</v>
      </c>
      <c r="BJ1576">
        <v>0</v>
      </c>
      <c r="BK1576">
        <v>0</v>
      </c>
      <c r="BL1576">
        <v>0</v>
      </c>
      <c r="BO1576">
        <v>0</v>
      </c>
      <c r="BP1576">
        <v>0</v>
      </c>
      <c r="BW1576" t="str">
        <f>"18:46:50.252"</f>
        <v>18:46:50.252</v>
      </c>
      <c r="BZ1576">
        <v>0</v>
      </c>
      <c r="CA1576">
        <v>3008</v>
      </c>
      <c r="CB1576">
        <v>216</v>
      </c>
      <c r="CC1576">
        <v>506.25</v>
      </c>
      <c r="CD1576">
        <v>1</v>
      </c>
      <c r="CE1576">
        <v>1</v>
      </c>
      <c r="CF1576">
        <v>0</v>
      </c>
      <c r="CG1576">
        <v>1</v>
      </c>
      <c r="CH1576">
        <v>0</v>
      </c>
      <c r="CI1576">
        <v>1</v>
      </c>
      <c r="CJ1576">
        <v>0</v>
      </c>
      <c r="CK1576">
        <v>2</v>
      </c>
      <c r="CL1576">
        <v>0</v>
      </c>
      <c r="CM1576">
        <v>2</v>
      </c>
      <c r="CN1576">
        <v>0</v>
      </c>
      <c r="CO1576">
        <v>1</v>
      </c>
      <c r="CP1576" t="s">
        <v>119</v>
      </c>
      <c r="CQ1576">
        <v>145</v>
      </c>
      <c r="CR1576">
        <v>1</v>
      </c>
      <c r="CW1576">
        <v>9175262</v>
      </c>
      <c r="CY1576">
        <v>0</v>
      </c>
      <c r="CZ1576">
        <v>0</v>
      </c>
      <c r="DA1576">
        <v>1</v>
      </c>
      <c r="DB1576">
        <v>0</v>
      </c>
      <c r="DC1576">
        <v>0</v>
      </c>
      <c r="DD1576">
        <v>0</v>
      </c>
      <c r="DE1576">
        <v>0</v>
      </c>
      <c r="DF1576">
        <v>0</v>
      </c>
      <c r="DG1576">
        <v>0</v>
      </c>
      <c r="DH1576">
        <v>0</v>
      </c>
      <c r="DI1576">
        <v>0</v>
      </c>
    </row>
    <row r="1577" spans="1:113" x14ac:dyDescent="0.3">
      <c r="A1577" t="str">
        <f>"02/13/2022 18:46:51.391"</f>
        <v>02/13/2022 18:46:51.391</v>
      </c>
      <c r="C1577" t="str">
        <f t="shared" si="150"/>
        <v>FFDFD7C0</v>
      </c>
      <c r="D1577" t="s">
        <v>121</v>
      </c>
      <c r="E1577">
        <v>2</v>
      </c>
      <c r="H1577">
        <v>158</v>
      </c>
      <c r="I1577" t="s">
        <v>120</v>
      </c>
      <c r="J1577" t="s">
        <v>122</v>
      </c>
      <c r="K1577">
        <v>0</v>
      </c>
      <c r="L1577">
        <v>3</v>
      </c>
      <c r="M1577">
        <v>0</v>
      </c>
      <c r="N1577">
        <v>2</v>
      </c>
      <c r="O1577">
        <v>1</v>
      </c>
      <c r="P1577">
        <v>0</v>
      </c>
      <c r="Q1577">
        <v>0</v>
      </c>
      <c r="S1577" t="str">
        <f>"18:46:51.188"</f>
        <v>18:46:51.188</v>
      </c>
      <c r="T1577" t="str">
        <f>"18:46:50.788"</f>
        <v>18:46:50.788</v>
      </c>
      <c r="U1577" t="str">
        <f t="shared" si="147"/>
        <v>AAB6EE</v>
      </c>
      <c r="V1577">
        <v>0</v>
      </c>
      <c r="W1577">
        <v>0</v>
      </c>
      <c r="X1577">
        <v>4</v>
      </c>
      <c r="Z1577">
        <v>0</v>
      </c>
      <c r="AA1577">
        <v>8</v>
      </c>
      <c r="AB1577">
        <v>3</v>
      </c>
      <c r="AC1577">
        <v>0</v>
      </c>
      <c r="AD1577">
        <v>10</v>
      </c>
      <c r="AE1577">
        <v>0</v>
      </c>
      <c r="AF1577">
        <v>0</v>
      </c>
      <c r="AG1577">
        <v>1</v>
      </c>
      <c r="AH1577">
        <v>1</v>
      </c>
      <c r="AI1577" t="s">
        <v>1177</v>
      </c>
      <c r="AJ1577">
        <v>35.216760999999998</v>
      </c>
      <c r="AK1577" t="s">
        <v>1178</v>
      </c>
      <c r="AL1577">
        <v>-76.039467000000002</v>
      </c>
      <c r="AM1577">
        <v>25</v>
      </c>
      <c r="AN1577">
        <v>2925</v>
      </c>
      <c r="AO1577" t="s">
        <v>118</v>
      </c>
      <c r="AP1577">
        <v>108</v>
      </c>
      <c r="AQ1577">
        <v>-116</v>
      </c>
      <c r="AR1577">
        <v>-64</v>
      </c>
      <c r="AZ1577">
        <v>4516</v>
      </c>
      <c r="BA1577">
        <v>1</v>
      </c>
      <c r="BB1577" t="str">
        <f t="shared" si="148"/>
        <v xml:space="preserve">N79NX   </v>
      </c>
      <c r="BC1577">
        <v>1</v>
      </c>
      <c r="BE1577">
        <v>0</v>
      </c>
      <c r="BF1577">
        <v>0</v>
      </c>
      <c r="BG1577">
        <v>0</v>
      </c>
      <c r="BH1577">
        <v>2775</v>
      </c>
      <c r="BI1577">
        <v>0</v>
      </c>
      <c r="BJ1577">
        <v>0</v>
      </c>
      <c r="BK1577">
        <v>0</v>
      </c>
      <c r="BL1577">
        <v>0</v>
      </c>
      <c r="BO1577">
        <v>0</v>
      </c>
      <c r="BP1577">
        <v>0</v>
      </c>
      <c r="BW1577" t="str">
        <f>"18:46:51.192"</f>
        <v>18:46:51.192</v>
      </c>
      <c r="BZ1577">
        <v>0</v>
      </c>
      <c r="CA1577">
        <v>3008</v>
      </c>
      <c r="CB1577">
        <v>216</v>
      </c>
      <c r="CC1577">
        <v>506.25</v>
      </c>
      <c r="CD1577">
        <v>1</v>
      </c>
      <c r="CE1577">
        <v>1</v>
      </c>
      <c r="CF1577">
        <v>0</v>
      </c>
      <c r="CG1577">
        <v>1</v>
      </c>
      <c r="CH1577">
        <v>0</v>
      </c>
      <c r="CI1577">
        <v>1</v>
      </c>
      <c r="CJ1577">
        <v>0</v>
      </c>
      <c r="CK1577">
        <v>2</v>
      </c>
      <c r="CL1577">
        <v>0</v>
      </c>
      <c r="CM1577">
        <v>2</v>
      </c>
      <c r="CN1577">
        <v>0</v>
      </c>
      <c r="CO1577">
        <v>2</v>
      </c>
      <c r="CP1577" t="s">
        <v>119</v>
      </c>
      <c r="CQ1577">
        <v>145</v>
      </c>
      <c r="CR1577">
        <v>1</v>
      </c>
      <c r="CW1577">
        <v>9175667</v>
      </c>
      <c r="CY1577">
        <v>0</v>
      </c>
      <c r="CZ1577">
        <v>0</v>
      </c>
      <c r="DA1577">
        <v>0</v>
      </c>
      <c r="DB1577">
        <v>0</v>
      </c>
      <c r="DC1577">
        <v>0</v>
      </c>
      <c r="DD1577">
        <v>0</v>
      </c>
      <c r="DE1577">
        <v>0</v>
      </c>
      <c r="DF1577">
        <v>0</v>
      </c>
      <c r="DG1577">
        <v>0</v>
      </c>
      <c r="DH1577">
        <v>0</v>
      </c>
      <c r="DI1577">
        <v>0</v>
      </c>
    </row>
    <row r="1578" spans="1:113" x14ac:dyDescent="0.3">
      <c r="A1578" t="str">
        <f>"02/13/2022 18:46:51.438"</f>
        <v>02/13/2022 18:46:51.438</v>
      </c>
      <c r="C1578" t="str">
        <f t="shared" si="150"/>
        <v>FFDFD7C0</v>
      </c>
      <c r="D1578" t="s">
        <v>113</v>
      </c>
      <c r="E1578">
        <v>3</v>
      </c>
      <c r="F1578">
        <v>1003</v>
      </c>
      <c r="G1578" t="s">
        <v>114</v>
      </c>
      <c r="J1578" t="s">
        <v>115</v>
      </c>
      <c r="K1578">
        <v>0</v>
      </c>
      <c r="L1578">
        <v>3</v>
      </c>
      <c r="M1578">
        <v>0</v>
      </c>
      <c r="N1578">
        <v>2</v>
      </c>
      <c r="O1578">
        <v>1</v>
      </c>
      <c r="P1578">
        <v>0</v>
      </c>
      <c r="Q1578">
        <v>0</v>
      </c>
      <c r="S1578" t="str">
        <f>"18:46:51.188"</f>
        <v>18:46:51.188</v>
      </c>
      <c r="T1578" t="str">
        <f>"18:46:50.788"</f>
        <v>18:46:50.788</v>
      </c>
      <c r="U1578" t="str">
        <f t="shared" si="147"/>
        <v>AAB6EE</v>
      </c>
      <c r="V1578">
        <v>0</v>
      </c>
      <c r="W1578">
        <v>0</v>
      </c>
      <c r="X1578">
        <v>4</v>
      </c>
      <c r="Z1578">
        <v>0</v>
      </c>
      <c r="AA1578">
        <v>8</v>
      </c>
      <c r="AB1578">
        <v>3</v>
      </c>
      <c r="AC1578">
        <v>0</v>
      </c>
      <c r="AD1578">
        <v>10</v>
      </c>
      <c r="AE1578">
        <v>0</v>
      </c>
      <c r="AF1578">
        <v>0</v>
      </c>
      <c r="AG1578">
        <v>1</v>
      </c>
      <c r="AH1578">
        <v>1</v>
      </c>
      <c r="AI1578" t="s">
        <v>1177</v>
      </c>
      <c r="AJ1578">
        <v>35.216760999999998</v>
      </c>
      <c r="AK1578" t="s">
        <v>1178</v>
      </c>
      <c r="AL1578">
        <v>-76.039467000000002</v>
      </c>
      <c r="AM1578">
        <v>25</v>
      </c>
      <c r="AN1578">
        <v>2925</v>
      </c>
      <c r="AO1578" t="s">
        <v>118</v>
      </c>
      <c r="AP1578">
        <v>108</v>
      </c>
      <c r="AQ1578">
        <v>-116</v>
      </c>
      <c r="AR1578">
        <v>-64</v>
      </c>
      <c r="AZ1578">
        <v>4516</v>
      </c>
      <c r="BA1578">
        <v>1</v>
      </c>
      <c r="BB1578" t="str">
        <f t="shared" si="148"/>
        <v xml:space="preserve">N79NX   </v>
      </c>
      <c r="BC1578">
        <v>1</v>
      </c>
      <c r="BE1578">
        <v>0</v>
      </c>
      <c r="BF1578">
        <v>0</v>
      </c>
      <c r="BG1578">
        <v>0</v>
      </c>
      <c r="BH1578">
        <v>2775</v>
      </c>
      <c r="BI1578">
        <v>0</v>
      </c>
      <c r="BJ1578">
        <v>0</v>
      </c>
      <c r="BK1578">
        <v>0</v>
      </c>
      <c r="BL1578">
        <v>0</v>
      </c>
      <c r="BO1578">
        <v>0</v>
      </c>
      <c r="BP1578">
        <v>0</v>
      </c>
      <c r="BW1578" t="str">
        <f>"18:46:51.192"</f>
        <v>18:46:51.192</v>
      </c>
      <c r="BZ1578">
        <v>0</v>
      </c>
      <c r="CA1578">
        <v>3008</v>
      </c>
      <c r="CB1578">
        <v>216</v>
      </c>
      <c r="CC1578">
        <v>506.25</v>
      </c>
      <c r="CD1578">
        <v>1</v>
      </c>
      <c r="CE1578">
        <v>1</v>
      </c>
      <c r="CF1578">
        <v>0</v>
      </c>
      <c r="CG1578">
        <v>1</v>
      </c>
      <c r="CH1578">
        <v>0</v>
      </c>
      <c r="CI1578">
        <v>1</v>
      </c>
      <c r="CJ1578">
        <v>0</v>
      </c>
      <c r="CK1578">
        <v>2</v>
      </c>
      <c r="CL1578">
        <v>0</v>
      </c>
      <c r="CM1578">
        <v>2</v>
      </c>
      <c r="CN1578">
        <v>0</v>
      </c>
      <c r="CO1578">
        <v>2</v>
      </c>
      <c r="CP1578" t="s">
        <v>119</v>
      </c>
      <c r="CQ1578">
        <v>145</v>
      </c>
      <c r="CR1578">
        <v>1</v>
      </c>
      <c r="CW1578">
        <v>9175667</v>
      </c>
      <c r="CY1578">
        <v>0</v>
      </c>
      <c r="CZ1578">
        <v>0</v>
      </c>
      <c r="DA1578">
        <v>1</v>
      </c>
      <c r="DB1578">
        <v>0</v>
      </c>
      <c r="DC1578">
        <v>0</v>
      </c>
      <c r="DD1578">
        <v>0</v>
      </c>
      <c r="DE1578">
        <v>0</v>
      </c>
      <c r="DF1578">
        <v>0</v>
      </c>
      <c r="DG1578">
        <v>0</v>
      </c>
      <c r="DH1578">
        <v>0</v>
      </c>
      <c r="DI1578">
        <v>0</v>
      </c>
    </row>
    <row r="1579" spans="1:113" x14ac:dyDescent="0.3">
      <c r="A1579" t="str">
        <f>"02/13/2022 18:46:51.438"</f>
        <v>02/13/2022 18:46:51.438</v>
      </c>
      <c r="C1579" t="str">
        <f t="shared" si="150"/>
        <v>FFDFD7C0</v>
      </c>
      <c r="D1579" t="s">
        <v>113</v>
      </c>
      <c r="E1579">
        <v>4</v>
      </c>
      <c r="F1579">
        <v>1004</v>
      </c>
      <c r="G1579" t="s">
        <v>120</v>
      </c>
      <c r="J1579" t="s">
        <v>115</v>
      </c>
      <c r="K1579">
        <v>0</v>
      </c>
      <c r="L1579">
        <v>3</v>
      </c>
      <c r="M1579">
        <v>0</v>
      </c>
      <c r="N1579">
        <v>2</v>
      </c>
      <c r="O1579">
        <v>1</v>
      </c>
      <c r="P1579">
        <v>0</v>
      </c>
      <c r="Q1579">
        <v>0</v>
      </c>
      <c r="S1579" t="str">
        <f>"18:46:51.188"</f>
        <v>18:46:51.188</v>
      </c>
      <c r="T1579" t="str">
        <f>"18:46:50.788"</f>
        <v>18:46:50.788</v>
      </c>
      <c r="U1579" t="str">
        <f t="shared" si="147"/>
        <v>AAB6EE</v>
      </c>
      <c r="V1579">
        <v>0</v>
      </c>
      <c r="W1579">
        <v>0</v>
      </c>
      <c r="X1579">
        <v>4</v>
      </c>
      <c r="Z1579">
        <v>0</v>
      </c>
      <c r="AA1579">
        <v>8</v>
      </c>
      <c r="AB1579">
        <v>3</v>
      </c>
      <c r="AC1579">
        <v>0</v>
      </c>
      <c r="AD1579">
        <v>10</v>
      </c>
      <c r="AE1579">
        <v>0</v>
      </c>
      <c r="AF1579">
        <v>0</v>
      </c>
      <c r="AG1579">
        <v>1</v>
      </c>
      <c r="AH1579">
        <v>1</v>
      </c>
      <c r="AI1579" t="s">
        <v>1177</v>
      </c>
      <c r="AJ1579">
        <v>35.216760999999998</v>
      </c>
      <c r="AK1579" t="s">
        <v>1178</v>
      </c>
      <c r="AL1579">
        <v>-76.039467000000002</v>
      </c>
      <c r="AM1579">
        <v>25</v>
      </c>
      <c r="AN1579">
        <v>2925</v>
      </c>
      <c r="AO1579" t="s">
        <v>118</v>
      </c>
      <c r="AP1579">
        <v>108</v>
      </c>
      <c r="AQ1579">
        <v>-116</v>
      </c>
      <c r="AR1579">
        <v>-64</v>
      </c>
      <c r="AZ1579">
        <v>4516</v>
      </c>
      <c r="BA1579">
        <v>1</v>
      </c>
      <c r="BB1579" t="str">
        <f t="shared" si="148"/>
        <v xml:space="preserve">N79NX   </v>
      </c>
      <c r="BC1579">
        <v>1</v>
      </c>
      <c r="BE1579">
        <v>0</v>
      </c>
      <c r="BF1579">
        <v>0</v>
      </c>
      <c r="BG1579">
        <v>0</v>
      </c>
      <c r="BH1579">
        <v>2775</v>
      </c>
      <c r="BI1579">
        <v>0</v>
      </c>
      <c r="BJ1579">
        <v>0</v>
      </c>
      <c r="BK1579">
        <v>0</v>
      </c>
      <c r="BL1579">
        <v>0</v>
      </c>
      <c r="BO1579">
        <v>0</v>
      </c>
      <c r="BP1579">
        <v>0</v>
      </c>
      <c r="BW1579" t="str">
        <f>"18:46:51.192"</f>
        <v>18:46:51.192</v>
      </c>
      <c r="BZ1579">
        <v>0</v>
      </c>
      <c r="CA1579">
        <v>3008</v>
      </c>
      <c r="CB1579">
        <v>216</v>
      </c>
      <c r="CC1579">
        <v>506.25</v>
      </c>
      <c r="CD1579">
        <v>1</v>
      </c>
      <c r="CE1579">
        <v>1</v>
      </c>
      <c r="CF1579">
        <v>0</v>
      </c>
      <c r="CG1579">
        <v>1</v>
      </c>
      <c r="CH1579">
        <v>0</v>
      </c>
      <c r="CI1579">
        <v>1</v>
      </c>
      <c r="CJ1579">
        <v>0</v>
      </c>
      <c r="CK1579">
        <v>2</v>
      </c>
      <c r="CL1579">
        <v>0</v>
      </c>
      <c r="CM1579">
        <v>2</v>
      </c>
      <c r="CN1579">
        <v>0</v>
      </c>
      <c r="CO1579">
        <v>2</v>
      </c>
      <c r="CP1579" t="s">
        <v>119</v>
      </c>
      <c r="CQ1579">
        <v>145</v>
      </c>
      <c r="CR1579">
        <v>1</v>
      </c>
      <c r="CW1579">
        <v>9175667</v>
      </c>
      <c r="CY1579">
        <v>0</v>
      </c>
      <c r="CZ1579">
        <v>0</v>
      </c>
      <c r="DA1579">
        <v>1</v>
      </c>
      <c r="DB1579">
        <v>0</v>
      </c>
      <c r="DC1579">
        <v>0</v>
      </c>
      <c r="DD1579">
        <v>0</v>
      </c>
      <c r="DE1579">
        <v>0</v>
      </c>
      <c r="DF1579">
        <v>0</v>
      </c>
      <c r="DG1579">
        <v>0</v>
      </c>
      <c r="DH1579">
        <v>0</v>
      </c>
      <c r="DI1579">
        <v>0</v>
      </c>
    </row>
    <row r="1580" spans="1:113" x14ac:dyDescent="0.3">
      <c r="A1580" t="str">
        <f>"02/13/2022 18:46:53.329"</f>
        <v>02/13/2022 18:46:53.329</v>
      </c>
      <c r="C1580" t="str">
        <f t="shared" si="150"/>
        <v>FFDFD7C0</v>
      </c>
      <c r="D1580" t="s">
        <v>121</v>
      </c>
      <c r="E1580">
        <v>2</v>
      </c>
      <c r="H1580">
        <v>158</v>
      </c>
      <c r="I1580" t="s">
        <v>120</v>
      </c>
      <c r="J1580" t="s">
        <v>122</v>
      </c>
      <c r="K1580">
        <v>0</v>
      </c>
      <c r="L1580">
        <v>3</v>
      </c>
      <c r="M1580">
        <v>0</v>
      </c>
      <c r="N1580">
        <v>2</v>
      </c>
      <c r="O1580">
        <v>1</v>
      </c>
      <c r="P1580">
        <v>0</v>
      </c>
      <c r="Q1580">
        <v>0</v>
      </c>
      <c r="S1580" t="str">
        <f>"18:46:53.070"</f>
        <v>18:46:53.070</v>
      </c>
      <c r="T1580" t="str">
        <f>"18:46:51.770"</f>
        <v>18:46:51.770</v>
      </c>
      <c r="U1580" t="str">
        <f t="shared" si="147"/>
        <v>AAB6EE</v>
      </c>
      <c r="V1580">
        <v>0</v>
      </c>
      <c r="W1580">
        <v>0</v>
      </c>
      <c r="X1580">
        <v>4</v>
      </c>
      <c r="Z1580">
        <v>0</v>
      </c>
      <c r="AA1580">
        <v>8</v>
      </c>
      <c r="AB1580">
        <v>3</v>
      </c>
      <c r="AC1580">
        <v>0</v>
      </c>
      <c r="AD1580">
        <v>10</v>
      </c>
      <c r="AE1580">
        <v>0</v>
      </c>
      <c r="AF1580">
        <v>0</v>
      </c>
      <c r="AG1580">
        <v>1</v>
      </c>
      <c r="AH1580">
        <v>1</v>
      </c>
      <c r="AI1580" t="s">
        <v>1179</v>
      </c>
      <c r="AJ1580">
        <v>35.215688</v>
      </c>
      <c r="AK1580" t="s">
        <v>308</v>
      </c>
      <c r="AL1580">
        <v>-76.038373000000007</v>
      </c>
      <c r="AM1580">
        <v>25</v>
      </c>
      <c r="AN1580">
        <v>2925</v>
      </c>
      <c r="AO1580" t="s">
        <v>118</v>
      </c>
      <c r="AP1580">
        <v>104</v>
      </c>
      <c r="AQ1580">
        <v>-119</v>
      </c>
      <c r="AR1580">
        <v>0</v>
      </c>
      <c r="AZ1580">
        <v>4516</v>
      </c>
      <c r="BA1580">
        <v>1</v>
      </c>
      <c r="BB1580" t="str">
        <f t="shared" si="148"/>
        <v xml:space="preserve">N79NX   </v>
      </c>
      <c r="BC1580">
        <v>1</v>
      </c>
      <c r="BE1580">
        <v>0</v>
      </c>
      <c r="BF1580">
        <v>0</v>
      </c>
      <c r="BG1580">
        <v>0</v>
      </c>
      <c r="BH1580">
        <v>2775</v>
      </c>
      <c r="BI1580">
        <v>0</v>
      </c>
      <c r="BJ1580">
        <v>0</v>
      </c>
      <c r="BK1580">
        <v>0</v>
      </c>
      <c r="BL1580">
        <v>0</v>
      </c>
      <c r="BO1580">
        <v>0</v>
      </c>
      <c r="BP1580">
        <v>0</v>
      </c>
      <c r="BW1580" t="str">
        <f>"18:46:53.072"</f>
        <v>18:46:53.072</v>
      </c>
      <c r="BZ1580">
        <v>0</v>
      </c>
      <c r="CA1580">
        <v>3008</v>
      </c>
      <c r="CB1580">
        <v>216</v>
      </c>
      <c r="CC1580">
        <v>506.25</v>
      </c>
      <c r="CD1580">
        <v>1</v>
      </c>
      <c r="CE1580">
        <v>1</v>
      </c>
      <c r="CF1580">
        <v>0</v>
      </c>
      <c r="CG1580">
        <v>1</v>
      </c>
      <c r="CH1580">
        <v>0</v>
      </c>
      <c r="CI1580">
        <v>1</v>
      </c>
      <c r="CJ1580">
        <v>0</v>
      </c>
      <c r="CK1580">
        <v>2</v>
      </c>
      <c r="CL1580">
        <v>0</v>
      </c>
      <c r="CM1580">
        <v>2</v>
      </c>
      <c r="CN1580">
        <v>0</v>
      </c>
      <c r="CO1580">
        <v>1</v>
      </c>
      <c r="CP1580" t="s">
        <v>119</v>
      </c>
      <c r="CQ1580">
        <v>145</v>
      </c>
      <c r="CR1580">
        <v>1</v>
      </c>
      <c r="CW1580">
        <v>9176701</v>
      </c>
      <c r="CY1580">
        <v>0</v>
      </c>
      <c r="CZ1580">
        <v>0</v>
      </c>
      <c r="DA1580">
        <v>0</v>
      </c>
      <c r="DB1580">
        <v>0</v>
      </c>
      <c r="DC1580">
        <v>0</v>
      </c>
      <c r="DD1580">
        <v>0</v>
      </c>
      <c r="DE1580">
        <v>0</v>
      </c>
      <c r="DF1580">
        <v>0</v>
      </c>
      <c r="DG1580">
        <v>0</v>
      </c>
      <c r="DH1580">
        <v>0</v>
      </c>
      <c r="DI1580">
        <v>0</v>
      </c>
    </row>
    <row r="1581" spans="1:113" x14ac:dyDescent="0.3">
      <c r="A1581" t="str">
        <f>"02/13/2022 18:46:53.329"</f>
        <v>02/13/2022 18:46:53.329</v>
      </c>
      <c r="C1581" t="str">
        <f t="shared" si="150"/>
        <v>FFDFD7C0</v>
      </c>
      <c r="D1581" t="s">
        <v>113</v>
      </c>
      <c r="E1581">
        <v>3</v>
      </c>
      <c r="F1581">
        <v>1003</v>
      </c>
      <c r="G1581" t="s">
        <v>114</v>
      </c>
      <c r="J1581" t="s">
        <v>115</v>
      </c>
      <c r="K1581">
        <v>0</v>
      </c>
      <c r="L1581">
        <v>3</v>
      </c>
      <c r="M1581">
        <v>0</v>
      </c>
      <c r="N1581">
        <v>2</v>
      </c>
      <c r="O1581">
        <v>1</v>
      </c>
      <c r="P1581">
        <v>0</v>
      </c>
      <c r="Q1581">
        <v>0</v>
      </c>
      <c r="S1581" t="str">
        <f>"18:46:53.070"</f>
        <v>18:46:53.070</v>
      </c>
      <c r="T1581" t="str">
        <f>"18:46:51.770"</f>
        <v>18:46:51.770</v>
      </c>
      <c r="U1581" t="str">
        <f t="shared" si="147"/>
        <v>AAB6EE</v>
      </c>
      <c r="V1581">
        <v>0</v>
      </c>
      <c r="W1581">
        <v>0</v>
      </c>
      <c r="X1581">
        <v>4</v>
      </c>
      <c r="Z1581">
        <v>0</v>
      </c>
      <c r="AA1581">
        <v>8</v>
      </c>
      <c r="AB1581">
        <v>3</v>
      </c>
      <c r="AC1581">
        <v>0</v>
      </c>
      <c r="AD1581">
        <v>10</v>
      </c>
      <c r="AE1581">
        <v>0</v>
      </c>
      <c r="AF1581">
        <v>0</v>
      </c>
      <c r="AG1581">
        <v>1</v>
      </c>
      <c r="AH1581">
        <v>1</v>
      </c>
      <c r="AI1581" t="s">
        <v>1179</v>
      </c>
      <c r="AJ1581">
        <v>35.215688</v>
      </c>
      <c r="AK1581" t="s">
        <v>308</v>
      </c>
      <c r="AL1581">
        <v>-76.038373000000007</v>
      </c>
      <c r="AM1581">
        <v>25</v>
      </c>
      <c r="AN1581">
        <v>2925</v>
      </c>
      <c r="AO1581" t="s">
        <v>118</v>
      </c>
      <c r="AP1581">
        <v>104</v>
      </c>
      <c r="AQ1581">
        <v>-119</v>
      </c>
      <c r="AR1581">
        <v>0</v>
      </c>
      <c r="AZ1581">
        <v>4516</v>
      </c>
      <c r="BA1581">
        <v>1</v>
      </c>
      <c r="BB1581" t="str">
        <f t="shared" si="148"/>
        <v xml:space="preserve">N79NX   </v>
      </c>
      <c r="BC1581">
        <v>1</v>
      </c>
      <c r="BE1581">
        <v>0</v>
      </c>
      <c r="BF1581">
        <v>0</v>
      </c>
      <c r="BG1581">
        <v>0</v>
      </c>
      <c r="BH1581">
        <v>2775</v>
      </c>
      <c r="BI1581">
        <v>0</v>
      </c>
      <c r="BJ1581">
        <v>0</v>
      </c>
      <c r="BK1581">
        <v>0</v>
      </c>
      <c r="BL1581">
        <v>0</v>
      </c>
      <c r="BO1581">
        <v>0</v>
      </c>
      <c r="BP1581">
        <v>0</v>
      </c>
      <c r="BW1581" t="str">
        <f>"18:46:53.072"</f>
        <v>18:46:53.072</v>
      </c>
      <c r="BZ1581">
        <v>0</v>
      </c>
      <c r="CA1581">
        <v>3008</v>
      </c>
      <c r="CB1581">
        <v>216</v>
      </c>
      <c r="CC1581">
        <v>506.25</v>
      </c>
      <c r="CD1581">
        <v>1</v>
      </c>
      <c r="CE1581">
        <v>1</v>
      </c>
      <c r="CF1581">
        <v>0</v>
      </c>
      <c r="CG1581">
        <v>1</v>
      </c>
      <c r="CH1581">
        <v>0</v>
      </c>
      <c r="CI1581">
        <v>1</v>
      </c>
      <c r="CJ1581">
        <v>0</v>
      </c>
      <c r="CK1581">
        <v>2</v>
      </c>
      <c r="CL1581">
        <v>0</v>
      </c>
      <c r="CM1581">
        <v>2</v>
      </c>
      <c r="CN1581">
        <v>0</v>
      </c>
      <c r="CO1581">
        <v>1</v>
      </c>
      <c r="CP1581" t="s">
        <v>119</v>
      </c>
      <c r="CQ1581">
        <v>145</v>
      </c>
      <c r="CR1581">
        <v>1</v>
      </c>
      <c r="CW1581">
        <v>9176701</v>
      </c>
      <c r="CY1581">
        <v>0</v>
      </c>
      <c r="CZ1581">
        <v>0</v>
      </c>
      <c r="DA1581">
        <v>1</v>
      </c>
      <c r="DB1581">
        <v>0</v>
      </c>
      <c r="DC1581">
        <v>0</v>
      </c>
      <c r="DD1581">
        <v>0</v>
      </c>
      <c r="DE1581">
        <v>0</v>
      </c>
      <c r="DF1581">
        <v>0</v>
      </c>
      <c r="DG1581">
        <v>0</v>
      </c>
      <c r="DH1581">
        <v>0</v>
      </c>
      <c r="DI1581">
        <v>0</v>
      </c>
    </row>
    <row r="1582" spans="1:113" x14ac:dyDescent="0.3">
      <c r="A1582" t="str">
        <f>"02/13/2022 18:46:53.329"</f>
        <v>02/13/2022 18:46:53.329</v>
      </c>
      <c r="C1582" t="str">
        <f t="shared" si="150"/>
        <v>FFDFD7C0</v>
      </c>
      <c r="D1582" t="s">
        <v>113</v>
      </c>
      <c r="E1582">
        <v>4</v>
      </c>
      <c r="F1582">
        <v>1004</v>
      </c>
      <c r="G1582" t="s">
        <v>120</v>
      </c>
      <c r="J1582" t="s">
        <v>115</v>
      </c>
      <c r="K1582">
        <v>0</v>
      </c>
      <c r="L1582">
        <v>3</v>
      </c>
      <c r="M1582">
        <v>0</v>
      </c>
      <c r="N1582">
        <v>2</v>
      </c>
      <c r="O1582">
        <v>1</v>
      </c>
      <c r="P1582">
        <v>0</v>
      </c>
      <c r="Q1582">
        <v>0</v>
      </c>
      <c r="S1582" t="str">
        <f>"18:46:53.070"</f>
        <v>18:46:53.070</v>
      </c>
      <c r="T1582" t="str">
        <f>"18:46:51.770"</f>
        <v>18:46:51.770</v>
      </c>
      <c r="U1582" t="str">
        <f t="shared" si="147"/>
        <v>AAB6EE</v>
      </c>
      <c r="V1582">
        <v>0</v>
      </c>
      <c r="W1582">
        <v>0</v>
      </c>
      <c r="X1582">
        <v>4</v>
      </c>
      <c r="Z1582">
        <v>0</v>
      </c>
      <c r="AA1582">
        <v>8</v>
      </c>
      <c r="AB1582">
        <v>3</v>
      </c>
      <c r="AC1582">
        <v>0</v>
      </c>
      <c r="AD1582">
        <v>10</v>
      </c>
      <c r="AE1582">
        <v>0</v>
      </c>
      <c r="AF1582">
        <v>0</v>
      </c>
      <c r="AG1582">
        <v>1</v>
      </c>
      <c r="AH1582">
        <v>1</v>
      </c>
      <c r="AI1582" t="s">
        <v>1179</v>
      </c>
      <c r="AJ1582">
        <v>35.215688</v>
      </c>
      <c r="AK1582" t="s">
        <v>308</v>
      </c>
      <c r="AL1582">
        <v>-76.038373000000007</v>
      </c>
      <c r="AM1582">
        <v>25</v>
      </c>
      <c r="AN1582">
        <v>2925</v>
      </c>
      <c r="AO1582" t="s">
        <v>118</v>
      </c>
      <c r="AP1582">
        <v>104</v>
      </c>
      <c r="AQ1582">
        <v>-119</v>
      </c>
      <c r="AR1582">
        <v>0</v>
      </c>
      <c r="AZ1582">
        <v>4516</v>
      </c>
      <c r="BA1582">
        <v>1</v>
      </c>
      <c r="BB1582" t="str">
        <f t="shared" si="148"/>
        <v xml:space="preserve">N79NX   </v>
      </c>
      <c r="BC1582">
        <v>1</v>
      </c>
      <c r="BE1582">
        <v>0</v>
      </c>
      <c r="BF1582">
        <v>0</v>
      </c>
      <c r="BG1582">
        <v>0</v>
      </c>
      <c r="BH1582">
        <v>2775</v>
      </c>
      <c r="BI1582">
        <v>0</v>
      </c>
      <c r="BJ1582">
        <v>0</v>
      </c>
      <c r="BK1582">
        <v>0</v>
      </c>
      <c r="BL1582">
        <v>0</v>
      </c>
      <c r="BO1582">
        <v>0</v>
      </c>
      <c r="BP1582">
        <v>0</v>
      </c>
      <c r="BW1582" t="str">
        <f>"18:46:53.072"</f>
        <v>18:46:53.072</v>
      </c>
      <c r="BZ1582">
        <v>0</v>
      </c>
      <c r="CA1582">
        <v>3008</v>
      </c>
      <c r="CB1582">
        <v>216</v>
      </c>
      <c r="CC1582">
        <v>506.25</v>
      </c>
      <c r="CD1582">
        <v>1</v>
      </c>
      <c r="CE1582">
        <v>1</v>
      </c>
      <c r="CF1582">
        <v>0</v>
      </c>
      <c r="CG1582">
        <v>1</v>
      </c>
      <c r="CH1582">
        <v>0</v>
      </c>
      <c r="CI1582">
        <v>1</v>
      </c>
      <c r="CJ1582">
        <v>0</v>
      </c>
      <c r="CK1582">
        <v>2</v>
      </c>
      <c r="CL1582">
        <v>0</v>
      </c>
      <c r="CM1582">
        <v>2</v>
      </c>
      <c r="CN1582">
        <v>0</v>
      </c>
      <c r="CO1582">
        <v>1</v>
      </c>
      <c r="CP1582" t="s">
        <v>119</v>
      </c>
      <c r="CQ1582">
        <v>145</v>
      </c>
      <c r="CR1582">
        <v>1</v>
      </c>
      <c r="CW1582">
        <v>9176701</v>
      </c>
      <c r="CY1582">
        <v>0</v>
      </c>
      <c r="CZ1582">
        <v>0</v>
      </c>
      <c r="DA1582">
        <v>1</v>
      </c>
      <c r="DB1582">
        <v>0</v>
      </c>
      <c r="DC1582">
        <v>0</v>
      </c>
      <c r="DD1582">
        <v>0</v>
      </c>
      <c r="DE1582">
        <v>0</v>
      </c>
      <c r="DF1582">
        <v>0</v>
      </c>
      <c r="DG1582">
        <v>0</v>
      </c>
      <c r="DH1582">
        <v>0</v>
      </c>
      <c r="DI1582">
        <v>0</v>
      </c>
    </row>
    <row r="1583" spans="1:113" x14ac:dyDescent="0.3">
      <c r="A1583" t="str">
        <f>"02/13/2022 18:46:54.878"</f>
        <v>02/13/2022 18:46:54.878</v>
      </c>
      <c r="C1583" t="str">
        <f t="shared" si="150"/>
        <v>FFDFD7C0</v>
      </c>
      <c r="D1583" t="s">
        <v>113</v>
      </c>
      <c r="E1583">
        <v>4</v>
      </c>
      <c r="F1583">
        <v>1004</v>
      </c>
      <c r="G1583" t="s">
        <v>120</v>
      </c>
      <c r="J1583" t="s">
        <v>115</v>
      </c>
      <c r="K1583">
        <v>0</v>
      </c>
      <c r="L1583">
        <v>3</v>
      </c>
      <c r="M1583">
        <v>0</v>
      </c>
      <c r="N1583">
        <v>2</v>
      </c>
      <c r="O1583">
        <v>1</v>
      </c>
      <c r="P1583">
        <v>0</v>
      </c>
      <c r="Q1583">
        <v>0</v>
      </c>
      <c r="S1583" t="str">
        <f>"18:46:54.680"</f>
        <v>18:46:54.680</v>
      </c>
      <c r="T1583" t="str">
        <f>"18:46:53.480"</f>
        <v>18:46:53.480</v>
      </c>
      <c r="U1583" t="str">
        <f t="shared" si="147"/>
        <v>AAB6EE</v>
      </c>
      <c r="V1583">
        <v>0</v>
      </c>
      <c r="W1583">
        <v>0</v>
      </c>
      <c r="X1583">
        <v>4</v>
      </c>
      <c r="Z1583">
        <v>0</v>
      </c>
      <c r="AA1583">
        <v>8</v>
      </c>
      <c r="AB1583">
        <v>3</v>
      </c>
      <c r="AC1583">
        <v>0</v>
      </c>
      <c r="AD1583">
        <v>10</v>
      </c>
      <c r="AE1583">
        <v>0</v>
      </c>
      <c r="AF1583">
        <v>0</v>
      </c>
      <c r="AG1583">
        <v>1</v>
      </c>
      <c r="AH1583">
        <v>1</v>
      </c>
      <c r="AI1583" t="s">
        <v>1180</v>
      </c>
      <c r="AJ1583">
        <v>35.214722000000002</v>
      </c>
      <c r="AK1583" t="s">
        <v>1181</v>
      </c>
      <c r="AL1583">
        <v>-76.037578999999994</v>
      </c>
      <c r="AM1583">
        <v>25</v>
      </c>
      <c r="AN1583">
        <v>2925</v>
      </c>
      <c r="AO1583" t="s">
        <v>118</v>
      </c>
      <c r="AP1583">
        <v>93</v>
      </c>
      <c r="AQ1583">
        <v>-127</v>
      </c>
      <c r="AR1583">
        <v>64</v>
      </c>
      <c r="AZ1583">
        <v>4516</v>
      </c>
      <c r="BA1583">
        <v>1</v>
      </c>
      <c r="BB1583" t="str">
        <f t="shared" si="148"/>
        <v xml:space="preserve">N79NX   </v>
      </c>
      <c r="BC1583">
        <v>1</v>
      </c>
      <c r="BE1583">
        <v>0</v>
      </c>
      <c r="BF1583">
        <v>0</v>
      </c>
      <c r="BG1583">
        <v>0</v>
      </c>
      <c r="BH1583">
        <v>2775</v>
      </c>
      <c r="BI1583">
        <v>0</v>
      </c>
      <c r="BJ1583">
        <v>0</v>
      </c>
      <c r="BK1583">
        <v>0</v>
      </c>
      <c r="BL1583">
        <v>0</v>
      </c>
      <c r="BO1583">
        <v>0</v>
      </c>
      <c r="BP1583">
        <v>0</v>
      </c>
      <c r="BW1583" t="str">
        <f>"18:46:54.682"</f>
        <v>18:46:54.682</v>
      </c>
      <c r="BZ1583">
        <v>0</v>
      </c>
      <c r="CA1583">
        <v>3008</v>
      </c>
      <c r="CB1583">
        <v>216</v>
      </c>
      <c r="CC1583">
        <v>506.25</v>
      </c>
      <c r="CD1583">
        <v>1</v>
      </c>
      <c r="CE1583">
        <v>1</v>
      </c>
      <c r="CF1583">
        <v>0</v>
      </c>
      <c r="CG1583">
        <v>1</v>
      </c>
      <c r="CH1583">
        <v>0</v>
      </c>
      <c r="CI1583">
        <v>1</v>
      </c>
      <c r="CJ1583">
        <v>0</v>
      </c>
      <c r="CK1583">
        <v>2</v>
      </c>
      <c r="CL1583">
        <v>0</v>
      </c>
      <c r="CM1583">
        <v>2</v>
      </c>
      <c r="CN1583">
        <v>0</v>
      </c>
      <c r="CO1583">
        <v>2</v>
      </c>
      <c r="CP1583" t="s">
        <v>119</v>
      </c>
      <c r="CQ1583">
        <v>145</v>
      </c>
      <c r="CR1583">
        <v>1</v>
      </c>
      <c r="CW1583">
        <v>9177415</v>
      </c>
      <c r="CY1583">
        <v>0</v>
      </c>
      <c r="CZ1583">
        <v>0</v>
      </c>
      <c r="DA1583">
        <v>0</v>
      </c>
      <c r="DB1583">
        <v>0</v>
      </c>
      <c r="DC1583">
        <v>0</v>
      </c>
      <c r="DD1583">
        <v>0</v>
      </c>
      <c r="DE1583">
        <v>0</v>
      </c>
      <c r="DF1583">
        <v>0</v>
      </c>
      <c r="DG1583">
        <v>0</v>
      </c>
      <c r="DH1583">
        <v>0</v>
      </c>
      <c r="DI1583">
        <v>0</v>
      </c>
    </row>
    <row r="1584" spans="1:113" x14ac:dyDescent="0.3">
      <c r="A1584" t="str">
        <f>"02/13/2022 18:46:55.003"</f>
        <v>02/13/2022 18:46:55.003</v>
      </c>
      <c r="C1584" t="str">
        <f t="shared" si="150"/>
        <v>FFDFD7C0</v>
      </c>
      <c r="D1584" t="s">
        <v>121</v>
      </c>
      <c r="E1584">
        <v>2</v>
      </c>
      <c r="H1584">
        <v>158</v>
      </c>
      <c r="I1584" t="s">
        <v>120</v>
      </c>
      <c r="J1584" t="s">
        <v>122</v>
      </c>
      <c r="K1584">
        <v>0</v>
      </c>
      <c r="L1584">
        <v>3</v>
      </c>
      <c r="M1584">
        <v>0</v>
      </c>
      <c r="N1584">
        <v>2</v>
      </c>
      <c r="O1584">
        <v>1</v>
      </c>
      <c r="P1584">
        <v>0</v>
      </c>
      <c r="Q1584">
        <v>0</v>
      </c>
      <c r="S1584" t="str">
        <f>"18:46:54.680"</f>
        <v>18:46:54.680</v>
      </c>
      <c r="T1584" t="str">
        <f>"18:46:53.480"</f>
        <v>18:46:53.480</v>
      </c>
      <c r="U1584" t="str">
        <f t="shared" si="147"/>
        <v>AAB6EE</v>
      </c>
      <c r="V1584">
        <v>0</v>
      </c>
      <c r="W1584">
        <v>0</v>
      </c>
      <c r="X1584">
        <v>4</v>
      </c>
      <c r="Z1584">
        <v>0</v>
      </c>
      <c r="AA1584">
        <v>8</v>
      </c>
      <c r="AB1584">
        <v>3</v>
      </c>
      <c r="AC1584">
        <v>0</v>
      </c>
      <c r="AD1584">
        <v>10</v>
      </c>
      <c r="AE1584">
        <v>0</v>
      </c>
      <c r="AF1584">
        <v>0</v>
      </c>
      <c r="AG1584">
        <v>1</v>
      </c>
      <c r="AH1584">
        <v>1</v>
      </c>
      <c r="AI1584" t="s">
        <v>1180</v>
      </c>
      <c r="AJ1584">
        <v>35.214722000000002</v>
      </c>
      <c r="AK1584" t="s">
        <v>1181</v>
      </c>
      <c r="AL1584">
        <v>-76.037578999999994</v>
      </c>
      <c r="AM1584">
        <v>25</v>
      </c>
      <c r="AN1584">
        <v>2925</v>
      </c>
      <c r="AO1584" t="s">
        <v>118</v>
      </c>
      <c r="AP1584">
        <v>93</v>
      </c>
      <c r="AQ1584">
        <v>-127</v>
      </c>
      <c r="AR1584">
        <v>64</v>
      </c>
      <c r="AZ1584">
        <v>4516</v>
      </c>
      <c r="BA1584">
        <v>1</v>
      </c>
      <c r="BB1584" t="str">
        <f t="shared" si="148"/>
        <v xml:space="preserve">N79NX   </v>
      </c>
      <c r="BC1584">
        <v>1</v>
      </c>
      <c r="BE1584">
        <v>0</v>
      </c>
      <c r="BF1584">
        <v>0</v>
      </c>
      <c r="BG1584">
        <v>0</v>
      </c>
      <c r="BH1584">
        <v>2775</v>
      </c>
      <c r="BI1584">
        <v>0</v>
      </c>
      <c r="BJ1584">
        <v>0</v>
      </c>
      <c r="BK1584">
        <v>0</v>
      </c>
      <c r="BL1584">
        <v>0</v>
      </c>
      <c r="BO1584">
        <v>0</v>
      </c>
      <c r="BP1584">
        <v>0</v>
      </c>
      <c r="BW1584" t="str">
        <f>"18:46:54.682"</f>
        <v>18:46:54.682</v>
      </c>
      <c r="BZ1584">
        <v>0</v>
      </c>
      <c r="CA1584">
        <v>3008</v>
      </c>
      <c r="CB1584">
        <v>216</v>
      </c>
      <c r="CC1584">
        <v>506.25</v>
      </c>
      <c r="CD1584">
        <v>1</v>
      </c>
      <c r="CE1584">
        <v>1</v>
      </c>
      <c r="CF1584">
        <v>0</v>
      </c>
      <c r="CG1584">
        <v>1</v>
      </c>
      <c r="CH1584">
        <v>0</v>
      </c>
      <c r="CI1584">
        <v>1</v>
      </c>
      <c r="CJ1584">
        <v>0</v>
      </c>
      <c r="CK1584">
        <v>2</v>
      </c>
      <c r="CL1584">
        <v>0</v>
      </c>
      <c r="CM1584">
        <v>2</v>
      </c>
      <c r="CN1584">
        <v>0</v>
      </c>
      <c r="CO1584">
        <v>2</v>
      </c>
      <c r="CP1584" t="s">
        <v>119</v>
      </c>
      <c r="CQ1584">
        <v>145</v>
      </c>
      <c r="CR1584">
        <v>1</v>
      </c>
      <c r="CW1584">
        <v>9177415</v>
      </c>
      <c r="CY1584">
        <v>0</v>
      </c>
      <c r="CZ1584">
        <v>0</v>
      </c>
      <c r="DA1584">
        <v>1</v>
      </c>
      <c r="DB1584">
        <v>0</v>
      </c>
      <c r="DC1584">
        <v>0</v>
      </c>
      <c r="DD1584">
        <v>0</v>
      </c>
      <c r="DE1584">
        <v>0</v>
      </c>
      <c r="DF1584">
        <v>0</v>
      </c>
      <c r="DG1584">
        <v>0</v>
      </c>
      <c r="DH1584">
        <v>0</v>
      </c>
      <c r="DI1584">
        <v>0</v>
      </c>
    </row>
    <row r="1585" spans="1:113" x14ac:dyDescent="0.3">
      <c r="A1585" t="str">
        <f>"02/13/2022 18:46:55.003"</f>
        <v>02/13/2022 18:46:55.003</v>
      </c>
      <c r="C1585" t="str">
        <f t="shared" si="150"/>
        <v>FFDFD7C0</v>
      </c>
      <c r="D1585" t="s">
        <v>113</v>
      </c>
      <c r="E1585">
        <v>3</v>
      </c>
      <c r="F1585">
        <v>1003</v>
      </c>
      <c r="G1585" t="s">
        <v>114</v>
      </c>
      <c r="J1585" t="s">
        <v>115</v>
      </c>
      <c r="K1585">
        <v>0</v>
      </c>
      <c r="L1585">
        <v>3</v>
      </c>
      <c r="M1585">
        <v>0</v>
      </c>
      <c r="N1585">
        <v>2</v>
      </c>
      <c r="O1585">
        <v>1</v>
      </c>
      <c r="P1585">
        <v>0</v>
      </c>
      <c r="Q1585">
        <v>0</v>
      </c>
      <c r="S1585" t="str">
        <f>"18:46:54.680"</f>
        <v>18:46:54.680</v>
      </c>
      <c r="T1585" t="str">
        <f>"18:46:53.480"</f>
        <v>18:46:53.480</v>
      </c>
      <c r="U1585" t="str">
        <f t="shared" si="147"/>
        <v>AAB6EE</v>
      </c>
      <c r="V1585">
        <v>0</v>
      </c>
      <c r="W1585">
        <v>0</v>
      </c>
      <c r="X1585">
        <v>4</v>
      </c>
      <c r="Z1585">
        <v>0</v>
      </c>
      <c r="AA1585">
        <v>8</v>
      </c>
      <c r="AB1585">
        <v>3</v>
      </c>
      <c r="AC1585">
        <v>0</v>
      </c>
      <c r="AD1585">
        <v>10</v>
      </c>
      <c r="AE1585">
        <v>0</v>
      </c>
      <c r="AF1585">
        <v>0</v>
      </c>
      <c r="AG1585">
        <v>1</v>
      </c>
      <c r="AH1585">
        <v>1</v>
      </c>
      <c r="AI1585" t="s">
        <v>1180</v>
      </c>
      <c r="AJ1585">
        <v>35.214722000000002</v>
      </c>
      <c r="AK1585" t="s">
        <v>1181</v>
      </c>
      <c r="AL1585">
        <v>-76.037578999999994</v>
      </c>
      <c r="AM1585">
        <v>25</v>
      </c>
      <c r="AN1585">
        <v>2925</v>
      </c>
      <c r="AO1585" t="s">
        <v>118</v>
      </c>
      <c r="AP1585">
        <v>93</v>
      </c>
      <c r="AQ1585">
        <v>-127</v>
      </c>
      <c r="AR1585">
        <v>64</v>
      </c>
      <c r="AZ1585">
        <v>4516</v>
      </c>
      <c r="BA1585">
        <v>1</v>
      </c>
      <c r="BB1585" t="str">
        <f t="shared" si="148"/>
        <v xml:space="preserve">N79NX   </v>
      </c>
      <c r="BC1585">
        <v>1</v>
      </c>
      <c r="BE1585">
        <v>0</v>
      </c>
      <c r="BF1585">
        <v>0</v>
      </c>
      <c r="BG1585">
        <v>0</v>
      </c>
      <c r="BH1585">
        <v>2775</v>
      </c>
      <c r="BI1585">
        <v>0</v>
      </c>
      <c r="BJ1585">
        <v>0</v>
      </c>
      <c r="BK1585">
        <v>0</v>
      </c>
      <c r="BL1585">
        <v>0</v>
      </c>
      <c r="BO1585">
        <v>0</v>
      </c>
      <c r="BP1585">
        <v>0</v>
      </c>
      <c r="BW1585" t="str">
        <f>"18:46:54.682"</f>
        <v>18:46:54.682</v>
      </c>
      <c r="BZ1585">
        <v>0</v>
      </c>
      <c r="CA1585">
        <v>3008</v>
      </c>
      <c r="CB1585">
        <v>216</v>
      </c>
      <c r="CC1585">
        <v>506.25</v>
      </c>
      <c r="CD1585">
        <v>1</v>
      </c>
      <c r="CE1585">
        <v>1</v>
      </c>
      <c r="CF1585">
        <v>0</v>
      </c>
      <c r="CG1585">
        <v>1</v>
      </c>
      <c r="CH1585">
        <v>0</v>
      </c>
      <c r="CI1585">
        <v>1</v>
      </c>
      <c r="CJ1585">
        <v>0</v>
      </c>
      <c r="CK1585">
        <v>2</v>
      </c>
      <c r="CL1585">
        <v>0</v>
      </c>
      <c r="CM1585">
        <v>2</v>
      </c>
      <c r="CN1585">
        <v>0</v>
      </c>
      <c r="CO1585">
        <v>2</v>
      </c>
      <c r="CP1585" t="s">
        <v>119</v>
      </c>
      <c r="CQ1585">
        <v>145</v>
      </c>
      <c r="CR1585">
        <v>1</v>
      </c>
      <c r="CW1585">
        <v>9177415</v>
      </c>
      <c r="CY1585">
        <v>0</v>
      </c>
      <c r="CZ1585">
        <v>0</v>
      </c>
      <c r="DA1585">
        <v>1</v>
      </c>
      <c r="DB1585">
        <v>0</v>
      </c>
      <c r="DC1585">
        <v>0</v>
      </c>
      <c r="DD1585">
        <v>0</v>
      </c>
      <c r="DE1585">
        <v>0</v>
      </c>
      <c r="DF1585">
        <v>0</v>
      </c>
      <c r="DG1585">
        <v>0</v>
      </c>
      <c r="DH1585">
        <v>0</v>
      </c>
      <c r="DI1585">
        <v>0</v>
      </c>
    </row>
    <row r="1586" spans="1:113" x14ac:dyDescent="0.3">
      <c r="A1586" t="str">
        <f>"02/13/2022 18:46:57.114"</f>
        <v>02/13/2022 18:46:57.114</v>
      </c>
      <c r="C1586" t="str">
        <f t="shared" si="150"/>
        <v>FFDFD7C0</v>
      </c>
      <c r="D1586" t="s">
        <v>121</v>
      </c>
      <c r="E1586">
        <v>2</v>
      </c>
      <c r="H1586">
        <v>158</v>
      </c>
      <c r="I1586" t="s">
        <v>120</v>
      </c>
      <c r="J1586" t="s">
        <v>122</v>
      </c>
      <c r="K1586">
        <v>0</v>
      </c>
      <c r="L1586">
        <v>3</v>
      </c>
      <c r="M1586">
        <v>0</v>
      </c>
      <c r="N1586">
        <v>2</v>
      </c>
      <c r="O1586">
        <v>1</v>
      </c>
      <c r="P1586">
        <v>0</v>
      </c>
      <c r="Q1586">
        <v>0</v>
      </c>
      <c r="S1586" t="str">
        <f t="shared" ref="S1586:T1588" si="151">"18:46:56.922"</f>
        <v>18:46:56.922</v>
      </c>
      <c r="T1586" t="str">
        <f t="shared" si="151"/>
        <v>18:46:56.922</v>
      </c>
      <c r="U1586" t="str">
        <f t="shared" si="147"/>
        <v>AAB6EE</v>
      </c>
      <c r="V1586">
        <v>0</v>
      </c>
      <c r="W1586">
        <v>0</v>
      </c>
      <c r="X1586">
        <v>4</v>
      </c>
      <c r="Z1586">
        <v>0</v>
      </c>
      <c r="AA1586">
        <v>8</v>
      </c>
      <c r="AB1586">
        <v>3</v>
      </c>
      <c r="AC1586">
        <v>0</v>
      </c>
      <c r="AD1586">
        <v>10</v>
      </c>
      <c r="AE1586">
        <v>0</v>
      </c>
      <c r="AF1586">
        <v>0</v>
      </c>
      <c r="AG1586">
        <v>1</v>
      </c>
      <c r="AH1586">
        <v>1</v>
      </c>
      <c r="AI1586" t="s">
        <v>1182</v>
      </c>
      <c r="AJ1586">
        <v>35.213284000000002</v>
      </c>
      <c r="AK1586" t="s">
        <v>1183</v>
      </c>
      <c r="AL1586">
        <v>-76.036548999999994</v>
      </c>
      <c r="AM1586">
        <v>25</v>
      </c>
      <c r="AN1586">
        <v>2925</v>
      </c>
      <c r="AO1586" t="s">
        <v>118</v>
      </c>
      <c r="AP1586">
        <v>76</v>
      </c>
      <c r="AQ1586">
        <v>-136</v>
      </c>
      <c r="AR1586">
        <v>192</v>
      </c>
      <c r="AZ1586">
        <v>4516</v>
      </c>
      <c r="BA1586">
        <v>1</v>
      </c>
      <c r="BB1586" t="str">
        <f t="shared" si="148"/>
        <v xml:space="preserve">N79NX   </v>
      </c>
      <c r="BC1586">
        <v>1</v>
      </c>
      <c r="BE1586">
        <v>0</v>
      </c>
      <c r="BF1586">
        <v>0</v>
      </c>
      <c r="BG1586">
        <v>0</v>
      </c>
      <c r="BH1586">
        <v>2775</v>
      </c>
      <c r="BI1586">
        <v>0</v>
      </c>
      <c r="BJ1586">
        <v>0</v>
      </c>
      <c r="BK1586">
        <v>0</v>
      </c>
      <c r="BL1586">
        <v>0</v>
      </c>
      <c r="BO1586">
        <v>0</v>
      </c>
      <c r="BP1586">
        <v>0</v>
      </c>
      <c r="BW1586" t="str">
        <f>"18:46:56.922"</f>
        <v>18:46:56.922</v>
      </c>
      <c r="BZ1586">
        <v>0</v>
      </c>
      <c r="CA1586">
        <v>3008</v>
      </c>
      <c r="CB1586">
        <v>216</v>
      </c>
      <c r="CC1586">
        <v>518.90629999999999</v>
      </c>
      <c r="CD1586">
        <v>1</v>
      </c>
      <c r="CE1586">
        <v>1</v>
      </c>
      <c r="CF1586">
        <v>0</v>
      </c>
      <c r="CG1586">
        <v>1</v>
      </c>
      <c r="CH1586">
        <v>0</v>
      </c>
      <c r="CI1586">
        <v>1</v>
      </c>
      <c r="CJ1586">
        <v>0</v>
      </c>
      <c r="CK1586">
        <v>2</v>
      </c>
      <c r="CL1586">
        <v>0</v>
      </c>
      <c r="CM1586">
        <v>2</v>
      </c>
      <c r="CN1586">
        <v>0</v>
      </c>
      <c r="CO1586">
        <v>2</v>
      </c>
      <c r="CP1586" t="s">
        <v>119</v>
      </c>
      <c r="CQ1586">
        <v>145</v>
      </c>
      <c r="CR1586">
        <v>1</v>
      </c>
      <c r="CW1586">
        <v>9178430</v>
      </c>
      <c r="CY1586">
        <v>0</v>
      </c>
      <c r="CZ1586">
        <v>0</v>
      </c>
      <c r="DA1586">
        <v>0</v>
      </c>
      <c r="DB1586">
        <v>0</v>
      </c>
      <c r="DC1586">
        <v>0</v>
      </c>
      <c r="DD1586">
        <v>0</v>
      </c>
      <c r="DE1586">
        <v>0</v>
      </c>
      <c r="DF1586">
        <v>0</v>
      </c>
      <c r="DG1586">
        <v>0</v>
      </c>
      <c r="DH1586">
        <v>0</v>
      </c>
      <c r="DI1586">
        <v>0</v>
      </c>
    </row>
    <row r="1587" spans="1:113" x14ac:dyDescent="0.3">
      <c r="A1587" t="str">
        <f>"02/13/2022 18:46:57.114"</f>
        <v>02/13/2022 18:46:57.114</v>
      </c>
      <c r="C1587" t="str">
        <f t="shared" si="150"/>
        <v>FFDFD7C0</v>
      </c>
      <c r="D1587" t="s">
        <v>113</v>
      </c>
      <c r="E1587">
        <v>3</v>
      </c>
      <c r="F1587">
        <v>1003</v>
      </c>
      <c r="G1587" t="s">
        <v>114</v>
      </c>
      <c r="J1587" t="s">
        <v>115</v>
      </c>
      <c r="K1587">
        <v>0</v>
      </c>
      <c r="L1587">
        <v>3</v>
      </c>
      <c r="M1587">
        <v>0</v>
      </c>
      <c r="N1587">
        <v>2</v>
      </c>
      <c r="O1587">
        <v>1</v>
      </c>
      <c r="P1587">
        <v>0</v>
      </c>
      <c r="Q1587">
        <v>0</v>
      </c>
      <c r="S1587" t="str">
        <f t="shared" si="151"/>
        <v>18:46:56.922</v>
      </c>
      <c r="T1587" t="str">
        <f t="shared" si="151"/>
        <v>18:46:56.922</v>
      </c>
      <c r="U1587" t="str">
        <f t="shared" si="147"/>
        <v>AAB6EE</v>
      </c>
      <c r="V1587">
        <v>0</v>
      </c>
      <c r="W1587">
        <v>0</v>
      </c>
      <c r="X1587">
        <v>4</v>
      </c>
      <c r="Z1587">
        <v>0</v>
      </c>
      <c r="AA1587">
        <v>8</v>
      </c>
      <c r="AB1587">
        <v>3</v>
      </c>
      <c r="AC1587">
        <v>0</v>
      </c>
      <c r="AD1587">
        <v>10</v>
      </c>
      <c r="AE1587">
        <v>0</v>
      </c>
      <c r="AF1587">
        <v>0</v>
      </c>
      <c r="AG1587">
        <v>1</v>
      </c>
      <c r="AH1587">
        <v>1</v>
      </c>
      <c r="AI1587" t="s">
        <v>1182</v>
      </c>
      <c r="AJ1587">
        <v>35.213284000000002</v>
      </c>
      <c r="AK1587" t="s">
        <v>1183</v>
      </c>
      <c r="AL1587">
        <v>-76.036548999999994</v>
      </c>
      <c r="AM1587">
        <v>25</v>
      </c>
      <c r="AN1587">
        <v>2925</v>
      </c>
      <c r="AO1587" t="s">
        <v>118</v>
      </c>
      <c r="AP1587">
        <v>76</v>
      </c>
      <c r="AQ1587">
        <v>-136</v>
      </c>
      <c r="AR1587">
        <v>192</v>
      </c>
      <c r="AZ1587">
        <v>4516</v>
      </c>
      <c r="BA1587">
        <v>1</v>
      </c>
      <c r="BB1587" t="str">
        <f t="shared" si="148"/>
        <v xml:space="preserve">N79NX   </v>
      </c>
      <c r="BC1587">
        <v>1</v>
      </c>
      <c r="BE1587">
        <v>0</v>
      </c>
      <c r="BF1587">
        <v>0</v>
      </c>
      <c r="BG1587">
        <v>0</v>
      </c>
      <c r="BH1587">
        <v>2775</v>
      </c>
      <c r="BI1587">
        <v>0</v>
      </c>
      <c r="BJ1587">
        <v>0</v>
      </c>
      <c r="BK1587">
        <v>0</v>
      </c>
      <c r="BL1587">
        <v>0</v>
      </c>
      <c r="BO1587">
        <v>0</v>
      </c>
      <c r="BP1587">
        <v>0</v>
      </c>
      <c r="BW1587" t="str">
        <f>"18:46:56.922"</f>
        <v>18:46:56.922</v>
      </c>
      <c r="BZ1587">
        <v>0</v>
      </c>
      <c r="CA1587">
        <v>3008</v>
      </c>
      <c r="CB1587">
        <v>216</v>
      </c>
      <c r="CC1587">
        <v>518.90629999999999</v>
      </c>
      <c r="CD1587">
        <v>1</v>
      </c>
      <c r="CE1587">
        <v>1</v>
      </c>
      <c r="CF1587">
        <v>0</v>
      </c>
      <c r="CG1587">
        <v>1</v>
      </c>
      <c r="CH1587">
        <v>0</v>
      </c>
      <c r="CI1587">
        <v>1</v>
      </c>
      <c r="CJ1587">
        <v>0</v>
      </c>
      <c r="CK1587">
        <v>2</v>
      </c>
      <c r="CL1587">
        <v>0</v>
      </c>
      <c r="CM1587">
        <v>2</v>
      </c>
      <c r="CN1587">
        <v>0</v>
      </c>
      <c r="CO1587">
        <v>2</v>
      </c>
      <c r="CP1587" t="s">
        <v>119</v>
      </c>
      <c r="CQ1587">
        <v>145</v>
      </c>
      <c r="CR1587">
        <v>1</v>
      </c>
      <c r="CW1587">
        <v>9178430</v>
      </c>
      <c r="CY1587">
        <v>0</v>
      </c>
      <c r="CZ1587">
        <v>0</v>
      </c>
      <c r="DA1587">
        <v>1</v>
      </c>
      <c r="DB1587">
        <v>0</v>
      </c>
      <c r="DC1587">
        <v>0</v>
      </c>
      <c r="DD1587">
        <v>0</v>
      </c>
      <c r="DE1587">
        <v>0</v>
      </c>
      <c r="DF1587">
        <v>0</v>
      </c>
      <c r="DG1587">
        <v>0</v>
      </c>
      <c r="DH1587">
        <v>0</v>
      </c>
      <c r="DI1587">
        <v>0</v>
      </c>
    </row>
    <row r="1588" spans="1:113" x14ac:dyDescent="0.3">
      <c r="A1588" t="str">
        <f>"02/13/2022 18:46:57.114"</f>
        <v>02/13/2022 18:46:57.114</v>
      </c>
      <c r="C1588" t="str">
        <f t="shared" si="150"/>
        <v>FFDFD7C0</v>
      </c>
      <c r="D1588" t="s">
        <v>113</v>
      </c>
      <c r="E1588">
        <v>4</v>
      </c>
      <c r="F1588">
        <v>1004</v>
      </c>
      <c r="G1588" t="s">
        <v>120</v>
      </c>
      <c r="J1588" t="s">
        <v>115</v>
      </c>
      <c r="K1588">
        <v>0</v>
      </c>
      <c r="L1588">
        <v>3</v>
      </c>
      <c r="M1588">
        <v>0</v>
      </c>
      <c r="N1588">
        <v>2</v>
      </c>
      <c r="O1588">
        <v>1</v>
      </c>
      <c r="P1588">
        <v>0</v>
      </c>
      <c r="Q1588">
        <v>0</v>
      </c>
      <c r="S1588" t="str">
        <f t="shared" si="151"/>
        <v>18:46:56.922</v>
      </c>
      <c r="T1588" t="str">
        <f t="shared" si="151"/>
        <v>18:46:56.922</v>
      </c>
      <c r="U1588" t="str">
        <f t="shared" si="147"/>
        <v>AAB6EE</v>
      </c>
      <c r="V1588">
        <v>0</v>
      </c>
      <c r="W1588">
        <v>0</v>
      </c>
      <c r="X1588">
        <v>4</v>
      </c>
      <c r="Z1588">
        <v>0</v>
      </c>
      <c r="AA1588">
        <v>8</v>
      </c>
      <c r="AB1588">
        <v>3</v>
      </c>
      <c r="AC1588">
        <v>0</v>
      </c>
      <c r="AD1588">
        <v>10</v>
      </c>
      <c r="AE1588">
        <v>0</v>
      </c>
      <c r="AF1588">
        <v>0</v>
      </c>
      <c r="AG1588">
        <v>1</v>
      </c>
      <c r="AH1588">
        <v>1</v>
      </c>
      <c r="AI1588" t="s">
        <v>1182</v>
      </c>
      <c r="AJ1588">
        <v>35.213284000000002</v>
      </c>
      <c r="AK1588" t="s">
        <v>1183</v>
      </c>
      <c r="AL1588">
        <v>-76.036548999999994</v>
      </c>
      <c r="AM1588">
        <v>25</v>
      </c>
      <c r="AN1588">
        <v>2925</v>
      </c>
      <c r="AO1588" t="s">
        <v>118</v>
      </c>
      <c r="AP1588">
        <v>76</v>
      </c>
      <c r="AQ1588">
        <v>-136</v>
      </c>
      <c r="AR1588">
        <v>192</v>
      </c>
      <c r="AZ1588">
        <v>4516</v>
      </c>
      <c r="BA1588">
        <v>1</v>
      </c>
      <c r="BB1588" t="str">
        <f t="shared" si="148"/>
        <v xml:space="preserve">N79NX   </v>
      </c>
      <c r="BC1588">
        <v>1</v>
      </c>
      <c r="BE1588">
        <v>0</v>
      </c>
      <c r="BF1588">
        <v>0</v>
      </c>
      <c r="BG1588">
        <v>0</v>
      </c>
      <c r="BH1588">
        <v>2775</v>
      </c>
      <c r="BI1588">
        <v>0</v>
      </c>
      <c r="BJ1588">
        <v>0</v>
      </c>
      <c r="BK1588">
        <v>0</v>
      </c>
      <c r="BL1588">
        <v>0</v>
      </c>
      <c r="BO1588">
        <v>0</v>
      </c>
      <c r="BP1588">
        <v>0</v>
      </c>
      <c r="BW1588" t="str">
        <f>"18:46:56.922"</f>
        <v>18:46:56.922</v>
      </c>
      <c r="BZ1588">
        <v>0</v>
      </c>
      <c r="CA1588">
        <v>3008</v>
      </c>
      <c r="CB1588">
        <v>216</v>
      </c>
      <c r="CC1588">
        <v>518.90629999999999</v>
      </c>
      <c r="CD1588">
        <v>1</v>
      </c>
      <c r="CE1588">
        <v>1</v>
      </c>
      <c r="CF1588">
        <v>0</v>
      </c>
      <c r="CG1588">
        <v>1</v>
      </c>
      <c r="CH1588">
        <v>0</v>
      </c>
      <c r="CI1588">
        <v>1</v>
      </c>
      <c r="CJ1588">
        <v>0</v>
      </c>
      <c r="CK1588">
        <v>2</v>
      </c>
      <c r="CL1588">
        <v>0</v>
      </c>
      <c r="CM1588">
        <v>2</v>
      </c>
      <c r="CN1588">
        <v>0</v>
      </c>
      <c r="CO1588">
        <v>2</v>
      </c>
      <c r="CP1588" t="s">
        <v>119</v>
      </c>
      <c r="CQ1588">
        <v>145</v>
      </c>
      <c r="CR1588">
        <v>1</v>
      </c>
      <c r="CW1588">
        <v>9178430</v>
      </c>
      <c r="CY1588">
        <v>0</v>
      </c>
      <c r="CZ1588">
        <v>0</v>
      </c>
      <c r="DA1588">
        <v>1</v>
      </c>
      <c r="DB1588">
        <v>0</v>
      </c>
      <c r="DC1588">
        <v>0</v>
      </c>
      <c r="DD1588">
        <v>0</v>
      </c>
      <c r="DE1588">
        <v>0</v>
      </c>
      <c r="DF1588">
        <v>0</v>
      </c>
      <c r="DG1588">
        <v>0</v>
      </c>
      <c r="DH1588">
        <v>0</v>
      </c>
      <c r="DI1588">
        <v>0</v>
      </c>
    </row>
    <row r="1589" spans="1:113" x14ac:dyDescent="0.3">
      <c r="A1589" t="str">
        <f>"02/13/2022 18:46:58.098"</f>
        <v>02/13/2022 18:46:58.098</v>
      </c>
      <c r="C1589" t="str">
        <f t="shared" si="150"/>
        <v>FFDFD7C0</v>
      </c>
      <c r="D1589" t="s">
        <v>121</v>
      </c>
      <c r="E1589">
        <v>2</v>
      </c>
      <c r="H1589">
        <v>158</v>
      </c>
      <c r="I1589" t="s">
        <v>120</v>
      </c>
      <c r="J1589" t="s">
        <v>122</v>
      </c>
      <c r="K1589">
        <v>0</v>
      </c>
      <c r="L1589">
        <v>3</v>
      </c>
      <c r="M1589">
        <v>0</v>
      </c>
      <c r="N1589">
        <v>2</v>
      </c>
      <c r="O1589">
        <v>1</v>
      </c>
      <c r="P1589">
        <v>0</v>
      </c>
      <c r="Q1589">
        <v>0</v>
      </c>
      <c r="S1589" t="str">
        <f t="shared" ref="S1589:T1591" si="152">"18:46:57.859"</f>
        <v>18:46:57.859</v>
      </c>
      <c r="T1589" t="str">
        <f t="shared" si="152"/>
        <v>18:46:57.859</v>
      </c>
      <c r="U1589" t="str">
        <f t="shared" si="147"/>
        <v>AAB6EE</v>
      </c>
      <c r="V1589">
        <v>0</v>
      </c>
      <c r="W1589">
        <v>0</v>
      </c>
      <c r="X1589">
        <v>4</v>
      </c>
      <c r="Z1589">
        <v>0</v>
      </c>
      <c r="AA1589">
        <v>8</v>
      </c>
      <c r="AB1589">
        <v>3</v>
      </c>
      <c r="AC1589">
        <v>0</v>
      </c>
      <c r="AD1589">
        <v>10</v>
      </c>
      <c r="AE1589">
        <v>0</v>
      </c>
      <c r="AF1589">
        <v>0</v>
      </c>
      <c r="AG1589">
        <v>1</v>
      </c>
      <c r="AH1589">
        <v>1</v>
      </c>
      <c r="AI1589" t="s">
        <v>1184</v>
      </c>
      <c r="AJ1589">
        <v>35.212727000000001</v>
      </c>
      <c r="AK1589" t="s">
        <v>1185</v>
      </c>
      <c r="AL1589">
        <v>-76.036141000000001</v>
      </c>
      <c r="AM1589">
        <v>25</v>
      </c>
      <c r="AN1589">
        <v>2950</v>
      </c>
      <c r="AO1589" t="s">
        <v>118</v>
      </c>
      <c r="AP1589">
        <v>72</v>
      </c>
      <c r="AQ1589">
        <v>-137</v>
      </c>
      <c r="AR1589">
        <v>64</v>
      </c>
      <c r="AZ1589">
        <v>4516</v>
      </c>
      <c r="BA1589">
        <v>1</v>
      </c>
      <c r="BB1589" t="str">
        <f t="shared" si="148"/>
        <v xml:space="preserve">N79NX   </v>
      </c>
      <c r="BC1589">
        <v>1</v>
      </c>
      <c r="BE1589">
        <v>0</v>
      </c>
      <c r="BF1589">
        <v>0</v>
      </c>
      <c r="BG1589">
        <v>0</v>
      </c>
      <c r="BH1589">
        <v>2775</v>
      </c>
      <c r="BI1589">
        <v>0</v>
      </c>
      <c r="BJ1589">
        <v>0</v>
      </c>
      <c r="BK1589">
        <v>0</v>
      </c>
      <c r="BL1589">
        <v>0</v>
      </c>
      <c r="BO1589">
        <v>0</v>
      </c>
      <c r="BP1589">
        <v>0</v>
      </c>
      <c r="BW1589" t="str">
        <f>"18:46:57.862"</f>
        <v>18:46:57.862</v>
      </c>
      <c r="BZ1589">
        <v>0</v>
      </c>
      <c r="CA1589">
        <v>3008</v>
      </c>
      <c r="CB1589">
        <v>216</v>
      </c>
      <c r="CC1589">
        <v>518.90629999999999</v>
      </c>
      <c r="CD1589">
        <v>1</v>
      </c>
      <c r="CE1589">
        <v>1</v>
      </c>
      <c r="CF1589">
        <v>0</v>
      </c>
      <c r="CG1589">
        <v>1</v>
      </c>
      <c r="CH1589">
        <v>0</v>
      </c>
      <c r="CI1589">
        <v>1</v>
      </c>
      <c r="CJ1589">
        <v>0</v>
      </c>
      <c r="CK1589">
        <v>2</v>
      </c>
      <c r="CL1589">
        <v>0</v>
      </c>
      <c r="CM1589">
        <v>2</v>
      </c>
      <c r="CN1589">
        <v>0</v>
      </c>
      <c r="CO1589">
        <v>2</v>
      </c>
      <c r="CP1589" t="s">
        <v>119</v>
      </c>
      <c r="CQ1589">
        <v>145</v>
      </c>
      <c r="CR1589">
        <v>1</v>
      </c>
      <c r="CW1589">
        <v>9178907</v>
      </c>
      <c r="CY1589">
        <v>0</v>
      </c>
      <c r="CZ1589">
        <v>0</v>
      </c>
      <c r="DA1589">
        <v>0</v>
      </c>
      <c r="DB1589">
        <v>0</v>
      </c>
      <c r="DC1589">
        <v>0</v>
      </c>
      <c r="DD1589">
        <v>0</v>
      </c>
      <c r="DE1589">
        <v>0</v>
      </c>
      <c r="DF1589">
        <v>0</v>
      </c>
      <c r="DG1589">
        <v>0</v>
      </c>
      <c r="DH1589">
        <v>0</v>
      </c>
      <c r="DI1589">
        <v>0</v>
      </c>
    </row>
    <row r="1590" spans="1:113" x14ac:dyDescent="0.3">
      <c r="A1590" t="str">
        <f>"02/13/2022 18:46:58.098"</f>
        <v>02/13/2022 18:46:58.098</v>
      </c>
      <c r="C1590" t="str">
        <f t="shared" si="150"/>
        <v>FFDFD7C0</v>
      </c>
      <c r="D1590" t="s">
        <v>113</v>
      </c>
      <c r="E1590">
        <v>3</v>
      </c>
      <c r="F1590">
        <v>1003</v>
      </c>
      <c r="G1590" t="s">
        <v>114</v>
      </c>
      <c r="J1590" t="s">
        <v>115</v>
      </c>
      <c r="K1590">
        <v>0</v>
      </c>
      <c r="L1590">
        <v>3</v>
      </c>
      <c r="M1590">
        <v>0</v>
      </c>
      <c r="N1590">
        <v>2</v>
      </c>
      <c r="O1590">
        <v>1</v>
      </c>
      <c r="P1590">
        <v>0</v>
      </c>
      <c r="Q1590">
        <v>0</v>
      </c>
      <c r="S1590" t="str">
        <f t="shared" si="152"/>
        <v>18:46:57.859</v>
      </c>
      <c r="T1590" t="str">
        <f t="shared" si="152"/>
        <v>18:46:57.859</v>
      </c>
      <c r="U1590" t="str">
        <f t="shared" si="147"/>
        <v>AAB6EE</v>
      </c>
      <c r="V1590">
        <v>0</v>
      </c>
      <c r="W1590">
        <v>0</v>
      </c>
      <c r="X1590">
        <v>4</v>
      </c>
      <c r="Z1590">
        <v>0</v>
      </c>
      <c r="AA1590">
        <v>8</v>
      </c>
      <c r="AB1590">
        <v>3</v>
      </c>
      <c r="AC1590">
        <v>0</v>
      </c>
      <c r="AD1590">
        <v>10</v>
      </c>
      <c r="AE1590">
        <v>0</v>
      </c>
      <c r="AF1590">
        <v>0</v>
      </c>
      <c r="AG1590">
        <v>1</v>
      </c>
      <c r="AH1590">
        <v>1</v>
      </c>
      <c r="AI1590" t="s">
        <v>1184</v>
      </c>
      <c r="AJ1590">
        <v>35.212727000000001</v>
      </c>
      <c r="AK1590" t="s">
        <v>1185</v>
      </c>
      <c r="AL1590">
        <v>-76.036141000000001</v>
      </c>
      <c r="AM1590">
        <v>25</v>
      </c>
      <c r="AN1590">
        <v>2950</v>
      </c>
      <c r="AO1590" t="s">
        <v>118</v>
      </c>
      <c r="AP1590">
        <v>72</v>
      </c>
      <c r="AQ1590">
        <v>-137</v>
      </c>
      <c r="AR1590">
        <v>64</v>
      </c>
      <c r="AZ1590">
        <v>4516</v>
      </c>
      <c r="BA1590">
        <v>1</v>
      </c>
      <c r="BB1590" t="str">
        <f t="shared" si="148"/>
        <v xml:space="preserve">N79NX   </v>
      </c>
      <c r="BC1590">
        <v>1</v>
      </c>
      <c r="BE1590">
        <v>0</v>
      </c>
      <c r="BF1590">
        <v>0</v>
      </c>
      <c r="BG1590">
        <v>0</v>
      </c>
      <c r="BH1590">
        <v>2775</v>
      </c>
      <c r="BI1590">
        <v>0</v>
      </c>
      <c r="BJ1590">
        <v>0</v>
      </c>
      <c r="BK1590">
        <v>0</v>
      </c>
      <c r="BL1590">
        <v>0</v>
      </c>
      <c r="BO1590">
        <v>0</v>
      </c>
      <c r="BP1590">
        <v>0</v>
      </c>
      <c r="BW1590" t="str">
        <f>"18:46:57.862"</f>
        <v>18:46:57.862</v>
      </c>
      <c r="BZ1590">
        <v>0</v>
      </c>
      <c r="CA1590">
        <v>3008</v>
      </c>
      <c r="CB1590">
        <v>216</v>
      </c>
      <c r="CC1590">
        <v>518.90629999999999</v>
      </c>
      <c r="CD1590">
        <v>1</v>
      </c>
      <c r="CE1590">
        <v>1</v>
      </c>
      <c r="CF1590">
        <v>0</v>
      </c>
      <c r="CG1590">
        <v>1</v>
      </c>
      <c r="CH1590">
        <v>0</v>
      </c>
      <c r="CI1590">
        <v>1</v>
      </c>
      <c r="CJ1590">
        <v>0</v>
      </c>
      <c r="CK1590">
        <v>2</v>
      </c>
      <c r="CL1590">
        <v>0</v>
      </c>
      <c r="CM1590">
        <v>2</v>
      </c>
      <c r="CN1590">
        <v>0</v>
      </c>
      <c r="CO1590">
        <v>2</v>
      </c>
      <c r="CP1590" t="s">
        <v>119</v>
      </c>
      <c r="CQ1590">
        <v>145</v>
      </c>
      <c r="CR1590">
        <v>1</v>
      </c>
      <c r="CW1590">
        <v>9178907</v>
      </c>
      <c r="CY1590">
        <v>0</v>
      </c>
      <c r="CZ1590">
        <v>0</v>
      </c>
      <c r="DA1590">
        <v>1</v>
      </c>
      <c r="DB1590">
        <v>0</v>
      </c>
      <c r="DC1590">
        <v>0</v>
      </c>
      <c r="DD1590">
        <v>0</v>
      </c>
      <c r="DE1590">
        <v>0</v>
      </c>
      <c r="DF1590">
        <v>0</v>
      </c>
      <c r="DG1590">
        <v>0</v>
      </c>
      <c r="DH1590">
        <v>0</v>
      </c>
      <c r="DI1590">
        <v>0</v>
      </c>
    </row>
    <row r="1591" spans="1:113" x14ac:dyDescent="0.3">
      <c r="A1591" t="str">
        <f>"02/13/2022 18:46:58.098"</f>
        <v>02/13/2022 18:46:58.098</v>
      </c>
      <c r="C1591" t="str">
        <f t="shared" si="150"/>
        <v>FFDFD7C0</v>
      </c>
      <c r="D1591" t="s">
        <v>113</v>
      </c>
      <c r="E1591">
        <v>4</v>
      </c>
      <c r="F1591">
        <v>1004</v>
      </c>
      <c r="G1591" t="s">
        <v>120</v>
      </c>
      <c r="J1591" t="s">
        <v>115</v>
      </c>
      <c r="K1591">
        <v>0</v>
      </c>
      <c r="L1591">
        <v>3</v>
      </c>
      <c r="M1591">
        <v>0</v>
      </c>
      <c r="N1591">
        <v>2</v>
      </c>
      <c r="O1591">
        <v>1</v>
      </c>
      <c r="P1591">
        <v>0</v>
      </c>
      <c r="Q1591">
        <v>0</v>
      </c>
      <c r="S1591" t="str">
        <f t="shared" si="152"/>
        <v>18:46:57.859</v>
      </c>
      <c r="T1591" t="str">
        <f t="shared" si="152"/>
        <v>18:46:57.859</v>
      </c>
      <c r="U1591" t="str">
        <f t="shared" si="147"/>
        <v>AAB6EE</v>
      </c>
      <c r="V1591">
        <v>0</v>
      </c>
      <c r="W1591">
        <v>0</v>
      </c>
      <c r="X1591">
        <v>4</v>
      </c>
      <c r="Z1591">
        <v>0</v>
      </c>
      <c r="AA1591">
        <v>8</v>
      </c>
      <c r="AB1591">
        <v>3</v>
      </c>
      <c r="AC1591">
        <v>0</v>
      </c>
      <c r="AD1591">
        <v>10</v>
      </c>
      <c r="AE1591">
        <v>0</v>
      </c>
      <c r="AF1591">
        <v>0</v>
      </c>
      <c r="AG1591">
        <v>1</v>
      </c>
      <c r="AH1591">
        <v>1</v>
      </c>
      <c r="AI1591" t="s">
        <v>1184</v>
      </c>
      <c r="AJ1591">
        <v>35.212727000000001</v>
      </c>
      <c r="AK1591" t="s">
        <v>1185</v>
      </c>
      <c r="AL1591">
        <v>-76.036141000000001</v>
      </c>
      <c r="AM1591">
        <v>25</v>
      </c>
      <c r="AN1591">
        <v>2950</v>
      </c>
      <c r="AO1591" t="s">
        <v>118</v>
      </c>
      <c r="AP1591">
        <v>72</v>
      </c>
      <c r="AQ1591">
        <v>-137</v>
      </c>
      <c r="AR1591">
        <v>64</v>
      </c>
      <c r="AZ1591">
        <v>4516</v>
      </c>
      <c r="BA1591">
        <v>1</v>
      </c>
      <c r="BB1591" t="str">
        <f t="shared" si="148"/>
        <v xml:space="preserve">N79NX   </v>
      </c>
      <c r="BC1591">
        <v>1</v>
      </c>
      <c r="BE1591">
        <v>0</v>
      </c>
      <c r="BF1591">
        <v>0</v>
      </c>
      <c r="BG1591">
        <v>0</v>
      </c>
      <c r="BH1591">
        <v>2775</v>
      </c>
      <c r="BI1591">
        <v>0</v>
      </c>
      <c r="BJ1591">
        <v>0</v>
      </c>
      <c r="BK1591">
        <v>0</v>
      </c>
      <c r="BL1591">
        <v>0</v>
      </c>
      <c r="BO1591">
        <v>0</v>
      </c>
      <c r="BP1591">
        <v>0</v>
      </c>
      <c r="BW1591" t="str">
        <f>"18:46:57.862"</f>
        <v>18:46:57.862</v>
      </c>
      <c r="BZ1591">
        <v>0</v>
      </c>
      <c r="CA1591">
        <v>3008</v>
      </c>
      <c r="CB1591">
        <v>216</v>
      </c>
      <c r="CC1591">
        <v>518.90629999999999</v>
      </c>
      <c r="CD1591">
        <v>1</v>
      </c>
      <c r="CE1591">
        <v>1</v>
      </c>
      <c r="CF1591">
        <v>0</v>
      </c>
      <c r="CG1591">
        <v>1</v>
      </c>
      <c r="CH1591">
        <v>0</v>
      </c>
      <c r="CI1591">
        <v>1</v>
      </c>
      <c r="CJ1591">
        <v>0</v>
      </c>
      <c r="CK1591">
        <v>2</v>
      </c>
      <c r="CL1591">
        <v>0</v>
      </c>
      <c r="CM1591">
        <v>2</v>
      </c>
      <c r="CN1591">
        <v>0</v>
      </c>
      <c r="CO1591">
        <v>2</v>
      </c>
      <c r="CP1591" t="s">
        <v>119</v>
      </c>
      <c r="CQ1591">
        <v>145</v>
      </c>
      <c r="CR1591">
        <v>1</v>
      </c>
      <c r="CW1591">
        <v>9178907</v>
      </c>
      <c r="CY1591">
        <v>0</v>
      </c>
      <c r="CZ1591">
        <v>0</v>
      </c>
      <c r="DA1591">
        <v>1</v>
      </c>
      <c r="DB1591">
        <v>0</v>
      </c>
      <c r="DC1591">
        <v>0</v>
      </c>
      <c r="DD1591">
        <v>0</v>
      </c>
      <c r="DE1591">
        <v>0</v>
      </c>
      <c r="DF1591">
        <v>0</v>
      </c>
      <c r="DG1591">
        <v>0</v>
      </c>
      <c r="DH1591">
        <v>0</v>
      </c>
      <c r="DI1591">
        <v>0</v>
      </c>
    </row>
    <row r="1592" spans="1:113" x14ac:dyDescent="0.3">
      <c r="A1592" t="str">
        <f>"02/13/2022 18:46:58.989"</f>
        <v>02/13/2022 18:46:58.989</v>
      </c>
      <c r="C1592" t="str">
        <f t="shared" si="150"/>
        <v>FFDFD7C0</v>
      </c>
      <c r="D1592" t="s">
        <v>113</v>
      </c>
      <c r="E1592">
        <v>3</v>
      </c>
      <c r="F1592">
        <v>1003</v>
      </c>
      <c r="G1592" t="s">
        <v>114</v>
      </c>
      <c r="J1592" t="s">
        <v>115</v>
      </c>
      <c r="K1592">
        <v>0</v>
      </c>
      <c r="L1592">
        <v>3</v>
      </c>
      <c r="M1592">
        <v>0</v>
      </c>
      <c r="N1592">
        <v>2</v>
      </c>
      <c r="O1592">
        <v>1</v>
      </c>
      <c r="P1592">
        <v>0</v>
      </c>
      <c r="Q1592">
        <v>0</v>
      </c>
      <c r="S1592" t="str">
        <f t="shared" ref="S1592:T1594" si="153">"18:46:58.766"</f>
        <v>18:46:58.766</v>
      </c>
      <c r="T1592" t="str">
        <f t="shared" si="153"/>
        <v>18:46:58.766</v>
      </c>
      <c r="U1592" t="str">
        <f t="shared" si="147"/>
        <v>AAB6EE</v>
      </c>
      <c r="V1592">
        <v>0</v>
      </c>
      <c r="W1592">
        <v>0</v>
      </c>
      <c r="X1592">
        <v>4</v>
      </c>
      <c r="Z1592">
        <v>0</v>
      </c>
      <c r="AA1592">
        <v>8</v>
      </c>
      <c r="AB1592">
        <v>3</v>
      </c>
      <c r="AC1592">
        <v>0</v>
      </c>
      <c r="AD1592">
        <v>10</v>
      </c>
      <c r="AE1592">
        <v>0</v>
      </c>
      <c r="AF1592">
        <v>0</v>
      </c>
      <c r="AG1592">
        <v>1</v>
      </c>
      <c r="AH1592">
        <v>1</v>
      </c>
      <c r="AI1592" t="s">
        <v>1186</v>
      </c>
      <c r="AJ1592">
        <v>35.212147000000002</v>
      </c>
      <c r="AK1592" t="s">
        <v>1187</v>
      </c>
      <c r="AL1592">
        <v>-76.035819000000004</v>
      </c>
      <c r="AM1592">
        <v>25</v>
      </c>
      <c r="AN1592">
        <v>2950</v>
      </c>
      <c r="AO1592" t="s">
        <v>118</v>
      </c>
      <c r="AP1592">
        <v>71</v>
      </c>
      <c r="AQ1592">
        <v>-138</v>
      </c>
      <c r="AR1592">
        <v>-64</v>
      </c>
      <c r="AZ1592">
        <v>4516</v>
      </c>
      <c r="BA1592">
        <v>1</v>
      </c>
      <c r="BB1592" t="str">
        <f t="shared" si="148"/>
        <v xml:space="preserve">N79NX   </v>
      </c>
      <c r="BC1592">
        <v>1</v>
      </c>
      <c r="BE1592">
        <v>0</v>
      </c>
      <c r="BF1592">
        <v>0</v>
      </c>
      <c r="BG1592">
        <v>0</v>
      </c>
      <c r="BH1592">
        <v>2800</v>
      </c>
      <c r="BI1592">
        <v>0</v>
      </c>
      <c r="BJ1592">
        <v>0</v>
      </c>
      <c r="BK1592">
        <v>0</v>
      </c>
      <c r="BL1592">
        <v>0</v>
      </c>
      <c r="BO1592">
        <v>0</v>
      </c>
      <c r="BP1592">
        <v>0</v>
      </c>
      <c r="BW1592" t="str">
        <f>"18:46:58.772"</f>
        <v>18:46:58.772</v>
      </c>
      <c r="BZ1592">
        <v>0</v>
      </c>
      <c r="CA1592">
        <v>3008</v>
      </c>
      <c r="CB1592">
        <v>216</v>
      </c>
      <c r="CC1592">
        <v>518.90629999999999</v>
      </c>
      <c r="CD1592">
        <v>1</v>
      </c>
      <c r="CE1592">
        <v>1</v>
      </c>
      <c r="CF1592">
        <v>0</v>
      </c>
      <c r="CG1592">
        <v>1</v>
      </c>
      <c r="CH1592">
        <v>0</v>
      </c>
      <c r="CI1592">
        <v>1</v>
      </c>
      <c r="CJ1592">
        <v>0</v>
      </c>
      <c r="CK1592">
        <v>2</v>
      </c>
      <c r="CL1592">
        <v>0</v>
      </c>
      <c r="CM1592">
        <v>2</v>
      </c>
      <c r="CN1592">
        <v>0</v>
      </c>
      <c r="CO1592">
        <v>2</v>
      </c>
      <c r="CP1592" t="s">
        <v>119</v>
      </c>
      <c r="CQ1592">
        <v>145</v>
      </c>
      <c r="CR1592">
        <v>1</v>
      </c>
      <c r="CW1592">
        <v>9179282</v>
      </c>
      <c r="CY1592">
        <v>0</v>
      </c>
      <c r="CZ1592">
        <v>0</v>
      </c>
      <c r="DA1592">
        <v>0</v>
      </c>
      <c r="DB1592">
        <v>0</v>
      </c>
      <c r="DC1592">
        <v>0</v>
      </c>
      <c r="DD1592">
        <v>0</v>
      </c>
      <c r="DE1592">
        <v>0</v>
      </c>
      <c r="DF1592">
        <v>0</v>
      </c>
      <c r="DG1592">
        <v>0</v>
      </c>
      <c r="DH1592">
        <v>0</v>
      </c>
      <c r="DI1592">
        <v>0</v>
      </c>
    </row>
    <row r="1593" spans="1:113" x14ac:dyDescent="0.3">
      <c r="A1593" t="str">
        <f>"02/13/2022 18:46:58.989"</f>
        <v>02/13/2022 18:46:58.989</v>
      </c>
      <c r="C1593" t="str">
        <f t="shared" si="150"/>
        <v>FFDFD7C0</v>
      </c>
      <c r="D1593" t="s">
        <v>121</v>
      </c>
      <c r="E1593">
        <v>2</v>
      </c>
      <c r="H1593">
        <v>158</v>
      </c>
      <c r="I1593" t="s">
        <v>120</v>
      </c>
      <c r="J1593" t="s">
        <v>122</v>
      </c>
      <c r="K1593">
        <v>0</v>
      </c>
      <c r="L1593">
        <v>3</v>
      </c>
      <c r="M1593">
        <v>0</v>
      </c>
      <c r="N1593">
        <v>2</v>
      </c>
      <c r="O1593">
        <v>1</v>
      </c>
      <c r="P1593">
        <v>0</v>
      </c>
      <c r="Q1593">
        <v>0</v>
      </c>
      <c r="S1593" t="str">
        <f t="shared" si="153"/>
        <v>18:46:58.766</v>
      </c>
      <c r="T1593" t="str">
        <f t="shared" si="153"/>
        <v>18:46:58.766</v>
      </c>
      <c r="U1593" t="str">
        <f t="shared" si="147"/>
        <v>AAB6EE</v>
      </c>
      <c r="V1593">
        <v>0</v>
      </c>
      <c r="W1593">
        <v>0</v>
      </c>
      <c r="X1593">
        <v>4</v>
      </c>
      <c r="Z1593">
        <v>0</v>
      </c>
      <c r="AA1593">
        <v>8</v>
      </c>
      <c r="AB1593">
        <v>3</v>
      </c>
      <c r="AC1593">
        <v>0</v>
      </c>
      <c r="AD1593">
        <v>10</v>
      </c>
      <c r="AE1593">
        <v>0</v>
      </c>
      <c r="AF1593">
        <v>0</v>
      </c>
      <c r="AG1593">
        <v>1</v>
      </c>
      <c r="AH1593">
        <v>1</v>
      </c>
      <c r="AI1593" t="s">
        <v>1186</v>
      </c>
      <c r="AJ1593">
        <v>35.212147000000002</v>
      </c>
      <c r="AK1593" t="s">
        <v>1187</v>
      </c>
      <c r="AL1593">
        <v>-76.035819000000004</v>
      </c>
      <c r="AM1593">
        <v>25</v>
      </c>
      <c r="AN1593">
        <v>2950</v>
      </c>
      <c r="AO1593" t="s">
        <v>118</v>
      </c>
      <c r="AP1593">
        <v>71</v>
      </c>
      <c r="AQ1593">
        <v>-138</v>
      </c>
      <c r="AR1593">
        <v>-64</v>
      </c>
      <c r="AZ1593">
        <v>4516</v>
      </c>
      <c r="BA1593">
        <v>1</v>
      </c>
      <c r="BB1593" t="str">
        <f t="shared" si="148"/>
        <v xml:space="preserve">N79NX   </v>
      </c>
      <c r="BC1593">
        <v>1</v>
      </c>
      <c r="BE1593">
        <v>0</v>
      </c>
      <c r="BF1593">
        <v>0</v>
      </c>
      <c r="BG1593">
        <v>0</v>
      </c>
      <c r="BH1593">
        <v>2800</v>
      </c>
      <c r="BI1593">
        <v>0</v>
      </c>
      <c r="BJ1593">
        <v>0</v>
      </c>
      <c r="BK1593">
        <v>0</v>
      </c>
      <c r="BL1593">
        <v>0</v>
      </c>
      <c r="BO1593">
        <v>0</v>
      </c>
      <c r="BP1593">
        <v>0</v>
      </c>
      <c r="BW1593" t="str">
        <f>"18:46:58.772"</f>
        <v>18:46:58.772</v>
      </c>
      <c r="BZ1593">
        <v>0</v>
      </c>
      <c r="CA1593">
        <v>3008</v>
      </c>
      <c r="CB1593">
        <v>216</v>
      </c>
      <c r="CC1593">
        <v>518.90629999999999</v>
      </c>
      <c r="CD1593">
        <v>1</v>
      </c>
      <c r="CE1593">
        <v>1</v>
      </c>
      <c r="CF1593">
        <v>0</v>
      </c>
      <c r="CG1593">
        <v>1</v>
      </c>
      <c r="CH1593">
        <v>0</v>
      </c>
      <c r="CI1593">
        <v>1</v>
      </c>
      <c r="CJ1593">
        <v>0</v>
      </c>
      <c r="CK1593">
        <v>2</v>
      </c>
      <c r="CL1593">
        <v>0</v>
      </c>
      <c r="CM1593">
        <v>2</v>
      </c>
      <c r="CN1593">
        <v>0</v>
      </c>
      <c r="CO1593">
        <v>2</v>
      </c>
      <c r="CP1593" t="s">
        <v>119</v>
      </c>
      <c r="CQ1593">
        <v>145</v>
      </c>
      <c r="CR1593">
        <v>1</v>
      </c>
      <c r="CW1593">
        <v>9179282</v>
      </c>
      <c r="CY1593">
        <v>0</v>
      </c>
      <c r="CZ1593">
        <v>0</v>
      </c>
      <c r="DA1593">
        <v>1</v>
      </c>
      <c r="DB1593">
        <v>0</v>
      </c>
      <c r="DC1593">
        <v>0</v>
      </c>
      <c r="DD1593">
        <v>0</v>
      </c>
      <c r="DE1593">
        <v>0</v>
      </c>
      <c r="DF1593">
        <v>0</v>
      </c>
      <c r="DG1593">
        <v>0</v>
      </c>
      <c r="DH1593">
        <v>0</v>
      </c>
      <c r="DI1593">
        <v>0</v>
      </c>
    </row>
    <row r="1594" spans="1:113" x14ac:dyDescent="0.3">
      <c r="A1594" t="str">
        <f>"02/13/2022 18:46:58.989"</f>
        <v>02/13/2022 18:46:58.989</v>
      </c>
      <c r="C1594" t="str">
        <f t="shared" si="150"/>
        <v>FFDFD7C0</v>
      </c>
      <c r="D1594" t="s">
        <v>113</v>
      </c>
      <c r="E1594">
        <v>4</v>
      </c>
      <c r="F1594">
        <v>1004</v>
      </c>
      <c r="G1594" t="s">
        <v>120</v>
      </c>
      <c r="J1594" t="s">
        <v>115</v>
      </c>
      <c r="K1594">
        <v>0</v>
      </c>
      <c r="L1594">
        <v>3</v>
      </c>
      <c r="M1594">
        <v>0</v>
      </c>
      <c r="N1594">
        <v>2</v>
      </c>
      <c r="O1594">
        <v>1</v>
      </c>
      <c r="P1594">
        <v>0</v>
      </c>
      <c r="Q1594">
        <v>0</v>
      </c>
      <c r="S1594" t="str">
        <f t="shared" si="153"/>
        <v>18:46:58.766</v>
      </c>
      <c r="T1594" t="str">
        <f t="shared" si="153"/>
        <v>18:46:58.766</v>
      </c>
      <c r="U1594" t="str">
        <f t="shared" si="147"/>
        <v>AAB6EE</v>
      </c>
      <c r="V1594">
        <v>0</v>
      </c>
      <c r="W1594">
        <v>0</v>
      </c>
      <c r="X1594">
        <v>4</v>
      </c>
      <c r="Z1594">
        <v>0</v>
      </c>
      <c r="AA1594">
        <v>8</v>
      </c>
      <c r="AB1594">
        <v>3</v>
      </c>
      <c r="AC1594">
        <v>0</v>
      </c>
      <c r="AD1594">
        <v>10</v>
      </c>
      <c r="AE1594">
        <v>0</v>
      </c>
      <c r="AF1594">
        <v>0</v>
      </c>
      <c r="AG1594">
        <v>1</v>
      </c>
      <c r="AH1594">
        <v>1</v>
      </c>
      <c r="AI1594" t="s">
        <v>1186</v>
      </c>
      <c r="AJ1594">
        <v>35.212147000000002</v>
      </c>
      <c r="AK1594" t="s">
        <v>1187</v>
      </c>
      <c r="AL1594">
        <v>-76.035819000000004</v>
      </c>
      <c r="AM1594">
        <v>25</v>
      </c>
      <c r="AN1594">
        <v>2950</v>
      </c>
      <c r="AO1594" t="s">
        <v>118</v>
      </c>
      <c r="AP1594">
        <v>71</v>
      </c>
      <c r="AQ1594">
        <v>-138</v>
      </c>
      <c r="AR1594">
        <v>-64</v>
      </c>
      <c r="AZ1594">
        <v>4516</v>
      </c>
      <c r="BA1594">
        <v>1</v>
      </c>
      <c r="BB1594" t="str">
        <f t="shared" si="148"/>
        <v xml:space="preserve">N79NX   </v>
      </c>
      <c r="BC1594">
        <v>1</v>
      </c>
      <c r="BE1594">
        <v>0</v>
      </c>
      <c r="BF1594">
        <v>0</v>
      </c>
      <c r="BG1594">
        <v>0</v>
      </c>
      <c r="BH1594">
        <v>2800</v>
      </c>
      <c r="BI1594">
        <v>0</v>
      </c>
      <c r="BJ1594">
        <v>0</v>
      </c>
      <c r="BK1594">
        <v>0</v>
      </c>
      <c r="BL1594">
        <v>0</v>
      </c>
      <c r="BO1594">
        <v>0</v>
      </c>
      <c r="BP1594">
        <v>0</v>
      </c>
      <c r="BW1594" t="str">
        <f>"18:46:58.772"</f>
        <v>18:46:58.772</v>
      </c>
      <c r="BZ1594">
        <v>0</v>
      </c>
      <c r="CA1594">
        <v>3008</v>
      </c>
      <c r="CB1594">
        <v>216</v>
      </c>
      <c r="CC1594">
        <v>518.90629999999999</v>
      </c>
      <c r="CD1594">
        <v>1</v>
      </c>
      <c r="CE1594">
        <v>1</v>
      </c>
      <c r="CF1594">
        <v>0</v>
      </c>
      <c r="CG1594">
        <v>1</v>
      </c>
      <c r="CH1594">
        <v>0</v>
      </c>
      <c r="CI1594">
        <v>1</v>
      </c>
      <c r="CJ1594">
        <v>0</v>
      </c>
      <c r="CK1594">
        <v>2</v>
      </c>
      <c r="CL1594">
        <v>0</v>
      </c>
      <c r="CM1594">
        <v>2</v>
      </c>
      <c r="CN1594">
        <v>0</v>
      </c>
      <c r="CO1594">
        <v>2</v>
      </c>
      <c r="CP1594" t="s">
        <v>119</v>
      </c>
      <c r="CQ1594">
        <v>145</v>
      </c>
      <c r="CR1594">
        <v>1</v>
      </c>
      <c r="CW1594">
        <v>9179282</v>
      </c>
      <c r="CY1594">
        <v>0</v>
      </c>
      <c r="CZ1594">
        <v>0</v>
      </c>
      <c r="DA1594">
        <v>1</v>
      </c>
      <c r="DB1594">
        <v>0</v>
      </c>
      <c r="DC1594">
        <v>0</v>
      </c>
      <c r="DD1594">
        <v>0</v>
      </c>
      <c r="DE1594">
        <v>0</v>
      </c>
      <c r="DF1594">
        <v>0</v>
      </c>
      <c r="DG1594">
        <v>0</v>
      </c>
      <c r="DH1594">
        <v>0</v>
      </c>
      <c r="DI1594">
        <v>0</v>
      </c>
    </row>
    <row r="1595" spans="1:113" x14ac:dyDescent="0.3">
      <c r="A1595" t="str">
        <f>"02/13/2022 18:47:00.618"</f>
        <v>02/13/2022 18:47:00.618</v>
      </c>
      <c r="C1595" t="str">
        <f t="shared" si="150"/>
        <v>FFDFD7C0</v>
      </c>
      <c r="D1595" t="s">
        <v>121</v>
      </c>
      <c r="E1595">
        <v>2</v>
      </c>
      <c r="H1595">
        <v>158</v>
      </c>
      <c r="I1595" t="s">
        <v>120</v>
      </c>
      <c r="J1595" t="s">
        <v>122</v>
      </c>
      <c r="K1595">
        <v>0</v>
      </c>
      <c r="L1595">
        <v>3</v>
      </c>
      <c r="M1595">
        <v>0</v>
      </c>
      <c r="N1595">
        <v>2</v>
      </c>
      <c r="O1595">
        <v>1</v>
      </c>
      <c r="P1595">
        <v>0</v>
      </c>
      <c r="Q1595">
        <v>0</v>
      </c>
      <c r="S1595" t="str">
        <f>"18:47:00.391"</f>
        <v>18:47:00.391</v>
      </c>
      <c r="T1595" t="str">
        <f>"18:47:00.091"</f>
        <v>18:47:00.091</v>
      </c>
      <c r="U1595" t="str">
        <f t="shared" si="147"/>
        <v>AAB6EE</v>
      </c>
      <c r="V1595">
        <v>0</v>
      </c>
      <c r="W1595">
        <v>0</v>
      </c>
      <c r="X1595">
        <v>4</v>
      </c>
      <c r="Z1595">
        <v>0</v>
      </c>
      <c r="AA1595">
        <v>8</v>
      </c>
      <c r="AB1595">
        <v>3</v>
      </c>
      <c r="AC1595">
        <v>0</v>
      </c>
      <c r="AD1595">
        <v>10</v>
      </c>
      <c r="AE1595">
        <v>0</v>
      </c>
      <c r="AF1595">
        <v>0</v>
      </c>
      <c r="AG1595">
        <v>1</v>
      </c>
      <c r="AH1595">
        <v>1</v>
      </c>
      <c r="AI1595" t="s">
        <v>1188</v>
      </c>
      <c r="AJ1595">
        <v>35.211095999999998</v>
      </c>
      <c r="AK1595" t="s">
        <v>1189</v>
      </c>
      <c r="AL1595">
        <v>-76.035196999999997</v>
      </c>
      <c r="AM1595">
        <v>25</v>
      </c>
      <c r="AN1595">
        <v>2925</v>
      </c>
      <c r="AO1595" t="s">
        <v>118</v>
      </c>
      <c r="AP1595">
        <v>68</v>
      </c>
      <c r="AQ1595">
        <v>-140</v>
      </c>
      <c r="AR1595">
        <v>-64</v>
      </c>
      <c r="AZ1595">
        <v>4516</v>
      </c>
      <c r="BA1595">
        <v>1</v>
      </c>
      <c r="BB1595" t="str">
        <f t="shared" si="148"/>
        <v xml:space="preserve">N79NX   </v>
      </c>
      <c r="BC1595">
        <v>1</v>
      </c>
      <c r="BE1595">
        <v>0</v>
      </c>
      <c r="BF1595">
        <v>0</v>
      </c>
      <c r="BG1595">
        <v>0</v>
      </c>
      <c r="BH1595">
        <v>2800</v>
      </c>
      <c r="BI1595">
        <v>0</v>
      </c>
      <c r="BJ1595">
        <v>0</v>
      </c>
      <c r="BK1595">
        <v>0</v>
      </c>
      <c r="BL1595">
        <v>0</v>
      </c>
      <c r="BO1595">
        <v>0</v>
      </c>
      <c r="BP1595">
        <v>0</v>
      </c>
      <c r="BW1595" t="str">
        <f>"18:47:00.392"</f>
        <v>18:47:00.392</v>
      </c>
      <c r="BZ1595">
        <v>0</v>
      </c>
      <c r="CA1595">
        <v>3008</v>
      </c>
      <c r="CB1595">
        <v>216</v>
      </c>
      <c r="CC1595">
        <v>518.90629999999999</v>
      </c>
      <c r="CD1595">
        <v>1</v>
      </c>
      <c r="CE1595">
        <v>1</v>
      </c>
      <c r="CF1595">
        <v>0</v>
      </c>
      <c r="CG1595">
        <v>1</v>
      </c>
      <c r="CH1595">
        <v>0</v>
      </c>
      <c r="CI1595">
        <v>1</v>
      </c>
      <c r="CJ1595">
        <v>0</v>
      </c>
      <c r="CK1595">
        <v>2</v>
      </c>
      <c r="CL1595">
        <v>0</v>
      </c>
      <c r="CM1595">
        <v>2</v>
      </c>
      <c r="CN1595">
        <v>0</v>
      </c>
      <c r="CO1595">
        <v>2</v>
      </c>
      <c r="CP1595" t="s">
        <v>119</v>
      </c>
      <c r="CQ1595">
        <v>145</v>
      </c>
      <c r="CR1595">
        <v>1</v>
      </c>
      <c r="CW1595">
        <v>9179956</v>
      </c>
      <c r="CY1595">
        <v>0</v>
      </c>
      <c r="CZ1595">
        <v>0</v>
      </c>
      <c r="DA1595">
        <v>0</v>
      </c>
      <c r="DB1595">
        <v>0</v>
      </c>
      <c r="DC1595">
        <v>0</v>
      </c>
      <c r="DD1595">
        <v>0</v>
      </c>
      <c r="DE1595">
        <v>0</v>
      </c>
      <c r="DF1595">
        <v>0</v>
      </c>
      <c r="DG1595">
        <v>0</v>
      </c>
      <c r="DH1595">
        <v>0</v>
      </c>
      <c r="DI1595">
        <v>0</v>
      </c>
    </row>
    <row r="1596" spans="1:113" x14ac:dyDescent="0.3">
      <c r="A1596" t="str">
        <f>"02/13/2022 18:47:00.618"</f>
        <v>02/13/2022 18:47:00.618</v>
      </c>
      <c r="C1596" t="str">
        <f t="shared" si="150"/>
        <v>FFDFD7C0</v>
      </c>
      <c r="D1596" t="s">
        <v>113</v>
      </c>
      <c r="E1596">
        <v>3</v>
      </c>
      <c r="F1596">
        <v>1003</v>
      </c>
      <c r="G1596" t="s">
        <v>114</v>
      </c>
      <c r="J1596" t="s">
        <v>115</v>
      </c>
      <c r="K1596">
        <v>0</v>
      </c>
      <c r="L1596">
        <v>3</v>
      </c>
      <c r="M1596">
        <v>0</v>
      </c>
      <c r="N1596">
        <v>2</v>
      </c>
      <c r="O1596">
        <v>1</v>
      </c>
      <c r="P1596">
        <v>0</v>
      </c>
      <c r="Q1596">
        <v>0</v>
      </c>
      <c r="S1596" t="str">
        <f>"18:47:00.391"</f>
        <v>18:47:00.391</v>
      </c>
      <c r="T1596" t="str">
        <f>"18:47:00.091"</f>
        <v>18:47:00.091</v>
      </c>
      <c r="U1596" t="str">
        <f t="shared" si="147"/>
        <v>AAB6EE</v>
      </c>
      <c r="V1596">
        <v>0</v>
      </c>
      <c r="W1596">
        <v>0</v>
      </c>
      <c r="X1596">
        <v>4</v>
      </c>
      <c r="Z1596">
        <v>0</v>
      </c>
      <c r="AA1596">
        <v>8</v>
      </c>
      <c r="AB1596">
        <v>3</v>
      </c>
      <c r="AC1596">
        <v>0</v>
      </c>
      <c r="AD1596">
        <v>10</v>
      </c>
      <c r="AE1596">
        <v>0</v>
      </c>
      <c r="AF1596">
        <v>0</v>
      </c>
      <c r="AG1596">
        <v>1</v>
      </c>
      <c r="AH1596">
        <v>1</v>
      </c>
      <c r="AI1596" t="s">
        <v>1188</v>
      </c>
      <c r="AJ1596">
        <v>35.211095999999998</v>
      </c>
      <c r="AK1596" t="s">
        <v>1189</v>
      </c>
      <c r="AL1596">
        <v>-76.035196999999997</v>
      </c>
      <c r="AM1596">
        <v>25</v>
      </c>
      <c r="AN1596">
        <v>2925</v>
      </c>
      <c r="AO1596" t="s">
        <v>118</v>
      </c>
      <c r="AP1596">
        <v>68</v>
      </c>
      <c r="AQ1596">
        <v>-140</v>
      </c>
      <c r="AR1596">
        <v>-64</v>
      </c>
      <c r="AZ1596">
        <v>4516</v>
      </c>
      <c r="BA1596">
        <v>1</v>
      </c>
      <c r="BB1596" t="str">
        <f t="shared" si="148"/>
        <v xml:space="preserve">N79NX   </v>
      </c>
      <c r="BC1596">
        <v>1</v>
      </c>
      <c r="BE1596">
        <v>0</v>
      </c>
      <c r="BF1596">
        <v>0</v>
      </c>
      <c r="BG1596">
        <v>0</v>
      </c>
      <c r="BH1596">
        <v>2800</v>
      </c>
      <c r="BI1596">
        <v>0</v>
      </c>
      <c r="BJ1596">
        <v>0</v>
      </c>
      <c r="BK1596">
        <v>0</v>
      </c>
      <c r="BL1596">
        <v>0</v>
      </c>
      <c r="BO1596">
        <v>0</v>
      </c>
      <c r="BP1596">
        <v>0</v>
      </c>
      <c r="BW1596" t="str">
        <f>"18:47:00.392"</f>
        <v>18:47:00.392</v>
      </c>
      <c r="BZ1596">
        <v>0</v>
      </c>
      <c r="CA1596">
        <v>3008</v>
      </c>
      <c r="CB1596">
        <v>216</v>
      </c>
      <c r="CC1596">
        <v>518.90629999999999</v>
      </c>
      <c r="CD1596">
        <v>1</v>
      </c>
      <c r="CE1596">
        <v>1</v>
      </c>
      <c r="CF1596">
        <v>0</v>
      </c>
      <c r="CG1596">
        <v>1</v>
      </c>
      <c r="CH1596">
        <v>0</v>
      </c>
      <c r="CI1596">
        <v>1</v>
      </c>
      <c r="CJ1596">
        <v>0</v>
      </c>
      <c r="CK1596">
        <v>2</v>
      </c>
      <c r="CL1596">
        <v>0</v>
      </c>
      <c r="CM1596">
        <v>2</v>
      </c>
      <c r="CN1596">
        <v>0</v>
      </c>
      <c r="CO1596">
        <v>2</v>
      </c>
      <c r="CP1596" t="s">
        <v>119</v>
      </c>
      <c r="CQ1596">
        <v>145</v>
      </c>
      <c r="CR1596">
        <v>1</v>
      </c>
      <c r="CW1596">
        <v>9179956</v>
      </c>
      <c r="CY1596">
        <v>0</v>
      </c>
      <c r="CZ1596">
        <v>0</v>
      </c>
      <c r="DA1596">
        <v>1</v>
      </c>
      <c r="DB1596">
        <v>0</v>
      </c>
      <c r="DC1596">
        <v>0</v>
      </c>
      <c r="DD1596">
        <v>0</v>
      </c>
      <c r="DE1596">
        <v>0</v>
      </c>
      <c r="DF1596">
        <v>0</v>
      </c>
      <c r="DG1596">
        <v>0</v>
      </c>
      <c r="DH1596">
        <v>0</v>
      </c>
      <c r="DI1596">
        <v>0</v>
      </c>
    </row>
    <row r="1597" spans="1:113" x14ac:dyDescent="0.3">
      <c r="A1597" t="str">
        <f>"02/13/2022 18:47:00.618"</f>
        <v>02/13/2022 18:47:00.618</v>
      </c>
      <c r="C1597" t="str">
        <f t="shared" si="150"/>
        <v>FFDFD7C0</v>
      </c>
      <c r="D1597" t="s">
        <v>113</v>
      </c>
      <c r="E1597">
        <v>4</v>
      </c>
      <c r="F1597">
        <v>1004</v>
      </c>
      <c r="G1597" t="s">
        <v>120</v>
      </c>
      <c r="J1597" t="s">
        <v>115</v>
      </c>
      <c r="K1597">
        <v>0</v>
      </c>
      <c r="L1597">
        <v>3</v>
      </c>
      <c r="M1597">
        <v>0</v>
      </c>
      <c r="N1597">
        <v>2</v>
      </c>
      <c r="O1597">
        <v>1</v>
      </c>
      <c r="P1597">
        <v>0</v>
      </c>
      <c r="Q1597">
        <v>0</v>
      </c>
      <c r="S1597" t="str">
        <f>"18:47:00.391"</f>
        <v>18:47:00.391</v>
      </c>
      <c r="T1597" t="str">
        <f>"18:47:00.091"</f>
        <v>18:47:00.091</v>
      </c>
      <c r="U1597" t="str">
        <f t="shared" si="147"/>
        <v>AAB6EE</v>
      </c>
      <c r="V1597">
        <v>0</v>
      </c>
      <c r="W1597">
        <v>0</v>
      </c>
      <c r="X1597">
        <v>4</v>
      </c>
      <c r="Z1597">
        <v>0</v>
      </c>
      <c r="AA1597">
        <v>8</v>
      </c>
      <c r="AB1597">
        <v>3</v>
      </c>
      <c r="AC1597">
        <v>0</v>
      </c>
      <c r="AD1597">
        <v>10</v>
      </c>
      <c r="AE1597">
        <v>0</v>
      </c>
      <c r="AF1597">
        <v>0</v>
      </c>
      <c r="AG1597">
        <v>1</v>
      </c>
      <c r="AH1597">
        <v>1</v>
      </c>
      <c r="AI1597" t="s">
        <v>1188</v>
      </c>
      <c r="AJ1597">
        <v>35.211095999999998</v>
      </c>
      <c r="AK1597" t="s">
        <v>1189</v>
      </c>
      <c r="AL1597">
        <v>-76.035196999999997</v>
      </c>
      <c r="AM1597">
        <v>25</v>
      </c>
      <c r="AN1597">
        <v>2925</v>
      </c>
      <c r="AO1597" t="s">
        <v>118</v>
      </c>
      <c r="AP1597">
        <v>68</v>
      </c>
      <c r="AQ1597">
        <v>-140</v>
      </c>
      <c r="AR1597">
        <v>-64</v>
      </c>
      <c r="AZ1597">
        <v>4516</v>
      </c>
      <c r="BA1597">
        <v>1</v>
      </c>
      <c r="BB1597" t="str">
        <f t="shared" si="148"/>
        <v xml:space="preserve">N79NX   </v>
      </c>
      <c r="BC1597">
        <v>1</v>
      </c>
      <c r="BE1597">
        <v>0</v>
      </c>
      <c r="BF1597">
        <v>0</v>
      </c>
      <c r="BG1597">
        <v>0</v>
      </c>
      <c r="BH1597">
        <v>2800</v>
      </c>
      <c r="BI1597">
        <v>0</v>
      </c>
      <c r="BJ1597">
        <v>0</v>
      </c>
      <c r="BK1597">
        <v>0</v>
      </c>
      <c r="BL1597">
        <v>0</v>
      </c>
      <c r="BO1597">
        <v>0</v>
      </c>
      <c r="BP1597">
        <v>0</v>
      </c>
      <c r="BW1597" t="str">
        <f>"18:47:00.392"</f>
        <v>18:47:00.392</v>
      </c>
      <c r="BZ1597">
        <v>0</v>
      </c>
      <c r="CA1597">
        <v>3008</v>
      </c>
      <c r="CB1597">
        <v>216</v>
      </c>
      <c r="CC1597">
        <v>518.90629999999999</v>
      </c>
      <c r="CD1597">
        <v>1</v>
      </c>
      <c r="CE1597">
        <v>1</v>
      </c>
      <c r="CF1597">
        <v>0</v>
      </c>
      <c r="CG1597">
        <v>1</v>
      </c>
      <c r="CH1597">
        <v>0</v>
      </c>
      <c r="CI1597">
        <v>1</v>
      </c>
      <c r="CJ1597">
        <v>0</v>
      </c>
      <c r="CK1597">
        <v>2</v>
      </c>
      <c r="CL1597">
        <v>0</v>
      </c>
      <c r="CM1597">
        <v>2</v>
      </c>
      <c r="CN1597">
        <v>0</v>
      </c>
      <c r="CO1597">
        <v>2</v>
      </c>
      <c r="CP1597" t="s">
        <v>119</v>
      </c>
      <c r="CQ1597">
        <v>145</v>
      </c>
      <c r="CR1597">
        <v>1</v>
      </c>
      <c r="CW1597">
        <v>9179956</v>
      </c>
      <c r="CY1597">
        <v>0</v>
      </c>
      <c r="CZ1597">
        <v>0</v>
      </c>
      <c r="DA1597">
        <v>1</v>
      </c>
      <c r="DB1597">
        <v>0</v>
      </c>
      <c r="DC1597">
        <v>0</v>
      </c>
      <c r="DD1597">
        <v>0</v>
      </c>
      <c r="DE1597">
        <v>0</v>
      </c>
      <c r="DF1597">
        <v>0</v>
      </c>
      <c r="DG1597">
        <v>0</v>
      </c>
      <c r="DH1597">
        <v>0</v>
      </c>
      <c r="DI1597">
        <v>0</v>
      </c>
    </row>
    <row r="1598" spans="1:113" x14ac:dyDescent="0.3">
      <c r="A1598" t="str">
        <f>"02/13/2022 18:47:02.806"</f>
        <v>02/13/2022 18:47:02.806</v>
      </c>
      <c r="C1598" t="str">
        <f t="shared" si="150"/>
        <v>FFDFD7C0</v>
      </c>
      <c r="D1598" t="s">
        <v>121</v>
      </c>
      <c r="E1598">
        <v>2</v>
      </c>
      <c r="H1598">
        <v>158</v>
      </c>
      <c r="I1598" t="s">
        <v>120</v>
      </c>
      <c r="J1598" t="s">
        <v>122</v>
      </c>
      <c r="K1598">
        <v>0</v>
      </c>
      <c r="L1598">
        <v>3</v>
      </c>
      <c r="M1598">
        <v>0</v>
      </c>
      <c r="N1598">
        <v>2</v>
      </c>
      <c r="O1598">
        <v>1</v>
      </c>
      <c r="P1598">
        <v>0</v>
      </c>
      <c r="Q1598">
        <v>0</v>
      </c>
      <c r="S1598" t="str">
        <f t="shared" ref="S1598:T1600" si="154">"18:47:02.555"</f>
        <v>18:47:02.555</v>
      </c>
      <c r="T1598" t="str">
        <f t="shared" si="154"/>
        <v>18:47:02.555</v>
      </c>
      <c r="U1598" t="str">
        <f t="shared" si="147"/>
        <v>AAB6EE</v>
      </c>
      <c r="V1598">
        <v>0</v>
      </c>
      <c r="W1598">
        <v>0</v>
      </c>
      <c r="X1598">
        <v>4</v>
      </c>
      <c r="Z1598">
        <v>0</v>
      </c>
      <c r="AA1598">
        <v>8</v>
      </c>
      <c r="AB1598">
        <v>3</v>
      </c>
      <c r="AC1598">
        <v>0</v>
      </c>
      <c r="AD1598">
        <v>10</v>
      </c>
      <c r="AE1598">
        <v>0</v>
      </c>
      <c r="AF1598">
        <v>0</v>
      </c>
      <c r="AG1598">
        <v>1</v>
      </c>
      <c r="AH1598">
        <v>1</v>
      </c>
      <c r="AI1598" t="s">
        <v>1190</v>
      </c>
      <c r="AJ1598">
        <v>35.209679999999999</v>
      </c>
      <c r="AK1598" t="s">
        <v>1191</v>
      </c>
      <c r="AL1598">
        <v>-76.034360000000007</v>
      </c>
      <c r="AM1598">
        <v>25</v>
      </c>
      <c r="AN1598">
        <v>2925</v>
      </c>
      <c r="AO1598" t="s">
        <v>118</v>
      </c>
      <c r="AP1598">
        <v>66</v>
      </c>
      <c r="AQ1598">
        <v>-141</v>
      </c>
      <c r="AR1598">
        <v>0</v>
      </c>
      <c r="AZ1598">
        <v>4516</v>
      </c>
      <c r="BA1598">
        <v>1</v>
      </c>
      <c r="BB1598" t="str">
        <f t="shared" si="148"/>
        <v xml:space="preserve">N79NX   </v>
      </c>
      <c r="BC1598">
        <v>1</v>
      </c>
      <c r="BE1598">
        <v>0</v>
      </c>
      <c r="BF1598">
        <v>0</v>
      </c>
      <c r="BG1598">
        <v>0</v>
      </c>
      <c r="BH1598">
        <v>2775</v>
      </c>
      <c r="BI1598">
        <v>0</v>
      </c>
      <c r="BJ1598">
        <v>0</v>
      </c>
      <c r="BK1598">
        <v>0</v>
      </c>
      <c r="BL1598">
        <v>0</v>
      </c>
      <c r="BO1598">
        <v>0</v>
      </c>
      <c r="BP1598">
        <v>0</v>
      </c>
      <c r="BW1598" t="str">
        <f>"18:47:02.562"</f>
        <v>18:47:02.562</v>
      </c>
      <c r="BZ1598">
        <v>0</v>
      </c>
      <c r="CA1598">
        <v>3008</v>
      </c>
      <c r="CB1598">
        <v>216</v>
      </c>
      <c r="CC1598">
        <v>518.90629999999999</v>
      </c>
      <c r="CD1598">
        <v>1</v>
      </c>
      <c r="CE1598">
        <v>1</v>
      </c>
      <c r="CF1598">
        <v>0</v>
      </c>
      <c r="CG1598">
        <v>1</v>
      </c>
      <c r="CH1598">
        <v>0</v>
      </c>
      <c r="CI1598">
        <v>1</v>
      </c>
      <c r="CJ1598">
        <v>0</v>
      </c>
      <c r="CK1598">
        <v>2</v>
      </c>
      <c r="CL1598">
        <v>0</v>
      </c>
      <c r="CM1598">
        <v>2</v>
      </c>
      <c r="CN1598">
        <v>0</v>
      </c>
      <c r="CO1598">
        <v>2</v>
      </c>
      <c r="CP1598" t="s">
        <v>119</v>
      </c>
      <c r="CQ1598">
        <v>145</v>
      </c>
      <c r="CR1598">
        <v>1</v>
      </c>
      <c r="CW1598">
        <v>9181045</v>
      </c>
      <c r="CY1598">
        <v>0</v>
      </c>
      <c r="CZ1598">
        <v>0</v>
      </c>
      <c r="DA1598">
        <v>0</v>
      </c>
      <c r="DB1598">
        <v>0</v>
      </c>
      <c r="DC1598">
        <v>0</v>
      </c>
      <c r="DD1598">
        <v>0</v>
      </c>
      <c r="DE1598">
        <v>0</v>
      </c>
      <c r="DF1598">
        <v>0</v>
      </c>
      <c r="DG1598">
        <v>0</v>
      </c>
      <c r="DH1598">
        <v>0</v>
      </c>
      <c r="DI1598">
        <v>0</v>
      </c>
    </row>
    <row r="1599" spans="1:113" x14ac:dyDescent="0.3">
      <c r="A1599" t="str">
        <f>"02/13/2022 18:47:02.806"</f>
        <v>02/13/2022 18:47:02.806</v>
      </c>
      <c r="C1599" t="str">
        <f t="shared" si="150"/>
        <v>FFDFD7C0</v>
      </c>
      <c r="D1599" t="s">
        <v>113</v>
      </c>
      <c r="E1599">
        <v>4</v>
      </c>
      <c r="F1599">
        <v>1004</v>
      </c>
      <c r="G1599" t="s">
        <v>120</v>
      </c>
      <c r="J1599" t="s">
        <v>115</v>
      </c>
      <c r="K1599">
        <v>0</v>
      </c>
      <c r="L1599">
        <v>3</v>
      </c>
      <c r="M1599">
        <v>0</v>
      </c>
      <c r="N1599">
        <v>2</v>
      </c>
      <c r="O1599">
        <v>1</v>
      </c>
      <c r="P1599">
        <v>0</v>
      </c>
      <c r="Q1599">
        <v>0</v>
      </c>
      <c r="S1599" t="str">
        <f t="shared" si="154"/>
        <v>18:47:02.555</v>
      </c>
      <c r="T1599" t="str">
        <f t="shared" si="154"/>
        <v>18:47:02.555</v>
      </c>
      <c r="U1599" t="str">
        <f t="shared" si="147"/>
        <v>AAB6EE</v>
      </c>
      <c r="V1599">
        <v>0</v>
      </c>
      <c r="W1599">
        <v>0</v>
      </c>
      <c r="X1599">
        <v>4</v>
      </c>
      <c r="Z1599">
        <v>0</v>
      </c>
      <c r="AA1599">
        <v>8</v>
      </c>
      <c r="AB1599">
        <v>3</v>
      </c>
      <c r="AC1599">
        <v>0</v>
      </c>
      <c r="AD1599">
        <v>10</v>
      </c>
      <c r="AE1599">
        <v>0</v>
      </c>
      <c r="AF1599">
        <v>0</v>
      </c>
      <c r="AG1599">
        <v>1</v>
      </c>
      <c r="AH1599">
        <v>1</v>
      </c>
      <c r="AI1599" t="s">
        <v>1190</v>
      </c>
      <c r="AJ1599">
        <v>35.209679999999999</v>
      </c>
      <c r="AK1599" t="s">
        <v>1191</v>
      </c>
      <c r="AL1599">
        <v>-76.034360000000007</v>
      </c>
      <c r="AM1599">
        <v>25</v>
      </c>
      <c r="AN1599">
        <v>2925</v>
      </c>
      <c r="AO1599" t="s">
        <v>118</v>
      </c>
      <c r="AP1599">
        <v>66</v>
      </c>
      <c r="AQ1599">
        <v>-141</v>
      </c>
      <c r="AR1599">
        <v>0</v>
      </c>
      <c r="AZ1599">
        <v>4516</v>
      </c>
      <c r="BA1599">
        <v>1</v>
      </c>
      <c r="BB1599" t="str">
        <f t="shared" si="148"/>
        <v xml:space="preserve">N79NX   </v>
      </c>
      <c r="BC1599">
        <v>1</v>
      </c>
      <c r="BE1599">
        <v>0</v>
      </c>
      <c r="BF1599">
        <v>0</v>
      </c>
      <c r="BG1599">
        <v>0</v>
      </c>
      <c r="BH1599">
        <v>2775</v>
      </c>
      <c r="BI1599">
        <v>0</v>
      </c>
      <c r="BJ1599">
        <v>0</v>
      </c>
      <c r="BK1599">
        <v>0</v>
      </c>
      <c r="BL1599">
        <v>0</v>
      </c>
      <c r="BO1599">
        <v>0</v>
      </c>
      <c r="BP1599">
        <v>0</v>
      </c>
      <c r="BW1599" t="str">
        <f>"18:47:02.562"</f>
        <v>18:47:02.562</v>
      </c>
      <c r="BZ1599">
        <v>0</v>
      </c>
      <c r="CA1599">
        <v>3008</v>
      </c>
      <c r="CB1599">
        <v>216</v>
      </c>
      <c r="CC1599">
        <v>518.90629999999999</v>
      </c>
      <c r="CD1599">
        <v>1</v>
      </c>
      <c r="CE1599">
        <v>1</v>
      </c>
      <c r="CF1599">
        <v>0</v>
      </c>
      <c r="CG1599">
        <v>1</v>
      </c>
      <c r="CH1599">
        <v>0</v>
      </c>
      <c r="CI1599">
        <v>1</v>
      </c>
      <c r="CJ1599">
        <v>0</v>
      </c>
      <c r="CK1599">
        <v>2</v>
      </c>
      <c r="CL1599">
        <v>0</v>
      </c>
      <c r="CM1599">
        <v>2</v>
      </c>
      <c r="CN1599">
        <v>0</v>
      </c>
      <c r="CO1599">
        <v>2</v>
      </c>
      <c r="CP1599" t="s">
        <v>119</v>
      </c>
      <c r="CQ1599">
        <v>145</v>
      </c>
      <c r="CR1599">
        <v>1</v>
      </c>
      <c r="CW1599">
        <v>9181045</v>
      </c>
      <c r="CY1599">
        <v>0</v>
      </c>
      <c r="CZ1599">
        <v>0</v>
      </c>
      <c r="DA1599">
        <v>1</v>
      </c>
      <c r="DB1599">
        <v>0</v>
      </c>
      <c r="DC1599">
        <v>0</v>
      </c>
      <c r="DD1599">
        <v>0</v>
      </c>
      <c r="DE1599">
        <v>0</v>
      </c>
      <c r="DF1599">
        <v>0</v>
      </c>
      <c r="DG1599">
        <v>0</v>
      </c>
      <c r="DH1599">
        <v>0</v>
      </c>
      <c r="DI1599">
        <v>0</v>
      </c>
    </row>
    <row r="1600" spans="1:113" x14ac:dyDescent="0.3">
      <c r="A1600" t="str">
        <f>"02/13/2022 18:47:02.978"</f>
        <v>02/13/2022 18:47:02.978</v>
      </c>
      <c r="C1600" t="str">
        <f t="shared" si="150"/>
        <v>FFDFD7C0</v>
      </c>
      <c r="D1600" t="s">
        <v>113</v>
      </c>
      <c r="E1600">
        <v>3</v>
      </c>
      <c r="F1600">
        <v>1003</v>
      </c>
      <c r="G1600" t="s">
        <v>114</v>
      </c>
      <c r="J1600" t="s">
        <v>115</v>
      </c>
      <c r="K1600">
        <v>0</v>
      </c>
      <c r="L1600">
        <v>3</v>
      </c>
      <c r="M1600">
        <v>0</v>
      </c>
      <c r="N1600">
        <v>2</v>
      </c>
      <c r="O1600">
        <v>1</v>
      </c>
      <c r="P1600">
        <v>0</v>
      </c>
      <c r="Q1600">
        <v>0</v>
      </c>
      <c r="S1600" t="str">
        <f t="shared" si="154"/>
        <v>18:47:02.555</v>
      </c>
      <c r="T1600" t="str">
        <f t="shared" si="154"/>
        <v>18:47:02.555</v>
      </c>
      <c r="U1600" t="str">
        <f t="shared" si="147"/>
        <v>AAB6EE</v>
      </c>
      <c r="V1600">
        <v>0</v>
      </c>
      <c r="W1600">
        <v>0</v>
      </c>
      <c r="X1600">
        <v>4</v>
      </c>
      <c r="Z1600">
        <v>0</v>
      </c>
      <c r="AA1600">
        <v>8</v>
      </c>
      <c r="AB1600">
        <v>3</v>
      </c>
      <c r="AC1600">
        <v>0</v>
      </c>
      <c r="AD1600">
        <v>10</v>
      </c>
      <c r="AE1600">
        <v>0</v>
      </c>
      <c r="AF1600">
        <v>0</v>
      </c>
      <c r="AG1600">
        <v>1</v>
      </c>
      <c r="AH1600">
        <v>1</v>
      </c>
      <c r="AI1600" t="s">
        <v>1190</v>
      </c>
      <c r="AJ1600">
        <v>35.209679999999999</v>
      </c>
      <c r="AK1600" t="s">
        <v>1191</v>
      </c>
      <c r="AL1600">
        <v>-76.034360000000007</v>
      </c>
      <c r="AM1600">
        <v>25</v>
      </c>
      <c r="AN1600">
        <v>2925</v>
      </c>
      <c r="AO1600" t="s">
        <v>118</v>
      </c>
      <c r="AP1600">
        <v>66</v>
      </c>
      <c r="AQ1600">
        <v>-141</v>
      </c>
      <c r="AR1600">
        <v>0</v>
      </c>
      <c r="AZ1600">
        <v>4516</v>
      </c>
      <c r="BA1600">
        <v>1</v>
      </c>
      <c r="BB1600" t="str">
        <f t="shared" si="148"/>
        <v xml:space="preserve">N79NX   </v>
      </c>
      <c r="BC1600">
        <v>1</v>
      </c>
      <c r="BE1600">
        <v>0</v>
      </c>
      <c r="BF1600">
        <v>0</v>
      </c>
      <c r="BG1600">
        <v>0</v>
      </c>
      <c r="BH1600">
        <v>2775</v>
      </c>
      <c r="BI1600">
        <v>0</v>
      </c>
      <c r="BJ1600">
        <v>0</v>
      </c>
      <c r="BK1600">
        <v>0</v>
      </c>
      <c r="BL1600">
        <v>0</v>
      </c>
      <c r="BO1600">
        <v>0</v>
      </c>
      <c r="BP1600">
        <v>0</v>
      </c>
      <c r="BW1600" t="str">
        <f>"18:47:02.562"</f>
        <v>18:47:02.562</v>
      </c>
      <c r="BZ1600">
        <v>0</v>
      </c>
      <c r="CA1600">
        <v>3008</v>
      </c>
      <c r="CB1600">
        <v>216</v>
      </c>
      <c r="CC1600">
        <v>518.90629999999999</v>
      </c>
      <c r="CD1600">
        <v>1</v>
      </c>
      <c r="CE1600">
        <v>1</v>
      </c>
      <c r="CF1600">
        <v>0</v>
      </c>
      <c r="CG1600">
        <v>1</v>
      </c>
      <c r="CH1600">
        <v>0</v>
      </c>
      <c r="CI1600">
        <v>1</v>
      </c>
      <c r="CJ1600">
        <v>0</v>
      </c>
      <c r="CK1600">
        <v>2</v>
      </c>
      <c r="CL1600">
        <v>0</v>
      </c>
      <c r="CM1600">
        <v>2</v>
      </c>
      <c r="CN1600">
        <v>0</v>
      </c>
      <c r="CO1600">
        <v>2</v>
      </c>
      <c r="CP1600" t="s">
        <v>119</v>
      </c>
      <c r="CQ1600">
        <v>145</v>
      </c>
      <c r="CR1600">
        <v>1</v>
      </c>
      <c r="CW1600">
        <v>9181045</v>
      </c>
      <c r="CY1600">
        <v>0</v>
      </c>
      <c r="CZ1600">
        <v>0</v>
      </c>
      <c r="DA1600">
        <v>1</v>
      </c>
      <c r="DB1600">
        <v>0</v>
      </c>
      <c r="DC1600">
        <v>0</v>
      </c>
      <c r="DD1600">
        <v>0</v>
      </c>
      <c r="DE1600">
        <v>0</v>
      </c>
      <c r="DF1600">
        <v>0</v>
      </c>
      <c r="DG1600">
        <v>0</v>
      </c>
      <c r="DH1600">
        <v>0</v>
      </c>
      <c r="DI1600">
        <v>0</v>
      </c>
    </row>
    <row r="1601" spans="1:113" x14ac:dyDescent="0.3">
      <c r="A1601" t="str">
        <f>"02/13/2022 18:47:03.884"</f>
        <v>02/13/2022 18:47:03.884</v>
      </c>
      <c r="C1601" t="str">
        <f t="shared" si="150"/>
        <v>FFDFD7C0</v>
      </c>
      <c r="D1601" t="s">
        <v>113</v>
      </c>
      <c r="E1601">
        <v>3</v>
      </c>
      <c r="F1601">
        <v>1003</v>
      </c>
      <c r="G1601" t="s">
        <v>114</v>
      </c>
      <c r="J1601" t="s">
        <v>115</v>
      </c>
      <c r="K1601">
        <v>0</v>
      </c>
      <c r="L1601">
        <v>3</v>
      </c>
      <c r="M1601">
        <v>0</v>
      </c>
      <c r="N1601">
        <v>2</v>
      </c>
      <c r="O1601">
        <v>1</v>
      </c>
      <c r="P1601">
        <v>0</v>
      </c>
      <c r="Q1601">
        <v>0</v>
      </c>
      <c r="S1601" t="str">
        <f>"18:47:03.641"</f>
        <v>18:47:03.641</v>
      </c>
      <c r="T1601" t="str">
        <f>"18:47:03.541"</f>
        <v>18:47:03.541</v>
      </c>
      <c r="U1601" t="str">
        <f t="shared" si="147"/>
        <v>AAB6EE</v>
      </c>
      <c r="V1601">
        <v>0</v>
      </c>
      <c r="W1601">
        <v>0</v>
      </c>
      <c r="X1601">
        <v>4</v>
      </c>
      <c r="Z1601">
        <v>0</v>
      </c>
      <c r="AA1601">
        <v>8</v>
      </c>
      <c r="AB1601">
        <v>3</v>
      </c>
      <c r="AC1601">
        <v>0</v>
      </c>
      <c r="AD1601">
        <v>10</v>
      </c>
      <c r="AE1601">
        <v>0</v>
      </c>
      <c r="AF1601">
        <v>0</v>
      </c>
      <c r="AG1601">
        <v>1</v>
      </c>
      <c r="AH1601">
        <v>1</v>
      </c>
      <c r="AI1601" t="s">
        <v>1192</v>
      </c>
      <c r="AJ1601">
        <v>35.208950000000002</v>
      </c>
      <c r="AK1601" t="s">
        <v>1193</v>
      </c>
      <c r="AL1601">
        <v>-76.033974000000001</v>
      </c>
      <c r="AM1601">
        <v>25</v>
      </c>
      <c r="AN1601">
        <v>2925</v>
      </c>
      <c r="AO1601" t="s">
        <v>118</v>
      </c>
      <c r="AP1601">
        <v>66</v>
      </c>
      <c r="AQ1601">
        <v>-141</v>
      </c>
      <c r="AR1601">
        <v>0</v>
      </c>
      <c r="AZ1601">
        <v>4516</v>
      </c>
      <c r="BA1601">
        <v>1</v>
      </c>
      <c r="BB1601" t="str">
        <f t="shared" si="148"/>
        <v xml:space="preserve">N79NX   </v>
      </c>
      <c r="BC1601">
        <v>1</v>
      </c>
      <c r="BE1601">
        <v>0</v>
      </c>
      <c r="BF1601">
        <v>0</v>
      </c>
      <c r="BG1601">
        <v>0</v>
      </c>
      <c r="BH1601">
        <v>2775</v>
      </c>
      <c r="BI1601">
        <v>0</v>
      </c>
      <c r="BJ1601">
        <v>0</v>
      </c>
      <c r="BK1601">
        <v>0</v>
      </c>
      <c r="BL1601">
        <v>0</v>
      </c>
      <c r="BO1601">
        <v>0</v>
      </c>
      <c r="BP1601">
        <v>0</v>
      </c>
      <c r="BW1601" t="str">
        <f>"18:47:03.642"</f>
        <v>18:47:03.642</v>
      </c>
      <c r="BZ1601">
        <v>0</v>
      </c>
      <c r="CA1601">
        <v>3008</v>
      </c>
      <c r="CB1601">
        <v>216</v>
      </c>
      <c r="CC1601">
        <v>518.90629999999999</v>
      </c>
      <c r="CD1601">
        <v>1</v>
      </c>
      <c r="CE1601">
        <v>1</v>
      </c>
      <c r="CF1601">
        <v>0</v>
      </c>
      <c r="CG1601">
        <v>1</v>
      </c>
      <c r="CH1601">
        <v>0</v>
      </c>
      <c r="CI1601">
        <v>1</v>
      </c>
      <c r="CJ1601">
        <v>0</v>
      </c>
      <c r="CK1601">
        <v>2</v>
      </c>
      <c r="CL1601">
        <v>0</v>
      </c>
      <c r="CM1601">
        <v>2</v>
      </c>
      <c r="CN1601">
        <v>0</v>
      </c>
      <c r="CO1601">
        <v>1</v>
      </c>
      <c r="CP1601" t="s">
        <v>119</v>
      </c>
      <c r="CQ1601">
        <v>145</v>
      </c>
      <c r="CR1601">
        <v>1</v>
      </c>
      <c r="CW1601">
        <v>9181523</v>
      </c>
      <c r="CY1601">
        <v>0</v>
      </c>
      <c r="CZ1601">
        <v>0</v>
      </c>
      <c r="DA1601">
        <v>0</v>
      </c>
      <c r="DB1601">
        <v>0</v>
      </c>
      <c r="DC1601">
        <v>0</v>
      </c>
      <c r="DD1601">
        <v>0</v>
      </c>
      <c r="DE1601">
        <v>0</v>
      </c>
      <c r="DF1601">
        <v>0</v>
      </c>
      <c r="DG1601">
        <v>0</v>
      </c>
      <c r="DH1601">
        <v>0</v>
      </c>
      <c r="DI1601">
        <v>0</v>
      </c>
    </row>
    <row r="1602" spans="1:113" x14ac:dyDescent="0.3">
      <c r="A1602" t="str">
        <f>"02/13/2022 18:47:03.884"</f>
        <v>02/13/2022 18:47:03.884</v>
      </c>
      <c r="C1602" t="str">
        <f t="shared" si="150"/>
        <v>FFDFD7C0</v>
      </c>
      <c r="D1602" t="s">
        <v>121</v>
      </c>
      <c r="E1602">
        <v>2</v>
      </c>
      <c r="H1602">
        <v>158</v>
      </c>
      <c r="I1602" t="s">
        <v>120</v>
      </c>
      <c r="J1602" t="s">
        <v>122</v>
      </c>
      <c r="K1602">
        <v>0</v>
      </c>
      <c r="L1602">
        <v>3</v>
      </c>
      <c r="M1602">
        <v>0</v>
      </c>
      <c r="N1602">
        <v>2</v>
      </c>
      <c r="O1602">
        <v>1</v>
      </c>
      <c r="P1602">
        <v>0</v>
      </c>
      <c r="Q1602">
        <v>0</v>
      </c>
      <c r="S1602" t="str">
        <f>"18:47:03.641"</f>
        <v>18:47:03.641</v>
      </c>
      <c r="T1602" t="str">
        <f>"18:47:03.541"</f>
        <v>18:47:03.541</v>
      </c>
      <c r="U1602" t="str">
        <f t="shared" ref="U1602:U1665" si="155">"AAB6EE"</f>
        <v>AAB6EE</v>
      </c>
      <c r="V1602">
        <v>0</v>
      </c>
      <c r="W1602">
        <v>0</v>
      </c>
      <c r="X1602">
        <v>4</v>
      </c>
      <c r="Z1602">
        <v>0</v>
      </c>
      <c r="AA1602">
        <v>8</v>
      </c>
      <c r="AB1602">
        <v>3</v>
      </c>
      <c r="AC1602">
        <v>0</v>
      </c>
      <c r="AD1602">
        <v>10</v>
      </c>
      <c r="AE1602">
        <v>0</v>
      </c>
      <c r="AF1602">
        <v>0</v>
      </c>
      <c r="AG1602">
        <v>1</v>
      </c>
      <c r="AH1602">
        <v>1</v>
      </c>
      <c r="AI1602" t="s">
        <v>1192</v>
      </c>
      <c r="AJ1602">
        <v>35.208950000000002</v>
      </c>
      <c r="AK1602" t="s">
        <v>1193</v>
      </c>
      <c r="AL1602">
        <v>-76.033974000000001</v>
      </c>
      <c r="AM1602">
        <v>25</v>
      </c>
      <c r="AN1602">
        <v>2925</v>
      </c>
      <c r="AO1602" t="s">
        <v>118</v>
      </c>
      <c r="AP1602">
        <v>66</v>
      </c>
      <c r="AQ1602">
        <v>-141</v>
      </c>
      <c r="AR1602">
        <v>0</v>
      </c>
      <c r="AZ1602">
        <v>4516</v>
      </c>
      <c r="BA1602">
        <v>1</v>
      </c>
      <c r="BB1602" t="str">
        <f t="shared" si="148"/>
        <v xml:space="preserve">N79NX   </v>
      </c>
      <c r="BC1602">
        <v>1</v>
      </c>
      <c r="BE1602">
        <v>0</v>
      </c>
      <c r="BF1602">
        <v>0</v>
      </c>
      <c r="BG1602">
        <v>0</v>
      </c>
      <c r="BH1602">
        <v>2775</v>
      </c>
      <c r="BI1602">
        <v>0</v>
      </c>
      <c r="BJ1602">
        <v>0</v>
      </c>
      <c r="BK1602">
        <v>0</v>
      </c>
      <c r="BL1602">
        <v>0</v>
      </c>
      <c r="BO1602">
        <v>0</v>
      </c>
      <c r="BP1602">
        <v>0</v>
      </c>
      <c r="BW1602" t="str">
        <f>"18:47:03.642"</f>
        <v>18:47:03.642</v>
      </c>
      <c r="BZ1602">
        <v>0</v>
      </c>
      <c r="CA1602">
        <v>3008</v>
      </c>
      <c r="CB1602">
        <v>216</v>
      </c>
      <c r="CC1602">
        <v>518.90629999999999</v>
      </c>
      <c r="CD1602">
        <v>1</v>
      </c>
      <c r="CE1602">
        <v>1</v>
      </c>
      <c r="CF1602">
        <v>0</v>
      </c>
      <c r="CG1602">
        <v>1</v>
      </c>
      <c r="CH1602">
        <v>0</v>
      </c>
      <c r="CI1602">
        <v>1</v>
      </c>
      <c r="CJ1602">
        <v>0</v>
      </c>
      <c r="CK1602">
        <v>2</v>
      </c>
      <c r="CL1602">
        <v>0</v>
      </c>
      <c r="CM1602">
        <v>2</v>
      </c>
      <c r="CN1602">
        <v>0</v>
      </c>
      <c r="CO1602">
        <v>1</v>
      </c>
      <c r="CP1602" t="s">
        <v>119</v>
      </c>
      <c r="CQ1602">
        <v>145</v>
      </c>
      <c r="CR1602">
        <v>1</v>
      </c>
      <c r="CW1602">
        <v>9181523</v>
      </c>
      <c r="CY1602">
        <v>0</v>
      </c>
      <c r="CZ1602">
        <v>0</v>
      </c>
      <c r="DA1602">
        <v>1</v>
      </c>
      <c r="DB1602">
        <v>0</v>
      </c>
      <c r="DC1602">
        <v>0</v>
      </c>
      <c r="DD1602">
        <v>0</v>
      </c>
      <c r="DE1602">
        <v>0</v>
      </c>
      <c r="DF1602">
        <v>0</v>
      </c>
      <c r="DG1602">
        <v>0</v>
      </c>
      <c r="DH1602">
        <v>0</v>
      </c>
      <c r="DI1602">
        <v>0</v>
      </c>
    </row>
    <row r="1603" spans="1:113" x14ac:dyDescent="0.3">
      <c r="A1603" t="str">
        <f>"02/13/2022 18:47:03.884"</f>
        <v>02/13/2022 18:47:03.884</v>
      </c>
      <c r="C1603" t="str">
        <f t="shared" si="150"/>
        <v>FFDFD7C0</v>
      </c>
      <c r="D1603" t="s">
        <v>113</v>
      </c>
      <c r="E1603">
        <v>4</v>
      </c>
      <c r="F1603">
        <v>1004</v>
      </c>
      <c r="G1603" t="s">
        <v>120</v>
      </c>
      <c r="J1603" t="s">
        <v>115</v>
      </c>
      <c r="K1603">
        <v>0</v>
      </c>
      <c r="L1603">
        <v>3</v>
      </c>
      <c r="M1603">
        <v>0</v>
      </c>
      <c r="N1603">
        <v>2</v>
      </c>
      <c r="O1603">
        <v>1</v>
      </c>
      <c r="P1603">
        <v>0</v>
      </c>
      <c r="Q1603">
        <v>0</v>
      </c>
      <c r="S1603" t="str">
        <f>"18:47:03.641"</f>
        <v>18:47:03.641</v>
      </c>
      <c r="T1603" t="str">
        <f>"18:47:03.541"</f>
        <v>18:47:03.541</v>
      </c>
      <c r="U1603" t="str">
        <f t="shared" si="155"/>
        <v>AAB6EE</v>
      </c>
      <c r="V1603">
        <v>0</v>
      </c>
      <c r="W1603">
        <v>0</v>
      </c>
      <c r="X1603">
        <v>4</v>
      </c>
      <c r="Z1603">
        <v>0</v>
      </c>
      <c r="AA1603">
        <v>8</v>
      </c>
      <c r="AB1603">
        <v>3</v>
      </c>
      <c r="AC1603">
        <v>0</v>
      </c>
      <c r="AD1603">
        <v>10</v>
      </c>
      <c r="AE1603">
        <v>0</v>
      </c>
      <c r="AF1603">
        <v>0</v>
      </c>
      <c r="AG1603">
        <v>1</v>
      </c>
      <c r="AH1603">
        <v>1</v>
      </c>
      <c r="AI1603" t="s">
        <v>1192</v>
      </c>
      <c r="AJ1603">
        <v>35.208950000000002</v>
      </c>
      <c r="AK1603" t="s">
        <v>1193</v>
      </c>
      <c r="AL1603">
        <v>-76.033974000000001</v>
      </c>
      <c r="AM1603">
        <v>25</v>
      </c>
      <c r="AN1603">
        <v>2925</v>
      </c>
      <c r="AO1603" t="s">
        <v>118</v>
      </c>
      <c r="AP1603">
        <v>66</v>
      </c>
      <c r="AQ1603">
        <v>-141</v>
      </c>
      <c r="AR1603">
        <v>0</v>
      </c>
      <c r="AZ1603">
        <v>4516</v>
      </c>
      <c r="BA1603">
        <v>1</v>
      </c>
      <c r="BB1603" t="str">
        <f t="shared" si="148"/>
        <v xml:space="preserve">N79NX   </v>
      </c>
      <c r="BC1603">
        <v>1</v>
      </c>
      <c r="BE1603">
        <v>0</v>
      </c>
      <c r="BF1603">
        <v>0</v>
      </c>
      <c r="BG1603">
        <v>0</v>
      </c>
      <c r="BH1603">
        <v>2775</v>
      </c>
      <c r="BI1603">
        <v>0</v>
      </c>
      <c r="BJ1603">
        <v>0</v>
      </c>
      <c r="BK1603">
        <v>0</v>
      </c>
      <c r="BL1603">
        <v>0</v>
      </c>
      <c r="BO1603">
        <v>0</v>
      </c>
      <c r="BP1603">
        <v>0</v>
      </c>
      <c r="BW1603" t="str">
        <f>"18:47:03.642"</f>
        <v>18:47:03.642</v>
      </c>
      <c r="BZ1603">
        <v>0</v>
      </c>
      <c r="CA1603">
        <v>3008</v>
      </c>
      <c r="CB1603">
        <v>216</v>
      </c>
      <c r="CC1603">
        <v>518.90629999999999</v>
      </c>
      <c r="CD1603">
        <v>1</v>
      </c>
      <c r="CE1603">
        <v>1</v>
      </c>
      <c r="CF1603">
        <v>0</v>
      </c>
      <c r="CG1603">
        <v>1</v>
      </c>
      <c r="CH1603">
        <v>0</v>
      </c>
      <c r="CI1603">
        <v>1</v>
      </c>
      <c r="CJ1603">
        <v>0</v>
      </c>
      <c r="CK1603">
        <v>2</v>
      </c>
      <c r="CL1603">
        <v>0</v>
      </c>
      <c r="CM1603">
        <v>2</v>
      </c>
      <c r="CN1603">
        <v>0</v>
      </c>
      <c r="CO1603">
        <v>1</v>
      </c>
      <c r="CP1603" t="s">
        <v>119</v>
      </c>
      <c r="CQ1603">
        <v>145</v>
      </c>
      <c r="CR1603">
        <v>1</v>
      </c>
      <c r="CW1603">
        <v>9181523</v>
      </c>
      <c r="CY1603">
        <v>0</v>
      </c>
      <c r="CZ1603">
        <v>0</v>
      </c>
      <c r="DA1603">
        <v>1</v>
      </c>
      <c r="DB1603">
        <v>0</v>
      </c>
      <c r="DC1603">
        <v>0</v>
      </c>
      <c r="DD1603">
        <v>0</v>
      </c>
      <c r="DE1603">
        <v>0</v>
      </c>
      <c r="DF1603">
        <v>0</v>
      </c>
      <c r="DG1603">
        <v>0</v>
      </c>
      <c r="DH1603">
        <v>0</v>
      </c>
      <c r="DI1603">
        <v>0</v>
      </c>
    </row>
    <row r="1604" spans="1:113" x14ac:dyDescent="0.3">
      <c r="A1604" t="str">
        <f>"02/13/2022 18:47:04.824"</f>
        <v>02/13/2022 18:47:04.824</v>
      </c>
      <c r="C1604" t="str">
        <f t="shared" si="150"/>
        <v>FFDFD7C0</v>
      </c>
      <c r="D1604" t="s">
        <v>113</v>
      </c>
      <c r="E1604">
        <v>3</v>
      </c>
      <c r="F1604">
        <v>1003</v>
      </c>
      <c r="G1604" t="s">
        <v>114</v>
      </c>
      <c r="J1604" t="s">
        <v>115</v>
      </c>
      <c r="K1604">
        <v>0</v>
      </c>
      <c r="L1604">
        <v>3</v>
      </c>
      <c r="M1604">
        <v>0</v>
      </c>
      <c r="N1604">
        <v>2</v>
      </c>
      <c r="O1604">
        <v>1</v>
      </c>
      <c r="P1604">
        <v>0</v>
      </c>
      <c r="Q1604">
        <v>0</v>
      </c>
      <c r="S1604" t="str">
        <f t="shared" ref="S1604:T1606" si="156">"18:47:04.578"</f>
        <v>18:47:04.578</v>
      </c>
      <c r="T1604" t="str">
        <f t="shared" si="156"/>
        <v>18:47:04.578</v>
      </c>
      <c r="U1604" t="str">
        <f t="shared" si="155"/>
        <v>AAB6EE</v>
      </c>
      <c r="V1604">
        <v>0</v>
      </c>
      <c r="W1604">
        <v>0</v>
      </c>
      <c r="X1604">
        <v>4</v>
      </c>
      <c r="Z1604">
        <v>0</v>
      </c>
      <c r="AA1604">
        <v>8</v>
      </c>
      <c r="AB1604">
        <v>3</v>
      </c>
      <c r="AC1604">
        <v>0</v>
      </c>
      <c r="AD1604">
        <v>10</v>
      </c>
      <c r="AE1604">
        <v>0</v>
      </c>
      <c r="AF1604">
        <v>0</v>
      </c>
      <c r="AG1604">
        <v>1</v>
      </c>
      <c r="AH1604">
        <v>1</v>
      </c>
      <c r="AI1604" t="s">
        <v>1194</v>
      </c>
      <c r="AJ1604">
        <v>35.208392000000003</v>
      </c>
      <c r="AK1604" t="s">
        <v>1195</v>
      </c>
      <c r="AL1604">
        <v>-76.033630000000002</v>
      </c>
      <c r="AM1604">
        <v>25</v>
      </c>
      <c r="AN1604">
        <v>2925</v>
      </c>
      <c r="AO1604" t="s">
        <v>118</v>
      </c>
      <c r="AP1604">
        <v>66</v>
      </c>
      <c r="AQ1604">
        <v>-141</v>
      </c>
      <c r="AR1604">
        <v>0</v>
      </c>
      <c r="AZ1604">
        <v>4516</v>
      </c>
      <c r="BA1604">
        <v>1</v>
      </c>
      <c r="BB1604" t="str">
        <f t="shared" si="148"/>
        <v xml:space="preserve">N79NX   </v>
      </c>
      <c r="BC1604">
        <v>1</v>
      </c>
      <c r="BE1604">
        <v>0</v>
      </c>
      <c r="BF1604">
        <v>0</v>
      </c>
      <c r="BG1604">
        <v>0</v>
      </c>
      <c r="BH1604">
        <v>2775</v>
      </c>
      <c r="BI1604">
        <v>0</v>
      </c>
      <c r="BJ1604">
        <v>0</v>
      </c>
      <c r="BK1604">
        <v>0</v>
      </c>
      <c r="BL1604">
        <v>0</v>
      </c>
      <c r="BO1604">
        <v>0</v>
      </c>
      <c r="BP1604">
        <v>0</v>
      </c>
      <c r="BW1604" t="str">
        <f>"18:47:04.582"</f>
        <v>18:47:04.582</v>
      </c>
      <c r="BZ1604">
        <v>0</v>
      </c>
      <c r="CA1604">
        <v>3008</v>
      </c>
      <c r="CB1604">
        <v>216</v>
      </c>
      <c r="CC1604">
        <v>518.90629999999999</v>
      </c>
      <c r="CD1604">
        <v>1</v>
      </c>
      <c r="CE1604">
        <v>1</v>
      </c>
      <c r="CF1604">
        <v>0</v>
      </c>
      <c r="CG1604">
        <v>1</v>
      </c>
      <c r="CH1604">
        <v>0</v>
      </c>
      <c r="CI1604">
        <v>1</v>
      </c>
      <c r="CJ1604">
        <v>0</v>
      </c>
      <c r="CK1604">
        <v>2</v>
      </c>
      <c r="CL1604">
        <v>0</v>
      </c>
      <c r="CM1604">
        <v>2</v>
      </c>
      <c r="CN1604">
        <v>0</v>
      </c>
      <c r="CO1604">
        <v>1</v>
      </c>
      <c r="CP1604" t="s">
        <v>119</v>
      </c>
      <c r="CQ1604">
        <v>145</v>
      </c>
      <c r="CR1604">
        <v>1</v>
      </c>
      <c r="CW1604">
        <v>9181910</v>
      </c>
      <c r="CY1604">
        <v>0</v>
      </c>
      <c r="CZ1604">
        <v>0</v>
      </c>
      <c r="DA1604">
        <v>0</v>
      </c>
      <c r="DB1604">
        <v>0</v>
      </c>
      <c r="DC1604">
        <v>0</v>
      </c>
      <c r="DD1604">
        <v>0</v>
      </c>
      <c r="DE1604">
        <v>0</v>
      </c>
      <c r="DF1604">
        <v>0</v>
      </c>
      <c r="DG1604">
        <v>0</v>
      </c>
      <c r="DH1604">
        <v>0</v>
      </c>
      <c r="DI1604">
        <v>0</v>
      </c>
    </row>
    <row r="1605" spans="1:113" x14ac:dyDescent="0.3">
      <c r="A1605" t="str">
        <f>"02/13/2022 18:47:04.824"</f>
        <v>02/13/2022 18:47:04.824</v>
      </c>
      <c r="C1605" t="str">
        <f t="shared" si="150"/>
        <v>FFDFD7C0</v>
      </c>
      <c r="D1605" t="s">
        <v>113</v>
      </c>
      <c r="E1605">
        <v>4</v>
      </c>
      <c r="F1605">
        <v>1004</v>
      </c>
      <c r="G1605" t="s">
        <v>120</v>
      </c>
      <c r="J1605" t="s">
        <v>115</v>
      </c>
      <c r="K1605">
        <v>0</v>
      </c>
      <c r="L1605">
        <v>3</v>
      </c>
      <c r="M1605">
        <v>0</v>
      </c>
      <c r="N1605">
        <v>2</v>
      </c>
      <c r="O1605">
        <v>1</v>
      </c>
      <c r="P1605">
        <v>0</v>
      </c>
      <c r="Q1605">
        <v>0</v>
      </c>
      <c r="S1605" t="str">
        <f t="shared" si="156"/>
        <v>18:47:04.578</v>
      </c>
      <c r="T1605" t="str">
        <f t="shared" si="156"/>
        <v>18:47:04.578</v>
      </c>
      <c r="U1605" t="str">
        <f t="shared" si="155"/>
        <v>AAB6EE</v>
      </c>
      <c r="V1605">
        <v>0</v>
      </c>
      <c r="W1605">
        <v>0</v>
      </c>
      <c r="X1605">
        <v>4</v>
      </c>
      <c r="Z1605">
        <v>0</v>
      </c>
      <c r="AA1605">
        <v>8</v>
      </c>
      <c r="AB1605">
        <v>3</v>
      </c>
      <c r="AC1605">
        <v>0</v>
      </c>
      <c r="AD1605">
        <v>10</v>
      </c>
      <c r="AE1605">
        <v>0</v>
      </c>
      <c r="AF1605">
        <v>0</v>
      </c>
      <c r="AG1605">
        <v>1</v>
      </c>
      <c r="AH1605">
        <v>1</v>
      </c>
      <c r="AI1605" t="s">
        <v>1194</v>
      </c>
      <c r="AJ1605">
        <v>35.208392000000003</v>
      </c>
      <c r="AK1605" t="s">
        <v>1195</v>
      </c>
      <c r="AL1605">
        <v>-76.033630000000002</v>
      </c>
      <c r="AM1605">
        <v>25</v>
      </c>
      <c r="AN1605">
        <v>2925</v>
      </c>
      <c r="AO1605" t="s">
        <v>118</v>
      </c>
      <c r="AP1605">
        <v>66</v>
      </c>
      <c r="AQ1605">
        <v>-141</v>
      </c>
      <c r="AR1605">
        <v>0</v>
      </c>
      <c r="AZ1605">
        <v>4516</v>
      </c>
      <c r="BA1605">
        <v>1</v>
      </c>
      <c r="BB1605" t="str">
        <f t="shared" ref="BB1605:BB1668" si="157">"N79NX   "</f>
        <v xml:space="preserve">N79NX   </v>
      </c>
      <c r="BC1605">
        <v>1</v>
      </c>
      <c r="BE1605">
        <v>0</v>
      </c>
      <c r="BF1605">
        <v>0</v>
      </c>
      <c r="BG1605">
        <v>0</v>
      </c>
      <c r="BH1605">
        <v>2775</v>
      </c>
      <c r="BI1605">
        <v>0</v>
      </c>
      <c r="BJ1605">
        <v>0</v>
      </c>
      <c r="BK1605">
        <v>0</v>
      </c>
      <c r="BL1605">
        <v>0</v>
      </c>
      <c r="BO1605">
        <v>0</v>
      </c>
      <c r="BP1605">
        <v>0</v>
      </c>
      <c r="BW1605" t="str">
        <f>"18:47:04.582"</f>
        <v>18:47:04.582</v>
      </c>
      <c r="BZ1605">
        <v>0</v>
      </c>
      <c r="CA1605">
        <v>3008</v>
      </c>
      <c r="CB1605">
        <v>216</v>
      </c>
      <c r="CC1605">
        <v>518.90629999999999</v>
      </c>
      <c r="CD1605">
        <v>1</v>
      </c>
      <c r="CE1605">
        <v>1</v>
      </c>
      <c r="CF1605">
        <v>0</v>
      </c>
      <c r="CG1605">
        <v>1</v>
      </c>
      <c r="CH1605">
        <v>0</v>
      </c>
      <c r="CI1605">
        <v>1</v>
      </c>
      <c r="CJ1605">
        <v>0</v>
      </c>
      <c r="CK1605">
        <v>2</v>
      </c>
      <c r="CL1605">
        <v>0</v>
      </c>
      <c r="CM1605">
        <v>2</v>
      </c>
      <c r="CN1605">
        <v>0</v>
      </c>
      <c r="CO1605">
        <v>1</v>
      </c>
      <c r="CP1605" t="s">
        <v>119</v>
      </c>
      <c r="CQ1605">
        <v>145</v>
      </c>
      <c r="CR1605">
        <v>1</v>
      </c>
      <c r="CW1605">
        <v>9181910</v>
      </c>
      <c r="CY1605">
        <v>0</v>
      </c>
      <c r="CZ1605">
        <v>0</v>
      </c>
      <c r="DA1605">
        <v>1</v>
      </c>
      <c r="DB1605">
        <v>0</v>
      </c>
      <c r="DC1605">
        <v>0</v>
      </c>
      <c r="DD1605">
        <v>0</v>
      </c>
      <c r="DE1605">
        <v>0</v>
      </c>
      <c r="DF1605">
        <v>0</v>
      </c>
      <c r="DG1605">
        <v>0</v>
      </c>
      <c r="DH1605">
        <v>0</v>
      </c>
      <c r="DI1605">
        <v>0</v>
      </c>
    </row>
    <row r="1606" spans="1:113" x14ac:dyDescent="0.3">
      <c r="A1606" t="str">
        <f>"02/13/2022 18:47:04.824"</f>
        <v>02/13/2022 18:47:04.824</v>
      </c>
      <c r="C1606" t="str">
        <f t="shared" si="150"/>
        <v>FFDFD7C0</v>
      </c>
      <c r="D1606" t="s">
        <v>121</v>
      </c>
      <c r="E1606">
        <v>2</v>
      </c>
      <c r="H1606">
        <v>158</v>
      </c>
      <c r="I1606" t="s">
        <v>120</v>
      </c>
      <c r="J1606" t="s">
        <v>122</v>
      </c>
      <c r="K1606">
        <v>0</v>
      </c>
      <c r="L1606">
        <v>3</v>
      </c>
      <c r="M1606">
        <v>0</v>
      </c>
      <c r="N1606">
        <v>2</v>
      </c>
      <c r="O1606">
        <v>1</v>
      </c>
      <c r="P1606">
        <v>0</v>
      </c>
      <c r="Q1606">
        <v>0</v>
      </c>
      <c r="S1606" t="str">
        <f t="shared" si="156"/>
        <v>18:47:04.578</v>
      </c>
      <c r="T1606" t="str">
        <f t="shared" si="156"/>
        <v>18:47:04.578</v>
      </c>
      <c r="U1606" t="str">
        <f t="shared" si="155"/>
        <v>AAB6EE</v>
      </c>
      <c r="V1606">
        <v>0</v>
      </c>
      <c r="W1606">
        <v>0</v>
      </c>
      <c r="X1606">
        <v>4</v>
      </c>
      <c r="Z1606">
        <v>0</v>
      </c>
      <c r="AA1606">
        <v>8</v>
      </c>
      <c r="AB1606">
        <v>3</v>
      </c>
      <c r="AC1606">
        <v>0</v>
      </c>
      <c r="AD1606">
        <v>10</v>
      </c>
      <c r="AE1606">
        <v>0</v>
      </c>
      <c r="AF1606">
        <v>0</v>
      </c>
      <c r="AG1606">
        <v>1</v>
      </c>
      <c r="AH1606">
        <v>1</v>
      </c>
      <c r="AI1606" t="s">
        <v>1194</v>
      </c>
      <c r="AJ1606">
        <v>35.208392000000003</v>
      </c>
      <c r="AK1606" t="s">
        <v>1195</v>
      </c>
      <c r="AL1606">
        <v>-76.033630000000002</v>
      </c>
      <c r="AM1606">
        <v>25</v>
      </c>
      <c r="AN1606">
        <v>2925</v>
      </c>
      <c r="AO1606" t="s">
        <v>118</v>
      </c>
      <c r="AP1606">
        <v>66</v>
      </c>
      <c r="AQ1606">
        <v>-141</v>
      </c>
      <c r="AR1606">
        <v>0</v>
      </c>
      <c r="AZ1606">
        <v>4516</v>
      </c>
      <c r="BA1606">
        <v>1</v>
      </c>
      <c r="BB1606" t="str">
        <f t="shared" si="157"/>
        <v xml:space="preserve">N79NX   </v>
      </c>
      <c r="BC1606">
        <v>1</v>
      </c>
      <c r="BE1606">
        <v>0</v>
      </c>
      <c r="BF1606">
        <v>0</v>
      </c>
      <c r="BG1606">
        <v>0</v>
      </c>
      <c r="BH1606">
        <v>2775</v>
      </c>
      <c r="BI1606">
        <v>0</v>
      </c>
      <c r="BJ1606">
        <v>0</v>
      </c>
      <c r="BK1606">
        <v>0</v>
      </c>
      <c r="BL1606">
        <v>0</v>
      </c>
      <c r="BO1606">
        <v>0</v>
      </c>
      <c r="BP1606">
        <v>0</v>
      </c>
      <c r="BW1606" t="str">
        <f>"18:47:04.582"</f>
        <v>18:47:04.582</v>
      </c>
      <c r="BZ1606">
        <v>0</v>
      </c>
      <c r="CA1606">
        <v>3008</v>
      </c>
      <c r="CB1606">
        <v>216</v>
      </c>
      <c r="CC1606">
        <v>518.90629999999999</v>
      </c>
      <c r="CD1606">
        <v>1</v>
      </c>
      <c r="CE1606">
        <v>1</v>
      </c>
      <c r="CF1606">
        <v>0</v>
      </c>
      <c r="CG1606">
        <v>1</v>
      </c>
      <c r="CH1606">
        <v>0</v>
      </c>
      <c r="CI1606">
        <v>1</v>
      </c>
      <c r="CJ1606">
        <v>0</v>
      </c>
      <c r="CK1606">
        <v>2</v>
      </c>
      <c r="CL1606">
        <v>0</v>
      </c>
      <c r="CM1606">
        <v>2</v>
      </c>
      <c r="CN1606">
        <v>0</v>
      </c>
      <c r="CO1606">
        <v>1</v>
      </c>
      <c r="CP1606" t="s">
        <v>119</v>
      </c>
      <c r="CQ1606">
        <v>145</v>
      </c>
      <c r="CR1606">
        <v>1</v>
      </c>
      <c r="CW1606">
        <v>9181910</v>
      </c>
      <c r="CY1606">
        <v>0</v>
      </c>
      <c r="CZ1606">
        <v>0</v>
      </c>
      <c r="DA1606">
        <v>1</v>
      </c>
      <c r="DB1606">
        <v>0</v>
      </c>
      <c r="DC1606">
        <v>0</v>
      </c>
      <c r="DD1606">
        <v>0</v>
      </c>
      <c r="DE1606">
        <v>0</v>
      </c>
      <c r="DF1606">
        <v>0</v>
      </c>
      <c r="DG1606">
        <v>0</v>
      </c>
      <c r="DH1606">
        <v>0</v>
      </c>
      <c r="DI1606">
        <v>0</v>
      </c>
    </row>
    <row r="1607" spans="1:113" x14ac:dyDescent="0.3">
      <c r="A1607" t="str">
        <f>"02/13/2022 18:47:05.683"</f>
        <v>02/13/2022 18:47:05.683</v>
      </c>
      <c r="C1607" t="str">
        <f t="shared" si="150"/>
        <v>FFDFD7C0</v>
      </c>
      <c r="D1607" t="s">
        <v>113</v>
      </c>
      <c r="E1607">
        <v>3</v>
      </c>
      <c r="F1607">
        <v>1003</v>
      </c>
      <c r="G1607" t="s">
        <v>114</v>
      </c>
      <c r="J1607" t="s">
        <v>115</v>
      </c>
      <c r="K1607">
        <v>0</v>
      </c>
      <c r="L1607">
        <v>3</v>
      </c>
      <c r="M1607">
        <v>0</v>
      </c>
      <c r="N1607">
        <v>2</v>
      </c>
      <c r="O1607">
        <v>1</v>
      </c>
      <c r="P1607">
        <v>0</v>
      </c>
      <c r="Q1607">
        <v>0</v>
      </c>
      <c r="S1607" t="str">
        <f t="shared" ref="S1607:T1609" si="158">"18:47:05.492"</f>
        <v>18:47:05.492</v>
      </c>
      <c r="T1607" t="str">
        <f t="shared" si="158"/>
        <v>18:47:05.492</v>
      </c>
      <c r="U1607" t="str">
        <f t="shared" si="155"/>
        <v>AAB6EE</v>
      </c>
      <c r="V1607">
        <v>0</v>
      </c>
      <c r="W1607">
        <v>0</v>
      </c>
      <c r="X1607">
        <v>4</v>
      </c>
      <c r="Z1607">
        <v>0</v>
      </c>
      <c r="AA1607">
        <v>8</v>
      </c>
      <c r="AB1607">
        <v>3</v>
      </c>
      <c r="AC1607">
        <v>0</v>
      </c>
      <c r="AD1607">
        <v>10</v>
      </c>
      <c r="AE1607">
        <v>0</v>
      </c>
      <c r="AF1607">
        <v>0</v>
      </c>
      <c r="AG1607">
        <v>1</v>
      </c>
      <c r="AH1607">
        <v>1</v>
      </c>
      <c r="AI1607" t="s">
        <v>1196</v>
      </c>
      <c r="AJ1607">
        <v>35.207791</v>
      </c>
      <c r="AK1607" t="s">
        <v>1197</v>
      </c>
      <c r="AL1607">
        <v>-76.033287000000001</v>
      </c>
      <c r="AM1607">
        <v>25</v>
      </c>
      <c r="AN1607">
        <v>2925</v>
      </c>
      <c r="AO1607" t="s">
        <v>118</v>
      </c>
      <c r="AP1607">
        <v>66</v>
      </c>
      <c r="AQ1607">
        <v>-141</v>
      </c>
      <c r="AR1607">
        <v>-64</v>
      </c>
      <c r="AZ1607">
        <v>4516</v>
      </c>
      <c r="BA1607">
        <v>1</v>
      </c>
      <c r="BB1607" t="str">
        <f t="shared" si="157"/>
        <v xml:space="preserve">N79NX   </v>
      </c>
      <c r="BC1607">
        <v>1</v>
      </c>
      <c r="BE1607">
        <v>0</v>
      </c>
      <c r="BF1607">
        <v>0</v>
      </c>
      <c r="BG1607">
        <v>0</v>
      </c>
      <c r="BH1607">
        <v>2775</v>
      </c>
      <c r="BI1607">
        <v>0</v>
      </c>
      <c r="BJ1607">
        <v>0</v>
      </c>
      <c r="BK1607">
        <v>0</v>
      </c>
      <c r="BL1607">
        <v>0</v>
      </c>
      <c r="BO1607">
        <v>0</v>
      </c>
      <c r="BP1607">
        <v>0</v>
      </c>
      <c r="BW1607" t="str">
        <f>"18:47:05.492"</f>
        <v>18:47:05.492</v>
      </c>
      <c r="BZ1607">
        <v>0</v>
      </c>
      <c r="CA1607">
        <v>3008</v>
      </c>
      <c r="CB1607">
        <v>216</v>
      </c>
      <c r="CC1607">
        <v>518.90629999999999</v>
      </c>
      <c r="CD1607">
        <v>1</v>
      </c>
      <c r="CE1607">
        <v>1</v>
      </c>
      <c r="CF1607">
        <v>0</v>
      </c>
      <c r="CG1607">
        <v>1</v>
      </c>
      <c r="CH1607">
        <v>0</v>
      </c>
      <c r="CI1607">
        <v>1</v>
      </c>
      <c r="CJ1607">
        <v>0</v>
      </c>
      <c r="CK1607">
        <v>2</v>
      </c>
      <c r="CL1607">
        <v>0</v>
      </c>
      <c r="CM1607">
        <v>2</v>
      </c>
      <c r="CN1607">
        <v>0</v>
      </c>
      <c r="CO1607">
        <v>1</v>
      </c>
      <c r="CP1607" t="s">
        <v>119</v>
      </c>
      <c r="CQ1607">
        <v>145</v>
      </c>
      <c r="CR1607">
        <v>1</v>
      </c>
      <c r="CW1607">
        <v>9182327</v>
      </c>
      <c r="CY1607">
        <v>0</v>
      </c>
      <c r="CZ1607">
        <v>0</v>
      </c>
      <c r="DA1607">
        <v>0</v>
      </c>
      <c r="DB1607">
        <v>0</v>
      </c>
      <c r="DC1607">
        <v>0</v>
      </c>
      <c r="DD1607">
        <v>0</v>
      </c>
      <c r="DE1607">
        <v>0</v>
      </c>
      <c r="DF1607">
        <v>0</v>
      </c>
      <c r="DG1607">
        <v>0</v>
      </c>
      <c r="DH1607">
        <v>0</v>
      </c>
      <c r="DI1607">
        <v>0</v>
      </c>
    </row>
    <row r="1608" spans="1:113" x14ac:dyDescent="0.3">
      <c r="A1608" t="str">
        <f>"02/13/2022 18:47:05.699"</f>
        <v>02/13/2022 18:47:05.699</v>
      </c>
      <c r="C1608" t="str">
        <f t="shared" si="150"/>
        <v>FFDFD7C0</v>
      </c>
      <c r="D1608" t="s">
        <v>113</v>
      </c>
      <c r="E1608">
        <v>4</v>
      </c>
      <c r="F1608">
        <v>1004</v>
      </c>
      <c r="G1608" t="s">
        <v>120</v>
      </c>
      <c r="J1608" t="s">
        <v>115</v>
      </c>
      <c r="K1608">
        <v>0</v>
      </c>
      <c r="L1608">
        <v>3</v>
      </c>
      <c r="M1608">
        <v>0</v>
      </c>
      <c r="N1608">
        <v>2</v>
      </c>
      <c r="O1608">
        <v>1</v>
      </c>
      <c r="P1608">
        <v>0</v>
      </c>
      <c r="Q1608">
        <v>0</v>
      </c>
      <c r="S1608" t="str">
        <f t="shared" si="158"/>
        <v>18:47:05.492</v>
      </c>
      <c r="T1608" t="str">
        <f t="shared" si="158"/>
        <v>18:47:05.492</v>
      </c>
      <c r="U1608" t="str">
        <f t="shared" si="155"/>
        <v>AAB6EE</v>
      </c>
      <c r="V1608">
        <v>0</v>
      </c>
      <c r="W1608">
        <v>0</v>
      </c>
      <c r="X1608">
        <v>4</v>
      </c>
      <c r="Z1608">
        <v>0</v>
      </c>
      <c r="AA1608">
        <v>8</v>
      </c>
      <c r="AB1608">
        <v>3</v>
      </c>
      <c r="AC1608">
        <v>0</v>
      </c>
      <c r="AD1608">
        <v>10</v>
      </c>
      <c r="AE1608">
        <v>0</v>
      </c>
      <c r="AF1608">
        <v>0</v>
      </c>
      <c r="AG1608">
        <v>1</v>
      </c>
      <c r="AH1608">
        <v>1</v>
      </c>
      <c r="AI1608" t="s">
        <v>1196</v>
      </c>
      <c r="AJ1608">
        <v>35.207791</v>
      </c>
      <c r="AK1608" t="s">
        <v>1197</v>
      </c>
      <c r="AL1608">
        <v>-76.033287000000001</v>
      </c>
      <c r="AM1608">
        <v>25</v>
      </c>
      <c r="AN1608">
        <v>2925</v>
      </c>
      <c r="AO1608" t="s">
        <v>118</v>
      </c>
      <c r="AP1608">
        <v>66</v>
      </c>
      <c r="AQ1608">
        <v>-141</v>
      </c>
      <c r="AR1608">
        <v>-64</v>
      </c>
      <c r="AZ1608">
        <v>4516</v>
      </c>
      <c r="BA1608">
        <v>1</v>
      </c>
      <c r="BB1608" t="str">
        <f t="shared" si="157"/>
        <v xml:space="preserve">N79NX   </v>
      </c>
      <c r="BC1608">
        <v>1</v>
      </c>
      <c r="BE1608">
        <v>0</v>
      </c>
      <c r="BF1608">
        <v>0</v>
      </c>
      <c r="BG1608">
        <v>0</v>
      </c>
      <c r="BH1608">
        <v>2775</v>
      </c>
      <c r="BI1608">
        <v>0</v>
      </c>
      <c r="BJ1608">
        <v>0</v>
      </c>
      <c r="BK1608">
        <v>0</v>
      </c>
      <c r="BL1608">
        <v>0</v>
      </c>
      <c r="BO1608">
        <v>0</v>
      </c>
      <c r="BP1608">
        <v>0</v>
      </c>
      <c r="BW1608" t="str">
        <f>"18:47:05.492"</f>
        <v>18:47:05.492</v>
      </c>
      <c r="BZ1608">
        <v>0</v>
      </c>
      <c r="CA1608">
        <v>3008</v>
      </c>
      <c r="CB1608">
        <v>216</v>
      </c>
      <c r="CC1608">
        <v>518.90629999999999</v>
      </c>
      <c r="CD1608">
        <v>1</v>
      </c>
      <c r="CE1608">
        <v>1</v>
      </c>
      <c r="CF1608">
        <v>0</v>
      </c>
      <c r="CG1608">
        <v>1</v>
      </c>
      <c r="CH1608">
        <v>0</v>
      </c>
      <c r="CI1608">
        <v>1</v>
      </c>
      <c r="CJ1608">
        <v>0</v>
      </c>
      <c r="CK1608">
        <v>2</v>
      </c>
      <c r="CL1608">
        <v>0</v>
      </c>
      <c r="CM1608">
        <v>2</v>
      </c>
      <c r="CN1608">
        <v>0</v>
      </c>
      <c r="CO1608">
        <v>1</v>
      </c>
      <c r="CP1608" t="s">
        <v>119</v>
      </c>
      <c r="CQ1608">
        <v>145</v>
      </c>
      <c r="CR1608">
        <v>1</v>
      </c>
      <c r="CW1608">
        <v>9182327</v>
      </c>
      <c r="CY1608">
        <v>0</v>
      </c>
      <c r="CZ1608">
        <v>0</v>
      </c>
      <c r="DA1608">
        <v>1</v>
      </c>
      <c r="DB1608">
        <v>0</v>
      </c>
      <c r="DC1608">
        <v>0</v>
      </c>
      <c r="DD1608">
        <v>0</v>
      </c>
      <c r="DE1608">
        <v>0</v>
      </c>
      <c r="DF1608">
        <v>0</v>
      </c>
      <c r="DG1608">
        <v>0</v>
      </c>
      <c r="DH1608">
        <v>0</v>
      </c>
      <c r="DI1608">
        <v>0</v>
      </c>
    </row>
    <row r="1609" spans="1:113" x14ac:dyDescent="0.3">
      <c r="A1609" t="str">
        <f>"02/13/2022 18:47:05.699"</f>
        <v>02/13/2022 18:47:05.699</v>
      </c>
      <c r="C1609" t="str">
        <f t="shared" si="150"/>
        <v>FFDFD7C0</v>
      </c>
      <c r="D1609" t="s">
        <v>121</v>
      </c>
      <c r="E1609">
        <v>2</v>
      </c>
      <c r="H1609">
        <v>158</v>
      </c>
      <c r="I1609" t="s">
        <v>120</v>
      </c>
      <c r="J1609" t="s">
        <v>122</v>
      </c>
      <c r="K1609">
        <v>0</v>
      </c>
      <c r="L1609">
        <v>3</v>
      </c>
      <c r="M1609">
        <v>0</v>
      </c>
      <c r="N1609">
        <v>2</v>
      </c>
      <c r="O1609">
        <v>1</v>
      </c>
      <c r="P1609">
        <v>0</v>
      </c>
      <c r="Q1609">
        <v>0</v>
      </c>
      <c r="S1609" t="str">
        <f t="shared" si="158"/>
        <v>18:47:05.492</v>
      </c>
      <c r="T1609" t="str">
        <f t="shared" si="158"/>
        <v>18:47:05.492</v>
      </c>
      <c r="U1609" t="str">
        <f t="shared" si="155"/>
        <v>AAB6EE</v>
      </c>
      <c r="V1609">
        <v>0</v>
      </c>
      <c r="W1609">
        <v>0</v>
      </c>
      <c r="X1609">
        <v>4</v>
      </c>
      <c r="Z1609">
        <v>0</v>
      </c>
      <c r="AA1609">
        <v>8</v>
      </c>
      <c r="AB1609">
        <v>3</v>
      </c>
      <c r="AC1609">
        <v>0</v>
      </c>
      <c r="AD1609">
        <v>10</v>
      </c>
      <c r="AE1609">
        <v>0</v>
      </c>
      <c r="AF1609">
        <v>0</v>
      </c>
      <c r="AG1609">
        <v>1</v>
      </c>
      <c r="AH1609">
        <v>1</v>
      </c>
      <c r="AI1609" t="s">
        <v>1196</v>
      </c>
      <c r="AJ1609">
        <v>35.207791</v>
      </c>
      <c r="AK1609" t="s">
        <v>1197</v>
      </c>
      <c r="AL1609">
        <v>-76.033287000000001</v>
      </c>
      <c r="AM1609">
        <v>25</v>
      </c>
      <c r="AN1609">
        <v>2925</v>
      </c>
      <c r="AO1609" t="s">
        <v>118</v>
      </c>
      <c r="AP1609">
        <v>66</v>
      </c>
      <c r="AQ1609">
        <v>-141</v>
      </c>
      <c r="AR1609">
        <v>-64</v>
      </c>
      <c r="AZ1609">
        <v>4516</v>
      </c>
      <c r="BA1609">
        <v>1</v>
      </c>
      <c r="BB1609" t="str">
        <f t="shared" si="157"/>
        <v xml:space="preserve">N79NX   </v>
      </c>
      <c r="BC1609">
        <v>1</v>
      </c>
      <c r="BE1609">
        <v>0</v>
      </c>
      <c r="BF1609">
        <v>0</v>
      </c>
      <c r="BG1609">
        <v>0</v>
      </c>
      <c r="BH1609">
        <v>2775</v>
      </c>
      <c r="BI1609">
        <v>0</v>
      </c>
      <c r="BJ1609">
        <v>0</v>
      </c>
      <c r="BK1609">
        <v>0</v>
      </c>
      <c r="BL1609">
        <v>0</v>
      </c>
      <c r="BO1609">
        <v>0</v>
      </c>
      <c r="BP1609">
        <v>0</v>
      </c>
      <c r="BW1609" t="str">
        <f>"18:47:05.492"</f>
        <v>18:47:05.492</v>
      </c>
      <c r="BZ1609">
        <v>0</v>
      </c>
      <c r="CA1609">
        <v>3008</v>
      </c>
      <c r="CB1609">
        <v>216</v>
      </c>
      <c r="CC1609">
        <v>518.90629999999999</v>
      </c>
      <c r="CD1609">
        <v>1</v>
      </c>
      <c r="CE1609">
        <v>1</v>
      </c>
      <c r="CF1609">
        <v>0</v>
      </c>
      <c r="CG1609">
        <v>1</v>
      </c>
      <c r="CH1609">
        <v>0</v>
      </c>
      <c r="CI1609">
        <v>1</v>
      </c>
      <c r="CJ1609">
        <v>0</v>
      </c>
      <c r="CK1609">
        <v>2</v>
      </c>
      <c r="CL1609">
        <v>0</v>
      </c>
      <c r="CM1609">
        <v>2</v>
      </c>
      <c r="CN1609">
        <v>0</v>
      </c>
      <c r="CO1609">
        <v>1</v>
      </c>
      <c r="CP1609" t="s">
        <v>119</v>
      </c>
      <c r="CQ1609">
        <v>145</v>
      </c>
      <c r="CR1609">
        <v>1</v>
      </c>
      <c r="CW1609">
        <v>9182327</v>
      </c>
      <c r="CY1609">
        <v>0</v>
      </c>
      <c r="CZ1609">
        <v>0</v>
      </c>
      <c r="DA1609">
        <v>1</v>
      </c>
      <c r="DB1609">
        <v>0</v>
      </c>
      <c r="DC1609">
        <v>0</v>
      </c>
      <c r="DD1609">
        <v>0</v>
      </c>
      <c r="DE1609">
        <v>0</v>
      </c>
      <c r="DF1609">
        <v>0</v>
      </c>
      <c r="DG1609">
        <v>0</v>
      </c>
      <c r="DH1609">
        <v>0</v>
      </c>
      <c r="DI1609">
        <v>0</v>
      </c>
    </row>
    <row r="1610" spans="1:113" x14ac:dyDescent="0.3">
      <c r="A1610" t="str">
        <f>"02/13/2022 18:47:06.778"</f>
        <v>02/13/2022 18:47:06.778</v>
      </c>
      <c r="C1610" t="str">
        <f t="shared" si="150"/>
        <v>FFDFD7C0</v>
      </c>
      <c r="D1610" t="s">
        <v>113</v>
      </c>
      <c r="E1610">
        <v>3</v>
      </c>
      <c r="F1610">
        <v>1003</v>
      </c>
      <c r="G1610" t="s">
        <v>114</v>
      </c>
      <c r="J1610" t="s">
        <v>115</v>
      </c>
      <c r="K1610">
        <v>0</v>
      </c>
      <c r="L1610">
        <v>3</v>
      </c>
      <c r="M1610">
        <v>0</v>
      </c>
      <c r="N1610">
        <v>2</v>
      </c>
      <c r="O1610">
        <v>1</v>
      </c>
      <c r="P1610">
        <v>0</v>
      </c>
      <c r="Q1610">
        <v>0</v>
      </c>
      <c r="S1610" t="str">
        <f>"18:47:06.539"</f>
        <v>18:47:06.539</v>
      </c>
      <c r="T1610" t="str">
        <f>"18:47:06.439"</f>
        <v>18:47:06.439</v>
      </c>
      <c r="U1610" t="str">
        <f t="shared" si="155"/>
        <v>AAB6EE</v>
      </c>
      <c r="V1610">
        <v>0</v>
      </c>
      <c r="W1610">
        <v>0</v>
      </c>
      <c r="X1610">
        <v>4</v>
      </c>
      <c r="Z1610">
        <v>0</v>
      </c>
      <c r="AA1610">
        <v>8</v>
      </c>
      <c r="AB1610">
        <v>3</v>
      </c>
      <c r="AC1610">
        <v>0</v>
      </c>
      <c r="AD1610">
        <v>10</v>
      </c>
      <c r="AE1610">
        <v>0</v>
      </c>
      <c r="AF1610">
        <v>0</v>
      </c>
      <c r="AG1610">
        <v>1</v>
      </c>
      <c r="AH1610">
        <v>1</v>
      </c>
      <c r="AI1610" t="s">
        <v>1198</v>
      </c>
      <c r="AJ1610">
        <v>35.207062000000001</v>
      </c>
      <c r="AK1610" t="s">
        <v>1199</v>
      </c>
      <c r="AL1610">
        <v>-76.032836000000003</v>
      </c>
      <c r="AM1610">
        <v>25</v>
      </c>
      <c r="AN1610">
        <v>2925</v>
      </c>
      <c r="AO1610" t="s">
        <v>118</v>
      </c>
      <c r="AP1610">
        <v>66</v>
      </c>
      <c r="AQ1610">
        <v>-141</v>
      </c>
      <c r="AR1610">
        <v>0</v>
      </c>
      <c r="AZ1610">
        <v>4516</v>
      </c>
      <c r="BA1610">
        <v>1</v>
      </c>
      <c r="BB1610" t="str">
        <f t="shared" si="157"/>
        <v xml:space="preserve">N79NX   </v>
      </c>
      <c r="BC1610">
        <v>1</v>
      </c>
      <c r="BE1610">
        <v>0</v>
      </c>
      <c r="BF1610">
        <v>0</v>
      </c>
      <c r="BG1610">
        <v>0</v>
      </c>
      <c r="BH1610">
        <v>2775</v>
      </c>
      <c r="BI1610">
        <v>0</v>
      </c>
      <c r="BJ1610">
        <v>0</v>
      </c>
      <c r="BK1610">
        <v>0</v>
      </c>
      <c r="BL1610">
        <v>0</v>
      </c>
      <c r="BO1610">
        <v>0</v>
      </c>
      <c r="BP1610">
        <v>0</v>
      </c>
      <c r="BW1610" t="str">
        <f>"18:47:06.542"</f>
        <v>18:47:06.542</v>
      </c>
      <c r="BZ1610">
        <v>0</v>
      </c>
      <c r="CA1610">
        <v>3008</v>
      </c>
      <c r="CB1610">
        <v>216</v>
      </c>
      <c r="CC1610">
        <v>518.90629999999999</v>
      </c>
      <c r="CD1610">
        <v>1</v>
      </c>
      <c r="CE1610">
        <v>1</v>
      </c>
      <c r="CF1610">
        <v>0</v>
      </c>
      <c r="CG1610">
        <v>1</v>
      </c>
      <c r="CH1610">
        <v>0</v>
      </c>
      <c r="CI1610">
        <v>1</v>
      </c>
      <c r="CJ1610">
        <v>0</v>
      </c>
      <c r="CK1610">
        <v>2</v>
      </c>
      <c r="CL1610">
        <v>0</v>
      </c>
      <c r="CM1610">
        <v>2</v>
      </c>
      <c r="CN1610">
        <v>0</v>
      </c>
      <c r="CO1610">
        <v>1</v>
      </c>
      <c r="CP1610" t="s">
        <v>119</v>
      </c>
      <c r="CQ1610">
        <v>145</v>
      </c>
      <c r="CR1610">
        <v>1</v>
      </c>
      <c r="CW1610">
        <v>9182854</v>
      </c>
      <c r="CY1610">
        <v>0</v>
      </c>
      <c r="CZ1610">
        <v>0</v>
      </c>
      <c r="DA1610">
        <v>0</v>
      </c>
      <c r="DB1610">
        <v>0</v>
      </c>
      <c r="DC1610">
        <v>0</v>
      </c>
      <c r="DD1610">
        <v>0</v>
      </c>
      <c r="DE1610">
        <v>0</v>
      </c>
      <c r="DF1610">
        <v>0</v>
      </c>
      <c r="DG1610">
        <v>0</v>
      </c>
      <c r="DH1610">
        <v>0</v>
      </c>
      <c r="DI1610">
        <v>0</v>
      </c>
    </row>
    <row r="1611" spans="1:113" x14ac:dyDescent="0.3">
      <c r="A1611" t="str">
        <f>"02/13/2022 18:47:06.778"</f>
        <v>02/13/2022 18:47:06.778</v>
      </c>
      <c r="C1611" t="str">
        <f t="shared" si="150"/>
        <v>FFDFD7C0</v>
      </c>
      <c r="D1611" t="s">
        <v>113</v>
      </c>
      <c r="E1611">
        <v>4</v>
      </c>
      <c r="F1611">
        <v>1004</v>
      </c>
      <c r="G1611" t="s">
        <v>120</v>
      </c>
      <c r="J1611" t="s">
        <v>115</v>
      </c>
      <c r="K1611">
        <v>0</v>
      </c>
      <c r="L1611">
        <v>3</v>
      </c>
      <c r="M1611">
        <v>0</v>
      </c>
      <c r="N1611">
        <v>2</v>
      </c>
      <c r="O1611">
        <v>1</v>
      </c>
      <c r="P1611">
        <v>0</v>
      </c>
      <c r="Q1611">
        <v>0</v>
      </c>
      <c r="S1611" t="str">
        <f>"18:47:06.539"</f>
        <v>18:47:06.539</v>
      </c>
      <c r="T1611" t="str">
        <f>"18:47:06.439"</f>
        <v>18:47:06.439</v>
      </c>
      <c r="U1611" t="str">
        <f t="shared" si="155"/>
        <v>AAB6EE</v>
      </c>
      <c r="V1611">
        <v>0</v>
      </c>
      <c r="W1611">
        <v>0</v>
      </c>
      <c r="X1611">
        <v>4</v>
      </c>
      <c r="Z1611">
        <v>0</v>
      </c>
      <c r="AA1611">
        <v>8</v>
      </c>
      <c r="AB1611">
        <v>3</v>
      </c>
      <c r="AC1611">
        <v>0</v>
      </c>
      <c r="AD1611">
        <v>10</v>
      </c>
      <c r="AE1611">
        <v>0</v>
      </c>
      <c r="AF1611">
        <v>0</v>
      </c>
      <c r="AG1611">
        <v>1</v>
      </c>
      <c r="AH1611">
        <v>1</v>
      </c>
      <c r="AI1611" t="s">
        <v>1198</v>
      </c>
      <c r="AJ1611">
        <v>35.207062000000001</v>
      </c>
      <c r="AK1611" t="s">
        <v>1199</v>
      </c>
      <c r="AL1611">
        <v>-76.032836000000003</v>
      </c>
      <c r="AM1611">
        <v>25</v>
      </c>
      <c r="AN1611">
        <v>2925</v>
      </c>
      <c r="AO1611" t="s">
        <v>118</v>
      </c>
      <c r="AP1611">
        <v>66</v>
      </c>
      <c r="AQ1611">
        <v>-141</v>
      </c>
      <c r="AR1611">
        <v>0</v>
      </c>
      <c r="AZ1611">
        <v>4516</v>
      </c>
      <c r="BA1611">
        <v>1</v>
      </c>
      <c r="BB1611" t="str">
        <f t="shared" si="157"/>
        <v xml:space="preserve">N79NX   </v>
      </c>
      <c r="BC1611">
        <v>1</v>
      </c>
      <c r="BE1611">
        <v>0</v>
      </c>
      <c r="BF1611">
        <v>0</v>
      </c>
      <c r="BG1611">
        <v>0</v>
      </c>
      <c r="BH1611">
        <v>2775</v>
      </c>
      <c r="BI1611">
        <v>0</v>
      </c>
      <c r="BJ1611">
        <v>0</v>
      </c>
      <c r="BK1611">
        <v>0</v>
      </c>
      <c r="BL1611">
        <v>0</v>
      </c>
      <c r="BO1611">
        <v>0</v>
      </c>
      <c r="BP1611">
        <v>0</v>
      </c>
      <c r="BW1611" t="str">
        <f>"18:47:06.542"</f>
        <v>18:47:06.542</v>
      </c>
      <c r="BZ1611">
        <v>0</v>
      </c>
      <c r="CA1611">
        <v>3008</v>
      </c>
      <c r="CB1611">
        <v>216</v>
      </c>
      <c r="CC1611">
        <v>518.90629999999999</v>
      </c>
      <c r="CD1611">
        <v>1</v>
      </c>
      <c r="CE1611">
        <v>1</v>
      </c>
      <c r="CF1611">
        <v>0</v>
      </c>
      <c r="CG1611">
        <v>1</v>
      </c>
      <c r="CH1611">
        <v>0</v>
      </c>
      <c r="CI1611">
        <v>1</v>
      </c>
      <c r="CJ1611">
        <v>0</v>
      </c>
      <c r="CK1611">
        <v>2</v>
      </c>
      <c r="CL1611">
        <v>0</v>
      </c>
      <c r="CM1611">
        <v>2</v>
      </c>
      <c r="CN1611">
        <v>0</v>
      </c>
      <c r="CO1611">
        <v>1</v>
      </c>
      <c r="CP1611" t="s">
        <v>119</v>
      </c>
      <c r="CQ1611">
        <v>145</v>
      </c>
      <c r="CR1611">
        <v>1</v>
      </c>
      <c r="CW1611">
        <v>9182854</v>
      </c>
      <c r="CY1611">
        <v>0</v>
      </c>
      <c r="CZ1611">
        <v>0</v>
      </c>
      <c r="DA1611">
        <v>1</v>
      </c>
      <c r="DB1611">
        <v>0</v>
      </c>
      <c r="DC1611">
        <v>0</v>
      </c>
      <c r="DD1611">
        <v>0</v>
      </c>
      <c r="DE1611">
        <v>0</v>
      </c>
      <c r="DF1611">
        <v>0</v>
      </c>
      <c r="DG1611">
        <v>0</v>
      </c>
      <c r="DH1611">
        <v>0</v>
      </c>
      <c r="DI1611">
        <v>0</v>
      </c>
    </row>
    <row r="1612" spans="1:113" x14ac:dyDescent="0.3">
      <c r="A1612" t="str">
        <f>"02/13/2022 18:47:06.778"</f>
        <v>02/13/2022 18:47:06.778</v>
      </c>
      <c r="C1612" t="str">
        <f t="shared" si="150"/>
        <v>FFDFD7C0</v>
      </c>
      <c r="D1612" t="s">
        <v>121</v>
      </c>
      <c r="E1612">
        <v>2</v>
      </c>
      <c r="H1612">
        <v>158</v>
      </c>
      <c r="I1612" t="s">
        <v>120</v>
      </c>
      <c r="J1612" t="s">
        <v>122</v>
      </c>
      <c r="K1612">
        <v>0</v>
      </c>
      <c r="L1612">
        <v>3</v>
      </c>
      <c r="M1612">
        <v>0</v>
      </c>
      <c r="N1612">
        <v>2</v>
      </c>
      <c r="O1612">
        <v>1</v>
      </c>
      <c r="P1612">
        <v>0</v>
      </c>
      <c r="Q1612">
        <v>0</v>
      </c>
      <c r="S1612" t="str">
        <f>"18:47:06.539"</f>
        <v>18:47:06.539</v>
      </c>
      <c r="T1612" t="str">
        <f>"18:47:06.439"</f>
        <v>18:47:06.439</v>
      </c>
      <c r="U1612" t="str">
        <f t="shared" si="155"/>
        <v>AAB6EE</v>
      </c>
      <c r="V1612">
        <v>0</v>
      </c>
      <c r="W1612">
        <v>0</v>
      </c>
      <c r="X1612">
        <v>4</v>
      </c>
      <c r="Z1612">
        <v>0</v>
      </c>
      <c r="AA1612">
        <v>8</v>
      </c>
      <c r="AB1612">
        <v>3</v>
      </c>
      <c r="AC1612">
        <v>0</v>
      </c>
      <c r="AD1612">
        <v>10</v>
      </c>
      <c r="AE1612">
        <v>0</v>
      </c>
      <c r="AF1612">
        <v>0</v>
      </c>
      <c r="AG1612">
        <v>1</v>
      </c>
      <c r="AH1612">
        <v>1</v>
      </c>
      <c r="AI1612" t="s">
        <v>1198</v>
      </c>
      <c r="AJ1612">
        <v>35.207062000000001</v>
      </c>
      <c r="AK1612" t="s">
        <v>1199</v>
      </c>
      <c r="AL1612">
        <v>-76.032836000000003</v>
      </c>
      <c r="AM1612">
        <v>25</v>
      </c>
      <c r="AN1612">
        <v>2925</v>
      </c>
      <c r="AO1612" t="s">
        <v>118</v>
      </c>
      <c r="AP1612">
        <v>66</v>
      </c>
      <c r="AQ1612">
        <v>-141</v>
      </c>
      <c r="AR1612">
        <v>0</v>
      </c>
      <c r="AZ1612">
        <v>4516</v>
      </c>
      <c r="BA1612">
        <v>1</v>
      </c>
      <c r="BB1612" t="str">
        <f t="shared" si="157"/>
        <v xml:space="preserve">N79NX   </v>
      </c>
      <c r="BC1612">
        <v>1</v>
      </c>
      <c r="BE1612">
        <v>0</v>
      </c>
      <c r="BF1612">
        <v>0</v>
      </c>
      <c r="BG1612">
        <v>0</v>
      </c>
      <c r="BH1612">
        <v>2775</v>
      </c>
      <c r="BI1612">
        <v>0</v>
      </c>
      <c r="BJ1612">
        <v>0</v>
      </c>
      <c r="BK1612">
        <v>0</v>
      </c>
      <c r="BL1612">
        <v>0</v>
      </c>
      <c r="BO1612">
        <v>0</v>
      </c>
      <c r="BP1612">
        <v>0</v>
      </c>
      <c r="BW1612" t="str">
        <f>"18:47:06.542"</f>
        <v>18:47:06.542</v>
      </c>
      <c r="BZ1612">
        <v>0</v>
      </c>
      <c r="CA1612">
        <v>3008</v>
      </c>
      <c r="CB1612">
        <v>216</v>
      </c>
      <c r="CC1612">
        <v>518.90629999999999</v>
      </c>
      <c r="CD1612">
        <v>1</v>
      </c>
      <c r="CE1612">
        <v>1</v>
      </c>
      <c r="CF1612">
        <v>0</v>
      </c>
      <c r="CG1612">
        <v>1</v>
      </c>
      <c r="CH1612">
        <v>0</v>
      </c>
      <c r="CI1612">
        <v>1</v>
      </c>
      <c r="CJ1612">
        <v>0</v>
      </c>
      <c r="CK1612">
        <v>2</v>
      </c>
      <c r="CL1612">
        <v>0</v>
      </c>
      <c r="CM1612">
        <v>2</v>
      </c>
      <c r="CN1612">
        <v>0</v>
      </c>
      <c r="CO1612">
        <v>1</v>
      </c>
      <c r="CP1612" t="s">
        <v>119</v>
      </c>
      <c r="CQ1612">
        <v>145</v>
      </c>
      <c r="CR1612">
        <v>1</v>
      </c>
      <c r="CW1612">
        <v>9182854</v>
      </c>
      <c r="CY1612">
        <v>0</v>
      </c>
      <c r="CZ1612">
        <v>0</v>
      </c>
      <c r="DA1612">
        <v>1</v>
      </c>
      <c r="DB1612">
        <v>0</v>
      </c>
      <c r="DC1612">
        <v>0</v>
      </c>
      <c r="DD1612">
        <v>0</v>
      </c>
      <c r="DE1612">
        <v>0</v>
      </c>
      <c r="DF1612">
        <v>0</v>
      </c>
      <c r="DG1612">
        <v>0</v>
      </c>
      <c r="DH1612">
        <v>0</v>
      </c>
      <c r="DI1612">
        <v>0</v>
      </c>
    </row>
    <row r="1613" spans="1:113" x14ac:dyDescent="0.3">
      <c r="A1613" t="str">
        <f>"02/13/2022 18:47:08.106"</f>
        <v>02/13/2022 18:47:08.106</v>
      </c>
      <c r="C1613" t="str">
        <f t="shared" si="150"/>
        <v>FFDFD7C0</v>
      </c>
      <c r="D1613" t="s">
        <v>121</v>
      </c>
      <c r="E1613">
        <v>2</v>
      </c>
      <c r="H1613">
        <v>158</v>
      </c>
      <c r="I1613" t="s">
        <v>120</v>
      </c>
      <c r="J1613" t="s">
        <v>122</v>
      </c>
      <c r="K1613">
        <v>0</v>
      </c>
      <c r="L1613">
        <v>3</v>
      </c>
      <c r="M1613">
        <v>0</v>
      </c>
      <c r="N1613">
        <v>2</v>
      </c>
      <c r="O1613">
        <v>1</v>
      </c>
      <c r="P1613">
        <v>0</v>
      </c>
      <c r="Q1613">
        <v>0</v>
      </c>
      <c r="S1613" t="str">
        <f>"18:47:07.898"</f>
        <v>18:47:07.898</v>
      </c>
      <c r="T1613" t="str">
        <f>"18:47:07.298"</f>
        <v>18:47:07.298</v>
      </c>
      <c r="U1613" t="str">
        <f t="shared" si="155"/>
        <v>AAB6EE</v>
      </c>
      <c r="V1613">
        <v>0</v>
      </c>
      <c r="W1613">
        <v>0</v>
      </c>
      <c r="X1613">
        <v>4</v>
      </c>
      <c r="Z1613">
        <v>0</v>
      </c>
      <c r="AA1613">
        <v>8</v>
      </c>
      <c r="AB1613">
        <v>3</v>
      </c>
      <c r="AC1613">
        <v>0</v>
      </c>
      <c r="AD1613">
        <v>10</v>
      </c>
      <c r="AE1613">
        <v>0</v>
      </c>
      <c r="AF1613">
        <v>0</v>
      </c>
      <c r="AG1613">
        <v>1</v>
      </c>
      <c r="AH1613">
        <v>1</v>
      </c>
      <c r="AI1613" t="s">
        <v>1200</v>
      </c>
      <c r="AJ1613">
        <v>35.206203000000002</v>
      </c>
      <c r="AK1613" t="s">
        <v>1201</v>
      </c>
      <c r="AL1613">
        <v>-76.032364000000001</v>
      </c>
      <c r="AM1613">
        <v>25</v>
      </c>
      <c r="AN1613">
        <v>2925</v>
      </c>
      <c r="AO1613" t="s">
        <v>118</v>
      </c>
      <c r="AP1613">
        <v>66</v>
      </c>
      <c r="AQ1613">
        <v>-141</v>
      </c>
      <c r="AR1613">
        <v>0</v>
      </c>
      <c r="AZ1613">
        <v>4516</v>
      </c>
      <c r="BA1613">
        <v>1</v>
      </c>
      <c r="BB1613" t="str">
        <f t="shared" si="157"/>
        <v xml:space="preserve">N79NX   </v>
      </c>
      <c r="BC1613">
        <v>1</v>
      </c>
      <c r="BE1613">
        <v>0</v>
      </c>
      <c r="BF1613">
        <v>0</v>
      </c>
      <c r="BG1613">
        <v>0</v>
      </c>
      <c r="BH1613">
        <v>2775</v>
      </c>
      <c r="BI1613">
        <v>0</v>
      </c>
      <c r="BJ1613">
        <v>0</v>
      </c>
      <c r="BK1613">
        <v>0</v>
      </c>
      <c r="BL1613">
        <v>0</v>
      </c>
      <c r="BO1613">
        <v>0</v>
      </c>
      <c r="BP1613">
        <v>0</v>
      </c>
      <c r="BW1613" t="str">
        <f>"18:47:07.902"</f>
        <v>18:47:07.902</v>
      </c>
      <c r="BZ1613">
        <v>0</v>
      </c>
      <c r="CA1613">
        <v>3008</v>
      </c>
      <c r="CB1613">
        <v>216</v>
      </c>
      <c r="CC1613">
        <v>518.90629999999999</v>
      </c>
      <c r="CD1613">
        <v>1</v>
      </c>
      <c r="CE1613">
        <v>1</v>
      </c>
      <c r="CF1613">
        <v>0</v>
      </c>
      <c r="CG1613">
        <v>1</v>
      </c>
      <c r="CH1613">
        <v>0</v>
      </c>
      <c r="CI1613">
        <v>1</v>
      </c>
      <c r="CJ1613">
        <v>0</v>
      </c>
      <c r="CK1613">
        <v>2</v>
      </c>
      <c r="CL1613">
        <v>0</v>
      </c>
      <c r="CM1613">
        <v>2</v>
      </c>
      <c r="CN1613">
        <v>0</v>
      </c>
      <c r="CO1613">
        <v>2</v>
      </c>
      <c r="CP1613" t="s">
        <v>119</v>
      </c>
      <c r="CQ1613">
        <v>145</v>
      </c>
      <c r="CR1613">
        <v>1</v>
      </c>
      <c r="CW1613">
        <v>9183459</v>
      </c>
      <c r="CY1613">
        <v>0</v>
      </c>
      <c r="CZ1613">
        <v>0</v>
      </c>
      <c r="DA1613">
        <v>0</v>
      </c>
      <c r="DB1613">
        <v>0</v>
      </c>
      <c r="DC1613">
        <v>0</v>
      </c>
      <c r="DD1613">
        <v>0</v>
      </c>
      <c r="DE1613">
        <v>0</v>
      </c>
      <c r="DF1613">
        <v>0</v>
      </c>
      <c r="DG1613">
        <v>0</v>
      </c>
      <c r="DH1613">
        <v>0</v>
      </c>
      <c r="DI1613">
        <v>0</v>
      </c>
    </row>
    <row r="1614" spans="1:113" x14ac:dyDescent="0.3">
      <c r="A1614" t="str">
        <f>"02/13/2022 18:47:08.153"</f>
        <v>02/13/2022 18:47:08.153</v>
      </c>
      <c r="C1614" t="str">
        <f t="shared" si="150"/>
        <v>FFDFD7C0</v>
      </c>
      <c r="D1614" t="s">
        <v>113</v>
      </c>
      <c r="E1614">
        <v>3</v>
      </c>
      <c r="F1614">
        <v>1003</v>
      </c>
      <c r="G1614" t="s">
        <v>114</v>
      </c>
      <c r="J1614" t="s">
        <v>115</v>
      </c>
      <c r="K1614">
        <v>0</v>
      </c>
      <c r="L1614">
        <v>3</v>
      </c>
      <c r="M1614">
        <v>0</v>
      </c>
      <c r="N1614">
        <v>2</v>
      </c>
      <c r="O1614">
        <v>1</v>
      </c>
      <c r="P1614">
        <v>0</v>
      </c>
      <c r="Q1614">
        <v>0</v>
      </c>
      <c r="S1614" t="str">
        <f>"18:47:07.898"</f>
        <v>18:47:07.898</v>
      </c>
      <c r="T1614" t="str">
        <f>"18:47:07.298"</f>
        <v>18:47:07.298</v>
      </c>
      <c r="U1614" t="str">
        <f t="shared" si="155"/>
        <v>AAB6EE</v>
      </c>
      <c r="V1614">
        <v>0</v>
      </c>
      <c r="W1614">
        <v>0</v>
      </c>
      <c r="X1614">
        <v>4</v>
      </c>
      <c r="Z1614">
        <v>0</v>
      </c>
      <c r="AA1614">
        <v>8</v>
      </c>
      <c r="AB1614">
        <v>3</v>
      </c>
      <c r="AC1614">
        <v>0</v>
      </c>
      <c r="AD1614">
        <v>10</v>
      </c>
      <c r="AE1614">
        <v>0</v>
      </c>
      <c r="AF1614">
        <v>0</v>
      </c>
      <c r="AG1614">
        <v>1</v>
      </c>
      <c r="AH1614">
        <v>1</v>
      </c>
      <c r="AI1614" t="s">
        <v>1200</v>
      </c>
      <c r="AJ1614">
        <v>35.206203000000002</v>
      </c>
      <c r="AK1614" t="s">
        <v>1201</v>
      </c>
      <c r="AL1614">
        <v>-76.032364000000001</v>
      </c>
      <c r="AM1614">
        <v>25</v>
      </c>
      <c r="AN1614">
        <v>2925</v>
      </c>
      <c r="AO1614" t="s">
        <v>118</v>
      </c>
      <c r="AP1614">
        <v>66</v>
      </c>
      <c r="AQ1614">
        <v>-141</v>
      </c>
      <c r="AR1614">
        <v>0</v>
      </c>
      <c r="AZ1614">
        <v>4516</v>
      </c>
      <c r="BA1614">
        <v>1</v>
      </c>
      <c r="BB1614" t="str">
        <f t="shared" si="157"/>
        <v xml:space="preserve">N79NX   </v>
      </c>
      <c r="BC1614">
        <v>1</v>
      </c>
      <c r="BE1614">
        <v>0</v>
      </c>
      <c r="BF1614">
        <v>0</v>
      </c>
      <c r="BG1614">
        <v>0</v>
      </c>
      <c r="BH1614">
        <v>2775</v>
      </c>
      <c r="BI1614">
        <v>0</v>
      </c>
      <c r="BJ1614">
        <v>0</v>
      </c>
      <c r="BK1614">
        <v>0</v>
      </c>
      <c r="BL1614">
        <v>0</v>
      </c>
      <c r="BO1614">
        <v>0</v>
      </c>
      <c r="BP1614">
        <v>0</v>
      </c>
      <c r="BW1614" t="str">
        <f>"18:47:07.902"</f>
        <v>18:47:07.902</v>
      </c>
      <c r="BZ1614">
        <v>0</v>
      </c>
      <c r="CA1614">
        <v>3008</v>
      </c>
      <c r="CB1614">
        <v>216</v>
      </c>
      <c r="CC1614">
        <v>518.90629999999999</v>
      </c>
      <c r="CD1614">
        <v>1</v>
      </c>
      <c r="CE1614">
        <v>1</v>
      </c>
      <c r="CF1614">
        <v>0</v>
      </c>
      <c r="CG1614">
        <v>1</v>
      </c>
      <c r="CH1614">
        <v>0</v>
      </c>
      <c r="CI1614">
        <v>1</v>
      </c>
      <c r="CJ1614">
        <v>0</v>
      </c>
      <c r="CK1614">
        <v>2</v>
      </c>
      <c r="CL1614">
        <v>0</v>
      </c>
      <c r="CM1614">
        <v>2</v>
      </c>
      <c r="CN1614">
        <v>0</v>
      </c>
      <c r="CO1614">
        <v>2</v>
      </c>
      <c r="CP1614" t="s">
        <v>119</v>
      </c>
      <c r="CQ1614">
        <v>145</v>
      </c>
      <c r="CR1614">
        <v>1</v>
      </c>
      <c r="CW1614">
        <v>9183459</v>
      </c>
      <c r="CY1614">
        <v>0</v>
      </c>
      <c r="CZ1614">
        <v>0</v>
      </c>
      <c r="DA1614">
        <v>1</v>
      </c>
      <c r="DB1614">
        <v>0</v>
      </c>
      <c r="DC1614">
        <v>0</v>
      </c>
      <c r="DD1614">
        <v>0</v>
      </c>
      <c r="DE1614">
        <v>0</v>
      </c>
      <c r="DF1614">
        <v>0</v>
      </c>
      <c r="DG1614">
        <v>0</v>
      </c>
      <c r="DH1614">
        <v>0</v>
      </c>
      <c r="DI1614">
        <v>0</v>
      </c>
    </row>
    <row r="1615" spans="1:113" x14ac:dyDescent="0.3">
      <c r="A1615" t="str">
        <f>"02/13/2022 18:47:08.153"</f>
        <v>02/13/2022 18:47:08.153</v>
      </c>
      <c r="C1615" t="str">
        <f t="shared" si="150"/>
        <v>FFDFD7C0</v>
      </c>
      <c r="D1615" t="s">
        <v>113</v>
      </c>
      <c r="E1615">
        <v>4</v>
      </c>
      <c r="F1615">
        <v>1004</v>
      </c>
      <c r="G1615" t="s">
        <v>120</v>
      </c>
      <c r="J1615" t="s">
        <v>115</v>
      </c>
      <c r="K1615">
        <v>0</v>
      </c>
      <c r="L1615">
        <v>3</v>
      </c>
      <c r="M1615">
        <v>0</v>
      </c>
      <c r="N1615">
        <v>2</v>
      </c>
      <c r="O1615">
        <v>1</v>
      </c>
      <c r="P1615">
        <v>0</v>
      </c>
      <c r="Q1615">
        <v>0</v>
      </c>
      <c r="S1615" t="str">
        <f>"18:47:07.898"</f>
        <v>18:47:07.898</v>
      </c>
      <c r="T1615" t="str">
        <f>"18:47:07.298"</f>
        <v>18:47:07.298</v>
      </c>
      <c r="U1615" t="str">
        <f t="shared" si="155"/>
        <v>AAB6EE</v>
      </c>
      <c r="V1615">
        <v>0</v>
      </c>
      <c r="W1615">
        <v>0</v>
      </c>
      <c r="X1615">
        <v>4</v>
      </c>
      <c r="Z1615">
        <v>0</v>
      </c>
      <c r="AA1615">
        <v>8</v>
      </c>
      <c r="AB1615">
        <v>3</v>
      </c>
      <c r="AC1615">
        <v>0</v>
      </c>
      <c r="AD1615">
        <v>10</v>
      </c>
      <c r="AE1615">
        <v>0</v>
      </c>
      <c r="AF1615">
        <v>0</v>
      </c>
      <c r="AG1615">
        <v>1</v>
      </c>
      <c r="AH1615">
        <v>1</v>
      </c>
      <c r="AI1615" t="s">
        <v>1200</v>
      </c>
      <c r="AJ1615">
        <v>35.206203000000002</v>
      </c>
      <c r="AK1615" t="s">
        <v>1201</v>
      </c>
      <c r="AL1615">
        <v>-76.032364000000001</v>
      </c>
      <c r="AM1615">
        <v>25</v>
      </c>
      <c r="AN1615">
        <v>2925</v>
      </c>
      <c r="AO1615" t="s">
        <v>118</v>
      </c>
      <c r="AP1615">
        <v>66</v>
      </c>
      <c r="AQ1615">
        <v>-141</v>
      </c>
      <c r="AR1615">
        <v>0</v>
      </c>
      <c r="AZ1615">
        <v>4516</v>
      </c>
      <c r="BA1615">
        <v>1</v>
      </c>
      <c r="BB1615" t="str">
        <f t="shared" si="157"/>
        <v xml:space="preserve">N79NX   </v>
      </c>
      <c r="BC1615">
        <v>1</v>
      </c>
      <c r="BE1615">
        <v>0</v>
      </c>
      <c r="BF1615">
        <v>0</v>
      </c>
      <c r="BG1615">
        <v>0</v>
      </c>
      <c r="BH1615">
        <v>2775</v>
      </c>
      <c r="BI1615">
        <v>0</v>
      </c>
      <c r="BJ1615">
        <v>0</v>
      </c>
      <c r="BK1615">
        <v>0</v>
      </c>
      <c r="BL1615">
        <v>0</v>
      </c>
      <c r="BO1615">
        <v>0</v>
      </c>
      <c r="BP1615">
        <v>0</v>
      </c>
      <c r="BW1615" t="str">
        <f>"18:47:07.902"</f>
        <v>18:47:07.902</v>
      </c>
      <c r="BZ1615">
        <v>0</v>
      </c>
      <c r="CA1615">
        <v>3008</v>
      </c>
      <c r="CB1615">
        <v>216</v>
      </c>
      <c r="CC1615">
        <v>518.90629999999999</v>
      </c>
      <c r="CD1615">
        <v>1</v>
      </c>
      <c r="CE1615">
        <v>1</v>
      </c>
      <c r="CF1615">
        <v>0</v>
      </c>
      <c r="CG1615">
        <v>1</v>
      </c>
      <c r="CH1615">
        <v>0</v>
      </c>
      <c r="CI1615">
        <v>1</v>
      </c>
      <c r="CJ1615">
        <v>0</v>
      </c>
      <c r="CK1615">
        <v>2</v>
      </c>
      <c r="CL1615">
        <v>0</v>
      </c>
      <c r="CM1615">
        <v>2</v>
      </c>
      <c r="CN1615">
        <v>0</v>
      </c>
      <c r="CO1615">
        <v>2</v>
      </c>
      <c r="CP1615" t="s">
        <v>119</v>
      </c>
      <c r="CQ1615">
        <v>145</v>
      </c>
      <c r="CR1615">
        <v>1</v>
      </c>
      <c r="CW1615">
        <v>9183459</v>
      </c>
      <c r="CY1615">
        <v>0</v>
      </c>
      <c r="CZ1615">
        <v>0</v>
      </c>
      <c r="DA1615">
        <v>1</v>
      </c>
      <c r="DB1615">
        <v>0</v>
      </c>
      <c r="DC1615">
        <v>0</v>
      </c>
      <c r="DD1615">
        <v>0</v>
      </c>
      <c r="DE1615">
        <v>0</v>
      </c>
      <c r="DF1615">
        <v>0</v>
      </c>
      <c r="DG1615">
        <v>0</v>
      </c>
      <c r="DH1615">
        <v>0</v>
      </c>
      <c r="DI1615">
        <v>0</v>
      </c>
    </row>
    <row r="1616" spans="1:113" x14ac:dyDescent="0.3">
      <c r="A1616" t="str">
        <f>"02/13/2022 18:47:09.075"</f>
        <v>02/13/2022 18:47:09.075</v>
      </c>
      <c r="C1616" t="str">
        <f t="shared" si="150"/>
        <v>FFDFD7C0</v>
      </c>
      <c r="D1616" t="s">
        <v>113</v>
      </c>
      <c r="E1616">
        <v>3</v>
      </c>
      <c r="F1616">
        <v>1003</v>
      </c>
      <c r="G1616" t="s">
        <v>114</v>
      </c>
      <c r="J1616" t="s">
        <v>115</v>
      </c>
      <c r="K1616">
        <v>0</v>
      </c>
      <c r="L1616">
        <v>3</v>
      </c>
      <c r="M1616">
        <v>0</v>
      </c>
      <c r="N1616">
        <v>2</v>
      </c>
      <c r="O1616">
        <v>1</v>
      </c>
      <c r="P1616">
        <v>0</v>
      </c>
      <c r="Q1616">
        <v>0</v>
      </c>
      <c r="S1616" t="str">
        <f>"18:47:08.828"</f>
        <v>18:47:08.828</v>
      </c>
      <c r="T1616" t="str">
        <f>"18:47:07.328"</f>
        <v>18:47:07.328</v>
      </c>
      <c r="U1616" t="str">
        <f t="shared" si="155"/>
        <v>AAB6EE</v>
      </c>
      <c r="V1616">
        <v>0</v>
      </c>
      <c r="W1616">
        <v>0</v>
      </c>
      <c r="X1616">
        <v>4</v>
      </c>
      <c r="Z1616">
        <v>0</v>
      </c>
      <c r="AA1616">
        <v>8</v>
      </c>
      <c r="AB1616">
        <v>3</v>
      </c>
      <c r="AC1616">
        <v>0</v>
      </c>
      <c r="AD1616">
        <v>10</v>
      </c>
      <c r="AE1616">
        <v>0</v>
      </c>
      <c r="AF1616">
        <v>0</v>
      </c>
      <c r="AG1616">
        <v>1</v>
      </c>
      <c r="AH1616">
        <v>1</v>
      </c>
      <c r="AI1616" t="s">
        <v>1202</v>
      </c>
      <c r="AJ1616">
        <v>35.205537999999997</v>
      </c>
      <c r="AK1616" t="s">
        <v>1203</v>
      </c>
      <c r="AL1616">
        <v>-76.032021</v>
      </c>
      <c r="AM1616">
        <v>25</v>
      </c>
      <c r="AN1616">
        <v>2925</v>
      </c>
      <c r="AO1616" t="s">
        <v>118</v>
      </c>
      <c r="AP1616">
        <v>66</v>
      </c>
      <c r="AQ1616">
        <v>-141</v>
      </c>
      <c r="AR1616">
        <v>0</v>
      </c>
      <c r="AZ1616">
        <v>4516</v>
      </c>
      <c r="BA1616">
        <v>1</v>
      </c>
      <c r="BB1616" t="str">
        <f t="shared" si="157"/>
        <v xml:space="preserve">N79NX   </v>
      </c>
      <c r="BC1616">
        <v>1</v>
      </c>
      <c r="BE1616">
        <v>0</v>
      </c>
      <c r="BF1616">
        <v>0</v>
      </c>
      <c r="BG1616">
        <v>0</v>
      </c>
      <c r="BH1616">
        <v>2775</v>
      </c>
      <c r="BI1616">
        <v>0</v>
      </c>
      <c r="BJ1616">
        <v>0</v>
      </c>
      <c r="BK1616">
        <v>0</v>
      </c>
      <c r="BL1616">
        <v>0</v>
      </c>
      <c r="BO1616">
        <v>0</v>
      </c>
      <c r="BP1616">
        <v>0</v>
      </c>
      <c r="BW1616" t="str">
        <f>"18:47:08.832"</f>
        <v>18:47:08.832</v>
      </c>
      <c r="BZ1616">
        <v>0</v>
      </c>
      <c r="CA1616">
        <v>3008</v>
      </c>
      <c r="CB1616">
        <v>216</v>
      </c>
      <c r="CC1616">
        <v>518.90629999999999</v>
      </c>
      <c r="CD1616">
        <v>1</v>
      </c>
      <c r="CE1616">
        <v>1</v>
      </c>
      <c r="CF1616">
        <v>0</v>
      </c>
      <c r="CG1616">
        <v>1</v>
      </c>
      <c r="CH1616">
        <v>0</v>
      </c>
      <c r="CI1616">
        <v>1</v>
      </c>
      <c r="CJ1616">
        <v>0</v>
      </c>
      <c r="CK1616">
        <v>2</v>
      </c>
      <c r="CL1616">
        <v>0</v>
      </c>
      <c r="CM1616">
        <v>2</v>
      </c>
      <c r="CN1616">
        <v>0</v>
      </c>
      <c r="CO1616">
        <v>2</v>
      </c>
      <c r="CP1616" t="s">
        <v>119</v>
      </c>
      <c r="CQ1616">
        <v>145</v>
      </c>
      <c r="CR1616">
        <v>1</v>
      </c>
      <c r="CW1616">
        <v>9183841</v>
      </c>
      <c r="CY1616">
        <v>0</v>
      </c>
      <c r="CZ1616">
        <v>0</v>
      </c>
      <c r="DA1616">
        <v>0</v>
      </c>
      <c r="DB1616">
        <v>0</v>
      </c>
      <c r="DC1616">
        <v>0</v>
      </c>
      <c r="DD1616">
        <v>0</v>
      </c>
      <c r="DE1616">
        <v>0</v>
      </c>
      <c r="DF1616">
        <v>0</v>
      </c>
      <c r="DG1616">
        <v>0</v>
      </c>
      <c r="DH1616">
        <v>0</v>
      </c>
      <c r="DI1616">
        <v>0</v>
      </c>
    </row>
    <row r="1617" spans="1:113" x14ac:dyDescent="0.3">
      <c r="A1617" t="str">
        <f>"02/13/2022 18:47:09.075"</f>
        <v>02/13/2022 18:47:09.075</v>
      </c>
      <c r="C1617" t="str">
        <f t="shared" si="150"/>
        <v>FFDFD7C0</v>
      </c>
      <c r="D1617" t="s">
        <v>113</v>
      </c>
      <c r="E1617">
        <v>4</v>
      </c>
      <c r="F1617">
        <v>1004</v>
      </c>
      <c r="G1617" t="s">
        <v>120</v>
      </c>
      <c r="J1617" t="s">
        <v>115</v>
      </c>
      <c r="K1617">
        <v>0</v>
      </c>
      <c r="L1617">
        <v>3</v>
      </c>
      <c r="M1617">
        <v>0</v>
      </c>
      <c r="N1617">
        <v>2</v>
      </c>
      <c r="O1617">
        <v>1</v>
      </c>
      <c r="P1617">
        <v>0</v>
      </c>
      <c r="Q1617">
        <v>0</v>
      </c>
      <c r="S1617" t="str">
        <f>"18:47:08.828"</f>
        <v>18:47:08.828</v>
      </c>
      <c r="T1617" t="str">
        <f>"18:47:07.328"</f>
        <v>18:47:07.328</v>
      </c>
      <c r="U1617" t="str">
        <f t="shared" si="155"/>
        <v>AAB6EE</v>
      </c>
      <c r="V1617">
        <v>0</v>
      </c>
      <c r="W1617">
        <v>0</v>
      </c>
      <c r="X1617">
        <v>4</v>
      </c>
      <c r="Z1617">
        <v>0</v>
      </c>
      <c r="AA1617">
        <v>8</v>
      </c>
      <c r="AB1617">
        <v>3</v>
      </c>
      <c r="AC1617">
        <v>0</v>
      </c>
      <c r="AD1617">
        <v>10</v>
      </c>
      <c r="AE1617">
        <v>0</v>
      </c>
      <c r="AF1617">
        <v>0</v>
      </c>
      <c r="AG1617">
        <v>1</v>
      </c>
      <c r="AH1617">
        <v>1</v>
      </c>
      <c r="AI1617" t="s">
        <v>1202</v>
      </c>
      <c r="AJ1617">
        <v>35.205537999999997</v>
      </c>
      <c r="AK1617" t="s">
        <v>1203</v>
      </c>
      <c r="AL1617">
        <v>-76.032021</v>
      </c>
      <c r="AM1617">
        <v>25</v>
      </c>
      <c r="AN1617">
        <v>2925</v>
      </c>
      <c r="AO1617" t="s">
        <v>118</v>
      </c>
      <c r="AP1617">
        <v>66</v>
      </c>
      <c r="AQ1617">
        <v>-141</v>
      </c>
      <c r="AR1617">
        <v>0</v>
      </c>
      <c r="AZ1617">
        <v>4516</v>
      </c>
      <c r="BA1617">
        <v>1</v>
      </c>
      <c r="BB1617" t="str">
        <f t="shared" si="157"/>
        <v xml:space="preserve">N79NX   </v>
      </c>
      <c r="BC1617">
        <v>1</v>
      </c>
      <c r="BE1617">
        <v>0</v>
      </c>
      <c r="BF1617">
        <v>0</v>
      </c>
      <c r="BG1617">
        <v>0</v>
      </c>
      <c r="BH1617">
        <v>2775</v>
      </c>
      <c r="BI1617">
        <v>0</v>
      </c>
      <c r="BJ1617">
        <v>0</v>
      </c>
      <c r="BK1617">
        <v>0</v>
      </c>
      <c r="BL1617">
        <v>0</v>
      </c>
      <c r="BO1617">
        <v>0</v>
      </c>
      <c r="BP1617">
        <v>0</v>
      </c>
      <c r="BW1617" t="str">
        <f>"18:47:08.832"</f>
        <v>18:47:08.832</v>
      </c>
      <c r="BZ1617">
        <v>0</v>
      </c>
      <c r="CA1617">
        <v>3008</v>
      </c>
      <c r="CB1617">
        <v>216</v>
      </c>
      <c r="CC1617">
        <v>518.90629999999999</v>
      </c>
      <c r="CD1617">
        <v>1</v>
      </c>
      <c r="CE1617">
        <v>1</v>
      </c>
      <c r="CF1617">
        <v>0</v>
      </c>
      <c r="CG1617">
        <v>1</v>
      </c>
      <c r="CH1617">
        <v>0</v>
      </c>
      <c r="CI1617">
        <v>1</v>
      </c>
      <c r="CJ1617">
        <v>0</v>
      </c>
      <c r="CK1617">
        <v>2</v>
      </c>
      <c r="CL1617">
        <v>0</v>
      </c>
      <c r="CM1617">
        <v>2</v>
      </c>
      <c r="CN1617">
        <v>0</v>
      </c>
      <c r="CO1617">
        <v>2</v>
      </c>
      <c r="CP1617" t="s">
        <v>119</v>
      </c>
      <c r="CQ1617">
        <v>145</v>
      </c>
      <c r="CR1617">
        <v>1</v>
      </c>
      <c r="CW1617">
        <v>9183841</v>
      </c>
      <c r="CY1617">
        <v>0</v>
      </c>
      <c r="CZ1617">
        <v>0</v>
      </c>
      <c r="DA1617">
        <v>1</v>
      </c>
      <c r="DB1617">
        <v>0</v>
      </c>
      <c r="DC1617">
        <v>0</v>
      </c>
      <c r="DD1617">
        <v>0</v>
      </c>
      <c r="DE1617">
        <v>0</v>
      </c>
      <c r="DF1617">
        <v>0</v>
      </c>
      <c r="DG1617">
        <v>0</v>
      </c>
      <c r="DH1617">
        <v>0</v>
      </c>
      <c r="DI1617">
        <v>0</v>
      </c>
    </row>
    <row r="1618" spans="1:113" x14ac:dyDescent="0.3">
      <c r="A1618" t="str">
        <f>"02/13/2022 18:47:09.075"</f>
        <v>02/13/2022 18:47:09.075</v>
      </c>
      <c r="C1618" t="str">
        <f t="shared" si="150"/>
        <v>FFDFD7C0</v>
      </c>
      <c r="D1618" t="s">
        <v>121</v>
      </c>
      <c r="E1618">
        <v>2</v>
      </c>
      <c r="H1618">
        <v>158</v>
      </c>
      <c r="I1618" t="s">
        <v>120</v>
      </c>
      <c r="J1618" t="s">
        <v>122</v>
      </c>
      <c r="K1618">
        <v>0</v>
      </c>
      <c r="L1618">
        <v>3</v>
      </c>
      <c r="M1618">
        <v>0</v>
      </c>
      <c r="N1618">
        <v>2</v>
      </c>
      <c r="O1618">
        <v>1</v>
      </c>
      <c r="P1618">
        <v>0</v>
      </c>
      <c r="Q1618">
        <v>0</v>
      </c>
      <c r="S1618" t="str">
        <f>"18:47:08.828"</f>
        <v>18:47:08.828</v>
      </c>
      <c r="T1618" t="str">
        <f>"18:47:07.328"</f>
        <v>18:47:07.328</v>
      </c>
      <c r="U1618" t="str">
        <f t="shared" si="155"/>
        <v>AAB6EE</v>
      </c>
      <c r="V1618">
        <v>0</v>
      </c>
      <c r="W1618">
        <v>0</v>
      </c>
      <c r="X1618">
        <v>4</v>
      </c>
      <c r="Z1618">
        <v>0</v>
      </c>
      <c r="AA1618">
        <v>8</v>
      </c>
      <c r="AB1618">
        <v>3</v>
      </c>
      <c r="AC1618">
        <v>0</v>
      </c>
      <c r="AD1618">
        <v>10</v>
      </c>
      <c r="AE1618">
        <v>0</v>
      </c>
      <c r="AF1618">
        <v>0</v>
      </c>
      <c r="AG1618">
        <v>1</v>
      </c>
      <c r="AH1618">
        <v>1</v>
      </c>
      <c r="AI1618" t="s">
        <v>1202</v>
      </c>
      <c r="AJ1618">
        <v>35.205537999999997</v>
      </c>
      <c r="AK1618" t="s">
        <v>1203</v>
      </c>
      <c r="AL1618">
        <v>-76.032021</v>
      </c>
      <c r="AM1618">
        <v>25</v>
      </c>
      <c r="AN1618">
        <v>2925</v>
      </c>
      <c r="AO1618" t="s">
        <v>118</v>
      </c>
      <c r="AP1618">
        <v>66</v>
      </c>
      <c r="AQ1618">
        <v>-141</v>
      </c>
      <c r="AR1618">
        <v>0</v>
      </c>
      <c r="AZ1618">
        <v>4516</v>
      </c>
      <c r="BA1618">
        <v>1</v>
      </c>
      <c r="BB1618" t="str">
        <f t="shared" si="157"/>
        <v xml:space="preserve">N79NX   </v>
      </c>
      <c r="BC1618">
        <v>1</v>
      </c>
      <c r="BE1618">
        <v>0</v>
      </c>
      <c r="BF1618">
        <v>0</v>
      </c>
      <c r="BG1618">
        <v>0</v>
      </c>
      <c r="BH1618">
        <v>2775</v>
      </c>
      <c r="BI1618">
        <v>0</v>
      </c>
      <c r="BJ1618">
        <v>0</v>
      </c>
      <c r="BK1618">
        <v>0</v>
      </c>
      <c r="BL1618">
        <v>0</v>
      </c>
      <c r="BO1618">
        <v>0</v>
      </c>
      <c r="BP1618">
        <v>0</v>
      </c>
      <c r="BW1618" t="str">
        <f>"18:47:08.832"</f>
        <v>18:47:08.832</v>
      </c>
      <c r="BZ1618">
        <v>0</v>
      </c>
      <c r="CA1618">
        <v>3008</v>
      </c>
      <c r="CB1618">
        <v>216</v>
      </c>
      <c r="CC1618">
        <v>518.90629999999999</v>
      </c>
      <c r="CD1618">
        <v>1</v>
      </c>
      <c r="CE1618">
        <v>1</v>
      </c>
      <c r="CF1618">
        <v>0</v>
      </c>
      <c r="CG1618">
        <v>1</v>
      </c>
      <c r="CH1618">
        <v>0</v>
      </c>
      <c r="CI1618">
        <v>1</v>
      </c>
      <c r="CJ1618">
        <v>0</v>
      </c>
      <c r="CK1618">
        <v>2</v>
      </c>
      <c r="CL1618">
        <v>0</v>
      </c>
      <c r="CM1618">
        <v>2</v>
      </c>
      <c r="CN1618">
        <v>0</v>
      </c>
      <c r="CO1618">
        <v>2</v>
      </c>
      <c r="CP1618" t="s">
        <v>119</v>
      </c>
      <c r="CQ1618">
        <v>145</v>
      </c>
      <c r="CR1618">
        <v>1</v>
      </c>
      <c r="CW1618">
        <v>9183841</v>
      </c>
      <c r="CY1618">
        <v>0</v>
      </c>
      <c r="CZ1618">
        <v>0</v>
      </c>
      <c r="DA1618">
        <v>1</v>
      </c>
      <c r="DB1618">
        <v>0</v>
      </c>
      <c r="DC1618">
        <v>0</v>
      </c>
      <c r="DD1618">
        <v>0</v>
      </c>
      <c r="DE1618">
        <v>0</v>
      </c>
      <c r="DF1618">
        <v>0</v>
      </c>
      <c r="DG1618">
        <v>0</v>
      </c>
      <c r="DH1618">
        <v>0</v>
      </c>
      <c r="DI1618">
        <v>0</v>
      </c>
    </row>
    <row r="1619" spans="1:113" x14ac:dyDescent="0.3">
      <c r="A1619" t="str">
        <f>"02/13/2022 18:47:09.937"</f>
        <v>02/13/2022 18:47:09.937</v>
      </c>
      <c r="C1619" t="str">
        <f t="shared" si="150"/>
        <v>FFDFD7C0</v>
      </c>
      <c r="D1619" t="s">
        <v>121</v>
      </c>
      <c r="E1619">
        <v>2</v>
      </c>
      <c r="H1619">
        <v>158</v>
      </c>
      <c r="I1619" t="s">
        <v>120</v>
      </c>
      <c r="J1619" t="s">
        <v>122</v>
      </c>
      <c r="K1619">
        <v>0</v>
      </c>
      <c r="L1619">
        <v>3</v>
      </c>
      <c r="M1619">
        <v>0</v>
      </c>
      <c r="N1619">
        <v>2</v>
      </c>
      <c r="O1619">
        <v>1</v>
      </c>
      <c r="P1619">
        <v>0</v>
      </c>
      <c r="Q1619">
        <v>0</v>
      </c>
      <c r="S1619" t="str">
        <f>"18:47:09.742"</f>
        <v>18:47:09.742</v>
      </c>
      <c r="T1619" t="str">
        <f>"18:47:09.442"</f>
        <v>18:47:09.442</v>
      </c>
      <c r="U1619" t="str">
        <f t="shared" si="155"/>
        <v>AAB6EE</v>
      </c>
      <c r="V1619">
        <v>0</v>
      </c>
      <c r="W1619">
        <v>0</v>
      </c>
      <c r="X1619">
        <v>4</v>
      </c>
      <c r="Z1619">
        <v>0</v>
      </c>
      <c r="AA1619">
        <v>8</v>
      </c>
      <c r="AB1619">
        <v>3</v>
      </c>
      <c r="AC1619">
        <v>0</v>
      </c>
      <c r="AD1619">
        <v>10</v>
      </c>
      <c r="AE1619">
        <v>0</v>
      </c>
      <c r="AF1619">
        <v>0</v>
      </c>
      <c r="AG1619">
        <v>1</v>
      </c>
      <c r="AH1619">
        <v>1</v>
      </c>
      <c r="AI1619" t="s">
        <v>1204</v>
      </c>
      <c r="AJ1619">
        <v>35.204959000000002</v>
      </c>
      <c r="AK1619" t="s">
        <v>278</v>
      </c>
      <c r="AL1619">
        <v>-76.031677999999999</v>
      </c>
      <c r="AM1619">
        <v>25</v>
      </c>
      <c r="AN1619">
        <v>2925</v>
      </c>
      <c r="AO1619" t="s">
        <v>118</v>
      </c>
      <c r="AP1619">
        <v>67</v>
      </c>
      <c r="AQ1619">
        <v>-141</v>
      </c>
      <c r="AR1619">
        <v>0</v>
      </c>
      <c r="AZ1619">
        <v>4516</v>
      </c>
      <c r="BA1619">
        <v>1</v>
      </c>
      <c r="BB1619" t="str">
        <f t="shared" si="157"/>
        <v xml:space="preserve">N79NX   </v>
      </c>
      <c r="BC1619">
        <v>1</v>
      </c>
      <c r="BE1619">
        <v>0</v>
      </c>
      <c r="BF1619">
        <v>0</v>
      </c>
      <c r="BG1619">
        <v>0</v>
      </c>
      <c r="BH1619">
        <v>2775</v>
      </c>
      <c r="BI1619">
        <v>0</v>
      </c>
      <c r="BJ1619">
        <v>0</v>
      </c>
      <c r="BK1619">
        <v>0</v>
      </c>
      <c r="BL1619">
        <v>0</v>
      </c>
      <c r="BO1619">
        <v>0</v>
      </c>
      <c r="BP1619">
        <v>0</v>
      </c>
      <c r="BW1619" t="str">
        <f>"18:47:09.743"</f>
        <v>18:47:09.743</v>
      </c>
      <c r="BZ1619">
        <v>0</v>
      </c>
      <c r="CA1619">
        <v>3008</v>
      </c>
      <c r="CB1619">
        <v>216</v>
      </c>
      <c r="CC1619">
        <v>518.90629999999999</v>
      </c>
      <c r="CD1619">
        <v>1</v>
      </c>
      <c r="CE1619">
        <v>1</v>
      </c>
      <c r="CF1619">
        <v>0</v>
      </c>
      <c r="CG1619">
        <v>1</v>
      </c>
      <c r="CH1619">
        <v>0</v>
      </c>
      <c r="CI1619">
        <v>1</v>
      </c>
      <c r="CJ1619">
        <v>0</v>
      </c>
      <c r="CK1619">
        <v>2</v>
      </c>
      <c r="CL1619">
        <v>0</v>
      </c>
      <c r="CM1619">
        <v>2</v>
      </c>
      <c r="CN1619">
        <v>0</v>
      </c>
      <c r="CO1619">
        <v>2</v>
      </c>
      <c r="CP1619" t="s">
        <v>119</v>
      </c>
      <c r="CQ1619">
        <v>145</v>
      </c>
      <c r="CR1619">
        <v>1</v>
      </c>
      <c r="CW1619">
        <v>9184238</v>
      </c>
      <c r="CY1619">
        <v>0</v>
      </c>
      <c r="CZ1619">
        <v>0</v>
      </c>
      <c r="DA1619">
        <v>0</v>
      </c>
      <c r="DB1619">
        <v>0</v>
      </c>
      <c r="DC1619">
        <v>0</v>
      </c>
      <c r="DD1619">
        <v>0</v>
      </c>
      <c r="DE1619">
        <v>0</v>
      </c>
      <c r="DF1619">
        <v>0</v>
      </c>
      <c r="DG1619">
        <v>0</v>
      </c>
      <c r="DH1619">
        <v>0</v>
      </c>
      <c r="DI1619">
        <v>0</v>
      </c>
    </row>
    <row r="1620" spans="1:113" x14ac:dyDescent="0.3">
      <c r="A1620" t="str">
        <f>"02/13/2022 18:47:10.124"</f>
        <v>02/13/2022 18:47:10.124</v>
      </c>
      <c r="C1620" t="str">
        <f t="shared" si="150"/>
        <v>FFDFD7C0</v>
      </c>
      <c r="D1620" t="s">
        <v>113</v>
      </c>
      <c r="E1620">
        <v>3</v>
      </c>
      <c r="F1620">
        <v>1003</v>
      </c>
      <c r="G1620" t="s">
        <v>114</v>
      </c>
      <c r="J1620" t="s">
        <v>115</v>
      </c>
      <c r="K1620">
        <v>0</v>
      </c>
      <c r="L1620">
        <v>3</v>
      </c>
      <c r="M1620">
        <v>0</v>
      </c>
      <c r="N1620">
        <v>2</v>
      </c>
      <c r="O1620">
        <v>1</v>
      </c>
      <c r="P1620">
        <v>0</v>
      </c>
      <c r="Q1620">
        <v>0</v>
      </c>
      <c r="S1620" t="str">
        <f>"18:47:09.742"</f>
        <v>18:47:09.742</v>
      </c>
      <c r="T1620" t="str">
        <f>"18:47:09.442"</f>
        <v>18:47:09.442</v>
      </c>
      <c r="U1620" t="str">
        <f t="shared" si="155"/>
        <v>AAB6EE</v>
      </c>
      <c r="V1620">
        <v>0</v>
      </c>
      <c r="W1620">
        <v>0</v>
      </c>
      <c r="X1620">
        <v>4</v>
      </c>
      <c r="Z1620">
        <v>0</v>
      </c>
      <c r="AA1620">
        <v>8</v>
      </c>
      <c r="AB1620">
        <v>3</v>
      </c>
      <c r="AC1620">
        <v>0</v>
      </c>
      <c r="AD1620">
        <v>10</v>
      </c>
      <c r="AE1620">
        <v>0</v>
      </c>
      <c r="AF1620">
        <v>0</v>
      </c>
      <c r="AG1620">
        <v>1</v>
      </c>
      <c r="AH1620">
        <v>1</v>
      </c>
      <c r="AI1620" t="s">
        <v>1204</v>
      </c>
      <c r="AJ1620">
        <v>35.204959000000002</v>
      </c>
      <c r="AK1620" t="s">
        <v>278</v>
      </c>
      <c r="AL1620">
        <v>-76.031677999999999</v>
      </c>
      <c r="AM1620">
        <v>25</v>
      </c>
      <c r="AN1620">
        <v>2925</v>
      </c>
      <c r="AO1620" t="s">
        <v>118</v>
      </c>
      <c r="AP1620">
        <v>67</v>
      </c>
      <c r="AQ1620">
        <v>-141</v>
      </c>
      <c r="AR1620">
        <v>0</v>
      </c>
      <c r="AZ1620">
        <v>4516</v>
      </c>
      <c r="BA1620">
        <v>1</v>
      </c>
      <c r="BB1620" t="str">
        <f t="shared" si="157"/>
        <v xml:space="preserve">N79NX   </v>
      </c>
      <c r="BC1620">
        <v>1</v>
      </c>
      <c r="BE1620">
        <v>0</v>
      </c>
      <c r="BF1620">
        <v>0</v>
      </c>
      <c r="BG1620">
        <v>0</v>
      </c>
      <c r="BH1620">
        <v>2775</v>
      </c>
      <c r="BI1620">
        <v>0</v>
      </c>
      <c r="BJ1620">
        <v>0</v>
      </c>
      <c r="BK1620">
        <v>0</v>
      </c>
      <c r="BL1620">
        <v>0</v>
      </c>
      <c r="BO1620">
        <v>0</v>
      </c>
      <c r="BP1620">
        <v>0</v>
      </c>
      <c r="BW1620" t="str">
        <f>"18:47:09.743"</f>
        <v>18:47:09.743</v>
      </c>
      <c r="BZ1620">
        <v>0</v>
      </c>
      <c r="CA1620">
        <v>3008</v>
      </c>
      <c r="CB1620">
        <v>216</v>
      </c>
      <c r="CC1620">
        <v>518.90629999999999</v>
      </c>
      <c r="CD1620">
        <v>1</v>
      </c>
      <c r="CE1620">
        <v>1</v>
      </c>
      <c r="CF1620">
        <v>0</v>
      </c>
      <c r="CG1620">
        <v>1</v>
      </c>
      <c r="CH1620">
        <v>0</v>
      </c>
      <c r="CI1620">
        <v>1</v>
      </c>
      <c r="CJ1620">
        <v>0</v>
      </c>
      <c r="CK1620">
        <v>2</v>
      </c>
      <c r="CL1620">
        <v>0</v>
      </c>
      <c r="CM1620">
        <v>2</v>
      </c>
      <c r="CN1620">
        <v>0</v>
      </c>
      <c r="CO1620">
        <v>2</v>
      </c>
      <c r="CP1620" t="s">
        <v>119</v>
      </c>
      <c r="CQ1620">
        <v>145</v>
      </c>
      <c r="CR1620">
        <v>1</v>
      </c>
      <c r="CW1620">
        <v>9184238</v>
      </c>
      <c r="CY1620">
        <v>0</v>
      </c>
      <c r="CZ1620">
        <v>0</v>
      </c>
      <c r="DA1620">
        <v>1</v>
      </c>
      <c r="DB1620">
        <v>0</v>
      </c>
      <c r="DC1620">
        <v>0</v>
      </c>
      <c r="DD1620">
        <v>0</v>
      </c>
      <c r="DE1620">
        <v>0</v>
      </c>
      <c r="DF1620">
        <v>0</v>
      </c>
      <c r="DG1620">
        <v>0</v>
      </c>
      <c r="DH1620">
        <v>0</v>
      </c>
      <c r="DI1620">
        <v>0</v>
      </c>
    </row>
    <row r="1621" spans="1:113" x14ac:dyDescent="0.3">
      <c r="A1621" t="str">
        <f>"02/13/2022 18:47:10.124"</f>
        <v>02/13/2022 18:47:10.124</v>
      </c>
      <c r="C1621" t="str">
        <f t="shared" si="150"/>
        <v>FFDFD7C0</v>
      </c>
      <c r="D1621" t="s">
        <v>113</v>
      </c>
      <c r="E1621">
        <v>4</v>
      </c>
      <c r="F1621">
        <v>1004</v>
      </c>
      <c r="G1621" t="s">
        <v>120</v>
      </c>
      <c r="J1621" t="s">
        <v>115</v>
      </c>
      <c r="K1621">
        <v>0</v>
      </c>
      <c r="L1621">
        <v>3</v>
      </c>
      <c r="M1621">
        <v>0</v>
      </c>
      <c r="N1621">
        <v>2</v>
      </c>
      <c r="O1621">
        <v>1</v>
      </c>
      <c r="P1621">
        <v>0</v>
      </c>
      <c r="Q1621">
        <v>0</v>
      </c>
      <c r="S1621" t="str">
        <f>"18:47:09.742"</f>
        <v>18:47:09.742</v>
      </c>
      <c r="T1621" t="str">
        <f>"18:47:09.442"</f>
        <v>18:47:09.442</v>
      </c>
      <c r="U1621" t="str">
        <f t="shared" si="155"/>
        <v>AAB6EE</v>
      </c>
      <c r="V1621">
        <v>0</v>
      </c>
      <c r="W1621">
        <v>0</v>
      </c>
      <c r="X1621">
        <v>4</v>
      </c>
      <c r="Z1621">
        <v>0</v>
      </c>
      <c r="AA1621">
        <v>8</v>
      </c>
      <c r="AB1621">
        <v>3</v>
      </c>
      <c r="AC1621">
        <v>0</v>
      </c>
      <c r="AD1621">
        <v>10</v>
      </c>
      <c r="AE1621">
        <v>0</v>
      </c>
      <c r="AF1621">
        <v>0</v>
      </c>
      <c r="AG1621">
        <v>1</v>
      </c>
      <c r="AH1621">
        <v>1</v>
      </c>
      <c r="AI1621" t="s">
        <v>1204</v>
      </c>
      <c r="AJ1621">
        <v>35.204959000000002</v>
      </c>
      <c r="AK1621" t="s">
        <v>278</v>
      </c>
      <c r="AL1621">
        <v>-76.031677999999999</v>
      </c>
      <c r="AM1621">
        <v>25</v>
      </c>
      <c r="AN1621">
        <v>2925</v>
      </c>
      <c r="AO1621" t="s">
        <v>118</v>
      </c>
      <c r="AP1621">
        <v>67</v>
      </c>
      <c r="AQ1621">
        <v>-141</v>
      </c>
      <c r="AR1621">
        <v>0</v>
      </c>
      <c r="AZ1621">
        <v>4516</v>
      </c>
      <c r="BA1621">
        <v>1</v>
      </c>
      <c r="BB1621" t="str">
        <f t="shared" si="157"/>
        <v xml:space="preserve">N79NX   </v>
      </c>
      <c r="BC1621">
        <v>1</v>
      </c>
      <c r="BE1621">
        <v>0</v>
      </c>
      <c r="BF1621">
        <v>0</v>
      </c>
      <c r="BG1621">
        <v>0</v>
      </c>
      <c r="BH1621">
        <v>2775</v>
      </c>
      <c r="BI1621">
        <v>0</v>
      </c>
      <c r="BJ1621">
        <v>0</v>
      </c>
      <c r="BK1621">
        <v>0</v>
      </c>
      <c r="BL1621">
        <v>0</v>
      </c>
      <c r="BO1621">
        <v>0</v>
      </c>
      <c r="BP1621">
        <v>0</v>
      </c>
      <c r="BW1621" t="str">
        <f>"18:47:09.743"</f>
        <v>18:47:09.743</v>
      </c>
      <c r="BZ1621">
        <v>0</v>
      </c>
      <c r="CA1621">
        <v>3008</v>
      </c>
      <c r="CB1621">
        <v>216</v>
      </c>
      <c r="CC1621">
        <v>518.90629999999999</v>
      </c>
      <c r="CD1621">
        <v>1</v>
      </c>
      <c r="CE1621">
        <v>1</v>
      </c>
      <c r="CF1621">
        <v>0</v>
      </c>
      <c r="CG1621">
        <v>1</v>
      </c>
      <c r="CH1621">
        <v>0</v>
      </c>
      <c r="CI1621">
        <v>1</v>
      </c>
      <c r="CJ1621">
        <v>0</v>
      </c>
      <c r="CK1621">
        <v>2</v>
      </c>
      <c r="CL1621">
        <v>0</v>
      </c>
      <c r="CM1621">
        <v>2</v>
      </c>
      <c r="CN1621">
        <v>0</v>
      </c>
      <c r="CO1621">
        <v>2</v>
      </c>
      <c r="CP1621" t="s">
        <v>119</v>
      </c>
      <c r="CQ1621">
        <v>145</v>
      </c>
      <c r="CR1621">
        <v>1</v>
      </c>
      <c r="CW1621">
        <v>9184238</v>
      </c>
      <c r="CY1621">
        <v>0</v>
      </c>
      <c r="CZ1621">
        <v>0</v>
      </c>
      <c r="DA1621">
        <v>1</v>
      </c>
      <c r="DB1621">
        <v>0</v>
      </c>
      <c r="DC1621">
        <v>0</v>
      </c>
      <c r="DD1621">
        <v>0</v>
      </c>
      <c r="DE1621">
        <v>0</v>
      </c>
      <c r="DF1621">
        <v>0</v>
      </c>
      <c r="DG1621">
        <v>0</v>
      </c>
      <c r="DH1621">
        <v>0</v>
      </c>
      <c r="DI1621">
        <v>0</v>
      </c>
    </row>
    <row r="1622" spans="1:113" x14ac:dyDescent="0.3">
      <c r="A1622" t="str">
        <f>"02/13/2022 18:47:11.031"</f>
        <v>02/13/2022 18:47:11.031</v>
      </c>
      <c r="C1622" t="str">
        <f t="shared" si="150"/>
        <v>FFDFD7C0</v>
      </c>
      <c r="D1622" t="s">
        <v>113</v>
      </c>
      <c r="E1622">
        <v>3</v>
      </c>
      <c r="F1622">
        <v>1003</v>
      </c>
      <c r="G1622" t="s">
        <v>114</v>
      </c>
      <c r="J1622" t="s">
        <v>115</v>
      </c>
      <c r="K1622">
        <v>0</v>
      </c>
      <c r="L1622">
        <v>3</v>
      </c>
      <c r="M1622">
        <v>0</v>
      </c>
      <c r="N1622">
        <v>2</v>
      </c>
      <c r="O1622">
        <v>1</v>
      </c>
      <c r="P1622">
        <v>0</v>
      </c>
      <c r="Q1622">
        <v>0</v>
      </c>
      <c r="S1622" t="str">
        <f>"18:47:10.820"</f>
        <v>18:47:10.820</v>
      </c>
      <c r="T1622" t="str">
        <f>"18:47:10.620"</f>
        <v>18:47:10.620</v>
      </c>
      <c r="U1622" t="str">
        <f t="shared" si="155"/>
        <v>AAB6EE</v>
      </c>
      <c r="V1622">
        <v>0</v>
      </c>
      <c r="W1622">
        <v>0</v>
      </c>
      <c r="X1622">
        <v>4</v>
      </c>
      <c r="Z1622">
        <v>0</v>
      </c>
      <c r="AA1622">
        <v>8</v>
      </c>
      <c r="AB1622">
        <v>3</v>
      </c>
      <c r="AC1622">
        <v>0</v>
      </c>
      <c r="AD1622">
        <v>10</v>
      </c>
      <c r="AE1622">
        <v>0</v>
      </c>
      <c r="AF1622">
        <v>0</v>
      </c>
      <c r="AG1622">
        <v>1</v>
      </c>
      <c r="AH1622">
        <v>1</v>
      </c>
      <c r="AI1622" t="s">
        <v>1205</v>
      </c>
      <c r="AJ1622">
        <v>35.204250999999999</v>
      </c>
      <c r="AK1622" t="s">
        <v>276</v>
      </c>
      <c r="AL1622">
        <v>-76.031227000000001</v>
      </c>
      <c r="AM1622">
        <v>25</v>
      </c>
      <c r="AN1622">
        <v>2925</v>
      </c>
      <c r="AO1622" t="s">
        <v>118</v>
      </c>
      <c r="AP1622">
        <v>68</v>
      </c>
      <c r="AQ1622">
        <v>-141</v>
      </c>
      <c r="AR1622">
        <v>0</v>
      </c>
      <c r="AZ1622">
        <v>4516</v>
      </c>
      <c r="BA1622">
        <v>1</v>
      </c>
      <c r="BB1622" t="str">
        <f t="shared" si="157"/>
        <v xml:space="preserve">N79NX   </v>
      </c>
      <c r="BC1622">
        <v>1</v>
      </c>
      <c r="BE1622">
        <v>0</v>
      </c>
      <c r="BF1622">
        <v>0</v>
      </c>
      <c r="BG1622">
        <v>0</v>
      </c>
      <c r="BH1622">
        <v>2775</v>
      </c>
      <c r="BI1622">
        <v>0</v>
      </c>
      <c r="BJ1622">
        <v>0</v>
      </c>
      <c r="BK1622">
        <v>0</v>
      </c>
      <c r="BL1622">
        <v>0</v>
      </c>
      <c r="BO1622">
        <v>0</v>
      </c>
      <c r="BP1622">
        <v>0</v>
      </c>
      <c r="BW1622" t="str">
        <f>"18:47:10.822"</f>
        <v>18:47:10.822</v>
      </c>
      <c r="BZ1622">
        <v>0</v>
      </c>
      <c r="CA1622">
        <v>3008</v>
      </c>
      <c r="CB1622">
        <v>216</v>
      </c>
      <c r="CC1622">
        <v>518.90629999999999</v>
      </c>
      <c r="CD1622">
        <v>1</v>
      </c>
      <c r="CE1622">
        <v>1</v>
      </c>
      <c r="CF1622">
        <v>0</v>
      </c>
      <c r="CG1622">
        <v>1</v>
      </c>
      <c r="CH1622">
        <v>0</v>
      </c>
      <c r="CI1622">
        <v>1</v>
      </c>
      <c r="CJ1622">
        <v>0</v>
      </c>
      <c r="CK1622">
        <v>2</v>
      </c>
      <c r="CL1622">
        <v>0</v>
      </c>
      <c r="CM1622">
        <v>2</v>
      </c>
      <c r="CN1622">
        <v>0</v>
      </c>
      <c r="CO1622">
        <v>2</v>
      </c>
      <c r="CP1622" t="s">
        <v>119</v>
      </c>
      <c r="CQ1622">
        <v>145</v>
      </c>
      <c r="CR1622">
        <v>1</v>
      </c>
      <c r="CW1622">
        <v>9184790</v>
      </c>
      <c r="CY1622">
        <v>0</v>
      </c>
      <c r="CZ1622">
        <v>0</v>
      </c>
      <c r="DA1622">
        <v>0</v>
      </c>
      <c r="DB1622">
        <v>0</v>
      </c>
      <c r="DC1622">
        <v>0</v>
      </c>
      <c r="DD1622">
        <v>0</v>
      </c>
      <c r="DE1622">
        <v>0</v>
      </c>
      <c r="DF1622">
        <v>0</v>
      </c>
      <c r="DG1622">
        <v>0</v>
      </c>
      <c r="DH1622">
        <v>0</v>
      </c>
      <c r="DI1622">
        <v>0</v>
      </c>
    </row>
    <row r="1623" spans="1:113" x14ac:dyDescent="0.3">
      <c r="A1623" t="str">
        <f>"02/13/2022 18:47:11.031"</f>
        <v>02/13/2022 18:47:11.031</v>
      </c>
      <c r="C1623" t="str">
        <f t="shared" si="150"/>
        <v>FFDFD7C0</v>
      </c>
      <c r="D1623" t="s">
        <v>113</v>
      </c>
      <c r="E1623">
        <v>4</v>
      </c>
      <c r="F1623">
        <v>1004</v>
      </c>
      <c r="G1623" t="s">
        <v>120</v>
      </c>
      <c r="J1623" t="s">
        <v>115</v>
      </c>
      <c r="K1623">
        <v>0</v>
      </c>
      <c r="L1623">
        <v>3</v>
      </c>
      <c r="M1623">
        <v>0</v>
      </c>
      <c r="N1623">
        <v>2</v>
      </c>
      <c r="O1623">
        <v>1</v>
      </c>
      <c r="P1623">
        <v>0</v>
      </c>
      <c r="Q1623">
        <v>0</v>
      </c>
      <c r="S1623" t="str">
        <f>"18:47:10.820"</f>
        <v>18:47:10.820</v>
      </c>
      <c r="T1623" t="str">
        <f>"18:47:10.620"</f>
        <v>18:47:10.620</v>
      </c>
      <c r="U1623" t="str">
        <f t="shared" si="155"/>
        <v>AAB6EE</v>
      </c>
      <c r="V1623">
        <v>0</v>
      </c>
      <c r="W1623">
        <v>0</v>
      </c>
      <c r="X1623">
        <v>4</v>
      </c>
      <c r="Z1623">
        <v>0</v>
      </c>
      <c r="AA1623">
        <v>8</v>
      </c>
      <c r="AB1623">
        <v>3</v>
      </c>
      <c r="AC1623">
        <v>0</v>
      </c>
      <c r="AD1623">
        <v>10</v>
      </c>
      <c r="AE1623">
        <v>0</v>
      </c>
      <c r="AF1623">
        <v>0</v>
      </c>
      <c r="AG1623">
        <v>1</v>
      </c>
      <c r="AH1623">
        <v>1</v>
      </c>
      <c r="AI1623" t="s">
        <v>1205</v>
      </c>
      <c r="AJ1623">
        <v>35.204250999999999</v>
      </c>
      <c r="AK1623" t="s">
        <v>276</v>
      </c>
      <c r="AL1623">
        <v>-76.031227000000001</v>
      </c>
      <c r="AM1623">
        <v>25</v>
      </c>
      <c r="AN1623">
        <v>2925</v>
      </c>
      <c r="AO1623" t="s">
        <v>118</v>
      </c>
      <c r="AP1623">
        <v>68</v>
      </c>
      <c r="AQ1623">
        <v>-141</v>
      </c>
      <c r="AR1623">
        <v>0</v>
      </c>
      <c r="AZ1623">
        <v>4516</v>
      </c>
      <c r="BA1623">
        <v>1</v>
      </c>
      <c r="BB1623" t="str">
        <f t="shared" si="157"/>
        <v xml:space="preserve">N79NX   </v>
      </c>
      <c r="BC1623">
        <v>1</v>
      </c>
      <c r="BE1623">
        <v>0</v>
      </c>
      <c r="BF1623">
        <v>0</v>
      </c>
      <c r="BG1623">
        <v>0</v>
      </c>
      <c r="BH1623">
        <v>2775</v>
      </c>
      <c r="BI1623">
        <v>0</v>
      </c>
      <c r="BJ1623">
        <v>0</v>
      </c>
      <c r="BK1623">
        <v>0</v>
      </c>
      <c r="BL1623">
        <v>0</v>
      </c>
      <c r="BO1623">
        <v>0</v>
      </c>
      <c r="BP1623">
        <v>0</v>
      </c>
      <c r="BW1623" t="str">
        <f>"18:47:10.822"</f>
        <v>18:47:10.822</v>
      </c>
      <c r="BZ1623">
        <v>0</v>
      </c>
      <c r="CA1623">
        <v>3008</v>
      </c>
      <c r="CB1623">
        <v>216</v>
      </c>
      <c r="CC1623">
        <v>518.90629999999999</v>
      </c>
      <c r="CD1623">
        <v>1</v>
      </c>
      <c r="CE1623">
        <v>1</v>
      </c>
      <c r="CF1623">
        <v>0</v>
      </c>
      <c r="CG1623">
        <v>1</v>
      </c>
      <c r="CH1623">
        <v>0</v>
      </c>
      <c r="CI1623">
        <v>1</v>
      </c>
      <c r="CJ1623">
        <v>0</v>
      </c>
      <c r="CK1623">
        <v>2</v>
      </c>
      <c r="CL1623">
        <v>0</v>
      </c>
      <c r="CM1623">
        <v>2</v>
      </c>
      <c r="CN1623">
        <v>0</v>
      </c>
      <c r="CO1623">
        <v>2</v>
      </c>
      <c r="CP1623" t="s">
        <v>119</v>
      </c>
      <c r="CQ1623">
        <v>145</v>
      </c>
      <c r="CR1623">
        <v>1</v>
      </c>
      <c r="CW1623">
        <v>9184790</v>
      </c>
      <c r="CY1623">
        <v>0</v>
      </c>
      <c r="CZ1623">
        <v>0</v>
      </c>
      <c r="DA1623">
        <v>1</v>
      </c>
      <c r="DB1623">
        <v>0</v>
      </c>
      <c r="DC1623">
        <v>0</v>
      </c>
      <c r="DD1623">
        <v>0</v>
      </c>
      <c r="DE1623">
        <v>0</v>
      </c>
      <c r="DF1623">
        <v>0</v>
      </c>
      <c r="DG1623">
        <v>0</v>
      </c>
      <c r="DH1623">
        <v>0</v>
      </c>
      <c r="DI1623">
        <v>0</v>
      </c>
    </row>
    <row r="1624" spans="1:113" x14ac:dyDescent="0.3">
      <c r="A1624" t="str">
        <f>"02/13/2022 18:47:11.078"</f>
        <v>02/13/2022 18:47:11.078</v>
      </c>
      <c r="C1624" t="str">
        <f t="shared" si="150"/>
        <v>FFDFD7C0</v>
      </c>
      <c r="D1624" t="s">
        <v>121</v>
      </c>
      <c r="E1624">
        <v>2</v>
      </c>
      <c r="H1624">
        <v>158</v>
      </c>
      <c r="I1624" t="s">
        <v>120</v>
      </c>
      <c r="J1624" t="s">
        <v>122</v>
      </c>
      <c r="K1624">
        <v>0</v>
      </c>
      <c r="L1624">
        <v>3</v>
      </c>
      <c r="M1624">
        <v>0</v>
      </c>
      <c r="N1624">
        <v>2</v>
      </c>
      <c r="O1624">
        <v>1</v>
      </c>
      <c r="P1624">
        <v>0</v>
      </c>
      <c r="Q1624">
        <v>0</v>
      </c>
      <c r="S1624" t="str">
        <f>"18:47:10.820"</f>
        <v>18:47:10.820</v>
      </c>
      <c r="T1624" t="str">
        <f>"18:47:10.620"</f>
        <v>18:47:10.620</v>
      </c>
      <c r="U1624" t="str">
        <f t="shared" si="155"/>
        <v>AAB6EE</v>
      </c>
      <c r="V1624">
        <v>0</v>
      </c>
      <c r="W1624">
        <v>0</v>
      </c>
      <c r="X1624">
        <v>4</v>
      </c>
      <c r="Z1624">
        <v>0</v>
      </c>
      <c r="AA1624">
        <v>8</v>
      </c>
      <c r="AB1624">
        <v>3</v>
      </c>
      <c r="AC1624">
        <v>0</v>
      </c>
      <c r="AD1624">
        <v>10</v>
      </c>
      <c r="AE1624">
        <v>0</v>
      </c>
      <c r="AF1624">
        <v>0</v>
      </c>
      <c r="AG1624">
        <v>1</v>
      </c>
      <c r="AH1624">
        <v>1</v>
      </c>
      <c r="AI1624" t="s">
        <v>1205</v>
      </c>
      <c r="AJ1624">
        <v>35.204250999999999</v>
      </c>
      <c r="AK1624" t="s">
        <v>276</v>
      </c>
      <c r="AL1624">
        <v>-76.031227000000001</v>
      </c>
      <c r="AM1624">
        <v>25</v>
      </c>
      <c r="AN1624">
        <v>2925</v>
      </c>
      <c r="AO1624" t="s">
        <v>118</v>
      </c>
      <c r="AP1624">
        <v>68</v>
      </c>
      <c r="AQ1624">
        <v>-141</v>
      </c>
      <c r="AR1624">
        <v>0</v>
      </c>
      <c r="AZ1624">
        <v>4516</v>
      </c>
      <c r="BA1624">
        <v>1</v>
      </c>
      <c r="BB1624" t="str">
        <f t="shared" si="157"/>
        <v xml:space="preserve">N79NX   </v>
      </c>
      <c r="BC1624">
        <v>1</v>
      </c>
      <c r="BE1624">
        <v>0</v>
      </c>
      <c r="BF1624">
        <v>0</v>
      </c>
      <c r="BG1624">
        <v>0</v>
      </c>
      <c r="BH1624">
        <v>2775</v>
      </c>
      <c r="BI1624">
        <v>0</v>
      </c>
      <c r="BJ1624">
        <v>0</v>
      </c>
      <c r="BK1624">
        <v>0</v>
      </c>
      <c r="BL1624">
        <v>0</v>
      </c>
      <c r="BO1624">
        <v>0</v>
      </c>
      <c r="BP1624">
        <v>0</v>
      </c>
      <c r="BW1624" t="str">
        <f>"18:47:10.822"</f>
        <v>18:47:10.822</v>
      </c>
      <c r="BZ1624">
        <v>0</v>
      </c>
      <c r="CA1624">
        <v>3008</v>
      </c>
      <c r="CB1624">
        <v>216</v>
      </c>
      <c r="CC1624">
        <v>518.90629999999999</v>
      </c>
      <c r="CD1624">
        <v>1</v>
      </c>
      <c r="CE1624">
        <v>1</v>
      </c>
      <c r="CF1624">
        <v>0</v>
      </c>
      <c r="CG1624">
        <v>1</v>
      </c>
      <c r="CH1624">
        <v>0</v>
      </c>
      <c r="CI1624">
        <v>1</v>
      </c>
      <c r="CJ1624">
        <v>0</v>
      </c>
      <c r="CK1624">
        <v>2</v>
      </c>
      <c r="CL1624">
        <v>0</v>
      </c>
      <c r="CM1624">
        <v>2</v>
      </c>
      <c r="CN1624">
        <v>0</v>
      </c>
      <c r="CO1624">
        <v>2</v>
      </c>
      <c r="CP1624" t="s">
        <v>119</v>
      </c>
      <c r="CQ1624">
        <v>145</v>
      </c>
      <c r="CR1624">
        <v>1</v>
      </c>
      <c r="CW1624">
        <v>9184790</v>
      </c>
      <c r="CY1624">
        <v>0</v>
      </c>
      <c r="CZ1624">
        <v>0</v>
      </c>
      <c r="DA1624">
        <v>1</v>
      </c>
      <c r="DB1624">
        <v>0</v>
      </c>
      <c r="DC1624">
        <v>0</v>
      </c>
      <c r="DD1624">
        <v>0</v>
      </c>
      <c r="DE1624">
        <v>0</v>
      </c>
      <c r="DF1624">
        <v>0</v>
      </c>
      <c r="DG1624">
        <v>0</v>
      </c>
      <c r="DH1624">
        <v>0</v>
      </c>
      <c r="DI1624">
        <v>0</v>
      </c>
    </row>
    <row r="1625" spans="1:113" x14ac:dyDescent="0.3">
      <c r="A1625" t="str">
        <f>"02/13/2022 18:47:11.953"</f>
        <v>02/13/2022 18:47:11.953</v>
      </c>
      <c r="C1625" t="str">
        <f t="shared" si="150"/>
        <v>FFDFD7C0</v>
      </c>
      <c r="D1625" t="s">
        <v>113</v>
      </c>
      <c r="E1625">
        <v>3</v>
      </c>
      <c r="F1625">
        <v>1003</v>
      </c>
      <c r="G1625" t="s">
        <v>114</v>
      </c>
      <c r="J1625" t="s">
        <v>115</v>
      </c>
      <c r="K1625">
        <v>0</v>
      </c>
      <c r="L1625">
        <v>3</v>
      </c>
      <c r="M1625">
        <v>0</v>
      </c>
      <c r="N1625">
        <v>2</v>
      </c>
      <c r="O1625">
        <v>1</v>
      </c>
      <c r="P1625">
        <v>0</v>
      </c>
      <c r="Q1625">
        <v>0</v>
      </c>
      <c r="S1625" t="str">
        <f t="shared" ref="S1625:T1627" si="159">"18:47:11.758"</f>
        <v>18:47:11.758</v>
      </c>
      <c r="T1625" t="str">
        <f t="shared" si="159"/>
        <v>18:47:11.758</v>
      </c>
      <c r="U1625" t="str">
        <f t="shared" si="155"/>
        <v>AAB6EE</v>
      </c>
      <c r="V1625">
        <v>0</v>
      </c>
      <c r="W1625">
        <v>0</v>
      </c>
      <c r="X1625">
        <v>4</v>
      </c>
      <c r="Z1625">
        <v>0</v>
      </c>
      <c r="AA1625">
        <v>8</v>
      </c>
      <c r="AB1625">
        <v>3</v>
      </c>
      <c r="AC1625">
        <v>0</v>
      </c>
      <c r="AD1625">
        <v>10</v>
      </c>
      <c r="AE1625">
        <v>0</v>
      </c>
      <c r="AF1625">
        <v>0</v>
      </c>
      <c r="AG1625">
        <v>1</v>
      </c>
      <c r="AH1625">
        <v>1</v>
      </c>
      <c r="AI1625" t="s">
        <v>1206</v>
      </c>
      <c r="AJ1625">
        <v>35.203671</v>
      </c>
      <c r="AK1625" t="s">
        <v>1207</v>
      </c>
      <c r="AL1625">
        <v>-76.030884</v>
      </c>
      <c r="AM1625">
        <v>25</v>
      </c>
      <c r="AN1625">
        <v>2925</v>
      </c>
      <c r="AO1625" t="s">
        <v>118</v>
      </c>
      <c r="AP1625">
        <v>68</v>
      </c>
      <c r="AQ1625">
        <v>-140</v>
      </c>
      <c r="AR1625">
        <v>0</v>
      </c>
      <c r="AZ1625">
        <v>4516</v>
      </c>
      <c r="BA1625">
        <v>1</v>
      </c>
      <c r="BB1625" t="str">
        <f t="shared" si="157"/>
        <v xml:space="preserve">N79NX   </v>
      </c>
      <c r="BC1625">
        <v>1</v>
      </c>
      <c r="BE1625">
        <v>0</v>
      </c>
      <c r="BF1625">
        <v>0</v>
      </c>
      <c r="BG1625">
        <v>0</v>
      </c>
      <c r="BH1625">
        <v>2775</v>
      </c>
      <c r="BI1625">
        <v>0</v>
      </c>
      <c r="BJ1625">
        <v>0</v>
      </c>
      <c r="BK1625">
        <v>0</v>
      </c>
      <c r="BL1625">
        <v>0</v>
      </c>
      <c r="BO1625">
        <v>0</v>
      </c>
      <c r="BP1625">
        <v>0</v>
      </c>
      <c r="BW1625" t="str">
        <f>"18:47:11.763"</f>
        <v>18:47:11.763</v>
      </c>
      <c r="BZ1625">
        <v>0</v>
      </c>
      <c r="CA1625">
        <v>3008</v>
      </c>
      <c r="CB1625">
        <v>216</v>
      </c>
      <c r="CC1625">
        <v>518.90629999999999</v>
      </c>
      <c r="CD1625">
        <v>1</v>
      </c>
      <c r="CE1625">
        <v>1</v>
      </c>
      <c r="CF1625">
        <v>0</v>
      </c>
      <c r="CG1625">
        <v>1</v>
      </c>
      <c r="CH1625">
        <v>0</v>
      </c>
      <c r="CI1625">
        <v>1</v>
      </c>
      <c r="CJ1625">
        <v>0</v>
      </c>
      <c r="CK1625">
        <v>2</v>
      </c>
      <c r="CL1625">
        <v>0</v>
      </c>
      <c r="CM1625">
        <v>2</v>
      </c>
      <c r="CN1625">
        <v>0</v>
      </c>
      <c r="CO1625">
        <v>2</v>
      </c>
      <c r="CP1625" t="s">
        <v>119</v>
      </c>
      <c r="CQ1625">
        <v>145</v>
      </c>
      <c r="CR1625">
        <v>1</v>
      </c>
      <c r="CW1625">
        <v>9185312</v>
      </c>
      <c r="CY1625">
        <v>0</v>
      </c>
      <c r="CZ1625">
        <v>0</v>
      </c>
      <c r="DA1625">
        <v>0</v>
      </c>
      <c r="DB1625">
        <v>0</v>
      </c>
      <c r="DC1625">
        <v>0</v>
      </c>
      <c r="DD1625">
        <v>0</v>
      </c>
      <c r="DE1625">
        <v>0</v>
      </c>
      <c r="DF1625">
        <v>0</v>
      </c>
      <c r="DG1625">
        <v>0</v>
      </c>
      <c r="DH1625">
        <v>0</v>
      </c>
      <c r="DI1625">
        <v>0</v>
      </c>
    </row>
    <row r="1626" spans="1:113" x14ac:dyDescent="0.3">
      <c r="A1626" t="str">
        <f>"02/13/2022 18:47:11.953"</f>
        <v>02/13/2022 18:47:11.953</v>
      </c>
      <c r="C1626" t="str">
        <f t="shared" si="150"/>
        <v>FFDFD7C0</v>
      </c>
      <c r="D1626" t="s">
        <v>113</v>
      </c>
      <c r="E1626">
        <v>4</v>
      </c>
      <c r="F1626">
        <v>1004</v>
      </c>
      <c r="G1626" t="s">
        <v>120</v>
      </c>
      <c r="J1626" t="s">
        <v>115</v>
      </c>
      <c r="K1626">
        <v>0</v>
      </c>
      <c r="L1626">
        <v>3</v>
      </c>
      <c r="M1626">
        <v>0</v>
      </c>
      <c r="N1626">
        <v>2</v>
      </c>
      <c r="O1626">
        <v>1</v>
      </c>
      <c r="P1626">
        <v>0</v>
      </c>
      <c r="Q1626">
        <v>0</v>
      </c>
      <c r="S1626" t="str">
        <f t="shared" si="159"/>
        <v>18:47:11.758</v>
      </c>
      <c r="T1626" t="str">
        <f t="shared" si="159"/>
        <v>18:47:11.758</v>
      </c>
      <c r="U1626" t="str">
        <f t="shared" si="155"/>
        <v>AAB6EE</v>
      </c>
      <c r="V1626">
        <v>0</v>
      </c>
      <c r="W1626">
        <v>0</v>
      </c>
      <c r="X1626">
        <v>4</v>
      </c>
      <c r="Z1626">
        <v>0</v>
      </c>
      <c r="AA1626">
        <v>8</v>
      </c>
      <c r="AB1626">
        <v>3</v>
      </c>
      <c r="AC1626">
        <v>0</v>
      </c>
      <c r="AD1626">
        <v>10</v>
      </c>
      <c r="AE1626">
        <v>0</v>
      </c>
      <c r="AF1626">
        <v>0</v>
      </c>
      <c r="AG1626">
        <v>1</v>
      </c>
      <c r="AH1626">
        <v>1</v>
      </c>
      <c r="AI1626" t="s">
        <v>1206</v>
      </c>
      <c r="AJ1626">
        <v>35.203671</v>
      </c>
      <c r="AK1626" t="s">
        <v>1207</v>
      </c>
      <c r="AL1626">
        <v>-76.030884</v>
      </c>
      <c r="AM1626">
        <v>25</v>
      </c>
      <c r="AN1626">
        <v>2925</v>
      </c>
      <c r="AO1626" t="s">
        <v>118</v>
      </c>
      <c r="AP1626">
        <v>68</v>
      </c>
      <c r="AQ1626">
        <v>-140</v>
      </c>
      <c r="AR1626">
        <v>0</v>
      </c>
      <c r="AZ1626">
        <v>4516</v>
      </c>
      <c r="BA1626">
        <v>1</v>
      </c>
      <c r="BB1626" t="str">
        <f t="shared" si="157"/>
        <v xml:space="preserve">N79NX   </v>
      </c>
      <c r="BC1626">
        <v>1</v>
      </c>
      <c r="BE1626">
        <v>0</v>
      </c>
      <c r="BF1626">
        <v>0</v>
      </c>
      <c r="BG1626">
        <v>0</v>
      </c>
      <c r="BH1626">
        <v>2775</v>
      </c>
      <c r="BI1626">
        <v>0</v>
      </c>
      <c r="BJ1626">
        <v>0</v>
      </c>
      <c r="BK1626">
        <v>0</v>
      </c>
      <c r="BL1626">
        <v>0</v>
      </c>
      <c r="BO1626">
        <v>0</v>
      </c>
      <c r="BP1626">
        <v>0</v>
      </c>
      <c r="BW1626" t="str">
        <f>"18:47:11.763"</f>
        <v>18:47:11.763</v>
      </c>
      <c r="BZ1626">
        <v>0</v>
      </c>
      <c r="CA1626">
        <v>3008</v>
      </c>
      <c r="CB1626">
        <v>216</v>
      </c>
      <c r="CC1626">
        <v>518.90629999999999</v>
      </c>
      <c r="CD1626">
        <v>1</v>
      </c>
      <c r="CE1626">
        <v>1</v>
      </c>
      <c r="CF1626">
        <v>0</v>
      </c>
      <c r="CG1626">
        <v>1</v>
      </c>
      <c r="CH1626">
        <v>0</v>
      </c>
      <c r="CI1626">
        <v>1</v>
      </c>
      <c r="CJ1626">
        <v>0</v>
      </c>
      <c r="CK1626">
        <v>2</v>
      </c>
      <c r="CL1626">
        <v>0</v>
      </c>
      <c r="CM1626">
        <v>2</v>
      </c>
      <c r="CN1626">
        <v>0</v>
      </c>
      <c r="CO1626">
        <v>2</v>
      </c>
      <c r="CP1626" t="s">
        <v>119</v>
      </c>
      <c r="CQ1626">
        <v>145</v>
      </c>
      <c r="CR1626">
        <v>1</v>
      </c>
      <c r="CW1626">
        <v>9185312</v>
      </c>
      <c r="CY1626">
        <v>0</v>
      </c>
      <c r="CZ1626">
        <v>0</v>
      </c>
      <c r="DA1626">
        <v>1</v>
      </c>
      <c r="DB1626">
        <v>0</v>
      </c>
      <c r="DC1626">
        <v>0</v>
      </c>
      <c r="DD1626">
        <v>0</v>
      </c>
      <c r="DE1626">
        <v>0</v>
      </c>
      <c r="DF1626">
        <v>0</v>
      </c>
      <c r="DG1626">
        <v>0</v>
      </c>
      <c r="DH1626">
        <v>0</v>
      </c>
      <c r="DI1626">
        <v>0</v>
      </c>
    </row>
    <row r="1627" spans="1:113" x14ac:dyDescent="0.3">
      <c r="A1627" t="str">
        <f>"02/13/2022 18:47:12.000"</f>
        <v>02/13/2022 18:47:12.000</v>
      </c>
      <c r="C1627" t="str">
        <f t="shared" si="150"/>
        <v>FFDFD7C0</v>
      </c>
      <c r="D1627" t="s">
        <v>121</v>
      </c>
      <c r="E1627">
        <v>2</v>
      </c>
      <c r="H1627">
        <v>158</v>
      </c>
      <c r="I1627" t="s">
        <v>120</v>
      </c>
      <c r="J1627" t="s">
        <v>122</v>
      </c>
      <c r="K1627">
        <v>0</v>
      </c>
      <c r="L1627">
        <v>3</v>
      </c>
      <c r="M1627">
        <v>0</v>
      </c>
      <c r="N1627">
        <v>2</v>
      </c>
      <c r="O1627">
        <v>1</v>
      </c>
      <c r="P1627">
        <v>0</v>
      </c>
      <c r="Q1627">
        <v>0</v>
      </c>
      <c r="S1627" t="str">
        <f t="shared" si="159"/>
        <v>18:47:11.758</v>
      </c>
      <c r="T1627" t="str">
        <f t="shared" si="159"/>
        <v>18:47:11.758</v>
      </c>
      <c r="U1627" t="str">
        <f t="shared" si="155"/>
        <v>AAB6EE</v>
      </c>
      <c r="V1627">
        <v>0</v>
      </c>
      <c r="W1627">
        <v>0</v>
      </c>
      <c r="X1627">
        <v>4</v>
      </c>
      <c r="Z1627">
        <v>0</v>
      </c>
      <c r="AA1627">
        <v>8</v>
      </c>
      <c r="AB1627">
        <v>3</v>
      </c>
      <c r="AC1627">
        <v>0</v>
      </c>
      <c r="AD1627">
        <v>10</v>
      </c>
      <c r="AE1627">
        <v>0</v>
      </c>
      <c r="AF1627">
        <v>0</v>
      </c>
      <c r="AG1627">
        <v>1</v>
      </c>
      <c r="AH1627">
        <v>1</v>
      </c>
      <c r="AI1627" t="s">
        <v>1206</v>
      </c>
      <c r="AJ1627">
        <v>35.203671</v>
      </c>
      <c r="AK1627" t="s">
        <v>1207</v>
      </c>
      <c r="AL1627">
        <v>-76.030884</v>
      </c>
      <c r="AM1627">
        <v>25</v>
      </c>
      <c r="AN1627">
        <v>2925</v>
      </c>
      <c r="AO1627" t="s">
        <v>118</v>
      </c>
      <c r="AP1627">
        <v>68</v>
      </c>
      <c r="AQ1627">
        <v>-140</v>
      </c>
      <c r="AR1627">
        <v>0</v>
      </c>
      <c r="AZ1627">
        <v>4516</v>
      </c>
      <c r="BA1627">
        <v>1</v>
      </c>
      <c r="BB1627" t="str">
        <f t="shared" si="157"/>
        <v xml:space="preserve">N79NX   </v>
      </c>
      <c r="BC1627">
        <v>1</v>
      </c>
      <c r="BE1627">
        <v>0</v>
      </c>
      <c r="BF1627">
        <v>0</v>
      </c>
      <c r="BG1627">
        <v>0</v>
      </c>
      <c r="BH1627">
        <v>2775</v>
      </c>
      <c r="BI1627">
        <v>0</v>
      </c>
      <c r="BJ1627">
        <v>0</v>
      </c>
      <c r="BK1627">
        <v>0</v>
      </c>
      <c r="BL1627">
        <v>0</v>
      </c>
      <c r="BO1627">
        <v>0</v>
      </c>
      <c r="BP1627">
        <v>0</v>
      </c>
      <c r="BW1627" t="str">
        <f>"18:47:11.763"</f>
        <v>18:47:11.763</v>
      </c>
      <c r="BZ1627">
        <v>0</v>
      </c>
      <c r="CA1627">
        <v>3008</v>
      </c>
      <c r="CB1627">
        <v>216</v>
      </c>
      <c r="CC1627">
        <v>518.90629999999999</v>
      </c>
      <c r="CD1627">
        <v>1</v>
      </c>
      <c r="CE1627">
        <v>1</v>
      </c>
      <c r="CF1627">
        <v>0</v>
      </c>
      <c r="CG1627">
        <v>1</v>
      </c>
      <c r="CH1627">
        <v>0</v>
      </c>
      <c r="CI1627">
        <v>1</v>
      </c>
      <c r="CJ1627">
        <v>0</v>
      </c>
      <c r="CK1627">
        <v>2</v>
      </c>
      <c r="CL1627">
        <v>0</v>
      </c>
      <c r="CM1627">
        <v>2</v>
      </c>
      <c r="CN1627">
        <v>0</v>
      </c>
      <c r="CO1627">
        <v>2</v>
      </c>
      <c r="CP1627" t="s">
        <v>119</v>
      </c>
      <c r="CQ1627">
        <v>145</v>
      </c>
      <c r="CR1627">
        <v>1</v>
      </c>
      <c r="CW1627">
        <v>9185312</v>
      </c>
      <c r="CY1627">
        <v>0</v>
      </c>
      <c r="CZ1627">
        <v>0</v>
      </c>
      <c r="DA1627">
        <v>1</v>
      </c>
      <c r="DB1627">
        <v>0</v>
      </c>
      <c r="DC1627">
        <v>0</v>
      </c>
      <c r="DD1627">
        <v>0</v>
      </c>
      <c r="DE1627">
        <v>0</v>
      </c>
      <c r="DF1627">
        <v>0</v>
      </c>
      <c r="DG1627">
        <v>0</v>
      </c>
      <c r="DH1627">
        <v>0</v>
      </c>
      <c r="DI1627">
        <v>0</v>
      </c>
    </row>
    <row r="1628" spans="1:113" x14ac:dyDescent="0.3">
      <c r="A1628" t="str">
        <f>"02/13/2022 18:47:12.875"</f>
        <v>02/13/2022 18:47:12.875</v>
      </c>
      <c r="C1628" t="str">
        <f t="shared" si="150"/>
        <v>FFDFD7C0</v>
      </c>
      <c r="D1628" t="s">
        <v>121</v>
      </c>
      <c r="E1628">
        <v>2</v>
      </c>
      <c r="H1628">
        <v>158</v>
      </c>
      <c r="I1628" t="s">
        <v>120</v>
      </c>
      <c r="J1628" t="s">
        <v>122</v>
      </c>
      <c r="K1628">
        <v>0</v>
      </c>
      <c r="L1628">
        <v>3</v>
      </c>
      <c r="M1628">
        <v>0</v>
      </c>
      <c r="N1628">
        <v>2</v>
      </c>
      <c r="O1628">
        <v>1</v>
      </c>
      <c r="P1628">
        <v>0</v>
      </c>
      <c r="Q1628">
        <v>0</v>
      </c>
      <c r="S1628" t="str">
        <f t="shared" ref="S1628:T1630" si="160">"18:47:12.672"</f>
        <v>18:47:12.672</v>
      </c>
      <c r="T1628" t="str">
        <f t="shared" si="160"/>
        <v>18:47:12.672</v>
      </c>
      <c r="U1628" t="str">
        <f t="shared" si="155"/>
        <v>AAB6EE</v>
      </c>
      <c r="V1628">
        <v>0</v>
      </c>
      <c r="W1628">
        <v>0</v>
      </c>
      <c r="X1628">
        <v>4</v>
      </c>
      <c r="Z1628">
        <v>0</v>
      </c>
      <c r="AA1628">
        <v>8</v>
      </c>
      <c r="AB1628">
        <v>3</v>
      </c>
      <c r="AC1628">
        <v>0</v>
      </c>
      <c r="AD1628">
        <v>10</v>
      </c>
      <c r="AE1628">
        <v>0</v>
      </c>
      <c r="AF1628">
        <v>0</v>
      </c>
      <c r="AG1628">
        <v>1</v>
      </c>
      <c r="AH1628">
        <v>1</v>
      </c>
      <c r="AI1628" t="s">
        <v>1208</v>
      </c>
      <c r="AJ1628">
        <v>35.203091999999998</v>
      </c>
      <c r="AK1628" t="s">
        <v>1209</v>
      </c>
      <c r="AL1628">
        <v>-76.030540000000002</v>
      </c>
      <c r="AM1628">
        <v>25</v>
      </c>
      <c r="AN1628">
        <v>2925</v>
      </c>
      <c r="AO1628" t="s">
        <v>118</v>
      </c>
      <c r="AP1628">
        <v>69</v>
      </c>
      <c r="AQ1628">
        <v>-140</v>
      </c>
      <c r="AR1628">
        <v>0</v>
      </c>
      <c r="AZ1628">
        <v>4516</v>
      </c>
      <c r="BA1628">
        <v>1</v>
      </c>
      <c r="BB1628" t="str">
        <f t="shared" si="157"/>
        <v xml:space="preserve">N79NX   </v>
      </c>
      <c r="BC1628">
        <v>1</v>
      </c>
      <c r="BE1628">
        <v>0</v>
      </c>
      <c r="BF1628">
        <v>0</v>
      </c>
      <c r="BG1628">
        <v>0</v>
      </c>
      <c r="BH1628">
        <v>2775</v>
      </c>
      <c r="BI1628">
        <v>0</v>
      </c>
      <c r="BJ1628">
        <v>0</v>
      </c>
      <c r="BK1628">
        <v>0</v>
      </c>
      <c r="BL1628">
        <v>0</v>
      </c>
      <c r="BO1628">
        <v>0</v>
      </c>
      <c r="BP1628">
        <v>0</v>
      </c>
      <c r="BW1628" t="str">
        <f>"18:47:12.673"</f>
        <v>18:47:12.673</v>
      </c>
      <c r="BZ1628">
        <v>0</v>
      </c>
      <c r="CA1628">
        <v>3008</v>
      </c>
      <c r="CB1628">
        <v>216</v>
      </c>
      <c r="CC1628">
        <v>518.90629999999999</v>
      </c>
      <c r="CD1628">
        <v>1</v>
      </c>
      <c r="CE1628">
        <v>1</v>
      </c>
      <c r="CF1628">
        <v>0</v>
      </c>
      <c r="CG1628">
        <v>1</v>
      </c>
      <c r="CH1628">
        <v>0</v>
      </c>
      <c r="CI1628">
        <v>1</v>
      </c>
      <c r="CJ1628">
        <v>0</v>
      </c>
      <c r="CK1628">
        <v>2</v>
      </c>
      <c r="CL1628">
        <v>0</v>
      </c>
      <c r="CM1628">
        <v>2</v>
      </c>
      <c r="CN1628">
        <v>0</v>
      </c>
      <c r="CO1628">
        <v>2</v>
      </c>
      <c r="CP1628" t="s">
        <v>119</v>
      </c>
      <c r="CQ1628">
        <v>145</v>
      </c>
      <c r="CR1628">
        <v>1</v>
      </c>
      <c r="CW1628">
        <v>9185712</v>
      </c>
      <c r="CY1628">
        <v>0</v>
      </c>
      <c r="CZ1628">
        <v>0</v>
      </c>
      <c r="DA1628">
        <v>0</v>
      </c>
      <c r="DB1628">
        <v>0</v>
      </c>
      <c r="DC1628">
        <v>0</v>
      </c>
      <c r="DD1628">
        <v>0</v>
      </c>
      <c r="DE1628">
        <v>0</v>
      </c>
      <c r="DF1628">
        <v>0</v>
      </c>
      <c r="DG1628">
        <v>0</v>
      </c>
      <c r="DH1628">
        <v>0</v>
      </c>
      <c r="DI1628">
        <v>0</v>
      </c>
    </row>
    <row r="1629" spans="1:113" x14ac:dyDescent="0.3">
      <c r="A1629" t="str">
        <f>"02/13/2022 18:47:12.907"</f>
        <v>02/13/2022 18:47:12.907</v>
      </c>
      <c r="C1629" t="str">
        <f t="shared" si="150"/>
        <v>FFDFD7C0</v>
      </c>
      <c r="D1629" t="s">
        <v>113</v>
      </c>
      <c r="E1629">
        <v>3</v>
      </c>
      <c r="F1629">
        <v>1003</v>
      </c>
      <c r="G1629" t="s">
        <v>114</v>
      </c>
      <c r="J1629" t="s">
        <v>115</v>
      </c>
      <c r="K1629">
        <v>0</v>
      </c>
      <c r="L1629">
        <v>3</v>
      </c>
      <c r="M1629">
        <v>0</v>
      </c>
      <c r="N1629">
        <v>2</v>
      </c>
      <c r="O1629">
        <v>1</v>
      </c>
      <c r="P1629">
        <v>0</v>
      </c>
      <c r="Q1629">
        <v>0</v>
      </c>
      <c r="S1629" t="str">
        <f t="shared" si="160"/>
        <v>18:47:12.672</v>
      </c>
      <c r="T1629" t="str">
        <f t="shared" si="160"/>
        <v>18:47:12.672</v>
      </c>
      <c r="U1629" t="str">
        <f t="shared" si="155"/>
        <v>AAB6EE</v>
      </c>
      <c r="V1629">
        <v>0</v>
      </c>
      <c r="W1629">
        <v>0</v>
      </c>
      <c r="X1629">
        <v>4</v>
      </c>
      <c r="Z1629">
        <v>0</v>
      </c>
      <c r="AA1629">
        <v>8</v>
      </c>
      <c r="AB1629">
        <v>3</v>
      </c>
      <c r="AC1629">
        <v>0</v>
      </c>
      <c r="AD1629">
        <v>10</v>
      </c>
      <c r="AE1629">
        <v>0</v>
      </c>
      <c r="AF1629">
        <v>0</v>
      </c>
      <c r="AG1629">
        <v>1</v>
      </c>
      <c r="AH1629">
        <v>1</v>
      </c>
      <c r="AI1629" t="s">
        <v>1208</v>
      </c>
      <c r="AJ1629">
        <v>35.203091999999998</v>
      </c>
      <c r="AK1629" t="s">
        <v>1209</v>
      </c>
      <c r="AL1629">
        <v>-76.030540000000002</v>
      </c>
      <c r="AM1629">
        <v>25</v>
      </c>
      <c r="AN1629">
        <v>2925</v>
      </c>
      <c r="AO1629" t="s">
        <v>118</v>
      </c>
      <c r="AP1629">
        <v>69</v>
      </c>
      <c r="AQ1629">
        <v>-140</v>
      </c>
      <c r="AR1629">
        <v>0</v>
      </c>
      <c r="AZ1629">
        <v>4516</v>
      </c>
      <c r="BA1629">
        <v>1</v>
      </c>
      <c r="BB1629" t="str">
        <f t="shared" si="157"/>
        <v xml:space="preserve">N79NX   </v>
      </c>
      <c r="BC1629">
        <v>1</v>
      </c>
      <c r="BE1629">
        <v>0</v>
      </c>
      <c r="BF1629">
        <v>0</v>
      </c>
      <c r="BG1629">
        <v>0</v>
      </c>
      <c r="BH1629">
        <v>2775</v>
      </c>
      <c r="BI1629">
        <v>0</v>
      </c>
      <c r="BJ1629">
        <v>0</v>
      </c>
      <c r="BK1629">
        <v>0</v>
      </c>
      <c r="BL1629">
        <v>0</v>
      </c>
      <c r="BO1629">
        <v>0</v>
      </c>
      <c r="BP1629">
        <v>0</v>
      </c>
      <c r="BW1629" t="str">
        <f>"18:47:12.673"</f>
        <v>18:47:12.673</v>
      </c>
      <c r="BZ1629">
        <v>0</v>
      </c>
      <c r="CA1629">
        <v>3008</v>
      </c>
      <c r="CB1629">
        <v>216</v>
      </c>
      <c r="CC1629">
        <v>518.90629999999999</v>
      </c>
      <c r="CD1629">
        <v>1</v>
      </c>
      <c r="CE1629">
        <v>1</v>
      </c>
      <c r="CF1629">
        <v>0</v>
      </c>
      <c r="CG1629">
        <v>1</v>
      </c>
      <c r="CH1629">
        <v>0</v>
      </c>
      <c r="CI1629">
        <v>1</v>
      </c>
      <c r="CJ1629">
        <v>0</v>
      </c>
      <c r="CK1629">
        <v>2</v>
      </c>
      <c r="CL1629">
        <v>0</v>
      </c>
      <c r="CM1629">
        <v>2</v>
      </c>
      <c r="CN1629">
        <v>0</v>
      </c>
      <c r="CO1629">
        <v>2</v>
      </c>
      <c r="CP1629" t="s">
        <v>119</v>
      </c>
      <c r="CQ1629">
        <v>145</v>
      </c>
      <c r="CR1629">
        <v>1</v>
      </c>
      <c r="CW1629">
        <v>9185712</v>
      </c>
      <c r="CY1629">
        <v>0</v>
      </c>
      <c r="CZ1629">
        <v>0</v>
      </c>
      <c r="DA1629">
        <v>1</v>
      </c>
      <c r="DB1629">
        <v>0</v>
      </c>
      <c r="DC1629">
        <v>0</v>
      </c>
      <c r="DD1629">
        <v>0</v>
      </c>
      <c r="DE1629">
        <v>0</v>
      </c>
      <c r="DF1629">
        <v>0</v>
      </c>
      <c r="DG1629">
        <v>0</v>
      </c>
      <c r="DH1629">
        <v>0</v>
      </c>
      <c r="DI1629">
        <v>0</v>
      </c>
    </row>
    <row r="1630" spans="1:113" x14ac:dyDescent="0.3">
      <c r="A1630" t="str">
        <f>"02/13/2022 18:47:12.907"</f>
        <v>02/13/2022 18:47:12.907</v>
      </c>
      <c r="C1630" t="str">
        <f t="shared" si="150"/>
        <v>FFDFD7C0</v>
      </c>
      <c r="D1630" t="s">
        <v>113</v>
      </c>
      <c r="E1630">
        <v>4</v>
      </c>
      <c r="F1630">
        <v>1004</v>
      </c>
      <c r="G1630" t="s">
        <v>120</v>
      </c>
      <c r="J1630" t="s">
        <v>115</v>
      </c>
      <c r="K1630">
        <v>0</v>
      </c>
      <c r="L1630">
        <v>3</v>
      </c>
      <c r="M1630">
        <v>0</v>
      </c>
      <c r="N1630">
        <v>2</v>
      </c>
      <c r="O1630">
        <v>1</v>
      </c>
      <c r="P1630">
        <v>0</v>
      </c>
      <c r="Q1630">
        <v>0</v>
      </c>
      <c r="S1630" t="str">
        <f t="shared" si="160"/>
        <v>18:47:12.672</v>
      </c>
      <c r="T1630" t="str">
        <f t="shared" si="160"/>
        <v>18:47:12.672</v>
      </c>
      <c r="U1630" t="str">
        <f t="shared" si="155"/>
        <v>AAB6EE</v>
      </c>
      <c r="V1630">
        <v>0</v>
      </c>
      <c r="W1630">
        <v>0</v>
      </c>
      <c r="X1630">
        <v>4</v>
      </c>
      <c r="Z1630">
        <v>0</v>
      </c>
      <c r="AA1630">
        <v>8</v>
      </c>
      <c r="AB1630">
        <v>3</v>
      </c>
      <c r="AC1630">
        <v>0</v>
      </c>
      <c r="AD1630">
        <v>10</v>
      </c>
      <c r="AE1630">
        <v>0</v>
      </c>
      <c r="AF1630">
        <v>0</v>
      </c>
      <c r="AG1630">
        <v>1</v>
      </c>
      <c r="AH1630">
        <v>1</v>
      </c>
      <c r="AI1630" t="s">
        <v>1208</v>
      </c>
      <c r="AJ1630">
        <v>35.203091999999998</v>
      </c>
      <c r="AK1630" t="s">
        <v>1209</v>
      </c>
      <c r="AL1630">
        <v>-76.030540000000002</v>
      </c>
      <c r="AM1630">
        <v>25</v>
      </c>
      <c r="AN1630">
        <v>2925</v>
      </c>
      <c r="AO1630" t="s">
        <v>118</v>
      </c>
      <c r="AP1630">
        <v>69</v>
      </c>
      <c r="AQ1630">
        <v>-140</v>
      </c>
      <c r="AR1630">
        <v>0</v>
      </c>
      <c r="AZ1630">
        <v>4516</v>
      </c>
      <c r="BA1630">
        <v>1</v>
      </c>
      <c r="BB1630" t="str">
        <f t="shared" si="157"/>
        <v xml:space="preserve">N79NX   </v>
      </c>
      <c r="BC1630">
        <v>1</v>
      </c>
      <c r="BE1630">
        <v>0</v>
      </c>
      <c r="BF1630">
        <v>0</v>
      </c>
      <c r="BG1630">
        <v>0</v>
      </c>
      <c r="BH1630">
        <v>2775</v>
      </c>
      <c r="BI1630">
        <v>0</v>
      </c>
      <c r="BJ1630">
        <v>0</v>
      </c>
      <c r="BK1630">
        <v>0</v>
      </c>
      <c r="BL1630">
        <v>0</v>
      </c>
      <c r="BO1630">
        <v>0</v>
      </c>
      <c r="BP1630">
        <v>0</v>
      </c>
      <c r="BW1630" t="str">
        <f>"18:47:12.673"</f>
        <v>18:47:12.673</v>
      </c>
      <c r="BZ1630">
        <v>0</v>
      </c>
      <c r="CA1630">
        <v>3008</v>
      </c>
      <c r="CB1630">
        <v>216</v>
      </c>
      <c r="CC1630">
        <v>518.90629999999999</v>
      </c>
      <c r="CD1630">
        <v>1</v>
      </c>
      <c r="CE1630">
        <v>1</v>
      </c>
      <c r="CF1630">
        <v>0</v>
      </c>
      <c r="CG1630">
        <v>1</v>
      </c>
      <c r="CH1630">
        <v>0</v>
      </c>
      <c r="CI1630">
        <v>1</v>
      </c>
      <c r="CJ1630">
        <v>0</v>
      </c>
      <c r="CK1630">
        <v>2</v>
      </c>
      <c r="CL1630">
        <v>0</v>
      </c>
      <c r="CM1630">
        <v>2</v>
      </c>
      <c r="CN1630">
        <v>0</v>
      </c>
      <c r="CO1630">
        <v>2</v>
      </c>
      <c r="CP1630" t="s">
        <v>119</v>
      </c>
      <c r="CQ1630">
        <v>145</v>
      </c>
      <c r="CR1630">
        <v>1</v>
      </c>
      <c r="CW1630">
        <v>9185712</v>
      </c>
      <c r="CY1630">
        <v>0</v>
      </c>
      <c r="CZ1630">
        <v>0</v>
      </c>
      <c r="DA1630">
        <v>1</v>
      </c>
      <c r="DB1630">
        <v>0</v>
      </c>
      <c r="DC1630">
        <v>0</v>
      </c>
      <c r="DD1630">
        <v>0</v>
      </c>
      <c r="DE1630">
        <v>0</v>
      </c>
      <c r="DF1630">
        <v>0</v>
      </c>
      <c r="DG1630">
        <v>0</v>
      </c>
      <c r="DH1630">
        <v>0</v>
      </c>
      <c r="DI1630">
        <v>0</v>
      </c>
    </row>
    <row r="1631" spans="1:113" x14ac:dyDescent="0.3">
      <c r="A1631" t="str">
        <f>"02/13/2022 18:47:13.922"</f>
        <v>02/13/2022 18:47:13.922</v>
      </c>
      <c r="C1631" t="str">
        <f t="shared" si="150"/>
        <v>FFDFD7C0</v>
      </c>
      <c r="D1631" t="s">
        <v>113</v>
      </c>
      <c r="E1631">
        <v>3</v>
      </c>
      <c r="F1631">
        <v>1003</v>
      </c>
      <c r="G1631" t="s">
        <v>114</v>
      </c>
      <c r="J1631" t="s">
        <v>115</v>
      </c>
      <c r="K1631">
        <v>0</v>
      </c>
      <c r="L1631">
        <v>3</v>
      </c>
      <c r="M1631">
        <v>0</v>
      </c>
      <c r="N1631">
        <v>2</v>
      </c>
      <c r="O1631">
        <v>1</v>
      </c>
      <c r="P1631">
        <v>0</v>
      </c>
      <c r="Q1631">
        <v>0</v>
      </c>
      <c r="S1631" t="str">
        <f t="shared" ref="S1631:T1633" si="161">"18:47:13.719"</f>
        <v>18:47:13.719</v>
      </c>
      <c r="T1631" t="str">
        <f t="shared" si="161"/>
        <v>18:47:13.719</v>
      </c>
      <c r="U1631" t="str">
        <f t="shared" si="155"/>
        <v>AAB6EE</v>
      </c>
      <c r="V1631">
        <v>0</v>
      </c>
      <c r="W1631">
        <v>0</v>
      </c>
      <c r="X1631">
        <v>4</v>
      </c>
      <c r="Z1631">
        <v>0</v>
      </c>
      <c r="AA1631">
        <v>8</v>
      </c>
      <c r="AB1631">
        <v>3</v>
      </c>
      <c r="AC1631">
        <v>0</v>
      </c>
      <c r="AD1631">
        <v>10</v>
      </c>
      <c r="AE1631">
        <v>0</v>
      </c>
      <c r="AF1631">
        <v>0</v>
      </c>
      <c r="AG1631">
        <v>1</v>
      </c>
      <c r="AH1631">
        <v>1</v>
      </c>
      <c r="AI1631" t="s">
        <v>1210</v>
      </c>
      <c r="AJ1631">
        <v>35.202384000000002</v>
      </c>
      <c r="AK1631" t="s">
        <v>1211</v>
      </c>
      <c r="AL1631">
        <v>-76.030090000000001</v>
      </c>
      <c r="AM1631">
        <v>25</v>
      </c>
      <c r="AN1631">
        <v>2925</v>
      </c>
      <c r="AO1631" t="s">
        <v>118</v>
      </c>
      <c r="AP1631">
        <v>69</v>
      </c>
      <c r="AQ1631">
        <v>-140</v>
      </c>
      <c r="AR1631">
        <v>64</v>
      </c>
      <c r="AZ1631">
        <v>4516</v>
      </c>
      <c r="BA1631">
        <v>1</v>
      </c>
      <c r="BB1631" t="str">
        <f t="shared" si="157"/>
        <v xml:space="preserve">N79NX   </v>
      </c>
      <c r="BC1631">
        <v>1</v>
      </c>
      <c r="BE1631">
        <v>0</v>
      </c>
      <c r="BF1631">
        <v>0</v>
      </c>
      <c r="BG1631">
        <v>0</v>
      </c>
      <c r="BH1631">
        <v>2775</v>
      </c>
      <c r="BI1631">
        <v>0</v>
      </c>
      <c r="BJ1631">
        <v>0</v>
      </c>
      <c r="BK1631">
        <v>0</v>
      </c>
      <c r="BL1631">
        <v>0</v>
      </c>
      <c r="BO1631">
        <v>0</v>
      </c>
      <c r="BP1631">
        <v>0</v>
      </c>
      <c r="BW1631" t="str">
        <f>"18:47:13.723"</f>
        <v>18:47:13.723</v>
      </c>
      <c r="BZ1631">
        <v>0</v>
      </c>
      <c r="CA1631">
        <v>3008</v>
      </c>
      <c r="CB1631">
        <v>216</v>
      </c>
      <c r="CC1631">
        <v>518.90629999999999</v>
      </c>
      <c r="CD1631">
        <v>1</v>
      </c>
      <c r="CE1631">
        <v>1</v>
      </c>
      <c r="CF1631">
        <v>0</v>
      </c>
      <c r="CG1631">
        <v>1</v>
      </c>
      <c r="CH1631">
        <v>0</v>
      </c>
      <c r="CI1631">
        <v>1</v>
      </c>
      <c r="CJ1631">
        <v>0</v>
      </c>
      <c r="CK1631">
        <v>2</v>
      </c>
      <c r="CL1631">
        <v>0</v>
      </c>
      <c r="CM1631">
        <v>2</v>
      </c>
      <c r="CN1631">
        <v>0</v>
      </c>
      <c r="CO1631">
        <v>2</v>
      </c>
      <c r="CP1631" t="s">
        <v>119</v>
      </c>
      <c r="CQ1631">
        <v>145</v>
      </c>
      <c r="CR1631">
        <v>1</v>
      </c>
      <c r="CW1631">
        <v>9186159</v>
      </c>
      <c r="CY1631">
        <v>0</v>
      </c>
      <c r="CZ1631">
        <v>0</v>
      </c>
      <c r="DA1631">
        <v>0</v>
      </c>
      <c r="DB1631">
        <v>0</v>
      </c>
      <c r="DC1631">
        <v>0</v>
      </c>
      <c r="DD1631">
        <v>0</v>
      </c>
      <c r="DE1631">
        <v>0</v>
      </c>
      <c r="DF1631">
        <v>0</v>
      </c>
      <c r="DG1631">
        <v>0</v>
      </c>
      <c r="DH1631">
        <v>0</v>
      </c>
      <c r="DI1631">
        <v>0</v>
      </c>
    </row>
    <row r="1632" spans="1:113" x14ac:dyDescent="0.3">
      <c r="A1632" t="str">
        <f>"02/13/2022 18:47:13.922"</f>
        <v>02/13/2022 18:47:13.922</v>
      </c>
      <c r="C1632" t="str">
        <f t="shared" si="150"/>
        <v>FFDFD7C0</v>
      </c>
      <c r="D1632" t="s">
        <v>113</v>
      </c>
      <c r="E1632">
        <v>4</v>
      </c>
      <c r="F1632">
        <v>1004</v>
      </c>
      <c r="G1632" t="s">
        <v>120</v>
      </c>
      <c r="J1632" t="s">
        <v>115</v>
      </c>
      <c r="K1632">
        <v>0</v>
      </c>
      <c r="L1632">
        <v>3</v>
      </c>
      <c r="M1632">
        <v>0</v>
      </c>
      <c r="N1632">
        <v>2</v>
      </c>
      <c r="O1632">
        <v>1</v>
      </c>
      <c r="P1632">
        <v>0</v>
      </c>
      <c r="Q1632">
        <v>0</v>
      </c>
      <c r="S1632" t="str">
        <f t="shared" si="161"/>
        <v>18:47:13.719</v>
      </c>
      <c r="T1632" t="str">
        <f t="shared" si="161"/>
        <v>18:47:13.719</v>
      </c>
      <c r="U1632" t="str">
        <f t="shared" si="155"/>
        <v>AAB6EE</v>
      </c>
      <c r="V1632">
        <v>0</v>
      </c>
      <c r="W1632">
        <v>0</v>
      </c>
      <c r="X1632">
        <v>4</v>
      </c>
      <c r="Z1632">
        <v>0</v>
      </c>
      <c r="AA1632">
        <v>8</v>
      </c>
      <c r="AB1632">
        <v>3</v>
      </c>
      <c r="AC1632">
        <v>0</v>
      </c>
      <c r="AD1632">
        <v>10</v>
      </c>
      <c r="AE1632">
        <v>0</v>
      </c>
      <c r="AF1632">
        <v>0</v>
      </c>
      <c r="AG1632">
        <v>1</v>
      </c>
      <c r="AH1632">
        <v>1</v>
      </c>
      <c r="AI1632" t="s">
        <v>1210</v>
      </c>
      <c r="AJ1632">
        <v>35.202384000000002</v>
      </c>
      <c r="AK1632" t="s">
        <v>1211</v>
      </c>
      <c r="AL1632">
        <v>-76.030090000000001</v>
      </c>
      <c r="AM1632">
        <v>25</v>
      </c>
      <c r="AN1632">
        <v>2925</v>
      </c>
      <c r="AO1632" t="s">
        <v>118</v>
      </c>
      <c r="AP1632">
        <v>69</v>
      </c>
      <c r="AQ1632">
        <v>-140</v>
      </c>
      <c r="AR1632">
        <v>64</v>
      </c>
      <c r="AZ1632">
        <v>4516</v>
      </c>
      <c r="BA1632">
        <v>1</v>
      </c>
      <c r="BB1632" t="str">
        <f t="shared" si="157"/>
        <v xml:space="preserve">N79NX   </v>
      </c>
      <c r="BC1632">
        <v>1</v>
      </c>
      <c r="BE1632">
        <v>0</v>
      </c>
      <c r="BF1632">
        <v>0</v>
      </c>
      <c r="BG1632">
        <v>0</v>
      </c>
      <c r="BH1632">
        <v>2775</v>
      </c>
      <c r="BI1632">
        <v>0</v>
      </c>
      <c r="BJ1632">
        <v>0</v>
      </c>
      <c r="BK1632">
        <v>0</v>
      </c>
      <c r="BL1632">
        <v>0</v>
      </c>
      <c r="BO1632">
        <v>0</v>
      </c>
      <c r="BP1632">
        <v>0</v>
      </c>
      <c r="BW1632" t="str">
        <f>"18:47:13.723"</f>
        <v>18:47:13.723</v>
      </c>
      <c r="BZ1632">
        <v>0</v>
      </c>
      <c r="CA1632">
        <v>3008</v>
      </c>
      <c r="CB1632">
        <v>216</v>
      </c>
      <c r="CC1632">
        <v>518.90629999999999</v>
      </c>
      <c r="CD1632">
        <v>1</v>
      </c>
      <c r="CE1632">
        <v>1</v>
      </c>
      <c r="CF1632">
        <v>0</v>
      </c>
      <c r="CG1632">
        <v>1</v>
      </c>
      <c r="CH1632">
        <v>0</v>
      </c>
      <c r="CI1632">
        <v>1</v>
      </c>
      <c r="CJ1632">
        <v>0</v>
      </c>
      <c r="CK1632">
        <v>2</v>
      </c>
      <c r="CL1632">
        <v>0</v>
      </c>
      <c r="CM1632">
        <v>2</v>
      </c>
      <c r="CN1632">
        <v>0</v>
      </c>
      <c r="CO1632">
        <v>2</v>
      </c>
      <c r="CP1632" t="s">
        <v>119</v>
      </c>
      <c r="CQ1632">
        <v>145</v>
      </c>
      <c r="CR1632">
        <v>1</v>
      </c>
      <c r="CW1632">
        <v>9186159</v>
      </c>
      <c r="CY1632">
        <v>0</v>
      </c>
      <c r="CZ1632">
        <v>0</v>
      </c>
      <c r="DA1632">
        <v>1</v>
      </c>
      <c r="DB1632">
        <v>0</v>
      </c>
      <c r="DC1632">
        <v>0</v>
      </c>
      <c r="DD1632">
        <v>0</v>
      </c>
      <c r="DE1632">
        <v>0</v>
      </c>
      <c r="DF1632">
        <v>0</v>
      </c>
      <c r="DG1632">
        <v>0</v>
      </c>
      <c r="DH1632">
        <v>0</v>
      </c>
      <c r="DI1632">
        <v>0</v>
      </c>
    </row>
    <row r="1633" spans="1:113" x14ac:dyDescent="0.3">
      <c r="A1633" t="str">
        <f>"02/13/2022 18:47:13.938"</f>
        <v>02/13/2022 18:47:13.938</v>
      </c>
      <c r="C1633" t="str">
        <f t="shared" si="150"/>
        <v>FFDFD7C0</v>
      </c>
      <c r="D1633" t="s">
        <v>121</v>
      </c>
      <c r="E1633">
        <v>2</v>
      </c>
      <c r="H1633">
        <v>158</v>
      </c>
      <c r="I1633" t="s">
        <v>120</v>
      </c>
      <c r="J1633" t="s">
        <v>122</v>
      </c>
      <c r="K1633">
        <v>0</v>
      </c>
      <c r="L1633">
        <v>3</v>
      </c>
      <c r="M1633">
        <v>0</v>
      </c>
      <c r="N1633">
        <v>2</v>
      </c>
      <c r="O1633">
        <v>1</v>
      </c>
      <c r="P1633">
        <v>0</v>
      </c>
      <c r="Q1633">
        <v>0</v>
      </c>
      <c r="S1633" t="str">
        <f t="shared" si="161"/>
        <v>18:47:13.719</v>
      </c>
      <c r="T1633" t="str">
        <f t="shared" si="161"/>
        <v>18:47:13.719</v>
      </c>
      <c r="U1633" t="str">
        <f t="shared" si="155"/>
        <v>AAB6EE</v>
      </c>
      <c r="V1633">
        <v>0</v>
      </c>
      <c r="W1633">
        <v>0</v>
      </c>
      <c r="X1633">
        <v>4</v>
      </c>
      <c r="Z1633">
        <v>0</v>
      </c>
      <c r="AA1633">
        <v>8</v>
      </c>
      <c r="AB1633">
        <v>3</v>
      </c>
      <c r="AC1633">
        <v>0</v>
      </c>
      <c r="AD1633">
        <v>10</v>
      </c>
      <c r="AE1633">
        <v>0</v>
      </c>
      <c r="AF1633">
        <v>0</v>
      </c>
      <c r="AG1633">
        <v>1</v>
      </c>
      <c r="AH1633">
        <v>1</v>
      </c>
      <c r="AI1633" t="s">
        <v>1210</v>
      </c>
      <c r="AJ1633">
        <v>35.202384000000002</v>
      </c>
      <c r="AK1633" t="s">
        <v>1211</v>
      </c>
      <c r="AL1633">
        <v>-76.030090000000001</v>
      </c>
      <c r="AM1633">
        <v>25</v>
      </c>
      <c r="AN1633">
        <v>2925</v>
      </c>
      <c r="AO1633" t="s">
        <v>118</v>
      </c>
      <c r="AP1633">
        <v>69</v>
      </c>
      <c r="AQ1633">
        <v>-140</v>
      </c>
      <c r="AR1633">
        <v>64</v>
      </c>
      <c r="AZ1633">
        <v>4516</v>
      </c>
      <c r="BA1633">
        <v>1</v>
      </c>
      <c r="BB1633" t="str">
        <f t="shared" si="157"/>
        <v xml:space="preserve">N79NX   </v>
      </c>
      <c r="BC1633">
        <v>1</v>
      </c>
      <c r="BE1633">
        <v>0</v>
      </c>
      <c r="BF1633">
        <v>0</v>
      </c>
      <c r="BG1633">
        <v>0</v>
      </c>
      <c r="BH1633">
        <v>2775</v>
      </c>
      <c r="BI1633">
        <v>0</v>
      </c>
      <c r="BJ1633">
        <v>0</v>
      </c>
      <c r="BK1633">
        <v>0</v>
      </c>
      <c r="BL1633">
        <v>0</v>
      </c>
      <c r="BO1633">
        <v>0</v>
      </c>
      <c r="BP1633">
        <v>0</v>
      </c>
      <c r="BW1633" t="str">
        <f>"18:47:13.723"</f>
        <v>18:47:13.723</v>
      </c>
      <c r="BZ1633">
        <v>0</v>
      </c>
      <c r="CA1633">
        <v>3008</v>
      </c>
      <c r="CB1633">
        <v>216</v>
      </c>
      <c r="CC1633">
        <v>518.90629999999999</v>
      </c>
      <c r="CD1633">
        <v>1</v>
      </c>
      <c r="CE1633">
        <v>1</v>
      </c>
      <c r="CF1633">
        <v>0</v>
      </c>
      <c r="CG1633">
        <v>1</v>
      </c>
      <c r="CH1633">
        <v>0</v>
      </c>
      <c r="CI1633">
        <v>1</v>
      </c>
      <c r="CJ1633">
        <v>0</v>
      </c>
      <c r="CK1633">
        <v>2</v>
      </c>
      <c r="CL1633">
        <v>0</v>
      </c>
      <c r="CM1633">
        <v>2</v>
      </c>
      <c r="CN1633">
        <v>0</v>
      </c>
      <c r="CO1633">
        <v>2</v>
      </c>
      <c r="CP1633" t="s">
        <v>119</v>
      </c>
      <c r="CQ1633">
        <v>145</v>
      </c>
      <c r="CR1633">
        <v>1</v>
      </c>
      <c r="CW1633">
        <v>9186159</v>
      </c>
      <c r="CY1633">
        <v>0</v>
      </c>
      <c r="CZ1633">
        <v>0</v>
      </c>
      <c r="DA1633">
        <v>1</v>
      </c>
      <c r="DB1633">
        <v>0</v>
      </c>
      <c r="DC1633">
        <v>0</v>
      </c>
      <c r="DD1633">
        <v>0</v>
      </c>
      <c r="DE1633">
        <v>0</v>
      </c>
      <c r="DF1633">
        <v>0</v>
      </c>
      <c r="DG1633">
        <v>0</v>
      </c>
      <c r="DH1633">
        <v>0</v>
      </c>
      <c r="DI1633">
        <v>0</v>
      </c>
    </row>
    <row r="1634" spans="1:113" x14ac:dyDescent="0.3">
      <c r="A1634" t="str">
        <f>"02/13/2022 18:47:14.815"</f>
        <v>02/13/2022 18:47:14.815</v>
      </c>
      <c r="C1634" t="str">
        <f t="shared" si="150"/>
        <v>FFDFD7C0</v>
      </c>
      <c r="D1634" t="s">
        <v>113</v>
      </c>
      <c r="E1634">
        <v>3</v>
      </c>
      <c r="F1634">
        <v>1003</v>
      </c>
      <c r="G1634" t="s">
        <v>114</v>
      </c>
      <c r="J1634" t="s">
        <v>115</v>
      </c>
      <c r="K1634">
        <v>0</v>
      </c>
      <c r="L1634">
        <v>3</v>
      </c>
      <c r="M1634">
        <v>0</v>
      </c>
      <c r="N1634">
        <v>2</v>
      </c>
      <c r="O1634">
        <v>1</v>
      </c>
      <c r="P1634">
        <v>0</v>
      </c>
      <c r="Q1634">
        <v>0</v>
      </c>
      <c r="S1634" t="str">
        <f t="shared" ref="S1634:T1636" si="162">"18:47:14.648"</f>
        <v>18:47:14.648</v>
      </c>
      <c r="T1634" t="str">
        <f t="shared" si="162"/>
        <v>18:47:14.648</v>
      </c>
      <c r="U1634" t="str">
        <f t="shared" si="155"/>
        <v>AAB6EE</v>
      </c>
      <c r="V1634">
        <v>0</v>
      </c>
      <c r="W1634">
        <v>0</v>
      </c>
      <c r="X1634">
        <v>4</v>
      </c>
      <c r="Z1634">
        <v>0</v>
      </c>
      <c r="AA1634">
        <v>8</v>
      </c>
      <c r="AB1634">
        <v>3</v>
      </c>
      <c r="AC1634">
        <v>0</v>
      </c>
      <c r="AD1634">
        <v>10</v>
      </c>
      <c r="AE1634">
        <v>0</v>
      </c>
      <c r="AF1634">
        <v>0</v>
      </c>
      <c r="AG1634">
        <v>1</v>
      </c>
      <c r="AH1634">
        <v>1</v>
      </c>
      <c r="AI1634" t="s">
        <v>1212</v>
      </c>
      <c r="AJ1634">
        <v>35.201782999999999</v>
      </c>
      <c r="AK1634" t="s">
        <v>1213</v>
      </c>
      <c r="AL1634">
        <v>-76.029747</v>
      </c>
      <c r="AM1634">
        <v>25</v>
      </c>
      <c r="AN1634">
        <v>2925</v>
      </c>
      <c r="AO1634" t="s">
        <v>118</v>
      </c>
      <c r="AP1634">
        <v>70</v>
      </c>
      <c r="AQ1634">
        <v>-140</v>
      </c>
      <c r="AR1634">
        <v>64</v>
      </c>
      <c r="AZ1634">
        <v>4516</v>
      </c>
      <c r="BA1634">
        <v>1</v>
      </c>
      <c r="BB1634" t="str">
        <f t="shared" si="157"/>
        <v xml:space="preserve">N79NX   </v>
      </c>
      <c r="BC1634">
        <v>1</v>
      </c>
      <c r="BE1634">
        <v>0</v>
      </c>
      <c r="BF1634">
        <v>0</v>
      </c>
      <c r="BG1634">
        <v>0</v>
      </c>
      <c r="BH1634">
        <v>2775</v>
      </c>
      <c r="BI1634">
        <v>0</v>
      </c>
      <c r="BJ1634">
        <v>0</v>
      </c>
      <c r="BK1634">
        <v>0</v>
      </c>
      <c r="BL1634">
        <v>0</v>
      </c>
      <c r="BO1634">
        <v>0</v>
      </c>
      <c r="BP1634">
        <v>0</v>
      </c>
      <c r="BW1634" t="str">
        <f>"18:47:14.653"</f>
        <v>18:47:14.653</v>
      </c>
      <c r="BZ1634">
        <v>0</v>
      </c>
      <c r="CA1634">
        <v>3008</v>
      </c>
      <c r="CB1634">
        <v>216</v>
      </c>
      <c r="CC1634">
        <v>518.90629999999999</v>
      </c>
      <c r="CD1634">
        <v>1</v>
      </c>
      <c r="CE1634">
        <v>1</v>
      </c>
      <c r="CF1634">
        <v>0</v>
      </c>
      <c r="CG1634">
        <v>1</v>
      </c>
      <c r="CH1634">
        <v>0</v>
      </c>
      <c r="CI1634">
        <v>1</v>
      </c>
      <c r="CJ1634">
        <v>0</v>
      </c>
      <c r="CK1634">
        <v>2</v>
      </c>
      <c r="CL1634">
        <v>0</v>
      </c>
      <c r="CM1634">
        <v>2</v>
      </c>
      <c r="CN1634">
        <v>0</v>
      </c>
      <c r="CO1634">
        <v>2</v>
      </c>
      <c r="CP1634" t="s">
        <v>119</v>
      </c>
      <c r="CQ1634">
        <v>145</v>
      </c>
      <c r="CR1634">
        <v>1</v>
      </c>
      <c r="CW1634">
        <v>9186598</v>
      </c>
      <c r="CY1634">
        <v>0</v>
      </c>
      <c r="CZ1634">
        <v>0</v>
      </c>
      <c r="DA1634">
        <v>0</v>
      </c>
      <c r="DB1634">
        <v>0</v>
      </c>
      <c r="DC1634">
        <v>0</v>
      </c>
      <c r="DD1634">
        <v>0</v>
      </c>
      <c r="DE1634">
        <v>0</v>
      </c>
      <c r="DF1634">
        <v>0</v>
      </c>
      <c r="DG1634">
        <v>0</v>
      </c>
      <c r="DH1634">
        <v>0</v>
      </c>
      <c r="DI1634">
        <v>0</v>
      </c>
    </row>
    <row r="1635" spans="1:113" x14ac:dyDescent="0.3">
      <c r="A1635" t="str">
        <f>"02/13/2022 18:47:14.831"</f>
        <v>02/13/2022 18:47:14.831</v>
      </c>
      <c r="C1635" t="str">
        <f t="shared" si="150"/>
        <v>FFDFD7C0</v>
      </c>
      <c r="D1635" t="s">
        <v>113</v>
      </c>
      <c r="E1635">
        <v>4</v>
      </c>
      <c r="F1635">
        <v>1004</v>
      </c>
      <c r="G1635" t="s">
        <v>120</v>
      </c>
      <c r="J1635" t="s">
        <v>115</v>
      </c>
      <c r="K1635">
        <v>0</v>
      </c>
      <c r="L1635">
        <v>3</v>
      </c>
      <c r="M1635">
        <v>0</v>
      </c>
      <c r="N1635">
        <v>2</v>
      </c>
      <c r="O1635">
        <v>1</v>
      </c>
      <c r="P1635">
        <v>0</v>
      </c>
      <c r="Q1635">
        <v>0</v>
      </c>
      <c r="S1635" t="str">
        <f t="shared" si="162"/>
        <v>18:47:14.648</v>
      </c>
      <c r="T1635" t="str">
        <f t="shared" si="162"/>
        <v>18:47:14.648</v>
      </c>
      <c r="U1635" t="str">
        <f t="shared" si="155"/>
        <v>AAB6EE</v>
      </c>
      <c r="V1635">
        <v>0</v>
      </c>
      <c r="W1635">
        <v>0</v>
      </c>
      <c r="X1635">
        <v>4</v>
      </c>
      <c r="Z1635">
        <v>0</v>
      </c>
      <c r="AA1635">
        <v>8</v>
      </c>
      <c r="AB1635">
        <v>3</v>
      </c>
      <c r="AC1635">
        <v>0</v>
      </c>
      <c r="AD1635">
        <v>10</v>
      </c>
      <c r="AE1635">
        <v>0</v>
      </c>
      <c r="AF1635">
        <v>0</v>
      </c>
      <c r="AG1635">
        <v>1</v>
      </c>
      <c r="AH1635">
        <v>1</v>
      </c>
      <c r="AI1635" t="s">
        <v>1212</v>
      </c>
      <c r="AJ1635">
        <v>35.201782999999999</v>
      </c>
      <c r="AK1635" t="s">
        <v>1213</v>
      </c>
      <c r="AL1635">
        <v>-76.029747</v>
      </c>
      <c r="AM1635">
        <v>25</v>
      </c>
      <c r="AN1635">
        <v>2925</v>
      </c>
      <c r="AO1635" t="s">
        <v>118</v>
      </c>
      <c r="AP1635">
        <v>70</v>
      </c>
      <c r="AQ1635">
        <v>-140</v>
      </c>
      <c r="AR1635">
        <v>64</v>
      </c>
      <c r="AZ1635">
        <v>4516</v>
      </c>
      <c r="BA1635">
        <v>1</v>
      </c>
      <c r="BB1635" t="str">
        <f t="shared" si="157"/>
        <v xml:space="preserve">N79NX   </v>
      </c>
      <c r="BC1635">
        <v>1</v>
      </c>
      <c r="BE1635">
        <v>0</v>
      </c>
      <c r="BF1635">
        <v>0</v>
      </c>
      <c r="BG1635">
        <v>0</v>
      </c>
      <c r="BH1635">
        <v>2775</v>
      </c>
      <c r="BI1635">
        <v>0</v>
      </c>
      <c r="BJ1635">
        <v>0</v>
      </c>
      <c r="BK1635">
        <v>0</v>
      </c>
      <c r="BL1635">
        <v>0</v>
      </c>
      <c r="BO1635">
        <v>0</v>
      </c>
      <c r="BP1635">
        <v>0</v>
      </c>
      <c r="BW1635" t="str">
        <f>"18:47:14.653"</f>
        <v>18:47:14.653</v>
      </c>
      <c r="BZ1635">
        <v>0</v>
      </c>
      <c r="CA1635">
        <v>3008</v>
      </c>
      <c r="CB1635">
        <v>216</v>
      </c>
      <c r="CC1635">
        <v>518.90629999999999</v>
      </c>
      <c r="CD1635">
        <v>1</v>
      </c>
      <c r="CE1635">
        <v>1</v>
      </c>
      <c r="CF1635">
        <v>0</v>
      </c>
      <c r="CG1635">
        <v>1</v>
      </c>
      <c r="CH1635">
        <v>0</v>
      </c>
      <c r="CI1635">
        <v>1</v>
      </c>
      <c r="CJ1635">
        <v>0</v>
      </c>
      <c r="CK1635">
        <v>2</v>
      </c>
      <c r="CL1635">
        <v>0</v>
      </c>
      <c r="CM1635">
        <v>2</v>
      </c>
      <c r="CN1635">
        <v>0</v>
      </c>
      <c r="CO1635">
        <v>2</v>
      </c>
      <c r="CP1635" t="s">
        <v>119</v>
      </c>
      <c r="CQ1635">
        <v>145</v>
      </c>
      <c r="CR1635">
        <v>1</v>
      </c>
      <c r="CW1635">
        <v>9186598</v>
      </c>
      <c r="CY1635">
        <v>0</v>
      </c>
      <c r="CZ1635">
        <v>0</v>
      </c>
      <c r="DA1635">
        <v>1</v>
      </c>
      <c r="DB1635">
        <v>0</v>
      </c>
      <c r="DC1635">
        <v>0</v>
      </c>
      <c r="DD1635">
        <v>0</v>
      </c>
      <c r="DE1635">
        <v>0</v>
      </c>
      <c r="DF1635">
        <v>0</v>
      </c>
      <c r="DG1635">
        <v>0</v>
      </c>
      <c r="DH1635">
        <v>0</v>
      </c>
      <c r="DI1635">
        <v>0</v>
      </c>
    </row>
    <row r="1636" spans="1:113" x14ac:dyDescent="0.3">
      <c r="A1636" t="str">
        <f>"02/13/2022 18:47:14.846"</f>
        <v>02/13/2022 18:47:14.846</v>
      </c>
      <c r="C1636" t="str">
        <f t="shared" si="150"/>
        <v>FFDFD7C0</v>
      </c>
      <c r="D1636" t="s">
        <v>121</v>
      </c>
      <c r="E1636">
        <v>2</v>
      </c>
      <c r="H1636">
        <v>158</v>
      </c>
      <c r="I1636" t="s">
        <v>120</v>
      </c>
      <c r="J1636" t="s">
        <v>122</v>
      </c>
      <c r="K1636">
        <v>0</v>
      </c>
      <c r="L1636">
        <v>3</v>
      </c>
      <c r="M1636">
        <v>0</v>
      </c>
      <c r="N1636">
        <v>2</v>
      </c>
      <c r="O1636">
        <v>1</v>
      </c>
      <c r="P1636">
        <v>0</v>
      </c>
      <c r="Q1636">
        <v>0</v>
      </c>
      <c r="S1636" t="str">
        <f t="shared" si="162"/>
        <v>18:47:14.648</v>
      </c>
      <c r="T1636" t="str">
        <f t="shared" si="162"/>
        <v>18:47:14.648</v>
      </c>
      <c r="U1636" t="str">
        <f t="shared" si="155"/>
        <v>AAB6EE</v>
      </c>
      <c r="V1636">
        <v>0</v>
      </c>
      <c r="W1636">
        <v>0</v>
      </c>
      <c r="X1636">
        <v>4</v>
      </c>
      <c r="Z1636">
        <v>0</v>
      </c>
      <c r="AA1636">
        <v>8</v>
      </c>
      <c r="AB1636">
        <v>3</v>
      </c>
      <c r="AC1636">
        <v>0</v>
      </c>
      <c r="AD1636">
        <v>10</v>
      </c>
      <c r="AE1636">
        <v>0</v>
      </c>
      <c r="AF1636">
        <v>0</v>
      </c>
      <c r="AG1636">
        <v>1</v>
      </c>
      <c r="AH1636">
        <v>1</v>
      </c>
      <c r="AI1636" t="s">
        <v>1212</v>
      </c>
      <c r="AJ1636">
        <v>35.201782999999999</v>
      </c>
      <c r="AK1636" t="s">
        <v>1213</v>
      </c>
      <c r="AL1636">
        <v>-76.029747</v>
      </c>
      <c r="AM1636">
        <v>25</v>
      </c>
      <c r="AN1636">
        <v>2925</v>
      </c>
      <c r="AO1636" t="s">
        <v>118</v>
      </c>
      <c r="AP1636">
        <v>70</v>
      </c>
      <c r="AQ1636">
        <v>-140</v>
      </c>
      <c r="AR1636">
        <v>64</v>
      </c>
      <c r="AZ1636">
        <v>4516</v>
      </c>
      <c r="BA1636">
        <v>1</v>
      </c>
      <c r="BB1636" t="str">
        <f t="shared" si="157"/>
        <v xml:space="preserve">N79NX   </v>
      </c>
      <c r="BC1636">
        <v>1</v>
      </c>
      <c r="BE1636">
        <v>0</v>
      </c>
      <c r="BF1636">
        <v>0</v>
      </c>
      <c r="BG1636">
        <v>0</v>
      </c>
      <c r="BH1636">
        <v>2775</v>
      </c>
      <c r="BI1636">
        <v>0</v>
      </c>
      <c r="BJ1636">
        <v>0</v>
      </c>
      <c r="BK1636">
        <v>0</v>
      </c>
      <c r="BL1636">
        <v>0</v>
      </c>
      <c r="BO1636">
        <v>0</v>
      </c>
      <c r="BP1636">
        <v>0</v>
      </c>
      <c r="BW1636" t="str">
        <f>"18:47:14.653"</f>
        <v>18:47:14.653</v>
      </c>
      <c r="BZ1636">
        <v>0</v>
      </c>
      <c r="CA1636">
        <v>3008</v>
      </c>
      <c r="CB1636">
        <v>216</v>
      </c>
      <c r="CC1636">
        <v>518.90629999999999</v>
      </c>
      <c r="CD1636">
        <v>1</v>
      </c>
      <c r="CE1636">
        <v>1</v>
      </c>
      <c r="CF1636">
        <v>0</v>
      </c>
      <c r="CG1636">
        <v>1</v>
      </c>
      <c r="CH1636">
        <v>0</v>
      </c>
      <c r="CI1636">
        <v>1</v>
      </c>
      <c r="CJ1636">
        <v>0</v>
      </c>
      <c r="CK1636">
        <v>2</v>
      </c>
      <c r="CL1636">
        <v>0</v>
      </c>
      <c r="CM1636">
        <v>2</v>
      </c>
      <c r="CN1636">
        <v>0</v>
      </c>
      <c r="CO1636">
        <v>2</v>
      </c>
      <c r="CP1636" t="s">
        <v>119</v>
      </c>
      <c r="CQ1636">
        <v>145</v>
      </c>
      <c r="CR1636">
        <v>1</v>
      </c>
      <c r="CW1636">
        <v>9186598</v>
      </c>
      <c r="CY1636">
        <v>0</v>
      </c>
      <c r="CZ1636">
        <v>0</v>
      </c>
      <c r="DA1636">
        <v>1</v>
      </c>
      <c r="DB1636">
        <v>0</v>
      </c>
      <c r="DC1636">
        <v>0</v>
      </c>
      <c r="DD1636">
        <v>0</v>
      </c>
      <c r="DE1636">
        <v>0</v>
      </c>
      <c r="DF1636">
        <v>0</v>
      </c>
      <c r="DG1636">
        <v>0</v>
      </c>
      <c r="DH1636">
        <v>0</v>
      </c>
      <c r="DI1636">
        <v>0</v>
      </c>
    </row>
    <row r="1637" spans="1:113" x14ac:dyDescent="0.3">
      <c r="A1637" t="str">
        <f>"02/13/2022 18:47:15.784"</f>
        <v>02/13/2022 18:47:15.784</v>
      </c>
      <c r="C1637" t="str">
        <f t="shared" ref="C1637:C1700" si="163">"FFDFD7C0"</f>
        <v>FFDFD7C0</v>
      </c>
      <c r="D1637" t="s">
        <v>113</v>
      </c>
      <c r="E1637">
        <v>3</v>
      </c>
      <c r="F1637">
        <v>1003</v>
      </c>
      <c r="G1637" t="s">
        <v>114</v>
      </c>
      <c r="J1637" t="s">
        <v>115</v>
      </c>
      <c r="K1637">
        <v>0</v>
      </c>
      <c r="L1637">
        <v>3</v>
      </c>
      <c r="M1637">
        <v>0</v>
      </c>
      <c r="N1637">
        <v>2</v>
      </c>
      <c r="O1637">
        <v>1</v>
      </c>
      <c r="P1637">
        <v>0</v>
      </c>
      <c r="Q1637">
        <v>0</v>
      </c>
      <c r="S1637" t="str">
        <f>"18:47:15.586"</f>
        <v>18:47:15.586</v>
      </c>
      <c r="T1637" t="str">
        <f>"18:47:14.586"</f>
        <v>18:47:14.586</v>
      </c>
      <c r="U1637" t="str">
        <f t="shared" si="155"/>
        <v>AAB6EE</v>
      </c>
      <c r="V1637">
        <v>0</v>
      </c>
      <c r="W1637">
        <v>0</v>
      </c>
      <c r="X1637">
        <v>4</v>
      </c>
      <c r="Z1637">
        <v>0</v>
      </c>
      <c r="AA1637">
        <v>8</v>
      </c>
      <c r="AB1637">
        <v>3</v>
      </c>
      <c r="AC1637">
        <v>0</v>
      </c>
      <c r="AD1637">
        <v>10</v>
      </c>
      <c r="AE1637">
        <v>0</v>
      </c>
      <c r="AF1637">
        <v>0</v>
      </c>
      <c r="AG1637">
        <v>1</v>
      </c>
      <c r="AH1637">
        <v>1</v>
      </c>
      <c r="AI1637" t="s">
        <v>1214</v>
      </c>
      <c r="AJ1637">
        <v>35.201203999999997</v>
      </c>
      <c r="AK1637" t="s">
        <v>1215</v>
      </c>
      <c r="AL1637">
        <v>-76.029425000000003</v>
      </c>
      <c r="AM1637">
        <v>25</v>
      </c>
      <c r="AN1637">
        <v>2925</v>
      </c>
      <c r="AO1637" t="s">
        <v>118</v>
      </c>
      <c r="AP1637">
        <v>70</v>
      </c>
      <c r="AQ1637">
        <v>-140</v>
      </c>
      <c r="AR1637">
        <v>64</v>
      </c>
      <c r="AZ1637">
        <v>4516</v>
      </c>
      <c r="BA1637">
        <v>1</v>
      </c>
      <c r="BB1637" t="str">
        <f t="shared" si="157"/>
        <v xml:space="preserve">N79NX   </v>
      </c>
      <c r="BC1637">
        <v>1</v>
      </c>
      <c r="BE1637">
        <v>0</v>
      </c>
      <c r="BF1637">
        <v>0</v>
      </c>
      <c r="BG1637">
        <v>0</v>
      </c>
      <c r="BH1637">
        <v>2775</v>
      </c>
      <c r="BI1637">
        <v>0</v>
      </c>
      <c r="BJ1637">
        <v>0</v>
      </c>
      <c r="BK1637">
        <v>0</v>
      </c>
      <c r="BL1637">
        <v>0</v>
      </c>
      <c r="BO1637">
        <v>0</v>
      </c>
      <c r="BP1637">
        <v>0</v>
      </c>
      <c r="BW1637" t="str">
        <f>"18:47:15.593"</f>
        <v>18:47:15.593</v>
      </c>
      <c r="BZ1637">
        <v>0</v>
      </c>
      <c r="CA1637">
        <v>3008</v>
      </c>
      <c r="CB1637">
        <v>216</v>
      </c>
      <c r="CC1637">
        <v>518.90629999999999</v>
      </c>
      <c r="CD1637">
        <v>1</v>
      </c>
      <c r="CE1637">
        <v>1</v>
      </c>
      <c r="CF1637">
        <v>0</v>
      </c>
      <c r="CG1637">
        <v>1</v>
      </c>
      <c r="CH1637">
        <v>0</v>
      </c>
      <c r="CI1637">
        <v>1</v>
      </c>
      <c r="CJ1637">
        <v>0</v>
      </c>
      <c r="CK1637">
        <v>2</v>
      </c>
      <c r="CL1637">
        <v>0</v>
      </c>
      <c r="CM1637">
        <v>2</v>
      </c>
      <c r="CN1637">
        <v>0</v>
      </c>
      <c r="CO1637">
        <v>2</v>
      </c>
      <c r="CP1637" t="s">
        <v>119</v>
      </c>
      <c r="CQ1637">
        <v>145</v>
      </c>
      <c r="CR1637">
        <v>1</v>
      </c>
      <c r="CW1637">
        <v>9187111</v>
      </c>
      <c r="CY1637">
        <v>0</v>
      </c>
      <c r="CZ1637">
        <v>0</v>
      </c>
      <c r="DA1637">
        <v>0</v>
      </c>
      <c r="DB1637">
        <v>0</v>
      </c>
      <c r="DC1637">
        <v>0</v>
      </c>
      <c r="DD1637">
        <v>0</v>
      </c>
      <c r="DE1637">
        <v>0</v>
      </c>
      <c r="DF1637">
        <v>0</v>
      </c>
      <c r="DG1637">
        <v>0</v>
      </c>
      <c r="DH1637">
        <v>0</v>
      </c>
      <c r="DI1637">
        <v>0</v>
      </c>
    </row>
    <row r="1638" spans="1:113" x14ac:dyDescent="0.3">
      <c r="A1638" t="str">
        <f>"02/13/2022 18:47:15.784"</f>
        <v>02/13/2022 18:47:15.784</v>
      </c>
      <c r="C1638" t="str">
        <f t="shared" si="163"/>
        <v>FFDFD7C0</v>
      </c>
      <c r="D1638" t="s">
        <v>113</v>
      </c>
      <c r="E1638">
        <v>4</v>
      </c>
      <c r="F1638">
        <v>1004</v>
      </c>
      <c r="G1638" t="s">
        <v>120</v>
      </c>
      <c r="J1638" t="s">
        <v>115</v>
      </c>
      <c r="K1638">
        <v>0</v>
      </c>
      <c r="L1638">
        <v>3</v>
      </c>
      <c r="M1638">
        <v>0</v>
      </c>
      <c r="N1638">
        <v>2</v>
      </c>
      <c r="O1638">
        <v>1</v>
      </c>
      <c r="P1638">
        <v>0</v>
      </c>
      <c r="Q1638">
        <v>0</v>
      </c>
      <c r="S1638" t="str">
        <f>"18:47:15.586"</f>
        <v>18:47:15.586</v>
      </c>
      <c r="T1638" t="str">
        <f>"18:47:14.586"</f>
        <v>18:47:14.586</v>
      </c>
      <c r="U1638" t="str">
        <f t="shared" si="155"/>
        <v>AAB6EE</v>
      </c>
      <c r="V1638">
        <v>0</v>
      </c>
      <c r="W1638">
        <v>0</v>
      </c>
      <c r="X1638">
        <v>4</v>
      </c>
      <c r="Z1638">
        <v>0</v>
      </c>
      <c r="AA1638">
        <v>8</v>
      </c>
      <c r="AB1638">
        <v>3</v>
      </c>
      <c r="AC1638">
        <v>0</v>
      </c>
      <c r="AD1638">
        <v>10</v>
      </c>
      <c r="AE1638">
        <v>0</v>
      </c>
      <c r="AF1638">
        <v>0</v>
      </c>
      <c r="AG1638">
        <v>1</v>
      </c>
      <c r="AH1638">
        <v>1</v>
      </c>
      <c r="AI1638" t="s">
        <v>1214</v>
      </c>
      <c r="AJ1638">
        <v>35.201203999999997</v>
      </c>
      <c r="AK1638" t="s">
        <v>1215</v>
      </c>
      <c r="AL1638">
        <v>-76.029425000000003</v>
      </c>
      <c r="AM1638">
        <v>25</v>
      </c>
      <c r="AN1638">
        <v>2925</v>
      </c>
      <c r="AO1638" t="s">
        <v>118</v>
      </c>
      <c r="AP1638">
        <v>70</v>
      </c>
      <c r="AQ1638">
        <v>-140</v>
      </c>
      <c r="AR1638">
        <v>64</v>
      </c>
      <c r="AZ1638">
        <v>4516</v>
      </c>
      <c r="BA1638">
        <v>1</v>
      </c>
      <c r="BB1638" t="str">
        <f t="shared" si="157"/>
        <v xml:space="preserve">N79NX   </v>
      </c>
      <c r="BC1638">
        <v>1</v>
      </c>
      <c r="BE1638">
        <v>0</v>
      </c>
      <c r="BF1638">
        <v>0</v>
      </c>
      <c r="BG1638">
        <v>0</v>
      </c>
      <c r="BH1638">
        <v>2775</v>
      </c>
      <c r="BI1638">
        <v>0</v>
      </c>
      <c r="BJ1638">
        <v>0</v>
      </c>
      <c r="BK1638">
        <v>0</v>
      </c>
      <c r="BL1638">
        <v>0</v>
      </c>
      <c r="BO1638">
        <v>0</v>
      </c>
      <c r="BP1638">
        <v>0</v>
      </c>
      <c r="BW1638" t="str">
        <f>"18:47:15.593"</f>
        <v>18:47:15.593</v>
      </c>
      <c r="BZ1638">
        <v>0</v>
      </c>
      <c r="CA1638">
        <v>3008</v>
      </c>
      <c r="CB1638">
        <v>216</v>
      </c>
      <c r="CC1638">
        <v>518.90629999999999</v>
      </c>
      <c r="CD1638">
        <v>1</v>
      </c>
      <c r="CE1638">
        <v>1</v>
      </c>
      <c r="CF1638">
        <v>0</v>
      </c>
      <c r="CG1638">
        <v>1</v>
      </c>
      <c r="CH1638">
        <v>0</v>
      </c>
      <c r="CI1638">
        <v>1</v>
      </c>
      <c r="CJ1638">
        <v>0</v>
      </c>
      <c r="CK1638">
        <v>2</v>
      </c>
      <c r="CL1638">
        <v>0</v>
      </c>
      <c r="CM1638">
        <v>2</v>
      </c>
      <c r="CN1638">
        <v>0</v>
      </c>
      <c r="CO1638">
        <v>2</v>
      </c>
      <c r="CP1638" t="s">
        <v>119</v>
      </c>
      <c r="CQ1638">
        <v>145</v>
      </c>
      <c r="CR1638">
        <v>1</v>
      </c>
      <c r="CW1638">
        <v>9187111</v>
      </c>
      <c r="CY1638">
        <v>0</v>
      </c>
      <c r="CZ1638">
        <v>0</v>
      </c>
      <c r="DA1638">
        <v>1</v>
      </c>
      <c r="DB1638">
        <v>0</v>
      </c>
      <c r="DC1638">
        <v>0</v>
      </c>
      <c r="DD1638">
        <v>0</v>
      </c>
      <c r="DE1638">
        <v>0</v>
      </c>
      <c r="DF1638">
        <v>0</v>
      </c>
      <c r="DG1638">
        <v>0</v>
      </c>
      <c r="DH1638">
        <v>0</v>
      </c>
      <c r="DI1638">
        <v>0</v>
      </c>
    </row>
    <row r="1639" spans="1:113" x14ac:dyDescent="0.3">
      <c r="A1639" t="str">
        <f>"02/13/2022 18:47:15.862"</f>
        <v>02/13/2022 18:47:15.862</v>
      </c>
      <c r="C1639" t="str">
        <f t="shared" si="163"/>
        <v>FFDFD7C0</v>
      </c>
      <c r="D1639" t="s">
        <v>121</v>
      </c>
      <c r="E1639">
        <v>2</v>
      </c>
      <c r="H1639">
        <v>158</v>
      </c>
      <c r="I1639" t="s">
        <v>120</v>
      </c>
      <c r="J1639" t="s">
        <v>122</v>
      </c>
      <c r="K1639">
        <v>0</v>
      </c>
      <c r="L1639">
        <v>3</v>
      </c>
      <c r="M1639">
        <v>0</v>
      </c>
      <c r="N1639">
        <v>2</v>
      </c>
      <c r="O1639">
        <v>1</v>
      </c>
      <c r="P1639">
        <v>0</v>
      </c>
      <c r="Q1639">
        <v>0</v>
      </c>
      <c r="S1639" t="str">
        <f>"18:47:15.586"</f>
        <v>18:47:15.586</v>
      </c>
      <c r="T1639" t="str">
        <f>"18:47:14.586"</f>
        <v>18:47:14.586</v>
      </c>
      <c r="U1639" t="str">
        <f t="shared" si="155"/>
        <v>AAB6EE</v>
      </c>
      <c r="V1639">
        <v>0</v>
      </c>
      <c r="W1639">
        <v>0</v>
      </c>
      <c r="X1639">
        <v>4</v>
      </c>
      <c r="Z1639">
        <v>0</v>
      </c>
      <c r="AA1639">
        <v>8</v>
      </c>
      <c r="AB1639">
        <v>3</v>
      </c>
      <c r="AC1639">
        <v>0</v>
      </c>
      <c r="AD1639">
        <v>10</v>
      </c>
      <c r="AE1639">
        <v>0</v>
      </c>
      <c r="AF1639">
        <v>0</v>
      </c>
      <c r="AG1639">
        <v>1</v>
      </c>
      <c r="AH1639">
        <v>1</v>
      </c>
      <c r="AI1639" t="s">
        <v>1214</v>
      </c>
      <c r="AJ1639">
        <v>35.201203999999997</v>
      </c>
      <c r="AK1639" t="s">
        <v>1215</v>
      </c>
      <c r="AL1639">
        <v>-76.029425000000003</v>
      </c>
      <c r="AM1639">
        <v>25</v>
      </c>
      <c r="AN1639">
        <v>2925</v>
      </c>
      <c r="AO1639" t="s">
        <v>118</v>
      </c>
      <c r="AP1639">
        <v>70</v>
      </c>
      <c r="AQ1639">
        <v>-140</v>
      </c>
      <c r="AR1639">
        <v>64</v>
      </c>
      <c r="AZ1639">
        <v>4516</v>
      </c>
      <c r="BA1639">
        <v>1</v>
      </c>
      <c r="BB1639" t="str">
        <f t="shared" si="157"/>
        <v xml:space="preserve">N79NX   </v>
      </c>
      <c r="BC1639">
        <v>1</v>
      </c>
      <c r="BE1639">
        <v>0</v>
      </c>
      <c r="BF1639">
        <v>0</v>
      </c>
      <c r="BG1639">
        <v>0</v>
      </c>
      <c r="BH1639">
        <v>2775</v>
      </c>
      <c r="BI1639">
        <v>0</v>
      </c>
      <c r="BJ1639">
        <v>0</v>
      </c>
      <c r="BK1639">
        <v>0</v>
      </c>
      <c r="BL1639">
        <v>0</v>
      </c>
      <c r="BO1639">
        <v>0</v>
      </c>
      <c r="BP1639">
        <v>0</v>
      </c>
      <c r="BW1639" t="str">
        <f>"18:47:15.593"</f>
        <v>18:47:15.593</v>
      </c>
      <c r="BZ1639">
        <v>0</v>
      </c>
      <c r="CA1639">
        <v>3008</v>
      </c>
      <c r="CB1639">
        <v>216</v>
      </c>
      <c r="CC1639">
        <v>518.90629999999999</v>
      </c>
      <c r="CD1639">
        <v>1</v>
      </c>
      <c r="CE1639">
        <v>1</v>
      </c>
      <c r="CF1639">
        <v>0</v>
      </c>
      <c r="CG1639">
        <v>1</v>
      </c>
      <c r="CH1639">
        <v>0</v>
      </c>
      <c r="CI1639">
        <v>1</v>
      </c>
      <c r="CJ1639">
        <v>0</v>
      </c>
      <c r="CK1639">
        <v>2</v>
      </c>
      <c r="CL1639">
        <v>0</v>
      </c>
      <c r="CM1639">
        <v>2</v>
      </c>
      <c r="CN1639">
        <v>0</v>
      </c>
      <c r="CO1639">
        <v>2</v>
      </c>
      <c r="CP1639" t="s">
        <v>119</v>
      </c>
      <c r="CQ1639">
        <v>145</v>
      </c>
      <c r="CR1639">
        <v>1</v>
      </c>
      <c r="CW1639">
        <v>9187111</v>
      </c>
      <c r="CY1639">
        <v>0</v>
      </c>
      <c r="CZ1639">
        <v>0</v>
      </c>
      <c r="DA1639">
        <v>1</v>
      </c>
      <c r="DB1639">
        <v>0</v>
      </c>
      <c r="DC1639">
        <v>0</v>
      </c>
      <c r="DD1639">
        <v>0</v>
      </c>
      <c r="DE1639">
        <v>0</v>
      </c>
      <c r="DF1639">
        <v>0</v>
      </c>
      <c r="DG1639">
        <v>0</v>
      </c>
      <c r="DH1639">
        <v>0</v>
      </c>
      <c r="DI1639">
        <v>0</v>
      </c>
    </row>
    <row r="1640" spans="1:113" x14ac:dyDescent="0.3">
      <c r="A1640" t="str">
        <f>"02/13/2022 18:47:16.645"</f>
        <v>02/13/2022 18:47:16.645</v>
      </c>
      <c r="C1640" t="str">
        <f t="shared" si="163"/>
        <v>FFDFD7C0</v>
      </c>
      <c r="D1640" t="s">
        <v>121</v>
      </c>
      <c r="E1640">
        <v>2</v>
      </c>
      <c r="H1640">
        <v>158</v>
      </c>
      <c r="I1640" t="s">
        <v>120</v>
      </c>
      <c r="J1640" t="s">
        <v>122</v>
      </c>
      <c r="K1640">
        <v>0</v>
      </c>
      <c r="L1640">
        <v>3</v>
      </c>
      <c r="M1640">
        <v>0</v>
      </c>
      <c r="N1640">
        <v>2</v>
      </c>
      <c r="O1640">
        <v>1</v>
      </c>
      <c r="P1640">
        <v>0</v>
      </c>
      <c r="Q1640">
        <v>0</v>
      </c>
      <c r="S1640" t="str">
        <f>"18:47:16.422"</f>
        <v>18:47:16.422</v>
      </c>
      <c r="T1640" t="str">
        <f>"18:47:15.722"</f>
        <v>18:47:15.722</v>
      </c>
      <c r="U1640" t="str">
        <f t="shared" si="155"/>
        <v>AAB6EE</v>
      </c>
      <c r="V1640">
        <v>0</v>
      </c>
      <c r="W1640">
        <v>0</v>
      </c>
      <c r="X1640">
        <v>4</v>
      </c>
      <c r="Z1640">
        <v>0</v>
      </c>
      <c r="AA1640">
        <v>8</v>
      </c>
      <c r="AB1640">
        <v>3</v>
      </c>
      <c r="AC1640">
        <v>0</v>
      </c>
      <c r="AD1640">
        <v>10</v>
      </c>
      <c r="AE1640">
        <v>0</v>
      </c>
      <c r="AF1640">
        <v>0</v>
      </c>
      <c r="AG1640">
        <v>1</v>
      </c>
      <c r="AH1640">
        <v>1</v>
      </c>
      <c r="AI1640" t="s">
        <v>1216</v>
      </c>
      <c r="AJ1640">
        <v>35.200623999999998</v>
      </c>
      <c r="AK1640" t="s">
        <v>1217</v>
      </c>
      <c r="AL1640">
        <v>-76.029060000000001</v>
      </c>
      <c r="AM1640">
        <v>25</v>
      </c>
      <c r="AN1640">
        <v>2925</v>
      </c>
      <c r="AO1640" t="s">
        <v>118</v>
      </c>
      <c r="AP1640">
        <v>70</v>
      </c>
      <c r="AQ1640">
        <v>-140</v>
      </c>
      <c r="AR1640">
        <v>64</v>
      </c>
      <c r="AZ1640">
        <v>4516</v>
      </c>
      <c r="BA1640">
        <v>1</v>
      </c>
      <c r="BB1640" t="str">
        <f t="shared" si="157"/>
        <v xml:space="preserve">N79NX   </v>
      </c>
      <c r="BC1640">
        <v>1</v>
      </c>
      <c r="BE1640">
        <v>0</v>
      </c>
      <c r="BF1640">
        <v>0</v>
      </c>
      <c r="BG1640">
        <v>0</v>
      </c>
      <c r="BH1640">
        <v>2775</v>
      </c>
      <c r="BI1640">
        <v>0</v>
      </c>
      <c r="BJ1640">
        <v>0</v>
      </c>
      <c r="BK1640">
        <v>0</v>
      </c>
      <c r="BL1640">
        <v>0</v>
      </c>
      <c r="BO1640">
        <v>0</v>
      </c>
      <c r="BP1640">
        <v>0</v>
      </c>
      <c r="BW1640" t="str">
        <f>"18:47:16.423"</f>
        <v>18:47:16.423</v>
      </c>
      <c r="BZ1640">
        <v>0</v>
      </c>
      <c r="CA1640">
        <v>3008</v>
      </c>
      <c r="CB1640">
        <v>216</v>
      </c>
      <c r="CC1640">
        <v>518.90629999999999</v>
      </c>
      <c r="CD1640">
        <v>1</v>
      </c>
      <c r="CE1640">
        <v>1</v>
      </c>
      <c r="CF1640">
        <v>0</v>
      </c>
      <c r="CG1640">
        <v>1</v>
      </c>
      <c r="CH1640">
        <v>0</v>
      </c>
      <c r="CI1640">
        <v>1</v>
      </c>
      <c r="CJ1640">
        <v>0</v>
      </c>
      <c r="CK1640">
        <v>2</v>
      </c>
      <c r="CL1640">
        <v>0</v>
      </c>
      <c r="CM1640">
        <v>2</v>
      </c>
      <c r="CN1640">
        <v>0</v>
      </c>
      <c r="CO1640">
        <v>2</v>
      </c>
      <c r="CP1640" t="s">
        <v>119</v>
      </c>
      <c r="CQ1640">
        <v>145</v>
      </c>
      <c r="CR1640">
        <v>1</v>
      </c>
      <c r="CW1640">
        <v>9187545</v>
      </c>
      <c r="CY1640">
        <v>0</v>
      </c>
      <c r="CZ1640">
        <v>0</v>
      </c>
      <c r="DA1640">
        <v>0</v>
      </c>
      <c r="DB1640">
        <v>0</v>
      </c>
      <c r="DC1640">
        <v>0</v>
      </c>
      <c r="DD1640">
        <v>0</v>
      </c>
      <c r="DE1640">
        <v>0</v>
      </c>
      <c r="DF1640">
        <v>0</v>
      </c>
      <c r="DG1640">
        <v>0</v>
      </c>
      <c r="DH1640">
        <v>0</v>
      </c>
      <c r="DI1640">
        <v>0</v>
      </c>
    </row>
    <row r="1641" spans="1:113" x14ac:dyDescent="0.3">
      <c r="A1641" t="str">
        <f>"02/13/2022 18:47:16.645"</f>
        <v>02/13/2022 18:47:16.645</v>
      </c>
      <c r="C1641" t="str">
        <f t="shared" si="163"/>
        <v>FFDFD7C0</v>
      </c>
      <c r="D1641" t="s">
        <v>113</v>
      </c>
      <c r="E1641">
        <v>3</v>
      </c>
      <c r="F1641">
        <v>1003</v>
      </c>
      <c r="G1641" t="s">
        <v>114</v>
      </c>
      <c r="J1641" t="s">
        <v>115</v>
      </c>
      <c r="K1641">
        <v>0</v>
      </c>
      <c r="L1641">
        <v>3</v>
      </c>
      <c r="M1641">
        <v>0</v>
      </c>
      <c r="N1641">
        <v>2</v>
      </c>
      <c r="O1641">
        <v>1</v>
      </c>
      <c r="P1641">
        <v>0</v>
      </c>
      <c r="Q1641">
        <v>0</v>
      </c>
      <c r="S1641" t="str">
        <f>"18:47:16.422"</f>
        <v>18:47:16.422</v>
      </c>
      <c r="T1641" t="str">
        <f>"18:47:15.722"</f>
        <v>18:47:15.722</v>
      </c>
      <c r="U1641" t="str">
        <f t="shared" si="155"/>
        <v>AAB6EE</v>
      </c>
      <c r="V1641">
        <v>0</v>
      </c>
      <c r="W1641">
        <v>0</v>
      </c>
      <c r="X1641">
        <v>4</v>
      </c>
      <c r="Z1641">
        <v>0</v>
      </c>
      <c r="AA1641">
        <v>8</v>
      </c>
      <c r="AB1641">
        <v>3</v>
      </c>
      <c r="AC1641">
        <v>0</v>
      </c>
      <c r="AD1641">
        <v>10</v>
      </c>
      <c r="AE1641">
        <v>0</v>
      </c>
      <c r="AF1641">
        <v>0</v>
      </c>
      <c r="AG1641">
        <v>1</v>
      </c>
      <c r="AH1641">
        <v>1</v>
      </c>
      <c r="AI1641" t="s">
        <v>1216</v>
      </c>
      <c r="AJ1641">
        <v>35.200623999999998</v>
      </c>
      <c r="AK1641" t="s">
        <v>1217</v>
      </c>
      <c r="AL1641">
        <v>-76.029060000000001</v>
      </c>
      <c r="AM1641">
        <v>25</v>
      </c>
      <c r="AN1641">
        <v>2925</v>
      </c>
      <c r="AO1641" t="s">
        <v>118</v>
      </c>
      <c r="AP1641">
        <v>70</v>
      </c>
      <c r="AQ1641">
        <v>-140</v>
      </c>
      <c r="AR1641">
        <v>64</v>
      </c>
      <c r="AZ1641">
        <v>4516</v>
      </c>
      <c r="BA1641">
        <v>1</v>
      </c>
      <c r="BB1641" t="str">
        <f t="shared" si="157"/>
        <v xml:space="preserve">N79NX   </v>
      </c>
      <c r="BC1641">
        <v>1</v>
      </c>
      <c r="BE1641">
        <v>0</v>
      </c>
      <c r="BF1641">
        <v>0</v>
      </c>
      <c r="BG1641">
        <v>0</v>
      </c>
      <c r="BH1641">
        <v>2775</v>
      </c>
      <c r="BI1641">
        <v>0</v>
      </c>
      <c r="BJ1641">
        <v>0</v>
      </c>
      <c r="BK1641">
        <v>0</v>
      </c>
      <c r="BL1641">
        <v>0</v>
      </c>
      <c r="BO1641">
        <v>0</v>
      </c>
      <c r="BP1641">
        <v>0</v>
      </c>
      <c r="BW1641" t="str">
        <f>"18:47:16.423"</f>
        <v>18:47:16.423</v>
      </c>
      <c r="BZ1641">
        <v>0</v>
      </c>
      <c r="CA1641">
        <v>3008</v>
      </c>
      <c r="CB1641">
        <v>216</v>
      </c>
      <c r="CC1641">
        <v>518.90629999999999</v>
      </c>
      <c r="CD1641">
        <v>1</v>
      </c>
      <c r="CE1641">
        <v>1</v>
      </c>
      <c r="CF1641">
        <v>0</v>
      </c>
      <c r="CG1641">
        <v>1</v>
      </c>
      <c r="CH1641">
        <v>0</v>
      </c>
      <c r="CI1641">
        <v>1</v>
      </c>
      <c r="CJ1641">
        <v>0</v>
      </c>
      <c r="CK1641">
        <v>2</v>
      </c>
      <c r="CL1641">
        <v>0</v>
      </c>
      <c r="CM1641">
        <v>2</v>
      </c>
      <c r="CN1641">
        <v>0</v>
      </c>
      <c r="CO1641">
        <v>2</v>
      </c>
      <c r="CP1641" t="s">
        <v>119</v>
      </c>
      <c r="CQ1641">
        <v>145</v>
      </c>
      <c r="CR1641">
        <v>1</v>
      </c>
      <c r="CW1641">
        <v>9187545</v>
      </c>
      <c r="CY1641">
        <v>0</v>
      </c>
      <c r="CZ1641">
        <v>0</v>
      </c>
      <c r="DA1641">
        <v>1</v>
      </c>
      <c r="DB1641">
        <v>0</v>
      </c>
      <c r="DC1641">
        <v>0</v>
      </c>
      <c r="DD1641">
        <v>0</v>
      </c>
      <c r="DE1641">
        <v>0</v>
      </c>
      <c r="DF1641">
        <v>0</v>
      </c>
      <c r="DG1641">
        <v>0</v>
      </c>
      <c r="DH1641">
        <v>0</v>
      </c>
      <c r="DI1641">
        <v>0</v>
      </c>
    </row>
    <row r="1642" spans="1:113" x14ac:dyDescent="0.3">
      <c r="A1642" t="str">
        <f>"02/13/2022 18:47:16.645"</f>
        <v>02/13/2022 18:47:16.645</v>
      </c>
      <c r="C1642" t="str">
        <f t="shared" si="163"/>
        <v>FFDFD7C0</v>
      </c>
      <c r="D1642" t="s">
        <v>113</v>
      </c>
      <c r="E1642">
        <v>4</v>
      </c>
      <c r="F1642">
        <v>1004</v>
      </c>
      <c r="G1642" t="s">
        <v>120</v>
      </c>
      <c r="J1642" t="s">
        <v>115</v>
      </c>
      <c r="K1642">
        <v>0</v>
      </c>
      <c r="L1642">
        <v>3</v>
      </c>
      <c r="M1642">
        <v>0</v>
      </c>
      <c r="N1642">
        <v>2</v>
      </c>
      <c r="O1642">
        <v>1</v>
      </c>
      <c r="P1642">
        <v>0</v>
      </c>
      <c r="Q1642">
        <v>0</v>
      </c>
      <c r="S1642" t="str">
        <f>"18:47:16.422"</f>
        <v>18:47:16.422</v>
      </c>
      <c r="T1642" t="str">
        <f>"18:47:15.722"</f>
        <v>18:47:15.722</v>
      </c>
      <c r="U1642" t="str">
        <f t="shared" si="155"/>
        <v>AAB6EE</v>
      </c>
      <c r="V1642">
        <v>0</v>
      </c>
      <c r="W1642">
        <v>0</v>
      </c>
      <c r="X1642">
        <v>4</v>
      </c>
      <c r="Z1642">
        <v>0</v>
      </c>
      <c r="AA1642">
        <v>8</v>
      </c>
      <c r="AB1642">
        <v>3</v>
      </c>
      <c r="AC1642">
        <v>0</v>
      </c>
      <c r="AD1642">
        <v>10</v>
      </c>
      <c r="AE1642">
        <v>0</v>
      </c>
      <c r="AF1642">
        <v>0</v>
      </c>
      <c r="AG1642">
        <v>1</v>
      </c>
      <c r="AH1642">
        <v>1</v>
      </c>
      <c r="AI1642" t="s">
        <v>1216</v>
      </c>
      <c r="AJ1642">
        <v>35.200623999999998</v>
      </c>
      <c r="AK1642" t="s">
        <v>1217</v>
      </c>
      <c r="AL1642">
        <v>-76.029060000000001</v>
      </c>
      <c r="AM1642">
        <v>25</v>
      </c>
      <c r="AN1642">
        <v>2925</v>
      </c>
      <c r="AO1642" t="s">
        <v>118</v>
      </c>
      <c r="AP1642">
        <v>70</v>
      </c>
      <c r="AQ1642">
        <v>-140</v>
      </c>
      <c r="AR1642">
        <v>64</v>
      </c>
      <c r="AZ1642">
        <v>4516</v>
      </c>
      <c r="BA1642">
        <v>1</v>
      </c>
      <c r="BB1642" t="str">
        <f t="shared" si="157"/>
        <v xml:space="preserve">N79NX   </v>
      </c>
      <c r="BC1642">
        <v>1</v>
      </c>
      <c r="BE1642">
        <v>0</v>
      </c>
      <c r="BF1642">
        <v>0</v>
      </c>
      <c r="BG1642">
        <v>0</v>
      </c>
      <c r="BH1642">
        <v>2775</v>
      </c>
      <c r="BI1642">
        <v>0</v>
      </c>
      <c r="BJ1642">
        <v>0</v>
      </c>
      <c r="BK1642">
        <v>0</v>
      </c>
      <c r="BL1642">
        <v>0</v>
      </c>
      <c r="BO1642">
        <v>0</v>
      </c>
      <c r="BP1642">
        <v>0</v>
      </c>
      <c r="BW1642" t="str">
        <f>"18:47:16.423"</f>
        <v>18:47:16.423</v>
      </c>
      <c r="BZ1642">
        <v>0</v>
      </c>
      <c r="CA1642">
        <v>3008</v>
      </c>
      <c r="CB1642">
        <v>216</v>
      </c>
      <c r="CC1642">
        <v>518.90629999999999</v>
      </c>
      <c r="CD1642">
        <v>1</v>
      </c>
      <c r="CE1642">
        <v>1</v>
      </c>
      <c r="CF1642">
        <v>0</v>
      </c>
      <c r="CG1642">
        <v>1</v>
      </c>
      <c r="CH1642">
        <v>0</v>
      </c>
      <c r="CI1642">
        <v>1</v>
      </c>
      <c r="CJ1642">
        <v>0</v>
      </c>
      <c r="CK1642">
        <v>2</v>
      </c>
      <c r="CL1642">
        <v>0</v>
      </c>
      <c r="CM1642">
        <v>2</v>
      </c>
      <c r="CN1642">
        <v>0</v>
      </c>
      <c r="CO1642">
        <v>2</v>
      </c>
      <c r="CP1642" t="s">
        <v>119</v>
      </c>
      <c r="CQ1642">
        <v>145</v>
      </c>
      <c r="CR1642">
        <v>1</v>
      </c>
      <c r="CW1642">
        <v>9187545</v>
      </c>
      <c r="CY1642">
        <v>0</v>
      </c>
      <c r="CZ1642">
        <v>0</v>
      </c>
      <c r="DA1642">
        <v>1</v>
      </c>
      <c r="DB1642">
        <v>0</v>
      </c>
      <c r="DC1642">
        <v>0</v>
      </c>
      <c r="DD1642">
        <v>0</v>
      </c>
      <c r="DE1642">
        <v>0</v>
      </c>
      <c r="DF1642">
        <v>0</v>
      </c>
      <c r="DG1642">
        <v>0</v>
      </c>
      <c r="DH1642">
        <v>0</v>
      </c>
      <c r="DI1642">
        <v>0</v>
      </c>
    </row>
    <row r="1643" spans="1:113" x14ac:dyDescent="0.3">
      <c r="A1643" t="str">
        <f>"02/13/2022 18:47:17.707"</f>
        <v>02/13/2022 18:47:17.707</v>
      </c>
      <c r="C1643" t="str">
        <f t="shared" si="163"/>
        <v>FFDFD7C0</v>
      </c>
      <c r="D1643" t="s">
        <v>113</v>
      </c>
      <c r="E1643">
        <v>3</v>
      </c>
      <c r="F1643">
        <v>1003</v>
      </c>
      <c r="G1643" t="s">
        <v>114</v>
      </c>
      <c r="J1643" t="s">
        <v>115</v>
      </c>
      <c r="K1643">
        <v>0</v>
      </c>
      <c r="L1643">
        <v>3</v>
      </c>
      <c r="M1643">
        <v>0</v>
      </c>
      <c r="N1643">
        <v>2</v>
      </c>
      <c r="O1643">
        <v>1</v>
      </c>
      <c r="P1643">
        <v>0</v>
      </c>
      <c r="Q1643">
        <v>0</v>
      </c>
      <c r="S1643" t="str">
        <f>"18:47:17.469"</f>
        <v>18:47:17.469</v>
      </c>
      <c r="T1643" t="str">
        <f>"18:47:16.569"</f>
        <v>18:47:16.569</v>
      </c>
      <c r="U1643" t="str">
        <f t="shared" si="155"/>
        <v>AAB6EE</v>
      </c>
      <c r="V1643">
        <v>0</v>
      </c>
      <c r="W1643">
        <v>0</v>
      </c>
      <c r="X1643">
        <v>4</v>
      </c>
      <c r="Z1643">
        <v>0</v>
      </c>
      <c r="AA1643">
        <v>8</v>
      </c>
      <c r="AB1643">
        <v>3</v>
      </c>
      <c r="AC1643">
        <v>0</v>
      </c>
      <c r="AD1643">
        <v>10</v>
      </c>
      <c r="AE1643">
        <v>0</v>
      </c>
      <c r="AF1643">
        <v>0</v>
      </c>
      <c r="AG1643">
        <v>1</v>
      </c>
      <c r="AH1643">
        <v>1</v>
      </c>
      <c r="AI1643" t="s">
        <v>1218</v>
      </c>
      <c r="AJ1643">
        <v>35.199959</v>
      </c>
      <c r="AK1643" t="s">
        <v>1219</v>
      </c>
      <c r="AL1643">
        <v>-76.028651999999994</v>
      </c>
      <c r="AM1643">
        <v>25</v>
      </c>
      <c r="AN1643">
        <v>2925</v>
      </c>
      <c r="AO1643" t="s">
        <v>118</v>
      </c>
      <c r="AP1643">
        <v>70</v>
      </c>
      <c r="AQ1643">
        <v>-140</v>
      </c>
      <c r="AR1643">
        <v>0</v>
      </c>
      <c r="AZ1643">
        <v>4516</v>
      </c>
      <c r="BA1643">
        <v>1</v>
      </c>
      <c r="BB1643" t="str">
        <f t="shared" si="157"/>
        <v xml:space="preserve">N79NX   </v>
      </c>
      <c r="BC1643">
        <v>1</v>
      </c>
      <c r="BE1643">
        <v>0</v>
      </c>
      <c r="BF1643">
        <v>0</v>
      </c>
      <c r="BG1643">
        <v>0</v>
      </c>
      <c r="BH1643">
        <v>2775</v>
      </c>
      <c r="BI1643">
        <v>0</v>
      </c>
      <c r="BJ1643">
        <v>0</v>
      </c>
      <c r="BK1643">
        <v>0</v>
      </c>
      <c r="BL1643">
        <v>0</v>
      </c>
      <c r="BO1643">
        <v>0</v>
      </c>
      <c r="BP1643">
        <v>0</v>
      </c>
      <c r="BW1643" t="str">
        <f>"18:47:17.473"</f>
        <v>18:47:17.473</v>
      </c>
      <c r="BZ1643">
        <v>0</v>
      </c>
      <c r="CA1643">
        <v>3008</v>
      </c>
      <c r="CB1643">
        <v>216</v>
      </c>
      <c r="CC1643">
        <v>518.90629999999999</v>
      </c>
      <c r="CD1643">
        <v>1</v>
      </c>
      <c r="CE1643">
        <v>1</v>
      </c>
      <c r="CF1643">
        <v>0</v>
      </c>
      <c r="CG1643">
        <v>1</v>
      </c>
      <c r="CH1643">
        <v>0</v>
      </c>
      <c r="CI1643">
        <v>1</v>
      </c>
      <c r="CJ1643">
        <v>0</v>
      </c>
      <c r="CK1643">
        <v>2</v>
      </c>
      <c r="CL1643">
        <v>0</v>
      </c>
      <c r="CM1643">
        <v>2</v>
      </c>
      <c r="CN1643">
        <v>0</v>
      </c>
      <c r="CO1643">
        <v>2</v>
      </c>
      <c r="CP1643" t="s">
        <v>119</v>
      </c>
      <c r="CQ1643">
        <v>145</v>
      </c>
      <c r="CR1643">
        <v>1</v>
      </c>
      <c r="CW1643">
        <v>9187989</v>
      </c>
      <c r="CY1643">
        <v>0</v>
      </c>
      <c r="CZ1643">
        <v>0</v>
      </c>
      <c r="DA1643">
        <v>0</v>
      </c>
      <c r="DB1643">
        <v>0</v>
      </c>
      <c r="DC1643">
        <v>0</v>
      </c>
      <c r="DD1643">
        <v>0</v>
      </c>
      <c r="DE1643">
        <v>0</v>
      </c>
      <c r="DF1643">
        <v>0</v>
      </c>
      <c r="DG1643">
        <v>0</v>
      </c>
      <c r="DH1643">
        <v>0</v>
      </c>
      <c r="DI1643">
        <v>0</v>
      </c>
    </row>
    <row r="1644" spans="1:113" x14ac:dyDescent="0.3">
      <c r="A1644" t="str">
        <f>"02/13/2022 18:47:17.707"</f>
        <v>02/13/2022 18:47:17.707</v>
      </c>
      <c r="C1644" t="str">
        <f t="shared" si="163"/>
        <v>FFDFD7C0</v>
      </c>
      <c r="D1644" t="s">
        <v>113</v>
      </c>
      <c r="E1644">
        <v>4</v>
      </c>
      <c r="F1644">
        <v>1004</v>
      </c>
      <c r="G1644" t="s">
        <v>120</v>
      </c>
      <c r="J1644" t="s">
        <v>115</v>
      </c>
      <c r="K1644">
        <v>0</v>
      </c>
      <c r="L1644">
        <v>3</v>
      </c>
      <c r="M1644">
        <v>0</v>
      </c>
      <c r="N1644">
        <v>2</v>
      </c>
      <c r="O1644">
        <v>1</v>
      </c>
      <c r="P1644">
        <v>0</v>
      </c>
      <c r="Q1644">
        <v>0</v>
      </c>
      <c r="S1644" t="str">
        <f>"18:47:17.469"</f>
        <v>18:47:17.469</v>
      </c>
      <c r="T1644" t="str">
        <f>"18:47:16.569"</f>
        <v>18:47:16.569</v>
      </c>
      <c r="U1644" t="str">
        <f t="shared" si="155"/>
        <v>AAB6EE</v>
      </c>
      <c r="V1644">
        <v>0</v>
      </c>
      <c r="W1644">
        <v>0</v>
      </c>
      <c r="X1644">
        <v>4</v>
      </c>
      <c r="Z1644">
        <v>0</v>
      </c>
      <c r="AA1644">
        <v>8</v>
      </c>
      <c r="AB1644">
        <v>3</v>
      </c>
      <c r="AC1644">
        <v>0</v>
      </c>
      <c r="AD1644">
        <v>10</v>
      </c>
      <c r="AE1644">
        <v>0</v>
      </c>
      <c r="AF1644">
        <v>0</v>
      </c>
      <c r="AG1644">
        <v>1</v>
      </c>
      <c r="AH1644">
        <v>1</v>
      </c>
      <c r="AI1644" t="s">
        <v>1218</v>
      </c>
      <c r="AJ1644">
        <v>35.199959</v>
      </c>
      <c r="AK1644" t="s">
        <v>1219</v>
      </c>
      <c r="AL1644">
        <v>-76.028651999999994</v>
      </c>
      <c r="AM1644">
        <v>25</v>
      </c>
      <c r="AN1644">
        <v>2925</v>
      </c>
      <c r="AO1644" t="s">
        <v>118</v>
      </c>
      <c r="AP1644">
        <v>70</v>
      </c>
      <c r="AQ1644">
        <v>-140</v>
      </c>
      <c r="AR1644">
        <v>0</v>
      </c>
      <c r="AZ1644">
        <v>4516</v>
      </c>
      <c r="BA1644">
        <v>1</v>
      </c>
      <c r="BB1644" t="str">
        <f t="shared" si="157"/>
        <v xml:space="preserve">N79NX   </v>
      </c>
      <c r="BC1644">
        <v>1</v>
      </c>
      <c r="BE1644">
        <v>0</v>
      </c>
      <c r="BF1644">
        <v>0</v>
      </c>
      <c r="BG1644">
        <v>0</v>
      </c>
      <c r="BH1644">
        <v>2775</v>
      </c>
      <c r="BI1644">
        <v>0</v>
      </c>
      <c r="BJ1644">
        <v>0</v>
      </c>
      <c r="BK1644">
        <v>0</v>
      </c>
      <c r="BL1644">
        <v>0</v>
      </c>
      <c r="BO1644">
        <v>0</v>
      </c>
      <c r="BP1644">
        <v>0</v>
      </c>
      <c r="BW1644" t="str">
        <f>"18:47:17.473"</f>
        <v>18:47:17.473</v>
      </c>
      <c r="BZ1644">
        <v>0</v>
      </c>
      <c r="CA1644">
        <v>3008</v>
      </c>
      <c r="CB1644">
        <v>216</v>
      </c>
      <c r="CC1644">
        <v>518.90629999999999</v>
      </c>
      <c r="CD1644">
        <v>1</v>
      </c>
      <c r="CE1644">
        <v>1</v>
      </c>
      <c r="CF1644">
        <v>0</v>
      </c>
      <c r="CG1644">
        <v>1</v>
      </c>
      <c r="CH1644">
        <v>0</v>
      </c>
      <c r="CI1644">
        <v>1</v>
      </c>
      <c r="CJ1644">
        <v>0</v>
      </c>
      <c r="CK1644">
        <v>2</v>
      </c>
      <c r="CL1644">
        <v>0</v>
      </c>
      <c r="CM1644">
        <v>2</v>
      </c>
      <c r="CN1644">
        <v>0</v>
      </c>
      <c r="CO1644">
        <v>2</v>
      </c>
      <c r="CP1644" t="s">
        <v>119</v>
      </c>
      <c r="CQ1644">
        <v>145</v>
      </c>
      <c r="CR1644">
        <v>1</v>
      </c>
      <c r="CW1644">
        <v>9187989</v>
      </c>
      <c r="CY1644">
        <v>0</v>
      </c>
      <c r="CZ1644">
        <v>0</v>
      </c>
      <c r="DA1644">
        <v>1</v>
      </c>
      <c r="DB1644">
        <v>0</v>
      </c>
      <c r="DC1644">
        <v>0</v>
      </c>
      <c r="DD1644">
        <v>0</v>
      </c>
      <c r="DE1644">
        <v>0</v>
      </c>
      <c r="DF1644">
        <v>0</v>
      </c>
      <c r="DG1644">
        <v>0</v>
      </c>
      <c r="DH1644">
        <v>0</v>
      </c>
      <c r="DI1644">
        <v>0</v>
      </c>
    </row>
    <row r="1645" spans="1:113" x14ac:dyDescent="0.3">
      <c r="A1645" t="str">
        <f>"02/13/2022 18:47:17.738"</f>
        <v>02/13/2022 18:47:17.738</v>
      </c>
      <c r="C1645" t="str">
        <f t="shared" si="163"/>
        <v>FFDFD7C0</v>
      </c>
      <c r="D1645" t="s">
        <v>121</v>
      </c>
      <c r="E1645">
        <v>2</v>
      </c>
      <c r="H1645">
        <v>158</v>
      </c>
      <c r="I1645" t="s">
        <v>120</v>
      </c>
      <c r="J1645" t="s">
        <v>122</v>
      </c>
      <c r="K1645">
        <v>0</v>
      </c>
      <c r="L1645">
        <v>3</v>
      </c>
      <c r="M1645">
        <v>0</v>
      </c>
      <c r="N1645">
        <v>2</v>
      </c>
      <c r="O1645">
        <v>1</v>
      </c>
      <c r="P1645">
        <v>0</v>
      </c>
      <c r="Q1645">
        <v>0</v>
      </c>
      <c r="S1645" t="str">
        <f>"18:47:17.469"</f>
        <v>18:47:17.469</v>
      </c>
      <c r="T1645" t="str">
        <f>"18:47:16.569"</f>
        <v>18:47:16.569</v>
      </c>
      <c r="U1645" t="str">
        <f t="shared" si="155"/>
        <v>AAB6EE</v>
      </c>
      <c r="V1645">
        <v>0</v>
      </c>
      <c r="W1645">
        <v>0</v>
      </c>
      <c r="X1645">
        <v>4</v>
      </c>
      <c r="Z1645">
        <v>0</v>
      </c>
      <c r="AA1645">
        <v>8</v>
      </c>
      <c r="AB1645">
        <v>3</v>
      </c>
      <c r="AC1645">
        <v>0</v>
      </c>
      <c r="AD1645">
        <v>10</v>
      </c>
      <c r="AE1645">
        <v>0</v>
      </c>
      <c r="AF1645">
        <v>0</v>
      </c>
      <c r="AG1645">
        <v>1</v>
      </c>
      <c r="AH1645">
        <v>1</v>
      </c>
      <c r="AI1645" t="s">
        <v>1218</v>
      </c>
      <c r="AJ1645">
        <v>35.199959</v>
      </c>
      <c r="AK1645" t="s">
        <v>1219</v>
      </c>
      <c r="AL1645">
        <v>-76.028651999999994</v>
      </c>
      <c r="AM1645">
        <v>25</v>
      </c>
      <c r="AN1645">
        <v>2925</v>
      </c>
      <c r="AO1645" t="s">
        <v>118</v>
      </c>
      <c r="AP1645">
        <v>70</v>
      </c>
      <c r="AQ1645">
        <v>-140</v>
      </c>
      <c r="AR1645">
        <v>0</v>
      </c>
      <c r="AZ1645">
        <v>4516</v>
      </c>
      <c r="BA1645">
        <v>1</v>
      </c>
      <c r="BB1645" t="str">
        <f t="shared" si="157"/>
        <v xml:space="preserve">N79NX   </v>
      </c>
      <c r="BC1645">
        <v>1</v>
      </c>
      <c r="BE1645">
        <v>0</v>
      </c>
      <c r="BF1645">
        <v>0</v>
      </c>
      <c r="BG1645">
        <v>0</v>
      </c>
      <c r="BH1645">
        <v>2775</v>
      </c>
      <c r="BI1645">
        <v>0</v>
      </c>
      <c r="BJ1645">
        <v>0</v>
      </c>
      <c r="BK1645">
        <v>0</v>
      </c>
      <c r="BL1645">
        <v>0</v>
      </c>
      <c r="BO1645">
        <v>0</v>
      </c>
      <c r="BP1645">
        <v>0</v>
      </c>
      <c r="BW1645" t="str">
        <f>"18:47:17.473"</f>
        <v>18:47:17.473</v>
      </c>
      <c r="BZ1645">
        <v>0</v>
      </c>
      <c r="CA1645">
        <v>3008</v>
      </c>
      <c r="CB1645">
        <v>216</v>
      </c>
      <c r="CC1645">
        <v>518.90629999999999</v>
      </c>
      <c r="CD1645">
        <v>1</v>
      </c>
      <c r="CE1645">
        <v>1</v>
      </c>
      <c r="CF1645">
        <v>0</v>
      </c>
      <c r="CG1645">
        <v>1</v>
      </c>
      <c r="CH1645">
        <v>0</v>
      </c>
      <c r="CI1645">
        <v>1</v>
      </c>
      <c r="CJ1645">
        <v>0</v>
      </c>
      <c r="CK1645">
        <v>2</v>
      </c>
      <c r="CL1645">
        <v>0</v>
      </c>
      <c r="CM1645">
        <v>2</v>
      </c>
      <c r="CN1645">
        <v>0</v>
      </c>
      <c r="CO1645">
        <v>2</v>
      </c>
      <c r="CP1645" t="s">
        <v>119</v>
      </c>
      <c r="CQ1645">
        <v>145</v>
      </c>
      <c r="CR1645">
        <v>1</v>
      </c>
      <c r="CW1645">
        <v>9187989</v>
      </c>
      <c r="CY1645">
        <v>0</v>
      </c>
      <c r="CZ1645">
        <v>0</v>
      </c>
      <c r="DA1645">
        <v>1</v>
      </c>
      <c r="DB1645">
        <v>0</v>
      </c>
      <c r="DC1645">
        <v>0</v>
      </c>
      <c r="DD1645">
        <v>0</v>
      </c>
      <c r="DE1645">
        <v>0</v>
      </c>
      <c r="DF1645">
        <v>0</v>
      </c>
      <c r="DG1645">
        <v>0</v>
      </c>
      <c r="DH1645">
        <v>0</v>
      </c>
      <c r="DI1645">
        <v>0</v>
      </c>
    </row>
    <row r="1646" spans="1:113" x14ac:dyDescent="0.3">
      <c r="A1646" t="str">
        <f>"02/13/2022 18:47:20.194"</f>
        <v>02/13/2022 18:47:20.194</v>
      </c>
      <c r="C1646" t="str">
        <f t="shared" si="163"/>
        <v>FFDFD7C0</v>
      </c>
      <c r="D1646" t="s">
        <v>121</v>
      </c>
      <c r="E1646">
        <v>2</v>
      </c>
      <c r="H1646">
        <v>158</v>
      </c>
      <c r="I1646" t="s">
        <v>120</v>
      </c>
      <c r="J1646" t="s">
        <v>122</v>
      </c>
      <c r="K1646">
        <v>0</v>
      </c>
      <c r="L1646">
        <v>3</v>
      </c>
      <c r="M1646">
        <v>0</v>
      </c>
      <c r="N1646">
        <v>2</v>
      </c>
      <c r="O1646">
        <v>1</v>
      </c>
      <c r="P1646">
        <v>0</v>
      </c>
      <c r="Q1646">
        <v>0</v>
      </c>
      <c r="S1646" t="str">
        <f>"18:47:19.672"</f>
        <v>18:47:19.672</v>
      </c>
      <c r="T1646" t="str">
        <f>"18:47:19.572"</f>
        <v>18:47:19.572</v>
      </c>
      <c r="U1646" t="str">
        <f t="shared" si="155"/>
        <v>AAB6EE</v>
      </c>
      <c r="V1646">
        <v>0</v>
      </c>
      <c r="W1646">
        <v>0</v>
      </c>
      <c r="X1646">
        <v>4</v>
      </c>
      <c r="Z1646">
        <v>0</v>
      </c>
      <c r="AA1646">
        <v>8</v>
      </c>
      <c r="AB1646">
        <v>3</v>
      </c>
      <c r="AC1646">
        <v>0</v>
      </c>
      <c r="AD1646">
        <v>10</v>
      </c>
      <c r="AE1646">
        <v>0</v>
      </c>
      <c r="AF1646">
        <v>0</v>
      </c>
      <c r="AG1646">
        <v>1</v>
      </c>
      <c r="AH1646">
        <v>1</v>
      </c>
      <c r="AI1646" t="s">
        <v>1220</v>
      </c>
      <c r="AJ1646">
        <v>35.198565000000002</v>
      </c>
      <c r="AK1646" t="s">
        <v>1221</v>
      </c>
      <c r="AL1646">
        <v>-76.027794</v>
      </c>
      <c r="AM1646">
        <v>25</v>
      </c>
      <c r="AN1646">
        <v>2925</v>
      </c>
      <c r="AO1646" t="s">
        <v>118</v>
      </c>
      <c r="AP1646">
        <v>71</v>
      </c>
      <c r="AQ1646">
        <v>-140</v>
      </c>
      <c r="AR1646">
        <v>0</v>
      </c>
      <c r="AZ1646">
        <v>4516</v>
      </c>
      <c r="BA1646">
        <v>1</v>
      </c>
      <c r="BB1646" t="str">
        <f t="shared" si="157"/>
        <v xml:space="preserve">N79NX   </v>
      </c>
      <c r="BC1646">
        <v>1</v>
      </c>
      <c r="BE1646">
        <v>0</v>
      </c>
      <c r="BF1646">
        <v>0</v>
      </c>
      <c r="BG1646">
        <v>0</v>
      </c>
      <c r="BH1646">
        <v>2775</v>
      </c>
      <c r="BI1646">
        <v>0</v>
      </c>
      <c r="BJ1646">
        <v>0</v>
      </c>
      <c r="BK1646">
        <v>0</v>
      </c>
      <c r="BL1646">
        <v>0</v>
      </c>
      <c r="BO1646">
        <v>0</v>
      </c>
      <c r="BP1646">
        <v>0</v>
      </c>
      <c r="BW1646" t="str">
        <f>"18:47:19.673"</f>
        <v>18:47:19.673</v>
      </c>
      <c r="BZ1646">
        <v>0</v>
      </c>
      <c r="CA1646">
        <v>3008</v>
      </c>
      <c r="CB1646">
        <v>216</v>
      </c>
      <c r="CC1646">
        <v>518.90629999999999</v>
      </c>
      <c r="CD1646">
        <v>1</v>
      </c>
      <c r="CE1646">
        <v>1</v>
      </c>
      <c r="CF1646">
        <v>0</v>
      </c>
      <c r="CG1646">
        <v>1</v>
      </c>
      <c r="CH1646">
        <v>0</v>
      </c>
      <c r="CI1646">
        <v>1</v>
      </c>
      <c r="CJ1646">
        <v>0</v>
      </c>
      <c r="CK1646">
        <v>2</v>
      </c>
      <c r="CL1646">
        <v>0</v>
      </c>
      <c r="CM1646">
        <v>2</v>
      </c>
      <c r="CN1646">
        <v>0</v>
      </c>
      <c r="CO1646">
        <v>2</v>
      </c>
      <c r="CP1646" t="s">
        <v>119</v>
      </c>
      <c r="CQ1646">
        <v>145</v>
      </c>
      <c r="CR1646">
        <v>1</v>
      </c>
      <c r="CW1646">
        <v>9189024</v>
      </c>
      <c r="CY1646">
        <v>0</v>
      </c>
      <c r="CZ1646">
        <v>0</v>
      </c>
      <c r="DA1646">
        <v>0</v>
      </c>
      <c r="DB1646">
        <v>0</v>
      </c>
      <c r="DC1646">
        <v>0</v>
      </c>
      <c r="DD1646">
        <v>0</v>
      </c>
      <c r="DE1646">
        <v>0</v>
      </c>
      <c r="DF1646">
        <v>0</v>
      </c>
      <c r="DG1646">
        <v>0</v>
      </c>
      <c r="DH1646">
        <v>0</v>
      </c>
      <c r="DI1646">
        <v>0</v>
      </c>
    </row>
    <row r="1647" spans="1:113" x14ac:dyDescent="0.3">
      <c r="A1647" t="str">
        <f>"02/13/2022 18:47:20.194"</f>
        <v>02/13/2022 18:47:20.194</v>
      </c>
      <c r="C1647" t="str">
        <f t="shared" si="163"/>
        <v>FFDFD7C0</v>
      </c>
      <c r="D1647" t="s">
        <v>113</v>
      </c>
      <c r="E1647">
        <v>3</v>
      </c>
      <c r="F1647">
        <v>1003</v>
      </c>
      <c r="G1647" t="s">
        <v>114</v>
      </c>
      <c r="J1647" t="s">
        <v>115</v>
      </c>
      <c r="K1647">
        <v>0</v>
      </c>
      <c r="L1647">
        <v>3</v>
      </c>
      <c r="M1647">
        <v>0</v>
      </c>
      <c r="N1647">
        <v>2</v>
      </c>
      <c r="O1647">
        <v>1</v>
      </c>
      <c r="P1647">
        <v>0</v>
      </c>
      <c r="Q1647">
        <v>0</v>
      </c>
      <c r="S1647" t="str">
        <f>"18:47:19.672"</f>
        <v>18:47:19.672</v>
      </c>
      <c r="T1647" t="str">
        <f>"18:47:19.572"</f>
        <v>18:47:19.572</v>
      </c>
      <c r="U1647" t="str">
        <f t="shared" si="155"/>
        <v>AAB6EE</v>
      </c>
      <c r="V1647">
        <v>0</v>
      </c>
      <c r="W1647">
        <v>0</v>
      </c>
      <c r="X1647">
        <v>4</v>
      </c>
      <c r="Z1647">
        <v>0</v>
      </c>
      <c r="AA1647">
        <v>8</v>
      </c>
      <c r="AB1647">
        <v>3</v>
      </c>
      <c r="AC1647">
        <v>0</v>
      </c>
      <c r="AD1647">
        <v>10</v>
      </c>
      <c r="AE1647">
        <v>0</v>
      </c>
      <c r="AF1647">
        <v>0</v>
      </c>
      <c r="AG1647">
        <v>1</v>
      </c>
      <c r="AH1647">
        <v>1</v>
      </c>
      <c r="AI1647" t="s">
        <v>1220</v>
      </c>
      <c r="AJ1647">
        <v>35.198565000000002</v>
      </c>
      <c r="AK1647" t="s">
        <v>1221</v>
      </c>
      <c r="AL1647">
        <v>-76.027794</v>
      </c>
      <c r="AM1647">
        <v>25</v>
      </c>
      <c r="AN1647">
        <v>2925</v>
      </c>
      <c r="AO1647" t="s">
        <v>118</v>
      </c>
      <c r="AP1647">
        <v>71</v>
      </c>
      <c r="AQ1647">
        <v>-140</v>
      </c>
      <c r="AR1647">
        <v>0</v>
      </c>
      <c r="AZ1647">
        <v>4516</v>
      </c>
      <c r="BA1647">
        <v>1</v>
      </c>
      <c r="BB1647" t="str">
        <f t="shared" si="157"/>
        <v xml:space="preserve">N79NX   </v>
      </c>
      <c r="BC1647">
        <v>1</v>
      </c>
      <c r="BE1647">
        <v>0</v>
      </c>
      <c r="BF1647">
        <v>0</v>
      </c>
      <c r="BG1647">
        <v>0</v>
      </c>
      <c r="BH1647">
        <v>2775</v>
      </c>
      <c r="BI1647">
        <v>0</v>
      </c>
      <c r="BJ1647">
        <v>0</v>
      </c>
      <c r="BK1647">
        <v>0</v>
      </c>
      <c r="BL1647">
        <v>0</v>
      </c>
      <c r="BO1647">
        <v>0</v>
      </c>
      <c r="BP1647">
        <v>0</v>
      </c>
      <c r="BW1647" t="str">
        <f>"18:47:19.673"</f>
        <v>18:47:19.673</v>
      </c>
      <c r="BZ1647">
        <v>0</v>
      </c>
      <c r="CA1647">
        <v>3008</v>
      </c>
      <c r="CB1647">
        <v>216</v>
      </c>
      <c r="CC1647">
        <v>518.90629999999999</v>
      </c>
      <c r="CD1647">
        <v>1</v>
      </c>
      <c r="CE1647">
        <v>1</v>
      </c>
      <c r="CF1647">
        <v>0</v>
      </c>
      <c r="CG1647">
        <v>1</v>
      </c>
      <c r="CH1647">
        <v>0</v>
      </c>
      <c r="CI1647">
        <v>1</v>
      </c>
      <c r="CJ1647">
        <v>0</v>
      </c>
      <c r="CK1647">
        <v>2</v>
      </c>
      <c r="CL1647">
        <v>0</v>
      </c>
      <c r="CM1647">
        <v>2</v>
      </c>
      <c r="CN1647">
        <v>0</v>
      </c>
      <c r="CO1647">
        <v>2</v>
      </c>
      <c r="CP1647" t="s">
        <v>119</v>
      </c>
      <c r="CQ1647">
        <v>145</v>
      </c>
      <c r="CR1647">
        <v>1</v>
      </c>
      <c r="CW1647">
        <v>9189024</v>
      </c>
      <c r="CY1647">
        <v>0</v>
      </c>
      <c r="CZ1647">
        <v>0</v>
      </c>
      <c r="DA1647">
        <v>1</v>
      </c>
      <c r="DB1647">
        <v>0</v>
      </c>
      <c r="DC1647">
        <v>0</v>
      </c>
      <c r="DD1647">
        <v>0</v>
      </c>
      <c r="DE1647">
        <v>0</v>
      </c>
      <c r="DF1647">
        <v>0</v>
      </c>
      <c r="DG1647">
        <v>0</v>
      </c>
      <c r="DH1647">
        <v>0</v>
      </c>
      <c r="DI1647">
        <v>0</v>
      </c>
    </row>
    <row r="1648" spans="1:113" x14ac:dyDescent="0.3">
      <c r="A1648" t="str">
        <f>"02/13/2022 18:47:20.194"</f>
        <v>02/13/2022 18:47:20.194</v>
      </c>
      <c r="C1648" t="str">
        <f t="shared" si="163"/>
        <v>FFDFD7C0</v>
      </c>
      <c r="D1648" t="s">
        <v>113</v>
      </c>
      <c r="E1648">
        <v>4</v>
      </c>
      <c r="F1648">
        <v>1004</v>
      </c>
      <c r="G1648" t="s">
        <v>120</v>
      </c>
      <c r="J1648" t="s">
        <v>115</v>
      </c>
      <c r="K1648">
        <v>0</v>
      </c>
      <c r="L1648">
        <v>3</v>
      </c>
      <c r="M1648">
        <v>0</v>
      </c>
      <c r="N1648">
        <v>2</v>
      </c>
      <c r="O1648">
        <v>1</v>
      </c>
      <c r="P1648">
        <v>0</v>
      </c>
      <c r="Q1648">
        <v>0</v>
      </c>
      <c r="S1648" t="str">
        <f>"18:47:19.672"</f>
        <v>18:47:19.672</v>
      </c>
      <c r="T1648" t="str">
        <f>"18:47:19.572"</f>
        <v>18:47:19.572</v>
      </c>
      <c r="U1648" t="str">
        <f t="shared" si="155"/>
        <v>AAB6EE</v>
      </c>
      <c r="V1648">
        <v>0</v>
      </c>
      <c r="W1648">
        <v>0</v>
      </c>
      <c r="X1648">
        <v>4</v>
      </c>
      <c r="Z1648">
        <v>0</v>
      </c>
      <c r="AA1648">
        <v>8</v>
      </c>
      <c r="AB1648">
        <v>3</v>
      </c>
      <c r="AC1648">
        <v>0</v>
      </c>
      <c r="AD1648">
        <v>10</v>
      </c>
      <c r="AE1648">
        <v>0</v>
      </c>
      <c r="AF1648">
        <v>0</v>
      </c>
      <c r="AG1648">
        <v>1</v>
      </c>
      <c r="AH1648">
        <v>1</v>
      </c>
      <c r="AI1648" t="s">
        <v>1220</v>
      </c>
      <c r="AJ1648">
        <v>35.198565000000002</v>
      </c>
      <c r="AK1648" t="s">
        <v>1221</v>
      </c>
      <c r="AL1648">
        <v>-76.027794</v>
      </c>
      <c r="AM1648">
        <v>25</v>
      </c>
      <c r="AN1648">
        <v>2925</v>
      </c>
      <c r="AO1648" t="s">
        <v>118</v>
      </c>
      <c r="AP1648">
        <v>71</v>
      </c>
      <c r="AQ1648">
        <v>-140</v>
      </c>
      <c r="AR1648">
        <v>0</v>
      </c>
      <c r="AZ1648">
        <v>4516</v>
      </c>
      <c r="BA1648">
        <v>1</v>
      </c>
      <c r="BB1648" t="str">
        <f t="shared" si="157"/>
        <v xml:space="preserve">N79NX   </v>
      </c>
      <c r="BC1648">
        <v>1</v>
      </c>
      <c r="BE1648">
        <v>0</v>
      </c>
      <c r="BF1648">
        <v>0</v>
      </c>
      <c r="BG1648">
        <v>0</v>
      </c>
      <c r="BH1648">
        <v>2775</v>
      </c>
      <c r="BI1648">
        <v>0</v>
      </c>
      <c r="BJ1648">
        <v>0</v>
      </c>
      <c r="BK1648">
        <v>0</v>
      </c>
      <c r="BL1648">
        <v>0</v>
      </c>
      <c r="BO1648">
        <v>0</v>
      </c>
      <c r="BP1648">
        <v>0</v>
      </c>
      <c r="BW1648" t="str">
        <f>"18:47:19.673"</f>
        <v>18:47:19.673</v>
      </c>
      <c r="BZ1648">
        <v>0</v>
      </c>
      <c r="CA1648">
        <v>3008</v>
      </c>
      <c r="CB1648">
        <v>216</v>
      </c>
      <c r="CC1648">
        <v>518.90629999999999</v>
      </c>
      <c r="CD1648">
        <v>1</v>
      </c>
      <c r="CE1648">
        <v>1</v>
      </c>
      <c r="CF1648">
        <v>0</v>
      </c>
      <c r="CG1648">
        <v>1</v>
      </c>
      <c r="CH1648">
        <v>0</v>
      </c>
      <c r="CI1648">
        <v>1</v>
      </c>
      <c r="CJ1648">
        <v>0</v>
      </c>
      <c r="CK1648">
        <v>2</v>
      </c>
      <c r="CL1648">
        <v>0</v>
      </c>
      <c r="CM1648">
        <v>2</v>
      </c>
      <c r="CN1648">
        <v>0</v>
      </c>
      <c r="CO1648">
        <v>2</v>
      </c>
      <c r="CP1648" t="s">
        <v>119</v>
      </c>
      <c r="CQ1648">
        <v>145</v>
      </c>
      <c r="CR1648">
        <v>1</v>
      </c>
      <c r="CW1648">
        <v>9189024</v>
      </c>
      <c r="CY1648">
        <v>0</v>
      </c>
      <c r="CZ1648">
        <v>0</v>
      </c>
      <c r="DA1648">
        <v>1</v>
      </c>
      <c r="DB1648">
        <v>0</v>
      </c>
      <c r="DC1648">
        <v>0</v>
      </c>
      <c r="DD1648">
        <v>0</v>
      </c>
      <c r="DE1648">
        <v>0</v>
      </c>
      <c r="DF1648">
        <v>0</v>
      </c>
      <c r="DG1648">
        <v>0</v>
      </c>
      <c r="DH1648">
        <v>0</v>
      </c>
      <c r="DI1648">
        <v>0</v>
      </c>
    </row>
    <row r="1649" spans="1:113" x14ac:dyDescent="0.3">
      <c r="A1649" t="str">
        <f>"02/13/2022 18:47:21.040"</f>
        <v>02/13/2022 18:47:21.040</v>
      </c>
      <c r="C1649" t="str">
        <f t="shared" si="163"/>
        <v>FFDFD7C0</v>
      </c>
      <c r="D1649" t="s">
        <v>121</v>
      </c>
      <c r="E1649">
        <v>2</v>
      </c>
      <c r="H1649">
        <v>158</v>
      </c>
      <c r="I1649" t="s">
        <v>120</v>
      </c>
      <c r="J1649" t="s">
        <v>122</v>
      </c>
      <c r="K1649">
        <v>0</v>
      </c>
      <c r="L1649">
        <v>3</v>
      </c>
      <c r="M1649">
        <v>0</v>
      </c>
      <c r="N1649">
        <v>2</v>
      </c>
      <c r="O1649">
        <v>1</v>
      </c>
      <c r="P1649">
        <v>0</v>
      </c>
      <c r="Q1649">
        <v>0</v>
      </c>
      <c r="S1649" t="str">
        <f>"18:47:20.789"</f>
        <v>18:47:20.789</v>
      </c>
      <c r="T1649" t="str">
        <f>"18:47:20.589"</f>
        <v>18:47:20.589</v>
      </c>
      <c r="U1649" t="str">
        <f t="shared" si="155"/>
        <v>AAB6EE</v>
      </c>
      <c r="V1649">
        <v>0</v>
      </c>
      <c r="W1649">
        <v>0</v>
      </c>
      <c r="X1649">
        <v>4</v>
      </c>
      <c r="Z1649">
        <v>0</v>
      </c>
      <c r="AA1649">
        <v>8</v>
      </c>
      <c r="AB1649">
        <v>3</v>
      </c>
      <c r="AC1649">
        <v>0</v>
      </c>
      <c r="AD1649">
        <v>10</v>
      </c>
      <c r="AE1649">
        <v>0</v>
      </c>
      <c r="AF1649">
        <v>0</v>
      </c>
      <c r="AG1649">
        <v>1</v>
      </c>
      <c r="AH1649">
        <v>1</v>
      </c>
      <c r="AI1649" t="s">
        <v>1222</v>
      </c>
      <c r="AJ1649">
        <v>35.197856000000002</v>
      </c>
      <c r="AK1649" t="s">
        <v>1223</v>
      </c>
      <c r="AL1649">
        <v>-76.027343000000002</v>
      </c>
      <c r="AM1649">
        <v>25</v>
      </c>
      <c r="AN1649">
        <v>2925</v>
      </c>
      <c r="AO1649" t="s">
        <v>118</v>
      </c>
      <c r="AP1649">
        <v>71</v>
      </c>
      <c r="AQ1649">
        <v>-140</v>
      </c>
      <c r="AR1649">
        <v>0</v>
      </c>
      <c r="AZ1649">
        <v>4516</v>
      </c>
      <c r="BA1649">
        <v>1</v>
      </c>
      <c r="BB1649" t="str">
        <f t="shared" si="157"/>
        <v xml:space="preserve">N79NX   </v>
      </c>
      <c r="BC1649">
        <v>1</v>
      </c>
      <c r="BE1649">
        <v>0</v>
      </c>
      <c r="BF1649">
        <v>0</v>
      </c>
      <c r="BG1649">
        <v>0</v>
      </c>
      <c r="BH1649">
        <v>2775</v>
      </c>
      <c r="BI1649">
        <v>0</v>
      </c>
      <c r="BJ1649">
        <v>0</v>
      </c>
      <c r="BK1649">
        <v>0</v>
      </c>
      <c r="BL1649">
        <v>0</v>
      </c>
      <c r="BO1649">
        <v>0</v>
      </c>
      <c r="BP1649">
        <v>0</v>
      </c>
      <c r="BW1649" t="str">
        <f>"18:47:20.793"</f>
        <v>18:47:20.793</v>
      </c>
      <c r="BZ1649">
        <v>0</v>
      </c>
      <c r="CA1649">
        <v>3008</v>
      </c>
      <c r="CB1649">
        <v>216</v>
      </c>
      <c r="CC1649">
        <v>518.90629999999999</v>
      </c>
      <c r="CD1649">
        <v>1</v>
      </c>
      <c r="CE1649">
        <v>1</v>
      </c>
      <c r="CF1649">
        <v>0</v>
      </c>
      <c r="CG1649">
        <v>1</v>
      </c>
      <c r="CH1649">
        <v>0</v>
      </c>
      <c r="CI1649">
        <v>1</v>
      </c>
      <c r="CJ1649">
        <v>0</v>
      </c>
      <c r="CK1649">
        <v>2</v>
      </c>
      <c r="CL1649">
        <v>0</v>
      </c>
      <c r="CM1649">
        <v>2</v>
      </c>
      <c r="CN1649">
        <v>0</v>
      </c>
      <c r="CO1649">
        <v>1</v>
      </c>
      <c r="CP1649" t="s">
        <v>119</v>
      </c>
      <c r="CQ1649">
        <v>145</v>
      </c>
      <c r="CR1649">
        <v>1</v>
      </c>
      <c r="CW1649">
        <v>9189581</v>
      </c>
      <c r="CY1649">
        <v>0</v>
      </c>
      <c r="CZ1649">
        <v>0</v>
      </c>
      <c r="DA1649">
        <v>0</v>
      </c>
      <c r="DB1649">
        <v>0</v>
      </c>
      <c r="DC1649">
        <v>0</v>
      </c>
      <c r="DD1649">
        <v>0</v>
      </c>
      <c r="DE1649">
        <v>0</v>
      </c>
      <c r="DF1649">
        <v>0</v>
      </c>
      <c r="DG1649">
        <v>0</v>
      </c>
      <c r="DH1649">
        <v>0</v>
      </c>
      <c r="DI1649">
        <v>0</v>
      </c>
    </row>
    <row r="1650" spans="1:113" x14ac:dyDescent="0.3">
      <c r="A1650" t="str">
        <f>"02/13/2022 18:47:21.040"</f>
        <v>02/13/2022 18:47:21.040</v>
      </c>
      <c r="C1650" t="str">
        <f t="shared" si="163"/>
        <v>FFDFD7C0</v>
      </c>
      <c r="D1650" t="s">
        <v>113</v>
      </c>
      <c r="E1650">
        <v>3</v>
      </c>
      <c r="F1650">
        <v>1003</v>
      </c>
      <c r="G1650" t="s">
        <v>114</v>
      </c>
      <c r="J1650" t="s">
        <v>115</v>
      </c>
      <c r="K1650">
        <v>0</v>
      </c>
      <c r="L1650">
        <v>3</v>
      </c>
      <c r="M1650">
        <v>0</v>
      </c>
      <c r="N1650">
        <v>2</v>
      </c>
      <c r="O1650">
        <v>1</v>
      </c>
      <c r="P1650">
        <v>0</v>
      </c>
      <c r="Q1650">
        <v>0</v>
      </c>
      <c r="S1650" t="str">
        <f>"18:47:20.789"</f>
        <v>18:47:20.789</v>
      </c>
      <c r="T1650" t="str">
        <f>"18:47:20.589"</f>
        <v>18:47:20.589</v>
      </c>
      <c r="U1650" t="str">
        <f t="shared" si="155"/>
        <v>AAB6EE</v>
      </c>
      <c r="V1650">
        <v>0</v>
      </c>
      <c r="W1650">
        <v>0</v>
      </c>
      <c r="X1650">
        <v>4</v>
      </c>
      <c r="Z1650">
        <v>0</v>
      </c>
      <c r="AA1650">
        <v>8</v>
      </c>
      <c r="AB1650">
        <v>3</v>
      </c>
      <c r="AC1650">
        <v>0</v>
      </c>
      <c r="AD1650">
        <v>10</v>
      </c>
      <c r="AE1650">
        <v>0</v>
      </c>
      <c r="AF1650">
        <v>0</v>
      </c>
      <c r="AG1650">
        <v>1</v>
      </c>
      <c r="AH1650">
        <v>1</v>
      </c>
      <c r="AI1650" t="s">
        <v>1222</v>
      </c>
      <c r="AJ1650">
        <v>35.197856000000002</v>
      </c>
      <c r="AK1650" t="s">
        <v>1223</v>
      </c>
      <c r="AL1650">
        <v>-76.027343000000002</v>
      </c>
      <c r="AM1650">
        <v>25</v>
      </c>
      <c r="AN1650">
        <v>2925</v>
      </c>
      <c r="AO1650" t="s">
        <v>118</v>
      </c>
      <c r="AP1650">
        <v>71</v>
      </c>
      <c r="AQ1650">
        <v>-140</v>
      </c>
      <c r="AR1650">
        <v>0</v>
      </c>
      <c r="AZ1650">
        <v>4516</v>
      </c>
      <c r="BA1650">
        <v>1</v>
      </c>
      <c r="BB1650" t="str">
        <f t="shared" si="157"/>
        <v xml:space="preserve">N79NX   </v>
      </c>
      <c r="BC1650">
        <v>1</v>
      </c>
      <c r="BE1650">
        <v>0</v>
      </c>
      <c r="BF1650">
        <v>0</v>
      </c>
      <c r="BG1650">
        <v>0</v>
      </c>
      <c r="BH1650">
        <v>2775</v>
      </c>
      <c r="BI1650">
        <v>0</v>
      </c>
      <c r="BJ1650">
        <v>0</v>
      </c>
      <c r="BK1650">
        <v>0</v>
      </c>
      <c r="BL1650">
        <v>0</v>
      </c>
      <c r="BO1650">
        <v>0</v>
      </c>
      <c r="BP1650">
        <v>0</v>
      </c>
      <c r="BW1650" t="str">
        <f>"18:47:20.793"</f>
        <v>18:47:20.793</v>
      </c>
      <c r="BZ1650">
        <v>0</v>
      </c>
      <c r="CA1650">
        <v>3008</v>
      </c>
      <c r="CB1650">
        <v>216</v>
      </c>
      <c r="CC1650">
        <v>518.90629999999999</v>
      </c>
      <c r="CD1650">
        <v>1</v>
      </c>
      <c r="CE1650">
        <v>1</v>
      </c>
      <c r="CF1650">
        <v>0</v>
      </c>
      <c r="CG1650">
        <v>1</v>
      </c>
      <c r="CH1650">
        <v>0</v>
      </c>
      <c r="CI1650">
        <v>1</v>
      </c>
      <c r="CJ1650">
        <v>0</v>
      </c>
      <c r="CK1650">
        <v>2</v>
      </c>
      <c r="CL1650">
        <v>0</v>
      </c>
      <c r="CM1650">
        <v>2</v>
      </c>
      <c r="CN1650">
        <v>0</v>
      </c>
      <c r="CO1650">
        <v>1</v>
      </c>
      <c r="CP1650" t="s">
        <v>119</v>
      </c>
      <c r="CQ1650">
        <v>145</v>
      </c>
      <c r="CR1650">
        <v>1</v>
      </c>
      <c r="CW1650">
        <v>9189581</v>
      </c>
      <c r="CY1650">
        <v>0</v>
      </c>
      <c r="CZ1650">
        <v>0</v>
      </c>
      <c r="DA1650">
        <v>1</v>
      </c>
      <c r="DB1650">
        <v>0</v>
      </c>
      <c r="DC1650">
        <v>0</v>
      </c>
      <c r="DD1650">
        <v>0</v>
      </c>
      <c r="DE1650">
        <v>0</v>
      </c>
      <c r="DF1650">
        <v>0</v>
      </c>
      <c r="DG1650">
        <v>0</v>
      </c>
      <c r="DH1650">
        <v>0</v>
      </c>
      <c r="DI1650">
        <v>0</v>
      </c>
    </row>
    <row r="1651" spans="1:113" x14ac:dyDescent="0.3">
      <c r="A1651" t="str">
        <f>"02/13/2022 18:47:21.040"</f>
        <v>02/13/2022 18:47:21.040</v>
      </c>
      <c r="C1651" t="str">
        <f t="shared" si="163"/>
        <v>FFDFD7C0</v>
      </c>
      <c r="D1651" t="s">
        <v>113</v>
      </c>
      <c r="E1651">
        <v>4</v>
      </c>
      <c r="F1651">
        <v>1004</v>
      </c>
      <c r="G1651" t="s">
        <v>120</v>
      </c>
      <c r="J1651" t="s">
        <v>115</v>
      </c>
      <c r="K1651">
        <v>0</v>
      </c>
      <c r="L1651">
        <v>3</v>
      </c>
      <c r="M1651">
        <v>0</v>
      </c>
      <c r="N1651">
        <v>2</v>
      </c>
      <c r="O1651">
        <v>1</v>
      </c>
      <c r="P1651">
        <v>0</v>
      </c>
      <c r="Q1651">
        <v>0</v>
      </c>
      <c r="S1651" t="str">
        <f>"18:47:20.789"</f>
        <v>18:47:20.789</v>
      </c>
      <c r="T1651" t="str">
        <f>"18:47:20.589"</f>
        <v>18:47:20.589</v>
      </c>
      <c r="U1651" t="str">
        <f t="shared" si="155"/>
        <v>AAB6EE</v>
      </c>
      <c r="V1651">
        <v>0</v>
      </c>
      <c r="W1651">
        <v>0</v>
      </c>
      <c r="X1651">
        <v>4</v>
      </c>
      <c r="Z1651">
        <v>0</v>
      </c>
      <c r="AA1651">
        <v>8</v>
      </c>
      <c r="AB1651">
        <v>3</v>
      </c>
      <c r="AC1651">
        <v>0</v>
      </c>
      <c r="AD1651">
        <v>10</v>
      </c>
      <c r="AE1651">
        <v>0</v>
      </c>
      <c r="AF1651">
        <v>0</v>
      </c>
      <c r="AG1651">
        <v>1</v>
      </c>
      <c r="AH1651">
        <v>1</v>
      </c>
      <c r="AI1651" t="s">
        <v>1222</v>
      </c>
      <c r="AJ1651">
        <v>35.197856000000002</v>
      </c>
      <c r="AK1651" t="s">
        <v>1223</v>
      </c>
      <c r="AL1651">
        <v>-76.027343000000002</v>
      </c>
      <c r="AM1651">
        <v>25</v>
      </c>
      <c r="AN1651">
        <v>2925</v>
      </c>
      <c r="AO1651" t="s">
        <v>118</v>
      </c>
      <c r="AP1651">
        <v>71</v>
      </c>
      <c r="AQ1651">
        <v>-140</v>
      </c>
      <c r="AR1651">
        <v>0</v>
      </c>
      <c r="AZ1651">
        <v>4516</v>
      </c>
      <c r="BA1651">
        <v>1</v>
      </c>
      <c r="BB1651" t="str">
        <f t="shared" si="157"/>
        <v xml:space="preserve">N79NX   </v>
      </c>
      <c r="BC1651">
        <v>1</v>
      </c>
      <c r="BE1651">
        <v>0</v>
      </c>
      <c r="BF1651">
        <v>0</v>
      </c>
      <c r="BG1651">
        <v>0</v>
      </c>
      <c r="BH1651">
        <v>2775</v>
      </c>
      <c r="BI1651">
        <v>0</v>
      </c>
      <c r="BJ1651">
        <v>0</v>
      </c>
      <c r="BK1651">
        <v>0</v>
      </c>
      <c r="BL1651">
        <v>0</v>
      </c>
      <c r="BO1651">
        <v>0</v>
      </c>
      <c r="BP1651">
        <v>0</v>
      </c>
      <c r="BW1651" t="str">
        <f>"18:47:20.793"</f>
        <v>18:47:20.793</v>
      </c>
      <c r="BZ1651">
        <v>0</v>
      </c>
      <c r="CA1651">
        <v>3008</v>
      </c>
      <c r="CB1651">
        <v>216</v>
      </c>
      <c r="CC1651">
        <v>518.90629999999999</v>
      </c>
      <c r="CD1651">
        <v>1</v>
      </c>
      <c r="CE1651">
        <v>1</v>
      </c>
      <c r="CF1651">
        <v>0</v>
      </c>
      <c r="CG1651">
        <v>1</v>
      </c>
      <c r="CH1651">
        <v>0</v>
      </c>
      <c r="CI1651">
        <v>1</v>
      </c>
      <c r="CJ1651">
        <v>0</v>
      </c>
      <c r="CK1651">
        <v>2</v>
      </c>
      <c r="CL1651">
        <v>0</v>
      </c>
      <c r="CM1651">
        <v>2</v>
      </c>
      <c r="CN1651">
        <v>0</v>
      </c>
      <c r="CO1651">
        <v>1</v>
      </c>
      <c r="CP1651" t="s">
        <v>119</v>
      </c>
      <c r="CQ1651">
        <v>145</v>
      </c>
      <c r="CR1651">
        <v>1</v>
      </c>
      <c r="CW1651">
        <v>9189581</v>
      </c>
      <c r="CY1651">
        <v>0</v>
      </c>
      <c r="CZ1651">
        <v>0</v>
      </c>
      <c r="DA1651">
        <v>1</v>
      </c>
      <c r="DB1651">
        <v>0</v>
      </c>
      <c r="DC1651">
        <v>0</v>
      </c>
      <c r="DD1651">
        <v>0</v>
      </c>
      <c r="DE1651">
        <v>0</v>
      </c>
      <c r="DF1651">
        <v>0</v>
      </c>
      <c r="DG1651">
        <v>0</v>
      </c>
      <c r="DH1651">
        <v>0</v>
      </c>
      <c r="DI1651">
        <v>0</v>
      </c>
    </row>
    <row r="1652" spans="1:113" x14ac:dyDescent="0.3">
      <c r="A1652" t="str">
        <f>"02/13/2022 18:47:22.196"</f>
        <v>02/13/2022 18:47:22.196</v>
      </c>
      <c r="C1652" t="str">
        <f t="shared" si="163"/>
        <v>FFDFD7C0</v>
      </c>
      <c r="D1652" t="s">
        <v>113</v>
      </c>
      <c r="E1652">
        <v>3</v>
      </c>
      <c r="F1652">
        <v>1003</v>
      </c>
      <c r="G1652" t="s">
        <v>114</v>
      </c>
      <c r="J1652" t="s">
        <v>115</v>
      </c>
      <c r="K1652">
        <v>0</v>
      </c>
      <c r="L1652">
        <v>3</v>
      </c>
      <c r="M1652">
        <v>0</v>
      </c>
      <c r="N1652">
        <v>2</v>
      </c>
      <c r="O1652">
        <v>1</v>
      </c>
      <c r="P1652">
        <v>0</v>
      </c>
      <c r="Q1652">
        <v>0</v>
      </c>
      <c r="S1652" t="str">
        <f>"18:47:21.867"</f>
        <v>18:47:21.867</v>
      </c>
      <c r="T1652" t="str">
        <f>"18:47:21.767"</f>
        <v>18:47:21.767</v>
      </c>
      <c r="U1652" t="str">
        <f t="shared" si="155"/>
        <v>AAB6EE</v>
      </c>
      <c r="V1652">
        <v>0</v>
      </c>
      <c r="W1652">
        <v>0</v>
      </c>
      <c r="X1652">
        <v>4</v>
      </c>
      <c r="Z1652">
        <v>0</v>
      </c>
      <c r="AA1652">
        <v>8</v>
      </c>
      <c r="AB1652">
        <v>3</v>
      </c>
      <c r="AC1652">
        <v>0</v>
      </c>
      <c r="AD1652">
        <v>10</v>
      </c>
      <c r="AE1652">
        <v>0</v>
      </c>
      <c r="AF1652">
        <v>0</v>
      </c>
      <c r="AG1652">
        <v>1</v>
      </c>
      <c r="AH1652">
        <v>1</v>
      </c>
      <c r="AI1652" t="s">
        <v>1224</v>
      </c>
      <c r="AJ1652">
        <v>35.197127000000002</v>
      </c>
      <c r="AK1652" t="s">
        <v>1225</v>
      </c>
      <c r="AL1652">
        <v>-76.026871</v>
      </c>
      <c r="AM1652">
        <v>25</v>
      </c>
      <c r="AN1652">
        <v>2925</v>
      </c>
      <c r="AO1652" t="s">
        <v>118</v>
      </c>
      <c r="AP1652">
        <v>71</v>
      </c>
      <c r="AQ1652">
        <v>-140</v>
      </c>
      <c r="AR1652">
        <v>0</v>
      </c>
      <c r="AZ1652">
        <v>4516</v>
      </c>
      <c r="BA1652">
        <v>1</v>
      </c>
      <c r="BB1652" t="str">
        <f t="shared" si="157"/>
        <v xml:space="preserve">N79NX   </v>
      </c>
      <c r="BC1652">
        <v>1</v>
      </c>
      <c r="BE1652">
        <v>0</v>
      </c>
      <c r="BF1652">
        <v>0</v>
      </c>
      <c r="BG1652">
        <v>0</v>
      </c>
      <c r="BH1652">
        <v>2775</v>
      </c>
      <c r="BI1652">
        <v>0</v>
      </c>
      <c r="BJ1652">
        <v>0</v>
      </c>
      <c r="BK1652">
        <v>0</v>
      </c>
      <c r="BL1652">
        <v>0</v>
      </c>
      <c r="BO1652">
        <v>0</v>
      </c>
      <c r="BP1652">
        <v>0</v>
      </c>
      <c r="BW1652" t="str">
        <f>"18:47:21.873"</f>
        <v>18:47:21.873</v>
      </c>
      <c r="BZ1652">
        <v>0</v>
      </c>
      <c r="CA1652">
        <v>3008</v>
      </c>
      <c r="CB1652">
        <v>216</v>
      </c>
      <c r="CC1652">
        <v>518.90629999999999</v>
      </c>
      <c r="CD1652">
        <v>1</v>
      </c>
      <c r="CE1652">
        <v>1</v>
      </c>
      <c r="CF1652">
        <v>0</v>
      </c>
      <c r="CG1652">
        <v>1</v>
      </c>
      <c r="CH1652">
        <v>0</v>
      </c>
      <c r="CI1652">
        <v>1</v>
      </c>
      <c r="CJ1652">
        <v>0</v>
      </c>
      <c r="CK1652">
        <v>2</v>
      </c>
      <c r="CL1652">
        <v>0</v>
      </c>
      <c r="CM1652">
        <v>2</v>
      </c>
      <c r="CN1652">
        <v>0</v>
      </c>
      <c r="CO1652">
        <v>1</v>
      </c>
      <c r="CP1652" t="s">
        <v>119</v>
      </c>
      <c r="CQ1652">
        <v>145</v>
      </c>
      <c r="CR1652">
        <v>1</v>
      </c>
      <c r="CW1652">
        <v>9190044</v>
      </c>
      <c r="CY1652">
        <v>0</v>
      </c>
      <c r="CZ1652">
        <v>0</v>
      </c>
      <c r="DA1652">
        <v>0</v>
      </c>
      <c r="DB1652">
        <v>0</v>
      </c>
      <c r="DC1652">
        <v>0</v>
      </c>
      <c r="DD1652">
        <v>0</v>
      </c>
      <c r="DE1652">
        <v>0</v>
      </c>
      <c r="DF1652">
        <v>0</v>
      </c>
      <c r="DG1652">
        <v>0</v>
      </c>
      <c r="DH1652">
        <v>0</v>
      </c>
      <c r="DI1652">
        <v>0</v>
      </c>
    </row>
    <row r="1653" spans="1:113" x14ac:dyDescent="0.3">
      <c r="A1653" t="str">
        <f>"02/13/2022 18:47:22.196"</f>
        <v>02/13/2022 18:47:22.196</v>
      </c>
      <c r="C1653" t="str">
        <f t="shared" si="163"/>
        <v>FFDFD7C0</v>
      </c>
      <c r="D1653" t="s">
        <v>113</v>
      </c>
      <c r="E1653">
        <v>4</v>
      </c>
      <c r="F1653">
        <v>1004</v>
      </c>
      <c r="G1653" t="s">
        <v>120</v>
      </c>
      <c r="J1653" t="s">
        <v>115</v>
      </c>
      <c r="K1653">
        <v>0</v>
      </c>
      <c r="L1653">
        <v>3</v>
      </c>
      <c r="M1653">
        <v>0</v>
      </c>
      <c r="N1653">
        <v>2</v>
      </c>
      <c r="O1653">
        <v>1</v>
      </c>
      <c r="P1653">
        <v>0</v>
      </c>
      <c r="Q1653">
        <v>0</v>
      </c>
      <c r="S1653" t="str">
        <f>"18:47:21.867"</f>
        <v>18:47:21.867</v>
      </c>
      <c r="T1653" t="str">
        <f>"18:47:21.767"</f>
        <v>18:47:21.767</v>
      </c>
      <c r="U1653" t="str">
        <f t="shared" si="155"/>
        <v>AAB6EE</v>
      </c>
      <c r="V1653">
        <v>0</v>
      </c>
      <c r="W1653">
        <v>0</v>
      </c>
      <c r="X1653">
        <v>4</v>
      </c>
      <c r="Z1653">
        <v>0</v>
      </c>
      <c r="AA1653">
        <v>8</v>
      </c>
      <c r="AB1653">
        <v>3</v>
      </c>
      <c r="AC1653">
        <v>0</v>
      </c>
      <c r="AD1653">
        <v>10</v>
      </c>
      <c r="AE1653">
        <v>0</v>
      </c>
      <c r="AF1653">
        <v>0</v>
      </c>
      <c r="AG1653">
        <v>1</v>
      </c>
      <c r="AH1653">
        <v>1</v>
      </c>
      <c r="AI1653" t="s">
        <v>1224</v>
      </c>
      <c r="AJ1653">
        <v>35.197127000000002</v>
      </c>
      <c r="AK1653" t="s">
        <v>1225</v>
      </c>
      <c r="AL1653">
        <v>-76.026871</v>
      </c>
      <c r="AM1653">
        <v>25</v>
      </c>
      <c r="AN1653">
        <v>2925</v>
      </c>
      <c r="AO1653" t="s">
        <v>118</v>
      </c>
      <c r="AP1653">
        <v>71</v>
      </c>
      <c r="AQ1653">
        <v>-140</v>
      </c>
      <c r="AR1653">
        <v>0</v>
      </c>
      <c r="AZ1653">
        <v>4516</v>
      </c>
      <c r="BA1653">
        <v>1</v>
      </c>
      <c r="BB1653" t="str">
        <f t="shared" si="157"/>
        <v xml:space="preserve">N79NX   </v>
      </c>
      <c r="BC1653">
        <v>1</v>
      </c>
      <c r="BE1653">
        <v>0</v>
      </c>
      <c r="BF1653">
        <v>0</v>
      </c>
      <c r="BG1653">
        <v>0</v>
      </c>
      <c r="BH1653">
        <v>2775</v>
      </c>
      <c r="BI1653">
        <v>0</v>
      </c>
      <c r="BJ1653">
        <v>0</v>
      </c>
      <c r="BK1653">
        <v>0</v>
      </c>
      <c r="BL1653">
        <v>0</v>
      </c>
      <c r="BO1653">
        <v>0</v>
      </c>
      <c r="BP1653">
        <v>0</v>
      </c>
      <c r="BW1653" t="str">
        <f>"18:47:21.873"</f>
        <v>18:47:21.873</v>
      </c>
      <c r="BZ1653">
        <v>0</v>
      </c>
      <c r="CA1653">
        <v>3008</v>
      </c>
      <c r="CB1653">
        <v>216</v>
      </c>
      <c r="CC1653">
        <v>518.90629999999999</v>
      </c>
      <c r="CD1653">
        <v>1</v>
      </c>
      <c r="CE1653">
        <v>1</v>
      </c>
      <c r="CF1653">
        <v>0</v>
      </c>
      <c r="CG1653">
        <v>1</v>
      </c>
      <c r="CH1653">
        <v>0</v>
      </c>
      <c r="CI1653">
        <v>1</v>
      </c>
      <c r="CJ1653">
        <v>0</v>
      </c>
      <c r="CK1653">
        <v>2</v>
      </c>
      <c r="CL1653">
        <v>0</v>
      </c>
      <c r="CM1653">
        <v>2</v>
      </c>
      <c r="CN1653">
        <v>0</v>
      </c>
      <c r="CO1653">
        <v>1</v>
      </c>
      <c r="CP1653" t="s">
        <v>119</v>
      </c>
      <c r="CQ1653">
        <v>145</v>
      </c>
      <c r="CR1653">
        <v>1</v>
      </c>
      <c r="CW1653">
        <v>9190044</v>
      </c>
      <c r="CY1653">
        <v>0</v>
      </c>
      <c r="CZ1653">
        <v>0</v>
      </c>
      <c r="DA1653">
        <v>1</v>
      </c>
      <c r="DB1653">
        <v>0</v>
      </c>
      <c r="DC1653">
        <v>0</v>
      </c>
      <c r="DD1653">
        <v>0</v>
      </c>
      <c r="DE1653">
        <v>0</v>
      </c>
      <c r="DF1653">
        <v>0</v>
      </c>
      <c r="DG1653">
        <v>0</v>
      </c>
      <c r="DH1653">
        <v>0</v>
      </c>
      <c r="DI1653">
        <v>0</v>
      </c>
    </row>
    <row r="1654" spans="1:113" x14ac:dyDescent="0.3">
      <c r="A1654" t="str">
        <f>"02/13/2022 18:47:22.196"</f>
        <v>02/13/2022 18:47:22.196</v>
      </c>
      <c r="C1654" t="str">
        <f t="shared" si="163"/>
        <v>FFDFD7C0</v>
      </c>
      <c r="D1654" t="s">
        <v>121</v>
      </c>
      <c r="E1654">
        <v>2</v>
      </c>
      <c r="H1654">
        <v>158</v>
      </c>
      <c r="I1654" t="s">
        <v>120</v>
      </c>
      <c r="J1654" t="s">
        <v>122</v>
      </c>
      <c r="K1654">
        <v>0</v>
      </c>
      <c r="L1654">
        <v>3</v>
      </c>
      <c r="M1654">
        <v>0</v>
      </c>
      <c r="N1654">
        <v>2</v>
      </c>
      <c r="O1654">
        <v>1</v>
      </c>
      <c r="P1654">
        <v>0</v>
      </c>
      <c r="Q1654">
        <v>0</v>
      </c>
      <c r="S1654" t="str">
        <f>"18:47:21.867"</f>
        <v>18:47:21.867</v>
      </c>
      <c r="T1654" t="str">
        <f>"18:47:21.767"</f>
        <v>18:47:21.767</v>
      </c>
      <c r="U1654" t="str">
        <f t="shared" si="155"/>
        <v>AAB6EE</v>
      </c>
      <c r="V1654">
        <v>0</v>
      </c>
      <c r="W1654">
        <v>0</v>
      </c>
      <c r="X1654">
        <v>4</v>
      </c>
      <c r="Z1654">
        <v>0</v>
      </c>
      <c r="AA1654">
        <v>8</v>
      </c>
      <c r="AB1654">
        <v>3</v>
      </c>
      <c r="AC1654">
        <v>0</v>
      </c>
      <c r="AD1654">
        <v>10</v>
      </c>
      <c r="AE1654">
        <v>0</v>
      </c>
      <c r="AF1654">
        <v>0</v>
      </c>
      <c r="AG1654">
        <v>1</v>
      </c>
      <c r="AH1654">
        <v>1</v>
      </c>
      <c r="AI1654" t="s">
        <v>1224</v>
      </c>
      <c r="AJ1654">
        <v>35.197127000000002</v>
      </c>
      <c r="AK1654" t="s">
        <v>1225</v>
      </c>
      <c r="AL1654">
        <v>-76.026871</v>
      </c>
      <c r="AM1654">
        <v>25</v>
      </c>
      <c r="AN1654">
        <v>2925</v>
      </c>
      <c r="AO1654" t="s">
        <v>118</v>
      </c>
      <c r="AP1654">
        <v>71</v>
      </c>
      <c r="AQ1654">
        <v>-140</v>
      </c>
      <c r="AR1654">
        <v>0</v>
      </c>
      <c r="AZ1654">
        <v>4516</v>
      </c>
      <c r="BA1654">
        <v>1</v>
      </c>
      <c r="BB1654" t="str">
        <f t="shared" si="157"/>
        <v xml:space="preserve">N79NX   </v>
      </c>
      <c r="BC1654">
        <v>1</v>
      </c>
      <c r="BE1654">
        <v>0</v>
      </c>
      <c r="BF1654">
        <v>0</v>
      </c>
      <c r="BG1654">
        <v>0</v>
      </c>
      <c r="BH1654">
        <v>2775</v>
      </c>
      <c r="BI1654">
        <v>0</v>
      </c>
      <c r="BJ1654">
        <v>0</v>
      </c>
      <c r="BK1654">
        <v>0</v>
      </c>
      <c r="BL1654">
        <v>0</v>
      </c>
      <c r="BO1654">
        <v>0</v>
      </c>
      <c r="BP1654">
        <v>0</v>
      </c>
      <c r="BW1654" t="str">
        <f>"18:47:21.873"</f>
        <v>18:47:21.873</v>
      </c>
      <c r="BZ1654">
        <v>0</v>
      </c>
      <c r="CA1654">
        <v>3008</v>
      </c>
      <c r="CB1654">
        <v>216</v>
      </c>
      <c r="CC1654">
        <v>518.90629999999999</v>
      </c>
      <c r="CD1654">
        <v>1</v>
      </c>
      <c r="CE1654">
        <v>1</v>
      </c>
      <c r="CF1654">
        <v>0</v>
      </c>
      <c r="CG1654">
        <v>1</v>
      </c>
      <c r="CH1654">
        <v>0</v>
      </c>
      <c r="CI1654">
        <v>1</v>
      </c>
      <c r="CJ1654">
        <v>0</v>
      </c>
      <c r="CK1654">
        <v>2</v>
      </c>
      <c r="CL1654">
        <v>0</v>
      </c>
      <c r="CM1654">
        <v>2</v>
      </c>
      <c r="CN1654">
        <v>0</v>
      </c>
      <c r="CO1654">
        <v>1</v>
      </c>
      <c r="CP1654" t="s">
        <v>119</v>
      </c>
      <c r="CQ1654">
        <v>145</v>
      </c>
      <c r="CR1654">
        <v>1</v>
      </c>
      <c r="CW1654">
        <v>9190044</v>
      </c>
      <c r="CY1654">
        <v>0</v>
      </c>
      <c r="CZ1654">
        <v>0</v>
      </c>
      <c r="DA1654">
        <v>1</v>
      </c>
      <c r="DB1654">
        <v>0</v>
      </c>
      <c r="DC1654">
        <v>0</v>
      </c>
      <c r="DD1654">
        <v>0</v>
      </c>
      <c r="DE1654">
        <v>0</v>
      </c>
      <c r="DF1654">
        <v>0</v>
      </c>
      <c r="DG1654">
        <v>0</v>
      </c>
      <c r="DH1654">
        <v>0</v>
      </c>
      <c r="DI1654">
        <v>0</v>
      </c>
    </row>
    <row r="1655" spans="1:113" x14ac:dyDescent="0.3">
      <c r="A1655" t="str">
        <f>"02/13/2022 18:47:24.432"</f>
        <v>02/13/2022 18:47:24.432</v>
      </c>
      <c r="C1655" t="str">
        <f t="shared" si="163"/>
        <v>FFDFD7C0</v>
      </c>
      <c r="D1655" t="s">
        <v>113</v>
      </c>
      <c r="E1655">
        <v>3</v>
      </c>
      <c r="F1655">
        <v>1003</v>
      </c>
      <c r="G1655" t="s">
        <v>114</v>
      </c>
      <c r="J1655" t="s">
        <v>115</v>
      </c>
      <c r="K1655">
        <v>0</v>
      </c>
      <c r="L1655">
        <v>3</v>
      </c>
      <c r="M1655">
        <v>0</v>
      </c>
      <c r="N1655">
        <v>2</v>
      </c>
      <c r="O1655">
        <v>1</v>
      </c>
      <c r="P1655">
        <v>0</v>
      </c>
      <c r="Q1655">
        <v>0</v>
      </c>
      <c r="S1655" t="str">
        <f>"18:47:24.117"</f>
        <v>18:47:24.117</v>
      </c>
      <c r="T1655" t="str">
        <f>"18:47:21.717"</f>
        <v>18:47:21.717</v>
      </c>
      <c r="U1655" t="str">
        <f t="shared" si="155"/>
        <v>AAB6EE</v>
      </c>
      <c r="V1655">
        <v>0</v>
      </c>
      <c r="W1655">
        <v>0</v>
      </c>
      <c r="X1655">
        <v>4</v>
      </c>
      <c r="Z1655">
        <v>0</v>
      </c>
      <c r="AA1655">
        <v>8</v>
      </c>
      <c r="AB1655">
        <v>3</v>
      </c>
      <c r="AC1655">
        <v>0</v>
      </c>
      <c r="AD1655">
        <v>10</v>
      </c>
      <c r="AE1655">
        <v>0</v>
      </c>
      <c r="AF1655">
        <v>0</v>
      </c>
      <c r="AG1655">
        <v>1</v>
      </c>
      <c r="AH1655">
        <v>1</v>
      </c>
      <c r="AI1655" t="s">
        <v>1226</v>
      </c>
      <c r="AJ1655">
        <v>35.195667999999998</v>
      </c>
      <c r="AK1655" t="s">
        <v>1227</v>
      </c>
      <c r="AL1655">
        <v>-76.025948999999997</v>
      </c>
      <c r="AM1655">
        <v>25</v>
      </c>
      <c r="AN1655">
        <v>2925</v>
      </c>
      <c r="AO1655" t="s">
        <v>118</v>
      </c>
      <c r="AP1655">
        <v>71</v>
      </c>
      <c r="AQ1655">
        <v>-140</v>
      </c>
      <c r="AR1655">
        <v>0</v>
      </c>
      <c r="AZ1655">
        <v>4516</v>
      </c>
      <c r="BA1655">
        <v>1</v>
      </c>
      <c r="BB1655" t="str">
        <f t="shared" si="157"/>
        <v xml:space="preserve">N79NX   </v>
      </c>
      <c r="BC1655">
        <v>1</v>
      </c>
      <c r="BE1655">
        <v>0</v>
      </c>
      <c r="BF1655">
        <v>0</v>
      </c>
      <c r="BG1655">
        <v>0</v>
      </c>
      <c r="BH1655">
        <v>2775</v>
      </c>
      <c r="BI1655">
        <v>0</v>
      </c>
      <c r="BJ1655">
        <v>0</v>
      </c>
      <c r="BK1655">
        <v>0</v>
      </c>
      <c r="BL1655">
        <v>0</v>
      </c>
      <c r="BO1655">
        <v>0</v>
      </c>
      <c r="BP1655">
        <v>0</v>
      </c>
      <c r="BW1655" t="str">
        <f>"18:47:24.123"</f>
        <v>18:47:24.123</v>
      </c>
      <c r="BZ1655">
        <v>0</v>
      </c>
      <c r="CA1655">
        <v>3008</v>
      </c>
      <c r="CB1655">
        <v>216</v>
      </c>
      <c r="CC1655">
        <v>518.90629999999999</v>
      </c>
      <c r="CD1655">
        <v>1</v>
      </c>
      <c r="CE1655">
        <v>1</v>
      </c>
      <c r="CF1655">
        <v>0</v>
      </c>
      <c r="CG1655">
        <v>1</v>
      </c>
      <c r="CH1655">
        <v>0</v>
      </c>
      <c r="CI1655">
        <v>1</v>
      </c>
      <c r="CJ1655">
        <v>0</v>
      </c>
      <c r="CK1655">
        <v>2</v>
      </c>
      <c r="CL1655">
        <v>0</v>
      </c>
      <c r="CM1655">
        <v>2</v>
      </c>
      <c r="CN1655">
        <v>0</v>
      </c>
      <c r="CO1655">
        <v>1</v>
      </c>
      <c r="CP1655" t="s">
        <v>119</v>
      </c>
      <c r="CQ1655">
        <v>145</v>
      </c>
      <c r="CR1655">
        <v>1</v>
      </c>
      <c r="CW1655">
        <v>9190995</v>
      </c>
      <c r="CY1655">
        <v>0</v>
      </c>
      <c r="CZ1655">
        <v>0</v>
      </c>
      <c r="DA1655">
        <v>0</v>
      </c>
      <c r="DB1655">
        <v>0</v>
      </c>
      <c r="DC1655">
        <v>0</v>
      </c>
      <c r="DD1655">
        <v>0</v>
      </c>
      <c r="DE1655">
        <v>0</v>
      </c>
      <c r="DF1655">
        <v>0</v>
      </c>
      <c r="DG1655">
        <v>0</v>
      </c>
      <c r="DH1655">
        <v>0</v>
      </c>
      <c r="DI1655">
        <v>0</v>
      </c>
    </row>
    <row r="1656" spans="1:113" x14ac:dyDescent="0.3">
      <c r="A1656" t="str">
        <f>"02/13/2022 18:47:24.432"</f>
        <v>02/13/2022 18:47:24.432</v>
      </c>
      <c r="C1656" t="str">
        <f t="shared" si="163"/>
        <v>FFDFD7C0</v>
      </c>
      <c r="D1656" t="s">
        <v>121</v>
      </c>
      <c r="E1656">
        <v>2</v>
      </c>
      <c r="H1656">
        <v>158</v>
      </c>
      <c r="I1656" t="s">
        <v>120</v>
      </c>
      <c r="J1656" t="s">
        <v>122</v>
      </c>
      <c r="K1656">
        <v>0</v>
      </c>
      <c r="L1656">
        <v>3</v>
      </c>
      <c r="M1656">
        <v>0</v>
      </c>
      <c r="N1656">
        <v>2</v>
      </c>
      <c r="O1656">
        <v>1</v>
      </c>
      <c r="P1656">
        <v>0</v>
      </c>
      <c r="Q1656">
        <v>0</v>
      </c>
      <c r="S1656" t="str">
        <f>"18:47:24.117"</f>
        <v>18:47:24.117</v>
      </c>
      <c r="T1656" t="str">
        <f>"18:47:21.717"</f>
        <v>18:47:21.717</v>
      </c>
      <c r="U1656" t="str">
        <f t="shared" si="155"/>
        <v>AAB6EE</v>
      </c>
      <c r="V1656">
        <v>0</v>
      </c>
      <c r="W1656">
        <v>0</v>
      </c>
      <c r="X1656">
        <v>4</v>
      </c>
      <c r="Z1656">
        <v>0</v>
      </c>
      <c r="AA1656">
        <v>8</v>
      </c>
      <c r="AB1656">
        <v>3</v>
      </c>
      <c r="AC1656">
        <v>0</v>
      </c>
      <c r="AD1656">
        <v>10</v>
      </c>
      <c r="AE1656">
        <v>0</v>
      </c>
      <c r="AF1656">
        <v>0</v>
      </c>
      <c r="AG1656">
        <v>1</v>
      </c>
      <c r="AH1656">
        <v>1</v>
      </c>
      <c r="AI1656" t="s">
        <v>1226</v>
      </c>
      <c r="AJ1656">
        <v>35.195667999999998</v>
      </c>
      <c r="AK1656" t="s">
        <v>1227</v>
      </c>
      <c r="AL1656">
        <v>-76.025948999999997</v>
      </c>
      <c r="AM1656">
        <v>25</v>
      </c>
      <c r="AN1656">
        <v>2925</v>
      </c>
      <c r="AO1656" t="s">
        <v>118</v>
      </c>
      <c r="AP1656">
        <v>71</v>
      </c>
      <c r="AQ1656">
        <v>-140</v>
      </c>
      <c r="AR1656">
        <v>0</v>
      </c>
      <c r="AZ1656">
        <v>4516</v>
      </c>
      <c r="BA1656">
        <v>1</v>
      </c>
      <c r="BB1656" t="str">
        <f t="shared" si="157"/>
        <v xml:space="preserve">N79NX   </v>
      </c>
      <c r="BC1656">
        <v>1</v>
      </c>
      <c r="BE1656">
        <v>0</v>
      </c>
      <c r="BF1656">
        <v>0</v>
      </c>
      <c r="BG1656">
        <v>0</v>
      </c>
      <c r="BH1656">
        <v>2775</v>
      </c>
      <c r="BI1656">
        <v>0</v>
      </c>
      <c r="BJ1656">
        <v>0</v>
      </c>
      <c r="BK1656">
        <v>0</v>
      </c>
      <c r="BL1656">
        <v>0</v>
      </c>
      <c r="BO1656">
        <v>0</v>
      </c>
      <c r="BP1656">
        <v>0</v>
      </c>
      <c r="BW1656" t="str">
        <f>"18:47:24.123"</f>
        <v>18:47:24.123</v>
      </c>
      <c r="BZ1656">
        <v>0</v>
      </c>
      <c r="CA1656">
        <v>3008</v>
      </c>
      <c r="CB1656">
        <v>216</v>
      </c>
      <c r="CC1656">
        <v>518.90629999999999</v>
      </c>
      <c r="CD1656">
        <v>1</v>
      </c>
      <c r="CE1656">
        <v>1</v>
      </c>
      <c r="CF1656">
        <v>0</v>
      </c>
      <c r="CG1656">
        <v>1</v>
      </c>
      <c r="CH1656">
        <v>0</v>
      </c>
      <c r="CI1656">
        <v>1</v>
      </c>
      <c r="CJ1656">
        <v>0</v>
      </c>
      <c r="CK1656">
        <v>2</v>
      </c>
      <c r="CL1656">
        <v>0</v>
      </c>
      <c r="CM1656">
        <v>2</v>
      </c>
      <c r="CN1656">
        <v>0</v>
      </c>
      <c r="CO1656">
        <v>1</v>
      </c>
      <c r="CP1656" t="s">
        <v>119</v>
      </c>
      <c r="CQ1656">
        <v>145</v>
      </c>
      <c r="CR1656">
        <v>1</v>
      </c>
      <c r="CW1656">
        <v>9190995</v>
      </c>
      <c r="CY1656">
        <v>0</v>
      </c>
      <c r="CZ1656">
        <v>0</v>
      </c>
      <c r="DA1656">
        <v>1</v>
      </c>
      <c r="DB1656">
        <v>0</v>
      </c>
      <c r="DC1656">
        <v>0</v>
      </c>
      <c r="DD1656">
        <v>0</v>
      </c>
      <c r="DE1656">
        <v>0</v>
      </c>
      <c r="DF1656">
        <v>0</v>
      </c>
      <c r="DG1656">
        <v>0</v>
      </c>
      <c r="DH1656">
        <v>0</v>
      </c>
      <c r="DI1656">
        <v>0</v>
      </c>
    </row>
    <row r="1657" spans="1:113" x14ac:dyDescent="0.3">
      <c r="A1657" t="str">
        <f>"02/13/2022 18:47:24.432"</f>
        <v>02/13/2022 18:47:24.432</v>
      </c>
      <c r="C1657" t="str">
        <f t="shared" si="163"/>
        <v>FFDFD7C0</v>
      </c>
      <c r="D1657" t="s">
        <v>113</v>
      </c>
      <c r="E1657">
        <v>4</v>
      </c>
      <c r="F1657">
        <v>1004</v>
      </c>
      <c r="G1657" t="s">
        <v>120</v>
      </c>
      <c r="J1657" t="s">
        <v>115</v>
      </c>
      <c r="K1657">
        <v>0</v>
      </c>
      <c r="L1657">
        <v>3</v>
      </c>
      <c r="M1657">
        <v>0</v>
      </c>
      <c r="N1657">
        <v>2</v>
      </c>
      <c r="O1657">
        <v>1</v>
      </c>
      <c r="P1657">
        <v>0</v>
      </c>
      <c r="Q1657">
        <v>0</v>
      </c>
      <c r="S1657" t="str">
        <f>"18:47:24.117"</f>
        <v>18:47:24.117</v>
      </c>
      <c r="T1657" t="str">
        <f>"18:47:21.717"</f>
        <v>18:47:21.717</v>
      </c>
      <c r="U1657" t="str">
        <f t="shared" si="155"/>
        <v>AAB6EE</v>
      </c>
      <c r="V1657">
        <v>0</v>
      </c>
      <c r="W1657">
        <v>0</v>
      </c>
      <c r="X1657">
        <v>4</v>
      </c>
      <c r="Z1657">
        <v>0</v>
      </c>
      <c r="AA1657">
        <v>8</v>
      </c>
      <c r="AB1657">
        <v>3</v>
      </c>
      <c r="AC1657">
        <v>0</v>
      </c>
      <c r="AD1657">
        <v>10</v>
      </c>
      <c r="AE1657">
        <v>0</v>
      </c>
      <c r="AF1657">
        <v>0</v>
      </c>
      <c r="AG1657">
        <v>1</v>
      </c>
      <c r="AH1657">
        <v>1</v>
      </c>
      <c r="AI1657" t="s">
        <v>1226</v>
      </c>
      <c r="AJ1657">
        <v>35.195667999999998</v>
      </c>
      <c r="AK1657" t="s">
        <v>1227</v>
      </c>
      <c r="AL1657">
        <v>-76.025948999999997</v>
      </c>
      <c r="AM1657">
        <v>25</v>
      </c>
      <c r="AN1657">
        <v>2925</v>
      </c>
      <c r="AO1657" t="s">
        <v>118</v>
      </c>
      <c r="AP1657">
        <v>71</v>
      </c>
      <c r="AQ1657">
        <v>-140</v>
      </c>
      <c r="AR1657">
        <v>0</v>
      </c>
      <c r="AZ1657">
        <v>4516</v>
      </c>
      <c r="BA1657">
        <v>1</v>
      </c>
      <c r="BB1657" t="str">
        <f t="shared" si="157"/>
        <v xml:space="preserve">N79NX   </v>
      </c>
      <c r="BC1657">
        <v>1</v>
      </c>
      <c r="BE1657">
        <v>0</v>
      </c>
      <c r="BF1657">
        <v>0</v>
      </c>
      <c r="BG1657">
        <v>0</v>
      </c>
      <c r="BH1657">
        <v>2775</v>
      </c>
      <c r="BI1657">
        <v>0</v>
      </c>
      <c r="BJ1657">
        <v>0</v>
      </c>
      <c r="BK1657">
        <v>0</v>
      </c>
      <c r="BL1657">
        <v>0</v>
      </c>
      <c r="BO1657">
        <v>0</v>
      </c>
      <c r="BP1657">
        <v>0</v>
      </c>
      <c r="BW1657" t="str">
        <f>"18:47:24.123"</f>
        <v>18:47:24.123</v>
      </c>
      <c r="BZ1657">
        <v>0</v>
      </c>
      <c r="CA1657">
        <v>3008</v>
      </c>
      <c r="CB1657">
        <v>216</v>
      </c>
      <c r="CC1657">
        <v>518.90629999999999</v>
      </c>
      <c r="CD1657">
        <v>1</v>
      </c>
      <c r="CE1657">
        <v>1</v>
      </c>
      <c r="CF1657">
        <v>0</v>
      </c>
      <c r="CG1657">
        <v>1</v>
      </c>
      <c r="CH1657">
        <v>0</v>
      </c>
      <c r="CI1657">
        <v>1</v>
      </c>
      <c r="CJ1657">
        <v>0</v>
      </c>
      <c r="CK1657">
        <v>2</v>
      </c>
      <c r="CL1657">
        <v>0</v>
      </c>
      <c r="CM1657">
        <v>2</v>
      </c>
      <c r="CN1657">
        <v>0</v>
      </c>
      <c r="CO1657">
        <v>1</v>
      </c>
      <c r="CP1657" t="s">
        <v>119</v>
      </c>
      <c r="CQ1657">
        <v>145</v>
      </c>
      <c r="CR1657">
        <v>1</v>
      </c>
      <c r="CW1657">
        <v>9190995</v>
      </c>
      <c r="CY1657">
        <v>0</v>
      </c>
      <c r="CZ1657">
        <v>0</v>
      </c>
      <c r="DA1657">
        <v>1</v>
      </c>
      <c r="DB1657">
        <v>0</v>
      </c>
      <c r="DC1657">
        <v>0</v>
      </c>
      <c r="DD1657">
        <v>0</v>
      </c>
      <c r="DE1657">
        <v>0</v>
      </c>
      <c r="DF1657">
        <v>0</v>
      </c>
      <c r="DG1657">
        <v>0</v>
      </c>
      <c r="DH1657">
        <v>0</v>
      </c>
      <c r="DI1657">
        <v>0</v>
      </c>
    </row>
    <row r="1658" spans="1:113" x14ac:dyDescent="0.3">
      <c r="A1658" t="str">
        <f>"02/13/2022 18:47:25.292"</f>
        <v>02/13/2022 18:47:25.292</v>
      </c>
      <c r="C1658" t="str">
        <f t="shared" si="163"/>
        <v>FFDFD7C0</v>
      </c>
      <c r="D1658" t="s">
        <v>121</v>
      </c>
      <c r="E1658">
        <v>2</v>
      </c>
      <c r="H1658">
        <v>158</v>
      </c>
      <c r="I1658" t="s">
        <v>120</v>
      </c>
      <c r="J1658" t="s">
        <v>122</v>
      </c>
      <c r="K1658">
        <v>0</v>
      </c>
      <c r="L1658">
        <v>3</v>
      </c>
      <c r="M1658">
        <v>0</v>
      </c>
      <c r="N1658">
        <v>2</v>
      </c>
      <c r="O1658">
        <v>1</v>
      </c>
      <c r="P1658">
        <v>0</v>
      </c>
      <c r="Q1658">
        <v>0</v>
      </c>
      <c r="S1658" t="str">
        <f>"18:47:25.039"</f>
        <v>18:47:25.039</v>
      </c>
      <c r="T1658" t="str">
        <f>"18:47:21.739"</f>
        <v>18:47:21.739</v>
      </c>
      <c r="U1658" t="str">
        <f t="shared" si="155"/>
        <v>AAB6EE</v>
      </c>
      <c r="V1658">
        <v>0</v>
      </c>
      <c r="W1658">
        <v>0</v>
      </c>
      <c r="X1658">
        <v>4</v>
      </c>
      <c r="Z1658">
        <v>0</v>
      </c>
      <c r="AA1658">
        <v>8</v>
      </c>
      <c r="AB1658">
        <v>3</v>
      </c>
      <c r="AC1658">
        <v>0</v>
      </c>
      <c r="AD1658">
        <v>10</v>
      </c>
      <c r="AE1658">
        <v>0</v>
      </c>
      <c r="AF1658">
        <v>0</v>
      </c>
      <c r="AG1658">
        <v>1</v>
      </c>
      <c r="AH1658">
        <v>1</v>
      </c>
      <c r="AI1658" t="s">
        <v>1017</v>
      </c>
      <c r="AJ1658">
        <v>35.195067000000002</v>
      </c>
      <c r="AK1658" t="s">
        <v>248</v>
      </c>
      <c r="AL1658">
        <v>-76.025627</v>
      </c>
      <c r="AM1658">
        <v>25</v>
      </c>
      <c r="AN1658">
        <v>2925</v>
      </c>
      <c r="AO1658" t="s">
        <v>118</v>
      </c>
      <c r="AP1658">
        <v>71</v>
      </c>
      <c r="AQ1658">
        <v>-140</v>
      </c>
      <c r="AR1658">
        <v>0</v>
      </c>
      <c r="AZ1658">
        <v>4516</v>
      </c>
      <c r="BA1658">
        <v>1</v>
      </c>
      <c r="BB1658" t="str">
        <f t="shared" si="157"/>
        <v xml:space="preserve">N79NX   </v>
      </c>
      <c r="BC1658">
        <v>1</v>
      </c>
      <c r="BE1658">
        <v>0</v>
      </c>
      <c r="BF1658">
        <v>0</v>
      </c>
      <c r="BG1658">
        <v>0</v>
      </c>
      <c r="BH1658">
        <v>2775</v>
      </c>
      <c r="BI1658">
        <v>0</v>
      </c>
      <c r="BJ1658">
        <v>0</v>
      </c>
      <c r="BK1658">
        <v>0</v>
      </c>
      <c r="BL1658">
        <v>0</v>
      </c>
      <c r="BO1658">
        <v>0</v>
      </c>
      <c r="BP1658">
        <v>0</v>
      </c>
      <c r="BW1658" t="str">
        <f>"18:47:25.043"</f>
        <v>18:47:25.043</v>
      </c>
      <c r="BZ1658">
        <v>0</v>
      </c>
      <c r="CA1658">
        <v>3008</v>
      </c>
      <c r="CB1658">
        <v>216</v>
      </c>
      <c r="CC1658">
        <v>518.90629999999999</v>
      </c>
      <c r="CD1658">
        <v>1</v>
      </c>
      <c r="CE1658">
        <v>1</v>
      </c>
      <c r="CF1658">
        <v>0</v>
      </c>
      <c r="CG1658">
        <v>1</v>
      </c>
      <c r="CH1658">
        <v>0</v>
      </c>
      <c r="CI1658">
        <v>1</v>
      </c>
      <c r="CJ1658">
        <v>0</v>
      </c>
      <c r="CK1658">
        <v>2</v>
      </c>
      <c r="CL1658">
        <v>0</v>
      </c>
      <c r="CM1658">
        <v>2</v>
      </c>
      <c r="CN1658">
        <v>0</v>
      </c>
      <c r="CO1658">
        <v>1</v>
      </c>
      <c r="CP1658" t="s">
        <v>119</v>
      </c>
      <c r="CQ1658">
        <v>145</v>
      </c>
      <c r="CR1658">
        <v>1</v>
      </c>
      <c r="CW1658">
        <v>9191498</v>
      </c>
      <c r="CY1658">
        <v>0</v>
      </c>
      <c r="CZ1658">
        <v>0</v>
      </c>
      <c r="DA1658">
        <v>0</v>
      </c>
      <c r="DB1658">
        <v>0</v>
      </c>
      <c r="DC1658">
        <v>0</v>
      </c>
      <c r="DD1658">
        <v>0</v>
      </c>
      <c r="DE1658">
        <v>0</v>
      </c>
      <c r="DF1658">
        <v>0</v>
      </c>
      <c r="DG1658">
        <v>0</v>
      </c>
      <c r="DH1658">
        <v>0</v>
      </c>
      <c r="DI1658">
        <v>0</v>
      </c>
    </row>
    <row r="1659" spans="1:113" x14ac:dyDescent="0.3">
      <c r="A1659" t="str">
        <f>"02/13/2022 18:47:25.292"</f>
        <v>02/13/2022 18:47:25.292</v>
      </c>
      <c r="C1659" t="str">
        <f t="shared" si="163"/>
        <v>FFDFD7C0</v>
      </c>
      <c r="D1659" t="s">
        <v>113</v>
      </c>
      <c r="E1659">
        <v>3</v>
      </c>
      <c r="F1659">
        <v>1003</v>
      </c>
      <c r="G1659" t="s">
        <v>114</v>
      </c>
      <c r="J1659" t="s">
        <v>115</v>
      </c>
      <c r="K1659">
        <v>0</v>
      </c>
      <c r="L1659">
        <v>3</v>
      </c>
      <c r="M1659">
        <v>0</v>
      </c>
      <c r="N1659">
        <v>2</v>
      </c>
      <c r="O1659">
        <v>1</v>
      </c>
      <c r="P1659">
        <v>0</v>
      </c>
      <c r="Q1659">
        <v>0</v>
      </c>
      <c r="S1659" t="str">
        <f>"18:47:25.039"</f>
        <v>18:47:25.039</v>
      </c>
      <c r="T1659" t="str">
        <f>"18:47:21.739"</f>
        <v>18:47:21.739</v>
      </c>
      <c r="U1659" t="str">
        <f t="shared" si="155"/>
        <v>AAB6EE</v>
      </c>
      <c r="V1659">
        <v>0</v>
      </c>
      <c r="W1659">
        <v>0</v>
      </c>
      <c r="X1659">
        <v>4</v>
      </c>
      <c r="Z1659">
        <v>0</v>
      </c>
      <c r="AA1659">
        <v>8</v>
      </c>
      <c r="AB1659">
        <v>3</v>
      </c>
      <c r="AC1659">
        <v>0</v>
      </c>
      <c r="AD1659">
        <v>10</v>
      </c>
      <c r="AE1659">
        <v>0</v>
      </c>
      <c r="AF1659">
        <v>0</v>
      </c>
      <c r="AG1659">
        <v>1</v>
      </c>
      <c r="AH1659">
        <v>1</v>
      </c>
      <c r="AI1659" t="s">
        <v>1017</v>
      </c>
      <c r="AJ1659">
        <v>35.195067000000002</v>
      </c>
      <c r="AK1659" t="s">
        <v>248</v>
      </c>
      <c r="AL1659">
        <v>-76.025627</v>
      </c>
      <c r="AM1659">
        <v>25</v>
      </c>
      <c r="AN1659">
        <v>2925</v>
      </c>
      <c r="AO1659" t="s">
        <v>118</v>
      </c>
      <c r="AP1659">
        <v>71</v>
      </c>
      <c r="AQ1659">
        <v>-140</v>
      </c>
      <c r="AR1659">
        <v>0</v>
      </c>
      <c r="AZ1659">
        <v>4516</v>
      </c>
      <c r="BA1659">
        <v>1</v>
      </c>
      <c r="BB1659" t="str">
        <f t="shared" si="157"/>
        <v xml:space="preserve">N79NX   </v>
      </c>
      <c r="BC1659">
        <v>1</v>
      </c>
      <c r="BE1659">
        <v>0</v>
      </c>
      <c r="BF1659">
        <v>0</v>
      </c>
      <c r="BG1659">
        <v>0</v>
      </c>
      <c r="BH1659">
        <v>2775</v>
      </c>
      <c r="BI1659">
        <v>0</v>
      </c>
      <c r="BJ1659">
        <v>0</v>
      </c>
      <c r="BK1659">
        <v>0</v>
      </c>
      <c r="BL1659">
        <v>0</v>
      </c>
      <c r="BO1659">
        <v>0</v>
      </c>
      <c r="BP1659">
        <v>0</v>
      </c>
      <c r="BW1659" t="str">
        <f>"18:47:25.043"</f>
        <v>18:47:25.043</v>
      </c>
      <c r="BZ1659">
        <v>0</v>
      </c>
      <c r="CA1659">
        <v>3008</v>
      </c>
      <c r="CB1659">
        <v>216</v>
      </c>
      <c r="CC1659">
        <v>518.90629999999999</v>
      </c>
      <c r="CD1659">
        <v>1</v>
      </c>
      <c r="CE1659">
        <v>1</v>
      </c>
      <c r="CF1659">
        <v>0</v>
      </c>
      <c r="CG1659">
        <v>1</v>
      </c>
      <c r="CH1659">
        <v>0</v>
      </c>
      <c r="CI1659">
        <v>1</v>
      </c>
      <c r="CJ1659">
        <v>0</v>
      </c>
      <c r="CK1659">
        <v>2</v>
      </c>
      <c r="CL1659">
        <v>0</v>
      </c>
      <c r="CM1659">
        <v>2</v>
      </c>
      <c r="CN1659">
        <v>0</v>
      </c>
      <c r="CO1659">
        <v>1</v>
      </c>
      <c r="CP1659" t="s">
        <v>119</v>
      </c>
      <c r="CQ1659">
        <v>145</v>
      </c>
      <c r="CR1659">
        <v>1</v>
      </c>
      <c r="CW1659">
        <v>9191498</v>
      </c>
      <c r="CY1659">
        <v>0</v>
      </c>
      <c r="CZ1659">
        <v>0</v>
      </c>
      <c r="DA1659">
        <v>1</v>
      </c>
      <c r="DB1659">
        <v>0</v>
      </c>
      <c r="DC1659">
        <v>0</v>
      </c>
      <c r="DD1659">
        <v>0</v>
      </c>
      <c r="DE1659">
        <v>0</v>
      </c>
      <c r="DF1659">
        <v>0</v>
      </c>
      <c r="DG1659">
        <v>0</v>
      </c>
      <c r="DH1659">
        <v>0</v>
      </c>
      <c r="DI1659">
        <v>0</v>
      </c>
    </row>
    <row r="1660" spans="1:113" x14ac:dyDescent="0.3">
      <c r="A1660" t="str">
        <f>"02/13/2022 18:47:25.292"</f>
        <v>02/13/2022 18:47:25.292</v>
      </c>
      <c r="C1660" t="str">
        <f t="shared" si="163"/>
        <v>FFDFD7C0</v>
      </c>
      <c r="D1660" t="s">
        <v>113</v>
      </c>
      <c r="E1660">
        <v>4</v>
      </c>
      <c r="F1660">
        <v>1004</v>
      </c>
      <c r="G1660" t="s">
        <v>120</v>
      </c>
      <c r="J1660" t="s">
        <v>115</v>
      </c>
      <c r="K1660">
        <v>0</v>
      </c>
      <c r="L1660">
        <v>3</v>
      </c>
      <c r="M1660">
        <v>0</v>
      </c>
      <c r="N1660">
        <v>2</v>
      </c>
      <c r="O1660">
        <v>1</v>
      </c>
      <c r="P1660">
        <v>0</v>
      </c>
      <c r="Q1660">
        <v>0</v>
      </c>
      <c r="S1660" t="str">
        <f>"18:47:25.039"</f>
        <v>18:47:25.039</v>
      </c>
      <c r="T1660" t="str">
        <f>"18:47:21.739"</f>
        <v>18:47:21.739</v>
      </c>
      <c r="U1660" t="str">
        <f t="shared" si="155"/>
        <v>AAB6EE</v>
      </c>
      <c r="V1660">
        <v>0</v>
      </c>
      <c r="W1660">
        <v>0</v>
      </c>
      <c r="X1660">
        <v>4</v>
      </c>
      <c r="Z1660">
        <v>0</v>
      </c>
      <c r="AA1660">
        <v>8</v>
      </c>
      <c r="AB1660">
        <v>3</v>
      </c>
      <c r="AC1660">
        <v>0</v>
      </c>
      <c r="AD1660">
        <v>10</v>
      </c>
      <c r="AE1660">
        <v>0</v>
      </c>
      <c r="AF1660">
        <v>0</v>
      </c>
      <c r="AG1660">
        <v>1</v>
      </c>
      <c r="AH1660">
        <v>1</v>
      </c>
      <c r="AI1660" t="s">
        <v>1017</v>
      </c>
      <c r="AJ1660">
        <v>35.195067000000002</v>
      </c>
      <c r="AK1660" t="s">
        <v>248</v>
      </c>
      <c r="AL1660">
        <v>-76.025627</v>
      </c>
      <c r="AM1660">
        <v>25</v>
      </c>
      <c r="AN1660">
        <v>2925</v>
      </c>
      <c r="AO1660" t="s">
        <v>118</v>
      </c>
      <c r="AP1660">
        <v>71</v>
      </c>
      <c r="AQ1660">
        <v>-140</v>
      </c>
      <c r="AR1660">
        <v>0</v>
      </c>
      <c r="AZ1660">
        <v>4516</v>
      </c>
      <c r="BA1660">
        <v>1</v>
      </c>
      <c r="BB1660" t="str">
        <f t="shared" si="157"/>
        <v xml:space="preserve">N79NX   </v>
      </c>
      <c r="BC1660">
        <v>1</v>
      </c>
      <c r="BE1660">
        <v>0</v>
      </c>
      <c r="BF1660">
        <v>0</v>
      </c>
      <c r="BG1660">
        <v>0</v>
      </c>
      <c r="BH1660">
        <v>2775</v>
      </c>
      <c r="BI1660">
        <v>0</v>
      </c>
      <c r="BJ1660">
        <v>0</v>
      </c>
      <c r="BK1660">
        <v>0</v>
      </c>
      <c r="BL1660">
        <v>0</v>
      </c>
      <c r="BO1660">
        <v>0</v>
      </c>
      <c r="BP1660">
        <v>0</v>
      </c>
      <c r="BW1660" t="str">
        <f>"18:47:25.043"</f>
        <v>18:47:25.043</v>
      </c>
      <c r="BZ1660">
        <v>0</v>
      </c>
      <c r="CA1660">
        <v>3008</v>
      </c>
      <c r="CB1660">
        <v>216</v>
      </c>
      <c r="CC1660">
        <v>518.90629999999999</v>
      </c>
      <c r="CD1660">
        <v>1</v>
      </c>
      <c r="CE1660">
        <v>1</v>
      </c>
      <c r="CF1660">
        <v>0</v>
      </c>
      <c r="CG1660">
        <v>1</v>
      </c>
      <c r="CH1660">
        <v>0</v>
      </c>
      <c r="CI1660">
        <v>1</v>
      </c>
      <c r="CJ1660">
        <v>0</v>
      </c>
      <c r="CK1660">
        <v>2</v>
      </c>
      <c r="CL1660">
        <v>0</v>
      </c>
      <c r="CM1660">
        <v>2</v>
      </c>
      <c r="CN1660">
        <v>0</v>
      </c>
      <c r="CO1660">
        <v>1</v>
      </c>
      <c r="CP1660" t="s">
        <v>119</v>
      </c>
      <c r="CQ1660">
        <v>145</v>
      </c>
      <c r="CR1660">
        <v>1</v>
      </c>
      <c r="CW1660">
        <v>9191498</v>
      </c>
      <c r="CY1660">
        <v>0</v>
      </c>
      <c r="CZ1660">
        <v>0</v>
      </c>
      <c r="DA1660">
        <v>1</v>
      </c>
      <c r="DB1660">
        <v>0</v>
      </c>
      <c r="DC1660">
        <v>0</v>
      </c>
      <c r="DD1660">
        <v>0</v>
      </c>
      <c r="DE1660">
        <v>0</v>
      </c>
      <c r="DF1660">
        <v>0</v>
      </c>
      <c r="DG1660">
        <v>0</v>
      </c>
      <c r="DH1660">
        <v>0</v>
      </c>
      <c r="DI1660">
        <v>0</v>
      </c>
    </row>
    <row r="1661" spans="1:113" x14ac:dyDescent="0.3">
      <c r="A1661" t="str">
        <f>"02/13/2022 18:47:26.293"</f>
        <v>02/13/2022 18:47:26.293</v>
      </c>
      <c r="C1661" t="str">
        <f t="shared" si="163"/>
        <v>FFDFD7C0</v>
      </c>
      <c r="D1661" t="s">
        <v>121</v>
      </c>
      <c r="E1661">
        <v>2</v>
      </c>
      <c r="H1661">
        <v>158</v>
      </c>
      <c r="I1661" t="s">
        <v>120</v>
      </c>
      <c r="J1661" t="s">
        <v>122</v>
      </c>
      <c r="K1661">
        <v>0</v>
      </c>
      <c r="L1661">
        <v>3</v>
      </c>
      <c r="M1661">
        <v>0</v>
      </c>
      <c r="N1661">
        <v>2</v>
      </c>
      <c r="O1661">
        <v>1</v>
      </c>
      <c r="P1661">
        <v>0</v>
      </c>
      <c r="Q1661">
        <v>0</v>
      </c>
      <c r="S1661" t="str">
        <f>"18:47:26.031"</f>
        <v>18:47:26.031</v>
      </c>
      <c r="T1661" t="str">
        <f>"18:47:25.931"</f>
        <v>18:47:25.931</v>
      </c>
      <c r="U1661" t="str">
        <f t="shared" si="155"/>
        <v>AAB6EE</v>
      </c>
      <c r="V1661">
        <v>0</v>
      </c>
      <c r="W1661">
        <v>0</v>
      </c>
      <c r="X1661">
        <v>4</v>
      </c>
      <c r="Z1661">
        <v>0</v>
      </c>
      <c r="AA1661">
        <v>8</v>
      </c>
      <c r="AB1661">
        <v>3</v>
      </c>
      <c r="AC1661">
        <v>0</v>
      </c>
      <c r="AD1661">
        <v>10</v>
      </c>
      <c r="AE1661">
        <v>0</v>
      </c>
      <c r="AF1661">
        <v>0</v>
      </c>
      <c r="AG1661">
        <v>1</v>
      </c>
      <c r="AH1661">
        <v>1</v>
      </c>
      <c r="AI1661" t="s">
        <v>1228</v>
      </c>
      <c r="AJ1661">
        <v>35.194423</v>
      </c>
      <c r="AK1661" t="s">
        <v>1229</v>
      </c>
      <c r="AL1661">
        <v>-76.025219000000007</v>
      </c>
      <c r="AM1661">
        <v>25</v>
      </c>
      <c r="AN1661">
        <v>2925</v>
      </c>
      <c r="AO1661" t="s">
        <v>118</v>
      </c>
      <c r="AP1661">
        <v>72</v>
      </c>
      <c r="AQ1661">
        <v>-139</v>
      </c>
      <c r="AR1661">
        <v>0</v>
      </c>
      <c r="AZ1661">
        <v>4516</v>
      </c>
      <c r="BA1661">
        <v>1</v>
      </c>
      <c r="BB1661" t="str">
        <f t="shared" si="157"/>
        <v xml:space="preserve">N79NX   </v>
      </c>
      <c r="BC1661">
        <v>1</v>
      </c>
      <c r="BE1661">
        <v>0</v>
      </c>
      <c r="BF1661">
        <v>0</v>
      </c>
      <c r="BG1661">
        <v>0</v>
      </c>
      <c r="BH1661">
        <v>2775</v>
      </c>
      <c r="BI1661">
        <v>0</v>
      </c>
      <c r="BJ1661">
        <v>0</v>
      </c>
      <c r="BK1661">
        <v>0</v>
      </c>
      <c r="BL1661">
        <v>0</v>
      </c>
      <c r="BO1661">
        <v>0</v>
      </c>
      <c r="BP1661">
        <v>0</v>
      </c>
      <c r="BW1661" t="str">
        <f>"18:47:26.033"</f>
        <v>18:47:26.033</v>
      </c>
      <c r="BZ1661">
        <v>0</v>
      </c>
      <c r="CA1661">
        <v>3008</v>
      </c>
      <c r="CB1661">
        <v>216</v>
      </c>
      <c r="CC1661">
        <v>518.90629999999999</v>
      </c>
      <c r="CD1661">
        <v>1</v>
      </c>
      <c r="CE1661">
        <v>1</v>
      </c>
      <c r="CF1661">
        <v>0</v>
      </c>
      <c r="CG1661">
        <v>1</v>
      </c>
      <c r="CH1661">
        <v>0</v>
      </c>
      <c r="CI1661">
        <v>1</v>
      </c>
      <c r="CJ1661">
        <v>0</v>
      </c>
      <c r="CK1661">
        <v>2</v>
      </c>
      <c r="CL1661">
        <v>0</v>
      </c>
      <c r="CM1661">
        <v>2</v>
      </c>
      <c r="CN1661">
        <v>0</v>
      </c>
      <c r="CO1661">
        <v>1</v>
      </c>
      <c r="CP1661" t="s">
        <v>119</v>
      </c>
      <c r="CQ1661">
        <v>145</v>
      </c>
      <c r="CR1661">
        <v>1</v>
      </c>
      <c r="CW1661">
        <v>9191983</v>
      </c>
      <c r="CY1661">
        <v>0</v>
      </c>
      <c r="CZ1661">
        <v>0</v>
      </c>
      <c r="DA1661">
        <v>0</v>
      </c>
      <c r="DB1661">
        <v>0</v>
      </c>
      <c r="DC1661">
        <v>0</v>
      </c>
      <c r="DD1661">
        <v>0</v>
      </c>
      <c r="DE1661">
        <v>0</v>
      </c>
      <c r="DF1661">
        <v>0</v>
      </c>
      <c r="DG1661">
        <v>0</v>
      </c>
      <c r="DH1661">
        <v>0</v>
      </c>
      <c r="DI1661">
        <v>0</v>
      </c>
    </row>
    <row r="1662" spans="1:113" x14ac:dyDescent="0.3">
      <c r="A1662" t="str">
        <f>"02/13/2022 18:47:26.293"</f>
        <v>02/13/2022 18:47:26.293</v>
      </c>
      <c r="C1662" t="str">
        <f t="shared" si="163"/>
        <v>FFDFD7C0</v>
      </c>
      <c r="D1662" t="s">
        <v>113</v>
      </c>
      <c r="E1662">
        <v>3</v>
      </c>
      <c r="F1662">
        <v>1003</v>
      </c>
      <c r="G1662" t="s">
        <v>114</v>
      </c>
      <c r="J1662" t="s">
        <v>115</v>
      </c>
      <c r="K1662">
        <v>0</v>
      </c>
      <c r="L1662">
        <v>3</v>
      </c>
      <c r="M1662">
        <v>0</v>
      </c>
      <c r="N1662">
        <v>2</v>
      </c>
      <c r="O1662">
        <v>1</v>
      </c>
      <c r="P1662">
        <v>0</v>
      </c>
      <c r="Q1662">
        <v>0</v>
      </c>
      <c r="S1662" t="str">
        <f>"18:47:26.031"</f>
        <v>18:47:26.031</v>
      </c>
      <c r="T1662" t="str">
        <f>"18:47:25.931"</f>
        <v>18:47:25.931</v>
      </c>
      <c r="U1662" t="str">
        <f t="shared" si="155"/>
        <v>AAB6EE</v>
      </c>
      <c r="V1662">
        <v>0</v>
      </c>
      <c r="W1662">
        <v>0</v>
      </c>
      <c r="X1662">
        <v>4</v>
      </c>
      <c r="Z1662">
        <v>0</v>
      </c>
      <c r="AA1662">
        <v>8</v>
      </c>
      <c r="AB1662">
        <v>3</v>
      </c>
      <c r="AC1662">
        <v>0</v>
      </c>
      <c r="AD1662">
        <v>10</v>
      </c>
      <c r="AE1662">
        <v>0</v>
      </c>
      <c r="AF1662">
        <v>0</v>
      </c>
      <c r="AG1662">
        <v>1</v>
      </c>
      <c r="AH1662">
        <v>1</v>
      </c>
      <c r="AI1662" t="s">
        <v>1228</v>
      </c>
      <c r="AJ1662">
        <v>35.194423</v>
      </c>
      <c r="AK1662" t="s">
        <v>1229</v>
      </c>
      <c r="AL1662">
        <v>-76.025219000000007</v>
      </c>
      <c r="AM1662">
        <v>25</v>
      </c>
      <c r="AN1662">
        <v>2925</v>
      </c>
      <c r="AO1662" t="s">
        <v>118</v>
      </c>
      <c r="AP1662">
        <v>72</v>
      </c>
      <c r="AQ1662">
        <v>-139</v>
      </c>
      <c r="AR1662">
        <v>0</v>
      </c>
      <c r="AZ1662">
        <v>4516</v>
      </c>
      <c r="BA1662">
        <v>1</v>
      </c>
      <c r="BB1662" t="str">
        <f t="shared" si="157"/>
        <v xml:space="preserve">N79NX   </v>
      </c>
      <c r="BC1662">
        <v>1</v>
      </c>
      <c r="BE1662">
        <v>0</v>
      </c>
      <c r="BF1662">
        <v>0</v>
      </c>
      <c r="BG1662">
        <v>0</v>
      </c>
      <c r="BH1662">
        <v>2775</v>
      </c>
      <c r="BI1662">
        <v>0</v>
      </c>
      <c r="BJ1662">
        <v>0</v>
      </c>
      <c r="BK1662">
        <v>0</v>
      </c>
      <c r="BL1662">
        <v>0</v>
      </c>
      <c r="BO1662">
        <v>0</v>
      </c>
      <c r="BP1662">
        <v>0</v>
      </c>
      <c r="BW1662" t="str">
        <f>"18:47:26.033"</f>
        <v>18:47:26.033</v>
      </c>
      <c r="BZ1662">
        <v>0</v>
      </c>
      <c r="CA1662">
        <v>3008</v>
      </c>
      <c r="CB1662">
        <v>216</v>
      </c>
      <c r="CC1662">
        <v>518.90629999999999</v>
      </c>
      <c r="CD1662">
        <v>1</v>
      </c>
      <c r="CE1662">
        <v>1</v>
      </c>
      <c r="CF1662">
        <v>0</v>
      </c>
      <c r="CG1662">
        <v>1</v>
      </c>
      <c r="CH1662">
        <v>0</v>
      </c>
      <c r="CI1662">
        <v>1</v>
      </c>
      <c r="CJ1662">
        <v>0</v>
      </c>
      <c r="CK1662">
        <v>2</v>
      </c>
      <c r="CL1662">
        <v>0</v>
      </c>
      <c r="CM1662">
        <v>2</v>
      </c>
      <c r="CN1662">
        <v>0</v>
      </c>
      <c r="CO1662">
        <v>1</v>
      </c>
      <c r="CP1662" t="s">
        <v>119</v>
      </c>
      <c r="CQ1662">
        <v>145</v>
      </c>
      <c r="CR1662">
        <v>1</v>
      </c>
      <c r="CW1662">
        <v>9191983</v>
      </c>
      <c r="CY1662">
        <v>0</v>
      </c>
      <c r="CZ1662">
        <v>0</v>
      </c>
      <c r="DA1662">
        <v>1</v>
      </c>
      <c r="DB1662">
        <v>0</v>
      </c>
      <c r="DC1662">
        <v>0</v>
      </c>
      <c r="DD1662">
        <v>0</v>
      </c>
      <c r="DE1662">
        <v>0</v>
      </c>
      <c r="DF1662">
        <v>0</v>
      </c>
      <c r="DG1662">
        <v>0</v>
      </c>
      <c r="DH1662">
        <v>0</v>
      </c>
      <c r="DI1662">
        <v>0</v>
      </c>
    </row>
    <row r="1663" spans="1:113" x14ac:dyDescent="0.3">
      <c r="A1663" t="str">
        <f>"02/13/2022 18:47:26.293"</f>
        <v>02/13/2022 18:47:26.293</v>
      </c>
      <c r="C1663" t="str">
        <f t="shared" si="163"/>
        <v>FFDFD7C0</v>
      </c>
      <c r="D1663" t="s">
        <v>113</v>
      </c>
      <c r="E1663">
        <v>4</v>
      </c>
      <c r="F1663">
        <v>1004</v>
      </c>
      <c r="G1663" t="s">
        <v>120</v>
      </c>
      <c r="J1663" t="s">
        <v>115</v>
      </c>
      <c r="K1663">
        <v>0</v>
      </c>
      <c r="L1663">
        <v>3</v>
      </c>
      <c r="M1663">
        <v>0</v>
      </c>
      <c r="N1663">
        <v>2</v>
      </c>
      <c r="O1663">
        <v>1</v>
      </c>
      <c r="P1663">
        <v>0</v>
      </c>
      <c r="Q1663">
        <v>0</v>
      </c>
      <c r="S1663" t="str">
        <f>"18:47:26.031"</f>
        <v>18:47:26.031</v>
      </c>
      <c r="T1663" t="str">
        <f>"18:47:25.931"</f>
        <v>18:47:25.931</v>
      </c>
      <c r="U1663" t="str">
        <f t="shared" si="155"/>
        <v>AAB6EE</v>
      </c>
      <c r="V1663">
        <v>0</v>
      </c>
      <c r="W1663">
        <v>0</v>
      </c>
      <c r="X1663">
        <v>4</v>
      </c>
      <c r="Z1663">
        <v>0</v>
      </c>
      <c r="AA1663">
        <v>8</v>
      </c>
      <c r="AB1663">
        <v>3</v>
      </c>
      <c r="AC1663">
        <v>0</v>
      </c>
      <c r="AD1663">
        <v>10</v>
      </c>
      <c r="AE1663">
        <v>0</v>
      </c>
      <c r="AF1663">
        <v>0</v>
      </c>
      <c r="AG1663">
        <v>1</v>
      </c>
      <c r="AH1663">
        <v>1</v>
      </c>
      <c r="AI1663" t="s">
        <v>1228</v>
      </c>
      <c r="AJ1663">
        <v>35.194423</v>
      </c>
      <c r="AK1663" t="s">
        <v>1229</v>
      </c>
      <c r="AL1663">
        <v>-76.025219000000007</v>
      </c>
      <c r="AM1663">
        <v>25</v>
      </c>
      <c r="AN1663">
        <v>2925</v>
      </c>
      <c r="AO1663" t="s">
        <v>118</v>
      </c>
      <c r="AP1663">
        <v>72</v>
      </c>
      <c r="AQ1663">
        <v>-139</v>
      </c>
      <c r="AR1663">
        <v>0</v>
      </c>
      <c r="AZ1663">
        <v>4516</v>
      </c>
      <c r="BA1663">
        <v>1</v>
      </c>
      <c r="BB1663" t="str">
        <f t="shared" si="157"/>
        <v xml:space="preserve">N79NX   </v>
      </c>
      <c r="BC1663">
        <v>1</v>
      </c>
      <c r="BE1663">
        <v>0</v>
      </c>
      <c r="BF1663">
        <v>0</v>
      </c>
      <c r="BG1663">
        <v>0</v>
      </c>
      <c r="BH1663">
        <v>2775</v>
      </c>
      <c r="BI1663">
        <v>0</v>
      </c>
      <c r="BJ1663">
        <v>0</v>
      </c>
      <c r="BK1663">
        <v>0</v>
      </c>
      <c r="BL1663">
        <v>0</v>
      </c>
      <c r="BO1663">
        <v>0</v>
      </c>
      <c r="BP1663">
        <v>0</v>
      </c>
      <c r="BW1663" t="str">
        <f>"18:47:26.033"</f>
        <v>18:47:26.033</v>
      </c>
      <c r="BZ1663">
        <v>0</v>
      </c>
      <c r="CA1663">
        <v>3008</v>
      </c>
      <c r="CB1663">
        <v>216</v>
      </c>
      <c r="CC1663">
        <v>518.90629999999999</v>
      </c>
      <c r="CD1663">
        <v>1</v>
      </c>
      <c r="CE1663">
        <v>1</v>
      </c>
      <c r="CF1663">
        <v>0</v>
      </c>
      <c r="CG1663">
        <v>1</v>
      </c>
      <c r="CH1663">
        <v>0</v>
      </c>
      <c r="CI1663">
        <v>1</v>
      </c>
      <c r="CJ1663">
        <v>0</v>
      </c>
      <c r="CK1663">
        <v>2</v>
      </c>
      <c r="CL1663">
        <v>0</v>
      </c>
      <c r="CM1663">
        <v>2</v>
      </c>
      <c r="CN1663">
        <v>0</v>
      </c>
      <c r="CO1663">
        <v>1</v>
      </c>
      <c r="CP1663" t="s">
        <v>119</v>
      </c>
      <c r="CQ1663">
        <v>145</v>
      </c>
      <c r="CR1663">
        <v>1</v>
      </c>
      <c r="CW1663">
        <v>9191983</v>
      </c>
      <c r="CY1663">
        <v>0</v>
      </c>
      <c r="CZ1663">
        <v>0</v>
      </c>
      <c r="DA1663">
        <v>1</v>
      </c>
      <c r="DB1663">
        <v>0</v>
      </c>
      <c r="DC1663">
        <v>0</v>
      </c>
      <c r="DD1663">
        <v>0</v>
      </c>
      <c r="DE1663">
        <v>0</v>
      </c>
      <c r="DF1663">
        <v>0</v>
      </c>
      <c r="DG1663">
        <v>0</v>
      </c>
      <c r="DH1663">
        <v>0</v>
      </c>
      <c r="DI1663">
        <v>0</v>
      </c>
    </row>
    <row r="1664" spans="1:113" x14ac:dyDescent="0.3">
      <c r="A1664" t="str">
        <f>"02/13/2022 18:47:27.184"</f>
        <v>02/13/2022 18:47:27.184</v>
      </c>
      <c r="C1664" t="str">
        <f t="shared" si="163"/>
        <v>FFDFD7C0</v>
      </c>
      <c r="D1664" t="s">
        <v>121</v>
      </c>
      <c r="E1664">
        <v>2</v>
      </c>
      <c r="H1664">
        <v>158</v>
      </c>
      <c r="I1664" t="s">
        <v>120</v>
      </c>
      <c r="J1664" t="s">
        <v>122</v>
      </c>
      <c r="K1664">
        <v>0</v>
      </c>
      <c r="L1664">
        <v>3</v>
      </c>
      <c r="M1664">
        <v>0</v>
      </c>
      <c r="N1664">
        <v>2</v>
      </c>
      <c r="O1664">
        <v>1</v>
      </c>
      <c r="P1664">
        <v>0</v>
      </c>
      <c r="Q1664">
        <v>0</v>
      </c>
      <c r="S1664" t="str">
        <f>"18:47:26.961"</f>
        <v>18:47:26.961</v>
      </c>
      <c r="T1664" t="str">
        <f>"18:47:26.861"</f>
        <v>18:47:26.861</v>
      </c>
      <c r="U1664" t="str">
        <f t="shared" si="155"/>
        <v>AAB6EE</v>
      </c>
      <c r="V1664">
        <v>0</v>
      </c>
      <c r="W1664">
        <v>0</v>
      </c>
      <c r="X1664">
        <v>4</v>
      </c>
      <c r="Z1664">
        <v>0</v>
      </c>
      <c r="AA1664">
        <v>8</v>
      </c>
      <c r="AB1664">
        <v>3</v>
      </c>
      <c r="AC1664">
        <v>0</v>
      </c>
      <c r="AD1664">
        <v>10</v>
      </c>
      <c r="AE1664">
        <v>0</v>
      </c>
      <c r="AF1664">
        <v>0</v>
      </c>
      <c r="AG1664">
        <v>2</v>
      </c>
      <c r="AH1664">
        <v>1</v>
      </c>
      <c r="AI1664" t="s">
        <v>1230</v>
      </c>
      <c r="AJ1664">
        <v>35.193821999999997</v>
      </c>
      <c r="AK1664" t="s">
        <v>1231</v>
      </c>
      <c r="AL1664">
        <v>-76.024833000000001</v>
      </c>
      <c r="AM1664">
        <v>25</v>
      </c>
      <c r="AN1664">
        <v>2925</v>
      </c>
      <c r="AO1664" t="s">
        <v>118</v>
      </c>
      <c r="AP1664">
        <v>72</v>
      </c>
      <c r="AQ1664">
        <v>-139</v>
      </c>
      <c r="AR1664">
        <v>0</v>
      </c>
      <c r="AZ1664">
        <v>4516</v>
      </c>
      <c r="BA1664">
        <v>1</v>
      </c>
      <c r="BB1664" t="str">
        <f t="shared" si="157"/>
        <v xml:space="preserve">N79NX   </v>
      </c>
      <c r="BC1664">
        <v>1</v>
      </c>
      <c r="BE1664">
        <v>0</v>
      </c>
      <c r="BF1664">
        <v>0</v>
      </c>
      <c r="BG1664">
        <v>0</v>
      </c>
      <c r="BH1664">
        <v>2800</v>
      </c>
      <c r="BI1664">
        <v>0</v>
      </c>
      <c r="BJ1664">
        <v>0</v>
      </c>
      <c r="BK1664">
        <v>0</v>
      </c>
      <c r="BL1664">
        <v>0</v>
      </c>
      <c r="BO1664">
        <v>0</v>
      </c>
      <c r="BP1664">
        <v>0</v>
      </c>
      <c r="BW1664" t="str">
        <f>"18:47:26.963"</f>
        <v>18:47:26.963</v>
      </c>
      <c r="BZ1664">
        <v>0</v>
      </c>
      <c r="CA1664">
        <v>3008</v>
      </c>
      <c r="CB1664">
        <v>216</v>
      </c>
      <c r="CC1664">
        <v>518.90629999999999</v>
      </c>
      <c r="CD1664">
        <v>1</v>
      </c>
      <c r="CE1664">
        <v>1</v>
      </c>
      <c r="CF1664">
        <v>0</v>
      </c>
      <c r="CG1664">
        <v>1</v>
      </c>
      <c r="CH1664">
        <v>0</v>
      </c>
      <c r="CI1664">
        <v>1</v>
      </c>
      <c r="CJ1664">
        <v>0</v>
      </c>
      <c r="CK1664">
        <v>2</v>
      </c>
      <c r="CL1664">
        <v>0</v>
      </c>
      <c r="CM1664">
        <v>2</v>
      </c>
      <c r="CN1664">
        <v>0</v>
      </c>
      <c r="CO1664">
        <v>1</v>
      </c>
      <c r="CP1664" t="s">
        <v>119</v>
      </c>
      <c r="CQ1664">
        <v>145</v>
      </c>
      <c r="CR1664">
        <v>1</v>
      </c>
      <c r="CW1664">
        <v>9192359</v>
      </c>
      <c r="CY1664">
        <v>0</v>
      </c>
      <c r="CZ1664">
        <v>0</v>
      </c>
      <c r="DA1664">
        <v>0</v>
      </c>
      <c r="DB1664">
        <v>0</v>
      </c>
      <c r="DC1664">
        <v>0</v>
      </c>
      <c r="DD1664">
        <v>0</v>
      </c>
      <c r="DE1664">
        <v>0</v>
      </c>
      <c r="DF1664">
        <v>0</v>
      </c>
      <c r="DG1664">
        <v>0</v>
      </c>
      <c r="DH1664">
        <v>0</v>
      </c>
      <c r="DI1664">
        <v>0</v>
      </c>
    </row>
    <row r="1665" spans="1:113" x14ac:dyDescent="0.3">
      <c r="A1665" t="str">
        <f>"02/13/2022 18:47:27.184"</f>
        <v>02/13/2022 18:47:27.184</v>
      </c>
      <c r="C1665" t="str">
        <f t="shared" si="163"/>
        <v>FFDFD7C0</v>
      </c>
      <c r="D1665" t="s">
        <v>113</v>
      </c>
      <c r="E1665">
        <v>3</v>
      </c>
      <c r="F1665">
        <v>1003</v>
      </c>
      <c r="G1665" t="s">
        <v>114</v>
      </c>
      <c r="J1665" t="s">
        <v>115</v>
      </c>
      <c r="K1665">
        <v>0</v>
      </c>
      <c r="L1665">
        <v>3</v>
      </c>
      <c r="M1665">
        <v>0</v>
      </c>
      <c r="N1665">
        <v>2</v>
      </c>
      <c r="O1665">
        <v>1</v>
      </c>
      <c r="P1665">
        <v>0</v>
      </c>
      <c r="Q1665">
        <v>0</v>
      </c>
      <c r="S1665" t="str">
        <f>"18:47:26.961"</f>
        <v>18:47:26.961</v>
      </c>
      <c r="T1665" t="str">
        <f>"18:47:26.861"</f>
        <v>18:47:26.861</v>
      </c>
      <c r="U1665" t="str">
        <f t="shared" si="155"/>
        <v>AAB6EE</v>
      </c>
      <c r="V1665">
        <v>0</v>
      </c>
      <c r="W1665">
        <v>0</v>
      </c>
      <c r="X1665">
        <v>4</v>
      </c>
      <c r="Z1665">
        <v>0</v>
      </c>
      <c r="AA1665">
        <v>8</v>
      </c>
      <c r="AB1665">
        <v>3</v>
      </c>
      <c r="AC1665">
        <v>0</v>
      </c>
      <c r="AD1665">
        <v>10</v>
      </c>
      <c r="AE1665">
        <v>0</v>
      </c>
      <c r="AF1665">
        <v>0</v>
      </c>
      <c r="AG1665">
        <v>2</v>
      </c>
      <c r="AH1665">
        <v>1</v>
      </c>
      <c r="AI1665" t="s">
        <v>1230</v>
      </c>
      <c r="AJ1665">
        <v>35.193821999999997</v>
      </c>
      <c r="AK1665" t="s">
        <v>1231</v>
      </c>
      <c r="AL1665">
        <v>-76.024833000000001</v>
      </c>
      <c r="AM1665">
        <v>25</v>
      </c>
      <c r="AN1665">
        <v>2925</v>
      </c>
      <c r="AO1665" t="s">
        <v>118</v>
      </c>
      <c r="AP1665">
        <v>72</v>
      </c>
      <c r="AQ1665">
        <v>-139</v>
      </c>
      <c r="AR1665">
        <v>0</v>
      </c>
      <c r="AZ1665">
        <v>4516</v>
      </c>
      <c r="BA1665">
        <v>1</v>
      </c>
      <c r="BB1665" t="str">
        <f t="shared" si="157"/>
        <v xml:space="preserve">N79NX   </v>
      </c>
      <c r="BC1665">
        <v>1</v>
      </c>
      <c r="BE1665">
        <v>0</v>
      </c>
      <c r="BF1665">
        <v>0</v>
      </c>
      <c r="BG1665">
        <v>0</v>
      </c>
      <c r="BH1665">
        <v>2800</v>
      </c>
      <c r="BI1665">
        <v>0</v>
      </c>
      <c r="BJ1665">
        <v>0</v>
      </c>
      <c r="BK1665">
        <v>0</v>
      </c>
      <c r="BL1665">
        <v>0</v>
      </c>
      <c r="BO1665">
        <v>0</v>
      </c>
      <c r="BP1665">
        <v>0</v>
      </c>
      <c r="BW1665" t="str">
        <f>"18:47:26.963"</f>
        <v>18:47:26.963</v>
      </c>
      <c r="BZ1665">
        <v>0</v>
      </c>
      <c r="CA1665">
        <v>3008</v>
      </c>
      <c r="CB1665">
        <v>216</v>
      </c>
      <c r="CC1665">
        <v>518.90629999999999</v>
      </c>
      <c r="CD1665">
        <v>1</v>
      </c>
      <c r="CE1665">
        <v>1</v>
      </c>
      <c r="CF1665">
        <v>0</v>
      </c>
      <c r="CG1665">
        <v>1</v>
      </c>
      <c r="CH1665">
        <v>0</v>
      </c>
      <c r="CI1665">
        <v>1</v>
      </c>
      <c r="CJ1665">
        <v>0</v>
      </c>
      <c r="CK1665">
        <v>2</v>
      </c>
      <c r="CL1665">
        <v>0</v>
      </c>
      <c r="CM1665">
        <v>2</v>
      </c>
      <c r="CN1665">
        <v>0</v>
      </c>
      <c r="CO1665">
        <v>1</v>
      </c>
      <c r="CP1665" t="s">
        <v>119</v>
      </c>
      <c r="CQ1665">
        <v>145</v>
      </c>
      <c r="CR1665">
        <v>1</v>
      </c>
      <c r="CW1665">
        <v>9192359</v>
      </c>
      <c r="CY1665">
        <v>0</v>
      </c>
      <c r="CZ1665">
        <v>0</v>
      </c>
      <c r="DA1665">
        <v>1</v>
      </c>
      <c r="DB1665">
        <v>0</v>
      </c>
      <c r="DC1665">
        <v>0</v>
      </c>
      <c r="DD1665">
        <v>0</v>
      </c>
      <c r="DE1665">
        <v>0</v>
      </c>
      <c r="DF1665">
        <v>0</v>
      </c>
      <c r="DG1665">
        <v>0</v>
      </c>
      <c r="DH1665">
        <v>0</v>
      </c>
      <c r="DI1665">
        <v>0</v>
      </c>
    </row>
    <row r="1666" spans="1:113" x14ac:dyDescent="0.3">
      <c r="A1666" t="str">
        <f>"02/13/2022 18:47:27.184"</f>
        <v>02/13/2022 18:47:27.184</v>
      </c>
      <c r="C1666" t="str">
        <f t="shared" si="163"/>
        <v>FFDFD7C0</v>
      </c>
      <c r="D1666" t="s">
        <v>113</v>
      </c>
      <c r="E1666">
        <v>4</v>
      </c>
      <c r="F1666">
        <v>1004</v>
      </c>
      <c r="G1666" t="s">
        <v>120</v>
      </c>
      <c r="J1666" t="s">
        <v>115</v>
      </c>
      <c r="K1666">
        <v>0</v>
      </c>
      <c r="L1666">
        <v>3</v>
      </c>
      <c r="M1666">
        <v>0</v>
      </c>
      <c r="N1666">
        <v>2</v>
      </c>
      <c r="O1666">
        <v>1</v>
      </c>
      <c r="P1666">
        <v>0</v>
      </c>
      <c r="Q1666">
        <v>0</v>
      </c>
      <c r="S1666" t="str">
        <f>"18:47:26.961"</f>
        <v>18:47:26.961</v>
      </c>
      <c r="T1666" t="str">
        <f>"18:47:26.861"</f>
        <v>18:47:26.861</v>
      </c>
      <c r="U1666" t="str">
        <f t="shared" ref="U1666:U1729" si="164">"AAB6EE"</f>
        <v>AAB6EE</v>
      </c>
      <c r="V1666">
        <v>0</v>
      </c>
      <c r="W1666">
        <v>0</v>
      </c>
      <c r="X1666">
        <v>4</v>
      </c>
      <c r="Z1666">
        <v>0</v>
      </c>
      <c r="AA1666">
        <v>8</v>
      </c>
      <c r="AB1666">
        <v>3</v>
      </c>
      <c r="AC1666">
        <v>0</v>
      </c>
      <c r="AD1666">
        <v>10</v>
      </c>
      <c r="AE1666">
        <v>0</v>
      </c>
      <c r="AF1666">
        <v>0</v>
      </c>
      <c r="AG1666">
        <v>2</v>
      </c>
      <c r="AH1666">
        <v>1</v>
      </c>
      <c r="AI1666" t="s">
        <v>1230</v>
      </c>
      <c r="AJ1666">
        <v>35.193821999999997</v>
      </c>
      <c r="AK1666" t="s">
        <v>1231</v>
      </c>
      <c r="AL1666">
        <v>-76.024833000000001</v>
      </c>
      <c r="AM1666">
        <v>25</v>
      </c>
      <c r="AN1666">
        <v>2925</v>
      </c>
      <c r="AO1666" t="s">
        <v>118</v>
      </c>
      <c r="AP1666">
        <v>72</v>
      </c>
      <c r="AQ1666">
        <v>-139</v>
      </c>
      <c r="AR1666">
        <v>0</v>
      </c>
      <c r="AZ1666">
        <v>4516</v>
      </c>
      <c r="BA1666">
        <v>1</v>
      </c>
      <c r="BB1666" t="str">
        <f t="shared" si="157"/>
        <v xml:space="preserve">N79NX   </v>
      </c>
      <c r="BC1666">
        <v>1</v>
      </c>
      <c r="BE1666">
        <v>0</v>
      </c>
      <c r="BF1666">
        <v>0</v>
      </c>
      <c r="BG1666">
        <v>0</v>
      </c>
      <c r="BH1666">
        <v>2800</v>
      </c>
      <c r="BI1666">
        <v>0</v>
      </c>
      <c r="BJ1666">
        <v>0</v>
      </c>
      <c r="BK1666">
        <v>0</v>
      </c>
      <c r="BL1666">
        <v>0</v>
      </c>
      <c r="BO1666">
        <v>0</v>
      </c>
      <c r="BP1666">
        <v>0</v>
      </c>
      <c r="BW1666" t="str">
        <f>"18:47:26.963"</f>
        <v>18:47:26.963</v>
      </c>
      <c r="BZ1666">
        <v>0</v>
      </c>
      <c r="CA1666">
        <v>3008</v>
      </c>
      <c r="CB1666">
        <v>216</v>
      </c>
      <c r="CC1666">
        <v>518.90629999999999</v>
      </c>
      <c r="CD1666">
        <v>1</v>
      </c>
      <c r="CE1666">
        <v>1</v>
      </c>
      <c r="CF1666">
        <v>0</v>
      </c>
      <c r="CG1666">
        <v>1</v>
      </c>
      <c r="CH1666">
        <v>0</v>
      </c>
      <c r="CI1666">
        <v>1</v>
      </c>
      <c r="CJ1666">
        <v>0</v>
      </c>
      <c r="CK1666">
        <v>2</v>
      </c>
      <c r="CL1666">
        <v>0</v>
      </c>
      <c r="CM1666">
        <v>2</v>
      </c>
      <c r="CN1666">
        <v>0</v>
      </c>
      <c r="CO1666">
        <v>1</v>
      </c>
      <c r="CP1666" t="s">
        <v>119</v>
      </c>
      <c r="CQ1666">
        <v>145</v>
      </c>
      <c r="CR1666">
        <v>1</v>
      </c>
      <c r="CW1666">
        <v>9192359</v>
      </c>
      <c r="CY1666">
        <v>0</v>
      </c>
      <c r="CZ1666">
        <v>0</v>
      </c>
      <c r="DA1666">
        <v>1</v>
      </c>
      <c r="DB1666">
        <v>0</v>
      </c>
      <c r="DC1666">
        <v>0</v>
      </c>
      <c r="DD1666">
        <v>0</v>
      </c>
      <c r="DE1666">
        <v>0</v>
      </c>
      <c r="DF1666">
        <v>0</v>
      </c>
      <c r="DG1666">
        <v>0</v>
      </c>
      <c r="DH1666">
        <v>0</v>
      </c>
      <c r="DI1666">
        <v>0</v>
      </c>
    </row>
    <row r="1667" spans="1:113" x14ac:dyDescent="0.3">
      <c r="A1667" t="str">
        <f>"02/13/2022 18:47:28.262"</f>
        <v>02/13/2022 18:47:28.262</v>
      </c>
      <c r="C1667" t="str">
        <f t="shared" si="163"/>
        <v>FFDFD7C0</v>
      </c>
      <c r="D1667" t="s">
        <v>121</v>
      </c>
      <c r="E1667">
        <v>2</v>
      </c>
      <c r="H1667">
        <v>158</v>
      </c>
      <c r="I1667" t="s">
        <v>120</v>
      </c>
      <c r="J1667" t="s">
        <v>122</v>
      </c>
      <c r="K1667">
        <v>0</v>
      </c>
      <c r="L1667">
        <v>3</v>
      </c>
      <c r="M1667">
        <v>0</v>
      </c>
      <c r="N1667">
        <v>2</v>
      </c>
      <c r="O1667">
        <v>1</v>
      </c>
      <c r="P1667">
        <v>0</v>
      </c>
      <c r="Q1667">
        <v>0</v>
      </c>
      <c r="S1667" t="str">
        <f>"18:47:28.031"</f>
        <v>18:47:28.031</v>
      </c>
      <c r="T1667" t="str">
        <f>"18:47:27.931"</f>
        <v>18:47:27.931</v>
      </c>
      <c r="U1667" t="str">
        <f t="shared" si="164"/>
        <v>AAB6EE</v>
      </c>
      <c r="V1667">
        <v>0</v>
      </c>
      <c r="W1667">
        <v>0</v>
      </c>
      <c r="X1667">
        <v>4</v>
      </c>
      <c r="Z1667">
        <v>0</v>
      </c>
      <c r="AA1667">
        <v>8</v>
      </c>
      <c r="AB1667">
        <v>3</v>
      </c>
      <c r="AC1667">
        <v>0</v>
      </c>
      <c r="AD1667">
        <v>10</v>
      </c>
      <c r="AE1667">
        <v>0</v>
      </c>
      <c r="AF1667">
        <v>0</v>
      </c>
      <c r="AG1667">
        <v>2</v>
      </c>
      <c r="AH1667">
        <v>1</v>
      </c>
      <c r="AI1667" t="s">
        <v>1232</v>
      </c>
      <c r="AJ1667">
        <v>35.193114000000001</v>
      </c>
      <c r="AK1667" t="s">
        <v>1233</v>
      </c>
      <c r="AL1667">
        <v>-76.024360999999999</v>
      </c>
      <c r="AM1667">
        <v>25</v>
      </c>
      <c r="AN1667">
        <v>2925</v>
      </c>
      <c r="AO1667" t="s">
        <v>118</v>
      </c>
      <c r="AP1667">
        <v>72</v>
      </c>
      <c r="AQ1667">
        <v>-139</v>
      </c>
      <c r="AR1667">
        <v>0</v>
      </c>
      <c r="AZ1667">
        <v>4516</v>
      </c>
      <c r="BA1667">
        <v>1</v>
      </c>
      <c r="BB1667" t="str">
        <f t="shared" si="157"/>
        <v xml:space="preserve">N79NX   </v>
      </c>
      <c r="BC1667">
        <v>1</v>
      </c>
      <c r="BE1667">
        <v>0</v>
      </c>
      <c r="BF1667">
        <v>0</v>
      </c>
      <c r="BG1667">
        <v>0</v>
      </c>
      <c r="BH1667">
        <v>2800</v>
      </c>
      <c r="BI1667">
        <v>0</v>
      </c>
      <c r="BJ1667">
        <v>0</v>
      </c>
      <c r="BK1667">
        <v>0</v>
      </c>
      <c r="BL1667">
        <v>0</v>
      </c>
      <c r="BO1667">
        <v>0</v>
      </c>
      <c r="BP1667">
        <v>0</v>
      </c>
      <c r="BW1667" t="str">
        <f>"18:47:28.033"</f>
        <v>18:47:28.033</v>
      </c>
      <c r="BZ1667">
        <v>0</v>
      </c>
      <c r="CA1667">
        <v>3008</v>
      </c>
      <c r="CB1667">
        <v>216</v>
      </c>
      <c r="CC1667">
        <v>518.90629999999999</v>
      </c>
      <c r="CD1667">
        <v>1</v>
      </c>
      <c r="CE1667">
        <v>1</v>
      </c>
      <c r="CF1667">
        <v>0</v>
      </c>
      <c r="CG1667">
        <v>1</v>
      </c>
      <c r="CH1667">
        <v>0</v>
      </c>
      <c r="CI1667">
        <v>1</v>
      </c>
      <c r="CJ1667">
        <v>0</v>
      </c>
      <c r="CK1667">
        <v>2</v>
      </c>
      <c r="CL1667">
        <v>0</v>
      </c>
      <c r="CM1667">
        <v>2</v>
      </c>
      <c r="CN1667">
        <v>0</v>
      </c>
      <c r="CO1667">
        <v>2</v>
      </c>
      <c r="CP1667" t="s">
        <v>119</v>
      </c>
      <c r="CQ1667">
        <v>145</v>
      </c>
      <c r="CR1667">
        <v>1</v>
      </c>
      <c r="CW1667">
        <v>9192805</v>
      </c>
      <c r="CY1667">
        <v>0</v>
      </c>
      <c r="CZ1667">
        <v>0</v>
      </c>
      <c r="DA1667">
        <v>0</v>
      </c>
      <c r="DB1667">
        <v>0</v>
      </c>
      <c r="DC1667">
        <v>0</v>
      </c>
      <c r="DD1667">
        <v>0</v>
      </c>
      <c r="DE1667">
        <v>0</v>
      </c>
      <c r="DF1667">
        <v>0</v>
      </c>
      <c r="DG1667">
        <v>0</v>
      </c>
      <c r="DH1667">
        <v>0</v>
      </c>
      <c r="DI1667">
        <v>0</v>
      </c>
    </row>
    <row r="1668" spans="1:113" x14ac:dyDescent="0.3">
      <c r="A1668" t="str">
        <f>"02/13/2022 18:47:28.262"</f>
        <v>02/13/2022 18:47:28.262</v>
      </c>
      <c r="C1668" t="str">
        <f t="shared" si="163"/>
        <v>FFDFD7C0</v>
      </c>
      <c r="D1668" t="s">
        <v>113</v>
      </c>
      <c r="E1668">
        <v>3</v>
      </c>
      <c r="F1668">
        <v>1003</v>
      </c>
      <c r="G1668" t="s">
        <v>114</v>
      </c>
      <c r="J1668" t="s">
        <v>115</v>
      </c>
      <c r="K1668">
        <v>0</v>
      </c>
      <c r="L1668">
        <v>3</v>
      </c>
      <c r="M1668">
        <v>0</v>
      </c>
      <c r="N1668">
        <v>2</v>
      </c>
      <c r="O1668">
        <v>1</v>
      </c>
      <c r="P1668">
        <v>0</v>
      </c>
      <c r="Q1668">
        <v>0</v>
      </c>
      <c r="S1668" t="str">
        <f>"18:47:28.031"</f>
        <v>18:47:28.031</v>
      </c>
      <c r="T1668" t="str">
        <f>"18:47:27.931"</f>
        <v>18:47:27.931</v>
      </c>
      <c r="U1668" t="str">
        <f t="shared" si="164"/>
        <v>AAB6EE</v>
      </c>
      <c r="V1668">
        <v>0</v>
      </c>
      <c r="W1668">
        <v>0</v>
      </c>
      <c r="X1668">
        <v>4</v>
      </c>
      <c r="Z1668">
        <v>0</v>
      </c>
      <c r="AA1668">
        <v>8</v>
      </c>
      <c r="AB1668">
        <v>3</v>
      </c>
      <c r="AC1668">
        <v>0</v>
      </c>
      <c r="AD1668">
        <v>10</v>
      </c>
      <c r="AE1668">
        <v>0</v>
      </c>
      <c r="AF1668">
        <v>0</v>
      </c>
      <c r="AG1668">
        <v>2</v>
      </c>
      <c r="AH1668">
        <v>1</v>
      </c>
      <c r="AI1668" t="s">
        <v>1232</v>
      </c>
      <c r="AJ1668">
        <v>35.193114000000001</v>
      </c>
      <c r="AK1668" t="s">
        <v>1233</v>
      </c>
      <c r="AL1668">
        <v>-76.024360999999999</v>
      </c>
      <c r="AM1668">
        <v>25</v>
      </c>
      <c r="AN1668">
        <v>2925</v>
      </c>
      <c r="AO1668" t="s">
        <v>118</v>
      </c>
      <c r="AP1668">
        <v>72</v>
      </c>
      <c r="AQ1668">
        <v>-139</v>
      </c>
      <c r="AR1668">
        <v>0</v>
      </c>
      <c r="AZ1668">
        <v>4516</v>
      </c>
      <c r="BA1668">
        <v>1</v>
      </c>
      <c r="BB1668" t="str">
        <f t="shared" si="157"/>
        <v xml:space="preserve">N79NX   </v>
      </c>
      <c r="BC1668">
        <v>1</v>
      </c>
      <c r="BE1668">
        <v>0</v>
      </c>
      <c r="BF1668">
        <v>0</v>
      </c>
      <c r="BG1668">
        <v>0</v>
      </c>
      <c r="BH1668">
        <v>2800</v>
      </c>
      <c r="BI1668">
        <v>0</v>
      </c>
      <c r="BJ1668">
        <v>0</v>
      </c>
      <c r="BK1668">
        <v>0</v>
      </c>
      <c r="BL1668">
        <v>0</v>
      </c>
      <c r="BO1668">
        <v>0</v>
      </c>
      <c r="BP1668">
        <v>0</v>
      </c>
      <c r="BW1668" t="str">
        <f>"18:47:28.033"</f>
        <v>18:47:28.033</v>
      </c>
      <c r="BZ1668">
        <v>0</v>
      </c>
      <c r="CA1668">
        <v>3008</v>
      </c>
      <c r="CB1668">
        <v>216</v>
      </c>
      <c r="CC1668">
        <v>518.90629999999999</v>
      </c>
      <c r="CD1668">
        <v>1</v>
      </c>
      <c r="CE1668">
        <v>1</v>
      </c>
      <c r="CF1668">
        <v>0</v>
      </c>
      <c r="CG1668">
        <v>1</v>
      </c>
      <c r="CH1668">
        <v>0</v>
      </c>
      <c r="CI1668">
        <v>1</v>
      </c>
      <c r="CJ1668">
        <v>0</v>
      </c>
      <c r="CK1668">
        <v>2</v>
      </c>
      <c r="CL1668">
        <v>0</v>
      </c>
      <c r="CM1668">
        <v>2</v>
      </c>
      <c r="CN1668">
        <v>0</v>
      </c>
      <c r="CO1668">
        <v>2</v>
      </c>
      <c r="CP1668" t="s">
        <v>119</v>
      </c>
      <c r="CQ1668">
        <v>145</v>
      </c>
      <c r="CR1668">
        <v>1</v>
      </c>
      <c r="CW1668">
        <v>9192805</v>
      </c>
      <c r="CY1668">
        <v>0</v>
      </c>
      <c r="CZ1668">
        <v>0</v>
      </c>
      <c r="DA1668">
        <v>1</v>
      </c>
      <c r="DB1668">
        <v>0</v>
      </c>
      <c r="DC1668">
        <v>0</v>
      </c>
      <c r="DD1668">
        <v>0</v>
      </c>
      <c r="DE1668">
        <v>0</v>
      </c>
      <c r="DF1668">
        <v>0</v>
      </c>
      <c r="DG1668">
        <v>0</v>
      </c>
      <c r="DH1668">
        <v>0</v>
      </c>
      <c r="DI1668">
        <v>0</v>
      </c>
    </row>
    <row r="1669" spans="1:113" x14ac:dyDescent="0.3">
      <c r="A1669" t="str">
        <f>"02/13/2022 18:47:28.262"</f>
        <v>02/13/2022 18:47:28.262</v>
      </c>
      <c r="C1669" t="str">
        <f t="shared" si="163"/>
        <v>FFDFD7C0</v>
      </c>
      <c r="D1669" t="s">
        <v>113</v>
      </c>
      <c r="E1669">
        <v>4</v>
      </c>
      <c r="F1669">
        <v>1004</v>
      </c>
      <c r="G1669" t="s">
        <v>120</v>
      </c>
      <c r="J1669" t="s">
        <v>115</v>
      </c>
      <c r="K1669">
        <v>0</v>
      </c>
      <c r="L1669">
        <v>3</v>
      </c>
      <c r="M1669">
        <v>0</v>
      </c>
      <c r="N1669">
        <v>2</v>
      </c>
      <c r="O1669">
        <v>1</v>
      </c>
      <c r="P1669">
        <v>0</v>
      </c>
      <c r="Q1669">
        <v>0</v>
      </c>
      <c r="S1669" t="str">
        <f>"18:47:28.031"</f>
        <v>18:47:28.031</v>
      </c>
      <c r="T1669" t="str">
        <f>"18:47:27.931"</f>
        <v>18:47:27.931</v>
      </c>
      <c r="U1669" t="str">
        <f t="shared" si="164"/>
        <v>AAB6EE</v>
      </c>
      <c r="V1669">
        <v>0</v>
      </c>
      <c r="W1669">
        <v>0</v>
      </c>
      <c r="X1669">
        <v>4</v>
      </c>
      <c r="Z1669">
        <v>0</v>
      </c>
      <c r="AA1669">
        <v>8</v>
      </c>
      <c r="AB1669">
        <v>3</v>
      </c>
      <c r="AC1669">
        <v>0</v>
      </c>
      <c r="AD1669">
        <v>10</v>
      </c>
      <c r="AE1669">
        <v>0</v>
      </c>
      <c r="AF1669">
        <v>0</v>
      </c>
      <c r="AG1669">
        <v>2</v>
      </c>
      <c r="AH1669">
        <v>1</v>
      </c>
      <c r="AI1669" t="s">
        <v>1232</v>
      </c>
      <c r="AJ1669">
        <v>35.193114000000001</v>
      </c>
      <c r="AK1669" t="s">
        <v>1233</v>
      </c>
      <c r="AL1669">
        <v>-76.024360999999999</v>
      </c>
      <c r="AM1669">
        <v>25</v>
      </c>
      <c r="AN1669">
        <v>2925</v>
      </c>
      <c r="AO1669" t="s">
        <v>118</v>
      </c>
      <c r="AP1669">
        <v>72</v>
      </c>
      <c r="AQ1669">
        <v>-139</v>
      </c>
      <c r="AR1669">
        <v>0</v>
      </c>
      <c r="AZ1669">
        <v>4516</v>
      </c>
      <c r="BA1669">
        <v>1</v>
      </c>
      <c r="BB1669" t="str">
        <f t="shared" ref="BB1669:BB1732" si="165">"N79NX   "</f>
        <v xml:space="preserve">N79NX   </v>
      </c>
      <c r="BC1669">
        <v>1</v>
      </c>
      <c r="BE1669">
        <v>0</v>
      </c>
      <c r="BF1669">
        <v>0</v>
      </c>
      <c r="BG1669">
        <v>0</v>
      </c>
      <c r="BH1669">
        <v>2800</v>
      </c>
      <c r="BI1669">
        <v>0</v>
      </c>
      <c r="BJ1669">
        <v>0</v>
      </c>
      <c r="BK1669">
        <v>0</v>
      </c>
      <c r="BL1669">
        <v>0</v>
      </c>
      <c r="BO1669">
        <v>0</v>
      </c>
      <c r="BP1669">
        <v>0</v>
      </c>
      <c r="BW1669" t="str">
        <f>"18:47:28.033"</f>
        <v>18:47:28.033</v>
      </c>
      <c r="BZ1669">
        <v>0</v>
      </c>
      <c r="CA1669">
        <v>3008</v>
      </c>
      <c r="CB1669">
        <v>216</v>
      </c>
      <c r="CC1669">
        <v>518.90629999999999</v>
      </c>
      <c r="CD1669">
        <v>1</v>
      </c>
      <c r="CE1669">
        <v>1</v>
      </c>
      <c r="CF1669">
        <v>0</v>
      </c>
      <c r="CG1669">
        <v>1</v>
      </c>
      <c r="CH1669">
        <v>0</v>
      </c>
      <c r="CI1669">
        <v>1</v>
      </c>
      <c r="CJ1669">
        <v>0</v>
      </c>
      <c r="CK1669">
        <v>2</v>
      </c>
      <c r="CL1669">
        <v>0</v>
      </c>
      <c r="CM1669">
        <v>2</v>
      </c>
      <c r="CN1669">
        <v>0</v>
      </c>
      <c r="CO1669">
        <v>2</v>
      </c>
      <c r="CP1669" t="s">
        <v>119</v>
      </c>
      <c r="CQ1669">
        <v>145</v>
      </c>
      <c r="CR1669">
        <v>1</v>
      </c>
      <c r="CW1669">
        <v>9192805</v>
      </c>
      <c r="CY1669">
        <v>0</v>
      </c>
      <c r="CZ1669">
        <v>0</v>
      </c>
      <c r="DA1669">
        <v>1</v>
      </c>
      <c r="DB1669">
        <v>0</v>
      </c>
      <c r="DC1669">
        <v>0</v>
      </c>
      <c r="DD1669">
        <v>0</v>
      </c>
      <c r="DE1669">
        <v>0</v>
      </c>
      <c r="DF1669">
        <v>0</v>
      </c>
      <c r="DG1669">
        <v>0</v>
      </c>
      <c r="DH1669">
        <v>0</v>
      </c>
      <c r="DI1669">
        <v>0</v>
      </c>
    </row>
    <row r="1670" spans="1:113" x14ac:dyDescent="0.3">
      <c r="A1670" t="str">
        <f>"02/13/2022 18:47:29.247"</f>
        <v>02/13/2022 18:47:29.247</v>
      </c>
      <c r="C1670" t="str">
        <f t="shared" si="163"/>
        <v>FFDFD7C0</v>
      </c>
      <c r="D1670" t="s">
        <v>113</v>
      </c>
      <c r="E1670">
        <v>3</v>
      </c>
      <c r="F1670">
        <v>1003</v>
      </c>
      <c r="G1670" t="s">
        <v>114</v>
      </c>
      <c r="J1670" t="s">
        <v>115</v>
      </c>
      <c r="K1670">
        <v>0</v>
      </c>
      <c r="L1670">
        <v>3</v>
      </c>
      <c r="M1670">
        <v>0</v>
      </c>
      <c r="N1670">
        <v>2</v>
      </c>
      <c r="O1670">
        <v>1</v>
      </c>
      <c r="P1670">
        <v>0</v>
      </c>
      <c r="Q1670">
        <v>0</v>
      </c>
      <c r="S1670" t="str">
        <f>"18:47:28.898"</f>
        <v>18:47:28.898</v>
      </c>
      <c r="T1670" t="str">
        <f>"18:47:28.798"</f>
        <v>18:47:28.798</v>
      </c>
      <c r="U1670" t="str">
        <f t="shared" si="164"/>
        <v>AAB6EE</v>
      </c>
      <c r="V1670">
        <v>0</v>
      </c>
      <c r="W1670">
        <v>0</v>
      </c>
      <c r="X1670">
        <v>4</v>
      </c>
      <c r="Z1670">
        <v>0</v>
      </c>
      <c r="AA1670">
        <v>8</v>
      </c>
      <c r="AB1670">
        <v>3</v>
      </c>
      <c r="AC1670">
        <v>0</v>
      </c>
      <c r="AD1670">
        <v>10</v>
      </c>
      <c r="AE1670">
        <v>0</v>
      </c>
      <c r="AF1670">
        <v>0</v>
      </c>
      <c r="AG1670">
        <v>2</v>
      </c>
      <c r="AH1670">
        <v>1</v>
      </c>
      <c r="AI1670" t="s">
        <v>1234</v>
      </c>
      <c r="AJ1670">
        <v>35.192599000000001</v>
      </c>
      <c r="AK1670" t="s">
        <v>1235</v>
      </c>
      <c r="AL1670">
        <v>-76.024082000000007</v>
      </c>
      <c r="AM1670">
        <v>25</v>
      </c>
      <c r="AN1670">
        <v>2925</v>
      </c>
      <c r="AO1670" t="s">
        <v>118</v>
      </c>
      <c r="AP1670">
        <v>72</v>
      </c>
      <c r="AQ1670">
        <v>-139</v>
      </c>
      <c r="AR1670">
        <v>0</v>
      </c>
      <c r="AZ1670">
        <v>4516</v>
      </c>
      <c r="BA1670">
        <v>1</v>
      </c>
      <c r="BB1670" t="str">
        <f t="shared" si="165"/>
        <v xml:space="preserve">N79NX   </v>
      </c>
      <c r="BC1670">
        <v>1</v>
      </c>
      <c r="BE1670">
        <v>0</v>
      </c>
      <c r="BF1670">
        <v>0</v>
      </c>
      <c r="BG1670">
        <v>0</v>
      </c>
      <c r="BH1670">
        <v>2775</v>
      </c>
      <c r="BI1670">
        <v>0</v>
      </c>
      <c r="BJ1670">
        <v>0</v>
      </c>
      <c r="BK1670">
        <v>0</v>
      </c>
      <c r="BL1670">
        <v>0</v>
      </c>
      <c r="BO1670">
        <v>0</v>
      </c>
      <c r="BP1670">
        <v>0</v>
      </c>
      <c r="BW1670" t="str">
        <f>"18:47:28.903"</f>
        <v>18:47:28.903</v>
      </c>
      <c r="BZ1670">
        <v>0</v>
      </c>
      <c r="CA1670">
        <v>3008</v>
      </c>
      <c r="CB1670">
        <v>216</v>
      </c>
      <c r="CC1670">
        <v>518.90629999999999</v>
      </c>
      <c r="CD1670">
        <v>1</v>
      </c>
      <c r="CE1670">
        <v>1</v>
      </c>
      <c r="CF1670">
        <v>0</v>
      </c>
      <c r="CG1670">
        <v>1</v>
      </c>
      <c r="CH1670">
        <v>0</v>
      </c>
      <c r="CI1670">
        <v>1</v>
      </c>
      <c r="CJ1670">
        <v>0</v>
      </c>
      <c r="CK1670">
        <v>2</v>
      </c>
      <c r="CL1670">
        <v>0</v>
      </c>
      <c r="CM1670">
        <v>2</v>
      </c>
      <c r="CN1670">
        <v>0</v>
      </c>
      <c r="CO1670">
        <v>2</v>
      </c>
      <c r="CP1670" t="s">
        <v>119</v>
      </c>
      <c r="CQ1670">
        <v>145</v>
      </c>
      <c r="CR1670">
        <v>1</v>
      </c>
      <c r="CW1670">
        <v>9193251</v>
      </c>
      <c r="CY1670">
        <v>0</v>
      </c>
      <c r="CZ1670">
        <v>0</v>
      </c>
      <c r="DA1670">
        <v>0</v>
      </c>
      <c r="DB1670">
        <v>0</v>
      </c>
      <c r="DC1670">
        <v>0</v>
      </c>
      <c r="DD1670">
        <v>0</v>
      </c>
      <c r="DE1670">
        <v>0</v>
      </c>
      <c r="DF1670">
        <v>0</v>
      </c>
      <c r="DG1670">
        <v>0</v>
      </c>
      <c r="DH1670">
        <v>0</v>
      </c>
      <c r="DI1670">
        <v>0</v>
      </c>
    </row>
    <row r="1671" spans="1:113" x14ac:dyDescent="0.3">
      <c r="A1671" t="str">
        <f>"02/13/2022 18:47:29.247"</f>
        <v>02/13/2022 18:47:29.247</v>
      </c>
      <c r="C1671" t="str">
        <f t="shared" si="163"/>
        <v>FFDFD7C0</v>
      </c>
      <c r="D1671" t="s">
        <v>113</v>
      </c>
      <c r="E1671">
        <v>4</v>
      </c>
      <c r="F1671">
        <v>1004</v>
      </c>
      <c r="G1671" t="s">
        <v>120</v>
      </c>
      <c r="J1671" t="s">
        <v>115</v>
      </c>
      <c r="K1671">
        <v>0</v>
      </c>
      <c r="L1671">
        <v>3</v>
      </c>
      <c r="M1671">
        <v>0</v>
      </c>
      <c r="N1671">
        <v>2</v>
      </c>
      <c r="O1671">
        <v>1</v>
      </c>
      <c r="P1671">
        <v>0</v>
      </c>
      <c r="Q1671">
        <v>0</v>
      </c>
      <c r="S1671" t="str">
        <f>"18:47:28.898"</f>
        <v>18:47:28.898</v>
      </c>
      <c r="T1671" t="str">
        <f>"18:47:28.798"</f>
        <v>18:47:28.798</v>
      </c>
      <c r="U1671" t="str">
        <f t="shared" si="164"/>
        <v>AAB6EE</v>
      </c>
      <c r="V1671">
        <v>0</v>
      </c>
      <c r="W1671">
        <v>0</v>
      </c>
      <c r="X1671">
        <v>4</v>
      </c>
      <c r="Z1671">
        <v>0</v>
      </c>
      <c r="AA1671">
        <v>8</v>
      </c>
      <c r="AB1671">
        <v>3</v>
      </c>
      <c r="AC1671">
        <v>0</v>
      </c>
      <c r="AD1671">
        <v>10</v>
      </c>
      <c r="AE1671">
        <v>0</v>
      </c>
      <c r="AF1671">
        <v>0</v>
      </c>
      <c r="AG1671">
        <v>2</v>
      </c>
      <c r="AH1671">
        <v>1</v>
      </c>
      <c r="AI1671" t="s">
        <v>1234</v>
      </c>
      <c r="AJ1671">
        <v>35.192599000000001</v>
      </c>
      <c r="AK1671" t="s">
        <v>1235</v>
      </c>
      <c r="AL1671">
        <v>-76.024082000000007</v>
      </c>
      <c r="AM1671">
        <v>25</v>
      </c>
      <c r="AN1671">
        <v>2925</v>
      </c>
      <c r="AO1671" t="s">
        <v>118</v>
      </c>
      <c r="AP1671">
        <v>72</v>
      </c>
      <c r="AQ1671">
        <v>-139</v>
      </c>
      <c r="AR1671">
        <v>0</v>
      </c>
      <c r="AZ1671">
        <v>4516</v>
      </c>
      <c r="BA1671">
        <v>1</v>
      </c>
      <c r="BB1671" t="str">
        <f t="shared" si="165"/>
        <v xml:space="preserve">N79NX   </v>
      </c>
      <c r="BC1671">
        <v>1</v>
      </c>
      <c r="BE1671">
        <v>0</v>
      </c>
      <c r="BF1671">
        <v>0</v>
      </c>
      <c r="BG1671">
        <v>0</v>
      </c>
      <c r="BH1671">
        <v>2775</v>
      </c>
      <c r="BI1671">
        <v>0</v>
      </c>
      <c r="BJ1671">
        <v>0</v>
      </c>
      <c r="BK1671">
        <v>0</v>
      </c>
      <c r="BL1671">
        <v>0</v>
      </c>
      <c r="BO1671">
        <v>0</v>
      </c>
      <c r="BP1671">
        <v>0</v>
      </c>
      <c r="BW1671" t="str">
        <f>"18:47:28.903"</f>
        <v>18:47:28.903</v>
      </c>
      <c r="BZ1671">
        <v>0</v>
      </c>
      <c r="CA1671">
        <v>3008</v>
      </c>
      <c r="CB1671">
        <v>216</v>
      </c>
      <c r="CC1671">
        <v>518.90629999999999</v>
      </c>
      <c r="CD1671">
        <v>1</v>
      </c>
      <c r="CE1671">
        <v>1</v>
      </c>
      <c r="CF1671">
        <v>0</v>
      </c>
      <c r="CG1671">
        <v>1</v>
      </c>
      <c r="CH1671">
        <v>0</v>
      </c>
      <c r="CI1671">
        <v>1</v>
      </c>
      <c r="CJ1671">
        <v>0</v>
      </c>
      <c r="CK1671">
        <v>2</v>
      </c>
      <c r="CL1671">
        <v>0</v>
      </c>
      <c r="CM1671">
        <v>2</v>
      </c>
      <c r="CN1671">
        <v>0</v>
      </c>
      <c r="CO1671">
        <v>2</v>
      </c>
      <c r="CP1671" t="s">
        <v>119</v>
      </c>
      <c r="CQ1671">
        <v>145</v>
      </c>
      <c r="CR1671">
        <v>1</v>
      </c>
      <c r="CW1671">
        <v>9193251</v>
      </c>
      <c r="CY1671">
        <v>0</v>
      </c>
      <c r="CZ1671">
        <v>0</v>
      </c>
      <c r="DA1671">
        <v>1</v>
      </c>
      <c r="DB1671">
        <v>0</v>
      </c>
      <c r="DC1671">
        <v>0</v>
      </c>
      <c r="DD1671">
        <v>0</v>
      </c>
      <c r="DE1671">
        <v>0</v>
      </c>
      <c r="DF1671">
        <v>0</v>
      </c>
      <c r="DG1671">
        <v>0</v>
      </c>
      <c r="DH1671">
        <v>0</v>
      </c>
      <c r="DI1671">
        <v>0</v>
      </c>
    </row>
    <row r="1672" spans="1:113" x14ac:dyDescent="0.3">
      <c r="A1672" t="str">
        <f>"02/13/2022 18:47:29.247"</f>
        <v>02/13/2022 18:47:29.247</v>
      </c>
      <c r="C1672" t="str">
        <f t="shared" si="163"/>
        <v>FFDFD7C0</v>
      </c>
      <c r="D1672" t="s">
        <v>121</v>
      </c>
      <c r="E1672">
        <v>2</v>
      </c>
      <c r="H1672">
        <v>158</v>
      </c>
      <c r="I1672" t="s">
        <v>120</v>
      </c>
      <c r="J1672" t="s">
        <v>122</v>
      </c>
      <c r="K1672">
        <v>0</v>
      </c>
      <c r="L1672">
        <v>3</v>
      </c>
      <c r="M1672">
        <v>0</v>
      </c>
      <c r="N1672">
        <v>2</v>
      </c>
      <c r="O1672">
        <v>1</v>
      </c>
      <c r="P1672">
        <v>0</v>
      </c>
      <c r="Q1672">
        <v>0</v>
      </c>
      <c r="S1672" t="str">
        <f>"18:47:28.898"</f>
        <v>18:47:28.898</v>
      </c>
      <c r="T1672" t="str">
        <f>"18:47:28.798"</f>
        <v>18:47:28.798</v>
      </c>
      <c r="U1672" t="str">
        <f t="shared" si="164"/>
        <v>AAB6EE</v>
      </c>
      <c r="V1672">
        <v>0</v>
      </c>
      <c r="W1672">
        <v>0</v>
      </c>
      <c r="X1672">
        <v>4</v>
      </c>
      <c r="Z1672">
        <v>0</v>
      </c>
      <c r="AA1672">
        <v>8</v>
      </c>
      <c r="AB1672">
        <v>3</v>
      </c>
      <c r="AC1672">
        <v>0</v>
      </c>
      <c r="AD1672">
        <v>10</v>
      </c>
      <c r="AE1672">
        <v>0</v>
      </c>
      <c r="AF1672">
        <v>0</v>
      </c>
      <c r="AG1672">
        <v>2</v>
      </c>
      <c r="AH1672">
        <v>1</v>
      </c>
      <c r="AI1672" t="s">
        <v>1234</v>
      </c>
      <c r="AJ1672">
        <v>35.192599000000001</v>
      </c>
      <c r="AK1672" t="s">
        <v>1235</v>
      </c>
      <c r="AL1672">
        <v>-76.024082000000007</v>
      </c>
      <c r="AM1672">
        <v>25</v>
      </c>
      <c r="AN1672">
        <v>2925</v>
      </c>
      <c r="AO1672" t="s">
        <v>118</v>
      </c>
      <c r="AP1672">
        <v>72</v>
      </c>
      <c r="AQ1672">
        <v>-139</v>
      </c>
      <c r="AR1672">
        <v>0</v>
      </c>
      <c r="AZ1672">
        <v>4516</v>
      </c>
      <c r="BA1672">
        <v>1</v>
      </c>
      <c r="BB1672" t="str">
        <f t="shared" si="165"/>
        <v xml:space="preserve">N79NX   </v>
      </c>
      <c r="BC1672">
        <v>1</v>
      </c>
      <c r="BE1672">
        <v>0</v>
      </c>
      <c r="BF1672">
        <v>0</v>
      </c>
      <c r="BG1672">
        <v>0</v>
      </c>
      <c r="BH1672">
        <v>2775</v>
      </c>
      <c r="BI1672">
        <v>0</v>
      </c>
      <c r="BJ1672">
        <v>0</v>
      </c>
      <c r="BK1672">
        <v>0</v>
      </c>
      <c r="BL1672">
        <v>0</v>
      </c>
      <c r="BO1672">
        <v>0</v>
      </c>
      <c r="BP1672">
        <v>0</v>
      </c>
      <c r="BW1672" t="str">
        <f>"18:47:28.903"</f>
        <v>18:47:28.903</v>
      </c>
      <c r="BZ1672">
        <v>0</v>
      </c>
      <c r="CA1672">
        <v>3008</v>
      </c>
      <c r="CB1672">
        <v>216</v>
      </c>
      <c r="CC1672">
        <v>518.90629999999999</v>
      </c>
      <c r="CD1672">
        <v>1</v>
      </c>
      <c r="CE1672">
        <v>1</v>
      </c>
      <c r="CF1672">
        <v>0</v>
      </c>
      <c r="CG1672">
        <v>1</v>
      </c>
      <c r="CH1672">
        <v>0</v>
      </c>
      <c r="CI1672">
        <v>1</v>
      </c>
      <c r="CJ1672">
        <v>0</v>
      </c>
      <c r="CK1672">
        <v>2</v>
      </c>
      <c r="CL1672">
        <v>0</v>
      </c>
      <c r="CM1672">
        <v>2</v>
      </c>
      <c r="CN1672">
        <v>0</v>
      </c>
      <c r="CO1672">
        <v>2</v>
      </c>
      <c r="CP1672" t="s">
        <v>119</v>
      </c>
      <c r="CQ1672">
        <v>145</v>
      </c>
      <c r="CR1672">
        <v>1</v>
      </c>
      <c r="CW1672">
        <v>9193251</v>
      </c>
      <c r="CY1672">
        <v>0</v>
      </c>
      <c r="CZ1672">
        <v>0</v>
      </c>
      <c r="DA1672">
        <v>0</v>
      </c>
      <c r="DB1672">
        <v>0</v>
      </c>
      <c r="DC1672">
        <v>0</v>
      </c>
      <c r="DD1672">
        <v>0</v>
      </c>
      <c r="DE1672">
        <v>0</v>
      </c>
      <c r="DF1672">
        <v>0</v>
      </c>
      <c r="DG1672">
        <v>0</v>
      </c>
      <c r="DH1672">
        <v>0</v>
      </c>
      <c r="DI1672">
        <v>0</v>
      </c>
    </row>
    <row r="1673" spans="1:113" x14ac:dyDescent="0.3">
      <c r="A1673" t="str">
        <f>"02/13/2022 18:47:30.959"</f>
        <v>02/13/2022 18:47:30.959</v>
      </c>
      <c r="C1673" t="str">
        <f t="shared" si="163"/>
        <v>FFDFD7C0</v>
      </c>
      <c r="D1673" t="s">
        <v>113</v>
      </c>
      <c r="E1673">
        <v>3</v>
      </c>
      <c r="F1673">
        <v>1003</v>
      </c>
      <c r="G1673" t="s">
        <v>114</v>
      </c>
      <c r="J1673" t="s">
        <v>115</v>
      </c>
      <c r="K1673">
        <v>0</v>
      </c>
      <c r="L1673">
        <v>3</v>
      </c>
      <c r="M1673">
        <v>0</v>
      </c>
      <c r="N1673">
        <v>2</v>
      </c>
      <c r="O1673">
        <v>1</v>
      </c>
      <c r="P1673">
        <v>0</v>
      </c>
      <c r="Q1673">
        <v>0</v>
      </c>
      <c r="S1673" t="str">
        <f>"18:47:30.742"</f>
        <v>18:47:30.742</v>
      </c>
      <c r="T1673" t="str">
        <f>"18:47:30.642"</f>
        <v>18:47:30.642</v>
      </c>
      <c r="U1673" t="str">
        <f t="shared" si="164"/>
        <v>AAB6EE</v>
      </c>
      <c r="V1673">
        <v>0</v>
      </c>
      <c r="W1673">
        <v>0</v>
      </c>
      <c r="X1673">
        <v>4</v>
      </c>
      <c r="Z1673">
        <v>0</v>
      </c>
      <c r="AA1673">
        <v>8</v>
      </c>
      <c r="AB1673">
        <v>3</v>
      </c>
      <c r="AC1673">
        <v>0</v>
      </c>
      <c r="AD1673">
        <v>10</v>
      </c>
      <c r="AE1673">
        <v>0</v>
      </c>
      <c r="AF1673">
        <v>0</v>
      </c>
      <c r="AG1673">
        <v>2</v>
      </c>
      <c r="AH1673">
        <v>1</v>
      </c>
      <c r="AI1673" t="s">
        <v>1236</v>
      </c>
      <c r="AJ1673">
        <v>35.191398</v>
      </c>
      <c r="AK1673" t="s">
        <v>1237</v>
      </c>
      <c r="AL1673">
        <v>-76.023266000000007</v>
      </c>
      <c r="AM1673">
        <v>25</v>
      </c>
      <c r="AN1673">
        <v>2925</v>
      </c>
      <c r="AO1673" t="s">
        <v>118</v>
      </c>
      <c r="AP1673">
        <v>72</v>
      </c>
      <c r="AQ1673">
        <v>-139</v>
      </c>
      <c r="AR1673">
        <v>0</v>
      </c>
      <c r="AZ1673">
        <v>4516</v>
      </c>
      <c r="BA1673">
        <v>1</v>
      </c>
      <c r="BB1673" t="str">
        <f t="shared" si="165"/>
        <v xml:space="preserve">N79NX   </v>
      </c>
      <c r="BC1673">
        <v>1</v>
      </c>
      <c r="BE1673">
        <v>0</v>
      </c>
      <c r="BF1673">
        <v>0</v>
      </c>
      <c r="BG1673">
        <v>0</v>
      </c>
      <c r="BH1673">
        <v>2800</v>
      </c>
      <c r="BI1673">
        <v>0</v>
      </c>
      <c r="BJ1673">
        <v>0</v>
      </c>
      <c r="BK1673">
        <v>0</v>
      </c>
      <c r="BL1673">
        <v>0</v>
      </c>
      <c r="BO1673">
        <v>0</v>
      </c>
      <c r="BP1673">
        <v>0</v>
      </c>
      <c r="BW1673" t="str">
        <f>"18:47:30.743"</f>
        <v>18:47:30.743</v>
      </c>
      <c r="BZ1673">
        <v>0</v>
      </c>
      <c r="CA1673">
        <v>3008</v>
      </c>
      <c r="CB1673">
        <v>216</v>
      </c>
      <c r="CC1673">
        <v>518.90629999999999</v>
      </c>
      <c r="CD1673">
        <v>1</v>
      </c>
      <c r="CE1673">
        <v>1</v>
      </c>
      <c r="CF1673">
        <v>0</v>
      </c>
      <c r="CG1673">
        <v>1</v>
      </c>
      <c r="CH1673">
        <v>0</v>
      </c>
      <c r="CI1673">
        <v>1</v>
      </c>
      <c r="CJ1673">
        <v>0</v>
      </c>
      <c r="CK1673">
        <v>2</v>
      </c>
      <c r="CL1673">
        <v>0</v>
      </c>
      <c r="CM1673">
        <v>2</v>
      </c>
      <c r="CN1673">
        <v>0</v>
      </c>
      <c r="CO1673">
        <v>2</v>
      </c>
      <c r="CP1673" t="s">
        <v>119</v>
      </c>
      <c r="CQ1673">
        <v>145</v>
      </c>
      <c r="CR1673">
        <v>1</v>
      </c>
      <c r="CW1673">
        <v>9194178</v>
      </c>
      <c r="CY1673">
        <v>0</v>
      </c>
      <c r="CZ1673">
        <v>0</v>
      </c>
      <c r="DA1673">
        <v>0</v>
      </c>
      <c r="DB1673">
        <v>0</v>
      </c>
      <c r="DC1673">
        <v>0</v>
      </c>
      <c r="DD1673">
        <v>0</v>
      </c>
      <c r="DE1673">
        <v>0</v>
      </c>
      <c r="DF1673">
        <v>0</v>
      </c>
      <c r="DG1673">
        <v>0</v>
      </c>
      <c r="DH1673">
        <v>0</v>
      </c>
      <c r="DI1673">
        <v>0</v>
      </c>
    </row>
    <row r="1674" spans="1:113" x14ac:dyDescent="0.3">
      <c r="A1674" t="str">
        <f>"02/13/2022 18:47:30.959"</f>
        <v>02/13/2022 18:47:30.959</v>
      </c>
      <c r="C1674" t="str">
        <f t="shared" si="163"/>
        <v>FFDFD7C0</v>
      </c>
      <c r="D1674" t="s">
        <v>113</v>
      </c>
      <c r="E1674">
        <v>4</v>
      </c>
      <c r="F1674">
        <v>1004</v>
      </c>
      <c r="G1674" t="s">
        <v>120</v>
      </c>
      <c r="J1674" t="s">
        <v>115</v>
      </c>
      <c r="K1674">
        <v>0</v>
      </c>
      <c r="L1674">
        <v>3</v>
      </c>
      <c r="M1674">
        <v>0</v>
      </c>
      <c r="N1674">
        <v>2</v>
      </c>
      <c r="O1674">
        <v>1</v>
      </c>
      <c r="P1674">
        <v>0</v>
      </c>
      <c r="Q1674">
        <v>0</v>
      </c>
      <c r="S1674" t="str">
        <f>"18:47:30.742"</f>
        <v>18:47:30.742</v>
      </c>
      <c r="T1674" t="str">
        <f>"18:47:30.642"</f>
        <v>18:47:30.642</v>
      </c>
      <c r="U1674" t="str">
        <f t="shared" si="164"/>
        <v>AAB6EE</v>
      </c>
      <c r="V1674">
        <v>0</v>
      </c>
      <c r="W1674">
        <v>0</v>
      </c>
      <c r="X1674">
        <v>4</v>
      </c>
      <c r="Z1674">
        <v>0</v>
      </c>
      <c r="AA1674">
        <v>8</v>
      </c>
      <c r="AB1674">
        <v>3</v>
      </c>
      <c r="AC1674">
        <v>0</v>
      </c>
      <c r="AD1674">
        <v>10</v>
      </c>
      <c r="AE1674">
        <v>0</v>
      </c>
      <c r="AF1674">
        <v>0</v>
      </c>
      <c r="AG1674">
        <v>2</v>
      </c>
      <c r="AH1674">
        <v>1</v>
      </c>
      <c r="AI1674" t="s">
        <v>1236</v>
      </c>
      <c r="AJ1674">
        <v>35.191398</v>
      </c>
      <c r="AK1674" t="s">
        <v>1237</v>
      </c>
      <c r="AL1674">
        <v>-76.023266000000007</v>
      </c>
      <c r="AM1674">
        <v>25</v>
      </c>
      <c r="AN1674">
        <v>2925</v>
      </c>
      <c r="AO1674" t="s">
        <v>118</v>
      </c>
      <c r="AP1674">
        <v>72</v>
      </c>
      <c r="AQ1674">
        <v>-139</v>
      </c>
      <c r="AR1674">
        <v>0</v>
      </c>
      <c r="AZ1674">
        <v>4516</v>
      </c>
      <c r="BA1674">
        <v>1</v>
      </c>
      <c r="BB1674" t="str">
        <f t="shared" si="165"/>
        <v xml:space="preserve">N79NX   </v>
      </c>
      <c r="BC1674">
        <v>1</v>
      </c>
      <c r="BE1674">
        <v>0</v>
      </c>
      <c r="BF1674">
        <v>0</v>
      </c>
      <c r="BG1674">
        <v>0</v>
      </c>
      <c r="BH1674">
        <v>2800</v>
      </c>
      <c r="BI1674">
        <v>0</v>
      </c>
      <c r="BJ1674">
        <v>0</v>
      </c>
      <c r="BK1674">
        <v>0</v>
      </c>
      <c r="BL1674">
        <v>0</v>
      </c>
      <c r="BO1674">
        <v>0</v>
      </c>
      <c r="BP1674">
        <v>0</v>
      </c>
      <c r="BW1674" t="str">
        <f>"18:47:30.743"</f>
        <v>18:47:30.743</v>
      </c>
      <c r="BZ1674">
        <v>0</v>
      </c>
      <c r="CA1674">
        <v>3008</v>
      </c>
      <c r="CB1674">
        <v>216</v>
      </c>
      <c r="CC1674">
        <v>518.90629999999999</v>
      </c>
      <c r="CD1674">
        <v>1</v>
      </c>
      <c r="CE1674">
        <v>1</v>
      </c>
      <c r="CF1674">
        <v>0</v>
      </c>
      <c r="CG1674">
        <v>1</v>
      </c>
      <c r="CH1674">
        <v>0</v>
      </c>
      <c r="CI1674">
        <v>1</v>
      </c>
      <c r="CJ1674">
        <v>0</v>
      </c>
      <c r="CK1674">
        <v>2</v>
      </c>
      <c r="CL1674">
        <v>0</v>
      </c>
      <c r="CM1674">
        <v>2</v>
      </c>
      <c r="CN1674">
        <v>0</v>
      </c>
      <c r="CO1674">
        <v>2</v>
      </c>
      <c r="CP1674" t="s">
        <v>119</v>
      </c>
      <c r="CQ1674">
        <v>145</v>
      </c>
      <c r="CR1674">
        <v>1</v>
      </c>
      <c r="CW1674">
        <v>9194178</v>
      </c>
      <c r="CY1674">
        <v>0</v>
      </c>
      <c r="CZ1674">
        <v>0</v>
      </c>
      <c r="DA1674">
        <v>1</v>
      </c>
      <c r="DB1674">
        <v>0</v>
      </c>
      <c r="DC1674">
        <v>0</v>
      </c>
      <c r="DD1674">
        <v>0</v>
      </c>
      <c r="DE1674">
        <v>0</v>
      </c>
      <c r="DF1674">
        <v>0</v>
      </c>
      <c r="DG1674">
        <v>0</v>
      </c>
      <c r="DH1674">
        <v>0</v>
      </c>
      <c r="DI1674">
        <v>0</v>
      </c>
    </row>
    <row r="1675" spans="1:113" x14ac:dyDescent="0.3">
      <c r="A1675" t="str">
        <f>"02/13/2022 18:47:30.959"</f>
        <v>02/13/2022 18:47:30.959</v>
      </c>
      <c r="C1675" t="str">
        <f t="shared" si="163"/>
        <v>FFDFD7C0</v>
      </c>
      <c r="D1675" t="s">
        <v>121</v>
      </c>
      <c r="E1675">
        <v>2</v>
      </c>
      <c r="H1675">
        <v>158</v>
      </c>
      <c r="I1675" t="s">
        <v>120</v>
      </c>
      <c r="J1675" t="s">
        <v>122</v>
      </c>
      <c r="K1675">
        <v>0</v>
      </c>
      <c r="L1675">
        <v>3</v>
      </c>
      <c r="M1675">
        <v>0</v>
      </c>
      <c r="N1675">
        <v>2</v>
      </c>
      <c r="O1675">
        <v>1</v>
      </c>
      <c r="P1675">
        <v>0</v>
      </c>
      <c r="Q1675">
        <v>0</v>
      </c>
      <c r="S1675" t="str">
        <f>"18:47:30.742"</f>
        <v>18:47:30.742</v>
      </c>
      <c r="T1675" t="str">
        <f>"18:47:30.642"</f>
        <v>18:47:30.642</v>
      </c>
      <c r="U1675" t="str">
        <f t="shared" si="164"/>
        <v>AAB6EE</v>
      </c>
      <c r="V1675">
        <v>0</v>
      </c>
      <c r="W1675">
        <v>0</v>
      </c>
      <c r="X1675">
        <v>4</v>
      </c>
      <c r="Z1675">
        <v>0</v>
      </c>
      <c r="AA1675">
        <v>8</v>
      </c>
      <c r="AB1675">
        <v>3</v>
      </c>
      <c r="AC1675">
        <v>0</v>
      </c>
      <c r="AD1675">
        <v>10</v>
      </c>
      <c r="AE1675">
        <v>0</v>
      </c>
      <c r="AF1675">
        <v>0</v>
      </c>
      <c r="AG1675">
        <v>2</v>
      </c>
      <c r="AH1675">
        <v>1</v>
      </c>
      <c r="AI1675" t="s">
        <v>1236</v>
      </c>
      <c r="AJ1675">
        <v>35.191398</v>
      </c>
      <c r="AK1675" t="s">
        <v>1237</v>
      </c>
      <c r="AL1675">
        <v>-76.023266000000007</v>
      </c>
      <c r="AM1675">
        <v>25</v>
      </c>
      <c r="AN1675">
        <v>2925</v>
      </c>
      <c r="AO1675" t="s">
        <v>118</v>
      </c>
      <c r="AP1675">
        <v>72</v>
      </c>
      <c r="AQ1675">
        <v>-139</v>
      </c>
      <c r="AR1675">
        <v>0</v>
      </c>
      <c r="AZ1675">
        <v>4516</v>
      </c>
      <c r="BA1675">
        <v>1</v>
      </c>
      <c r="BB1675" t="str">
        <f t="shared" si="165"/>
        <v xml:space="preserve">N79NX   </v>
      </c>
      <c r="BC1675">
        <v>1</v>
      </c>
      <c r="BE1675">
        <v>0</v>
      </c>
      <c r="BF1675">
        <v>0</v>
      </c>
      <c r="BG1675">
        <v>0</v>
      </c>
      <c r="BH1675">
        <v>2800</v>
      </c>
      <c r="BI1675">
        <v>0</v>
      </c>
      <c r="BJ1675">
        <v>0</v>
      </c>
      <c r="BK1675">
        <v>0</v>
      </c>
      <c r="BL1675">
        <v>0</v>
      </c>
      <c r="BO1675">
        <v>0</v>
      </c>
      <c r="BP1675">
        <v>0</v>
      </c>
      <c r="BW1675" t="str">
        <f>"18:47:30.743"</f>
        <v>18:47:30.743</v>
      </c>
      <c r="BZ1675">
        <v>0</v>
      </c>
      <c r="CA1675">
        <v>3008</v>
      </c>
      <c r="CB1675">
        <v>216</v>
      </c>
      <c r="CC1675">
        <v>518.90629999999999</v>
      </c>
      <c r="CD1675">
        <v>1</v>
      </c>
      <c r="CE1675">
        <v>1</v>
      </c>
      <c r="CF1675">
        <v>0</v>
      </c>
      <c r="CG1675">
        <v>1</v>
      </c>
      <c r="CH1675">
        <v>0</v>
      </c>
      <c r="CI1675">
        <v>1</v>
      </c>
      <c r="CJ1675">
        <v>0</v>
      </c>
      <c r="CK1675">
        <v>2</v>
      </c>
      <c r="CL1675">
        <v>0</v>
      </c>
      <c r="CM1675">
        <v>2</v>
      </c>
      <c r="CN1675">
        <v>0</v>
      </c>
      <c r="CO1675">
        <v>2</v>
      </c>
      <c r="CP1675" t="s">
        <v>119</v>
      </c>
      <c r="CQ1675">
        <v>145</v>
      </c>
      <c r="CR1675">
        <v>1</v>
      </c>
      <c r="CW1675">
        <v>9194178</v>
      </c>
      <c r="CY1675">
        <v>0</v>
      </c>
      <c r="CZ1675">
        <v>0</v>
      </c>
      <c r="DA1675">
        <v>1</v>
      </c>
      <c r="DB1675">
        <v>0</v>
      </c>
      <c r="DC1675">
        <v>0</v>
      </c>
      <c r="DD1675">
        <v>0</v>
      </c>
      <c r="DE1675">
        <v>0</v>
      </c>
      <c r="DF1675">
        <v>0</v>
      </c>
      <c r="DG1675">
        <v>0</v>
      </c>
      <c r="DH1675">
        <v>0</v>
      </c>
      <c r="DI1675">
        <v>0</v>
      </c>
    </row>
    <row r="1676" spans="1:113" x14ac:dyDescent="0.3">
      <c r="A1676" t="str">
        <f>"02/13/2022 18:47:31.976"</f>
        <v>02/13/2022 18:47:31.976</v>
      </c>
      <c r="C1676" t="str">
        <f t="shared" si="163"/>
        <v>FFDFD7C0</v>
      </c>
      <c r="D1676" t="s">
        <v>113</v>
      </c>
      <c r="E1676">
        <v>3</v>
      </c>
      <c r="F1676">
        <v>1003</v>
      </c>
      <c r="G1676" t="s">
        <v>114</v>
      </c>
      <c r="J1676" t="s">
        <v>115</v>
      </c>
      <c r="K1676">
        <v>0</v>
      </c>
      <c r="L1676">
        <v>3</v>
      </c>
      <c r="M1676">
        <v>0</v>
      </c>
      <c r="N1676">
        <v>2</v>
      </c>
      <c r="O1676">
        <v>1</v>
      </c>
      <c r="P1676">
        <v>0</v>
      </c>
      <c r="Q1676">
        <v>0</v>
      </c>
      <c r="S1676" t="str">
        <f>"18:47:31.789"</f>
        <v>18:47:31.789</v>
      </c>
      <c r="T1676" t="str">
        <f>"18:47:31.489"</f>
        <v>18:47:31.489</v>
      </c>
      <c r="U1676" t="str">
        <f t="shared" si="164"/>
        <v>AAB6EE</v>
      </c>
      <c r="V1676">
        <v>0</v>
      </c>
      <c r="W1676">
        <v>0</v>
      </c>
      <c r="X1676">
        <v>4</v>
      </c>
      <c r="Z1676">
        <v>0</v>
      </c>
      <c r="AA1676">
        <v>8</v>
      </c>
      <c r="AB1676">
        <v>3</v>
      </c>
      <c r="AC1676">
        <v>0</v>
      </c>
      <c r="AD1676">
        <v>10</v>
      </c>
      <c r="AE1676">
        <v>0</v>
      </c>
      <c r="AF1676">
        <v>0</v>
      </c>
      <c r="AG1676">
        <v>2</v>
      </c>
      <c r="AH1676">
        <v>1</v>
      </c>
      <c r="AI1676" t="s">
        <v>1238</v>
      </c>
      <c r="AJ1676">
        <v>35.190711</v>
      </c>
      <c r="AK1676" t="s">
        <v>1239</v>
      </c>
      <c r="AL1676">
        <v>-76.022858999999997</v>
      </c>
      <c r="AM1676">
        <v>25</v>
      </c>
      <c r="AN1676">
        <v>2925</v>
      </c>
      <c r="AO1676" t="s">
        <v>118</v>
      </c>
      <c r="AP1676">
        <v>72</v>
      </c>
      <c r="AQ1676">
        <v>-139</v>
      </c>
      <c r="AR1676">
        <v>64</v>
      </c>
      <c r="AZ1676">
        <v>4516</v>
      </c>
      <c r="BA1676">
        <v>1</v>
      </c>
      <c r="BB1676" t="str">
        <f t="shared" si="165"/>
        <v xml:space="preserve">N79NX   </v>
      </c>
      <c r="BC1676">
        <v>1</v>
      </c>
      <c r="BE1676">
        <v>0</v>
      </c>
      <c r="BF1676">
        <v>0</v>
      </c>
      <c r="BG1676">
        <v>0</v>
      </c>
      <c r="BH1676">
        <v>2775</v>
      </c>
      <c r="BI1676">
        <v>0</v>
      </c>
      <c r="BJ1676">
        <v>0</v>
      </c>
      <c r="BK1676">
        <v>0</v>
      </c>
      <c r="BL1676">
        <v>0</v>
      </c>
      <c r="BO1676">
        <v>0</v>
      </c>
      <c r="BP1676">
        <v>0</v>
      </c>
      <c r="BW1676" t="str">
        <f>"18:47:31.793"</f>
        <v>18:47:31.793</v>
      </c>
      <c r="BZ1676">
        <v>0</v>
      </c>
      <c r="CA1676">
        <v>3008</v>
      </c>
      <c r="CB1676">
        <v>216</v>
      </c>
      <c r="CC1676">
        <v>518.90629999999999</v>
      </c>
      <c r="CD1676">
        <v>1</v>
      </c>
      <c r="CE1676">
        <v>1</v>
      </c>
      <c r="CF1676">
        <v>0</v>
      </c>
      <c r="CG1676">
        <v>1</v>
      </c>
      <c r="CH1676">
        <v>0</v>
      </c>
      <c r="CI1676">
        <v>1</v>
      </c>
      <c r="CJ1676">
        <v>0</v>
      </c>
      <c r="CK1676">
        <v>2</v>
      </c>
      <c r="CL1676">
        <v>0</v>
      </c>
      <c r="CM1676">
        <v>2</v>
      </c>
      <c r="CN1676">
        <v>0</v>
      </c>
      <c r="CO1676">
        <v>1</v>
      </c>
      <c r="CP1676" t="s">
        <v>119</v>
      </c>
      <c r="CQ1676">
        <v>145</v>
      </c>
      <c r="CR1676">
        <v>1</v>
      </c>
      <c r="CW1676">
        <v>9194650</v>
      </c>
      <c r="CY1676">
        <v>0</v>
      </c>
      <c r="CZ1676">
        <v>0</v>
      </c>
      <c r="DA1676">
        <v>0</v>
      </c>
      <c r="DB1676">
        <v>0</v>
      </c>
      <c r="DC1676">
        <v>0</v>
      </c>
      <c r="DD1676">
        <v>0</v>
      </c>
      <c r="DE1676">
        <v>0</v>
      </c>
      <c r="DF1676">
        <v>0</v>
      </c>
      <c r="DG1676">
        <v>0</v>
      </c>
      <c r="DH1676">
        <v>0</v>
      </c>
      <c r="DI1676">
        <v>0</v>
      </c>
    </row>
    <row r="1677" spans="1:113" x14ac:dyDescent="0.3">
      <c r="A1677" t="str">
        <f>"02/13/2022 18:47:31.976"</f>
        <v>02/13/2022 18:47:31.976</v>
      </c>
      <c r="C1677" t="str">
        <f t="shared" si="163"/>
        <v>FFDFD7C0</v>
      </c>
      <c r="D1677" t="s">
        <v>113</v>
      </c>
      <c r="E1677">
        <v>4</v>
      </c>
      <c r="F1677">
        <v>1004</v>
      </c>
      <c r="G1677" t="s">
        <v>120</v>
      </c>
      <c r="J1677" t="s">
        <v>115</v>
      </c>
      <c r="K1677">
        <v>0</v>
      </c>
      <c r="L1677">
        <v>3</v>
      </c>
      <c r="M1677">
        <v>0</v>
      </c>
      <c r="N1677">
        <v>2</v>
      </c>
      <c r="O1677">
        <v>1</v>
      </c>
      <c r="P1677">
        <v>0</v>
      </c>
      <c r="Q1677">
        <v>0</v>
      </c>
      <c r="S1677" t="str">
        <f>"18:47:31.789"</f>
        <v>18:47:31.789</v>
      </c>
      <c r="T1677" t="str">
        <f>"18:47:31.489"</f>
        <v>18:47:31.489</v>
      </c>
      <c r="U1677" t="str">
        <f t="shared" si="164"/>
        <v>AAB6EE</v>
      </c>
      <c r="V1677">
        <v>0</v>
      </c>
      <c r="W1677">
        <v>0</v>
      </c>
      <c r="X1677">
        <v>4</v>
      </c>
      <c r="Z1677">
        <v>0</v>
      </c>
      <c r="AA1677">
        <v>8</v>
      </c>
      <c r="AB1677">
        <v>3</v>
      </c>
      <c r="AC1677">
        <v>0</v>
      </c>
      <c r="AD1677">
        <v>10</v>
      </c>
      <c r="AE1677">
        <v>0</v>
      </c>
      <c r="AF1677">
        <v>0</v>
      </c>
      <c r="AG1677">
        <v>2</v>
      </c>
      <c r="AH1677">
        <v>1</v>
      </c>
      <c r="AI1677" t="s">
        <v>1238</v>
      </c>
      <c r="AJ1677">
        <v>35.190711</v>
      </c>
      <c r="AK1677" t="s">
        <v>1239</v>
      </c>
      <c r="AL1677">
        <v>-76.022858999999997</v>
      </c>
      <c r="AM1677">
        <v>25</v>
      </c>
      <c r="AN1677">
        <v>2925</v>
      </c>
      <c r="AO1677" t="s">
        <v>118</v>
      </c>
      <c r="AP1677">
        <v>72</v>
      </c>
      <c r="AQ1677">
        <v>-139</v>
      </c>
      <c r="AR1677">
        <v>64</v>
      </c>
      <c r="AZ1677">
        <v>4516</v>
      </c>
      <c r="BA1677">
        <v>1</v>
      </c>
      <c r="BB1677" t="str">
        <f t="shared" si="165"/>
        <v xml:space="preserve">N79NX   </v>
      </c>
      <c r="BC1677">
        <v>1</v>
      </c>
      <c r="BE1677">
        <v>0</v>
      </c>
      <c r="BF1677">
        <v>0</v>
      </c>
      <c r="BG1677">
        <v>0</v>
      </c>
      <c r="BH1677">
        <v>2775</v>
      </c>
      <c r="BI1677">
        <v>0</v>
      </c>
      <c r="BJ1677">
        <v>0</v>
      </c>
      <c r="BK1677">
        <v>0</v>
      </c>
      <c r="BL1677">
        <v>0</v>
      </c>
      <c r="BO1677">
        <v>0</v>
      </c>
      <c r="BP1677">
        <v>0</v>
      </c>
      <c r="BW1677" t="str">
        <f>"18:47:31.793"</f>
        <v>18:47:31.793</v>
      </c>
      <c r="BZ1677">
        <v>0</v>
      </c>
      <c r="CA1677">
        <v>3008</v>
      </c>
      <c r="CB1677">
        <v>216</v>
      </c>
      <c r="CC1677">
        <v>518.90629999999999</v>
      </c>
      <c r="CD1677">
        <v>1</v>
      </c>
      <c r="CE1677">
        <v>1</v>
      </c>
      <c r="CF1677">
        <v>0</v>
      </c>
      <c r="CG1677">
        <v>1</v>
      </c>
      <c r="CH1677">
        <v>0</v>
      </c>
      <c r="CI1677">
        <v>1</v>
      </c>
      <c r="CJ1677">
        <v>0</v>
      </c>
      <c r="CK1677">
        <v>2</v>
      </c>
      <c r="CL1677">
        <v>0</v>
      </c>
      <c r="CM1677">
        <v>2</v>
      </c>
      <c r="CN1677">
        <v>0</v>
      </c>
      <c r="CO1677">
        <v>1</v>
      </c>
      <c r="CP1677" t="s">
        <v>119</v>
      </c>
      <c r="CQ1677">
        <v>145</v>
      </c>
      <c r="CR1677">
        <v>1</v>
      </c>
      <c r="CW1677">
        <v>9194650</v>
      </c>
      <c r="CY1677">
        <v>0</v>
      </c>
      <c r="CZ1677">
        <v>0</v>
      </c>
      <c r="DA1677">
        <v>1</v>
      </c>
      <c r="DB1677">
        <v>0</v>
      </c>
      <c r="DC1677">
        <v>0</v>
      </c>
      <c r="DD1677">
        <v>0</v>
      </c>
      <c r="DE1677">
        <v>0</v>
      </c>
      <c r="DF1677">
        <v>0</v>
      </c>
      <c r="DG1677">
        <v>0</v>
      </c>
      <c r="DH1677">
        <v>0</v>
      </c>
      <c r="DI1677">
        <v>0</v>
      </c>
    </row>
    <row r="1678" spans="1:113" x14ac:dyDescent="0.3">
      <c r="A1678" t="str">
        <f>"02/13/2022 18:47:31.976"</f>
        <v>02/13/2022 18:47:31.976</v>
      </c>
      <c r="C1678" t="str">
        <f t="shared" si="163"/>
        <v>FFDFD7C0</v>
      </c>
      <c r="D1678" t="s">
        <v>121</v>
      </c>
      <c r="E1678">
        <v>2</v>
      </c>
      <c r="H1678">
        <v>158</v>
      </c>
      <c r="I1678" t="s">
        <v>120</v>
      </c>
      <c r="J1678" t="s">
        <v>122</v>
      </c>
      <c r="K1678">
        <v>0</v>
      </c>
      <c r="L1678">
        <v>3</v>
      </c>
      <c r="M1678">
        <v>0</v>
      </c>
      <c r="N1678">
        <v>2</v>
      </c>
      <c r="O1678">
        <v>1</v>
      </c>
      <c r="P1678">
        <v>0</v>
      </c>
      <c r="Q1678">
        <v>0</v>
      </c>
      <c r="S1678" t="str">
        <f>"18:47:31.789"</f>
        <v>18:47:31.789</v>
      </c>
      <c r="T1678" t="str">
        <f>"18:47:31.489"</f>
        <v>18:47:31.489</v>
      </c>
      <c r="U1678" t="str">
        <f t="shared" si="164"/>
        <v>AAB6EE</v>
      </c>
      <c r="V1678">
        <v>0</v>
      </c>
      <c r="W1678">
        <v>0</v>
      </c>
      <c r="X1678">
        <v>4</v>
      </c>
      <c r="Z1678">
        <v>0</v>
      </c>
      <c r="AA1678">
        <v>8</v>
      </c>
      <c r="AB1678">
        <v>3</v>
      </c>
      <c r="AC1678">
        <v>0</v>
      </c>
      <c r="AD1678">
        <v>10</v>
      </c>
      <c r="AE1678">
        <v>0</v>
      </c>
      <c r="AF1678">
        <v>0</v>
      </c>
      <c r="AG1678">
        <v>2</v>
      </c>
      <c r="AH1678">
        <v>1</v>
      </c>
      <c r="AI1678" t="s">
        <v>1238</v>
      </c>
      <c r="AJ1678">
        <v>35.190711</v>
      </c>
      <c r="AK1678" t="s">
        <v>1239</v>
      </c>
      <c r="AL1678">
        <v>-76.022858999999997</v>
      </c>
      <c r="AM1678">
        <v>25</v>
      </c>
      <c r="AN1678">
        <v>2925</v>
      </c>
      <c r="AO1678" t="s">
        <v>118</v>
      </c>
      <c r="AP1678">
        <v>72</v>
      </c>
      <c r="AQ1678">
        <v>-139</v>
      </c>
      <c r="AR1678">
        <v>64</v>
      </c>
      <c r="AZ1678">
        <v>4516</v>
      </c>
      <c r="BA1678">
        <v>1</v>
      </c>
      <c r="BB1678" t="str">
        <f t="shared" si="165"/>
        <v xml:space="preserve">N79NX   </v>
      </c>
      <c r="BC1678">
        <v>1</v>
      </c>
      <c r="BE1678">
        <v>0</v>
      </c>
      <c r="BF1678">
        <v>0</v>
      </c>
      <c r="BG1678">
        <v>0</v>
      </c>
      <c r="BH1678">
        <v>2775</v>
      </c>
      <c r="BI1678">
        <v>0</v>
      </c>
      <c r="BJ1678">
        <v>0</v>
      </c>
      <c r="BK1678">
        <v>0</v>
      </c>
      <c r="BL1678">
        <v>0</v>
      </c>
      <c r="BO1678">
        <v>0</v>
      </c>
      <c r="BP1678">
        <v>0</v>
      </c>
      <c r="BW1678" t="str">
        <f>"18:47:31.793"</f>
        <v>18:47:31.793</v>
      </c>
      <c r="BZ1678">
        <v>0</v>
      </c>
      <c r="CA1678">
        <v>3008</v>
      </c>
      <c r="CB1678">
        <v>216</v>
      </c>
      <c r="CC1678">
        <v>518.90629999999999</v>
      </c>
      <c r="CD1678">
        <v>1</v>
      </c>
      <c r="CE1678">
        <v>1</v>
      </c>
      <c r="CF1678">
        <v>0</v>
      </c>
      <c r="CG1678">
        <v>1</v>
      </c>
      <c r="CH1678">
        <v>0</v>
      </c>
      <c r="CI1678">
        <v>1</v>
      </c>
      <c r="CJ1678">
        <v>0</v>
      </c>
      <c r="CK1678">
        <v>2</v>
      </c>
      <c r="CL1678">
        <v>0</v>
      </c>
      <c r="CM1678">
        <v>2</v>
      </c>
      <c r="CN1678">
        <v>0</v>
      </c>
      <c r="CO1678">
        <v>1</v>
      </c>
      <c r="CP1678" t="s">
        <v>119</v>
      </c>
      <c r="CQ1678">
        <v>145</v>
      </c>
      <c r="CR1678">
        <v>1</v>
      </c>
      <c r="CW1678">
        <v>9194650</v>
      </c>
      <c r="CY1678">
        <v>0</v>
      </c>
      <c r="CZ1678">
        <v>0</v>
      </c>
      <c r="DA1678">
        <v>1</v>
      </c>
      <c r="DB1678">
        <v>0</v>
      </c>
      <c r="DC1678">
        <v>0</v>
      </c>
      <c r="DD1678">
        <v>0</v>
      </c>
      <c r="DE1678">
        <v>0</v>
      </c>
      <c r="DF1678">
        <v>0</v>
      </c>
      <c r="DG1678">
        <v>0</v>
      </c>
      <c r="DH1678">
        <v>0</v>
      </c>
      <c r="DI1678">
        <v>0</v>
      </c>
    </row>
    <row r="1679" spans="1:113" x14ac:dyDescent="0.3">
      <c r="A1679" t="str">
        <f>"02/13/2022 18:47:32.914"</f>
        <v>02/13/2022 18:47:32.914</v>
      </c>
      <c r="C1679" t="str">
        <f t="shared" si="163"/>
        <v>FFDFD7C0</v>
      </c>
      <c r="D1679" t="s">
        <v>121</v>
      </c>
      <c r="E1679">
        <v>2</v>
      </c>
      <c r="H1679">
        <v>158</v>
      </c>
      <c r="I1679" t="s">
        <v>120</v>
      </c>
      <c r="J1679" t="s">
        <v>122</v>
      </c>
      <c r="K1679">
        <v>0</v>
      </c>
      <c r="L1679">
        <v>3</v>
      </c>
      <c r="M1679">
        <v>0</v>
      </c>
      <c r="N1679">
        <v>2</v>
      </c>
      <c r="O1679">
        <v>1</v>
      </c>
      <c r="P1679">
        <v>0</v>
      </c>
      <c r="Q1679">
        <v>0</v>
      </c>
      <c r="S1679" t="str">
        <f>"18:47:32.719"</f>
        <v>18:47:32.719</v>
      </c>
      <c r="T1679" t="str">
        <f>"18:47:31.519"</f>
        <v>18:47:31.519</v>
      </c>
      <c r="U1679" t="str">
        <f t="shared" si="164"/>
        <v>AAB6EE</v>
      </c>
      <c r="V1679">
        <v>0</v>
      </c>
      <c r="W1679">
        <v>0</v>
      </c>
      <c r="X1679">
        <v>4</v>
      </c>
      <c r="Z1679">
        <v>0</v>
      </c>
      <c r="AA1679">
        <v>8</v>
      </c>
      <c r="AB1679">
        <v>3</v>
      </c>
      <c r="AC1679">
        <v>0</v>
      </c>
      <c r="AD1679">
        <v>10</v>
      </c>
      <c r="AE1679">
        <v>0</v>
      </c>
      <c r="AF1679">
        <v>0</v>
      </c>
      <c r="AG1679">
        <v>2</v>
      </c>
      <c r="AH1679">
        <v>1</v>
      </c>
      <c r="AI1679" t="s">
        <v>1240</v>
      </c>
      <c r="AJ1679">
        <v>35.190089</v>
      </c>
      <c r="AK1679" t="s">
        <v>1241</v>
      </c>
      <c r="AL1679">
        <v>-76.022471999999993</v>
      </c>
      <c r="AM1679">
        <v>25</v>
      </c>
      <c r="AN1679">
        <v>2925</v>
      </c>
      <c r="AO1679" t="s">
        <v>118</v>
      </c>
      <c r="AP1679">
        <v>72</v>
      </c>
      <c r="AQ1679">
        <v>-139</v>
      </c>
      <c r="AR1679">
        <v>64</v>
      </c>
      <c r="AZ1679">
        <v>4516</v>
      </c>
      <c r="BA1679">
        <v>1</v>
      </c>
      <c r="BB1679" t="str">
        <f t="shared" si="165"/>
        <v xml:space="preserve">N79NX   </v>
      </c>
      <c r="BC1679">
        <v>1</v>
      </c>
      <c r="BE1679">
        <v>0</v>
      </c>
      <c r="BF1679">
        <v>0</v>
      </c>
      <c r="BG1679">
        <v>0</v>
      </c>
      <c r="BH1679">
        <v>2775</v>
      </c>
      <c r="BI1679">
        <v>0</v>
      </c>
      <c r="BJ1679">
        <v>0</v>
      </c>
      <c r="BK1679">
        <v>0</v>
      </c>
      <c r="BL1679">
        <v>0</v>
      </c>
      <c r="BO1679">
        <v>0</v>
      </c>
      <c r="BP1679">
        <v>0</v>
      </c>
      <c r="BW1679" t="str">
        <f>"18:47:32.723"</f>
        <v>18:47:32.723</v>
      </c>
      <c r="BZ1679">
        <v>0</v>
      </c>
      <c r="CA1679">
        <v>3008</v>
      </c>
      <c r="CB1679">
        <v>216</v>
      </c>
      <c r="CC1679">
        <v>518.90629999999999</v>
      </c>
      <c r="CD1679">
        <v>1</v>
      </c>
      <c r="CE1679">
        <v>1</v>
      </c>
      <c r="CF1679">
        <v>0</v>
      </c>
      <c r="CG1679">
        <v>1</v>
      </c>
      <c r="CH1679">
        <v>0</v>
      </c>
      <c r="CI1679">
        <v>1</v>
      </c>
      <c r="CJ1679">
        <v>0</v>
      </c>
      <c r="CK1679">
        <v>2</v>
      </c>
      <c r="CL1679">
        <v>0</v>
      </c>
      <c r="CM1679">
        <v>2</v>
      </c>
      <c r="CN1679">
        <v>0</v>
      </c>
      <c r="CO1679">
        <v>2</v>
      </c>
      <c r="CP1679" t="s">
        <v>119</v>
      </c>
      <c r="CQ1679">
        <v>145</v>
      </c>
      <c r="CR1679">
        <v>1</v>
      </c>
      <c r="CW1679">
        <v>9195044</v>
      </c>
      <c r="CY1679">
        <v>0</v>
      </c>
      <c r="CZ1679">
        <v>0</v>
      </c>
      <c r="DA1679">
        <v>0</v>
      </c>
      <c r="DB1679">
        <v>0</v>
      </c>
      <c r="DC1679">
        <v>0</v>
      </c>
      <c r="DD1679">
        <v>0</v>
      </c>
      <c r="DE1679">
        <v>0</v>
      </c>
      <c r="DF1679">
        <v>0</v>
      </c>
      <c r="DG1679">
        <v>0</v>
      </c>
      <c r="DH1679">
        <v>0</v>
      </c>
      <c r="DI1679">
        <v>0</v>
      </c>
    </row>
    <row r="1680" spans="1:113" x14ac:dyDescent="0.3">
      <c r="A1680" t="str">
        <f>"02/13/2022 18:47:32.929"</f>
        <v>02/13/2022 18:47:32.929</v>
      </c>
      <c r="C1680" t="str">
        <f t="shared" si="163"/>
        <v>FFDFD7C0</v>
      </c>
      <c r="D1680" t="s">
        <v>113</v>
      </c>
      <c r="E1680">
        <v>4</v>
      </c>
      <c r="F1680">
        <v>1004</v>
      </c>
      <c r="G1680" t="s">
        <v>120</v>
      </c>
      <c r="J1680" t="s">
        <v>115</v>
      </c>
      <c r="K1680">
        <v>0</v>
      </c>
      <c r="L1680">
        <v>3</v>
      </c>
      <c r="M1680">
        <v>0</v>
      </c>
      <c r="N1680">
        <v>2</v>
      </c>
      <c r="O1680">
        <v>1</v>
      </c>
      <c r="P1680">
        <v>0</v>
      </c>
      <c r="Q1680">
        <v>0</v>
      </c>
      <c r="S1680" t="str">
        <f>"18:47:32.719"</f>
        <v>18:47:32.719</v>
      </c>
      <c r="T1680" t="str">
        <f>"18:47:31.519"</f>
        <v>18:47:31.519</v>
      </c>
      <c r="U1680" t="str">
        <f t="shared" si="164"/>
        <v>AAB6EE</v>
      </c>
      <c r="V1680">
        <v>0</v>
      </c>
      <c r="W1680">
        <v>0</v>
      </c>
      <c r="X1680">
        <v>4</v>
      </c>
      <c r="Z1680">
        <v>0</v>
      </c>
      <c r="AA1680">
        <v>8</v>
      </c>
      <c r="AB1680">
        <v>3</v>
      </c>
      <c r="AC1680">
        <v>0</v>
      </c>
      <c r="AD1680">
        <v>10</v>
      </c>
      <c r="AE1680">
        <v>0</v>
      </c>
      <c r="AF1680">
        <v>0</v>
      </c>
      <c r="AG1680">
        <v>2</v>
      </c>
      <c r="AH1680">
        <v>1</v>
      </c>
      <c r="AI1680" t="s">
        <v>1240</v>
      </c>
      <c r="AJ1680">
        <v>35.190089</v>
      </c>
      <c r="AK1680" t="s">
        <v>1241</v>
      </c>
      <c r="AL1680">
        <v>-76.022471999999993</v>
      </c>
      <c r="AM1680">
        <v>25</v>
      </c>
      <c r="AN1680">
        <v>2925</v>
      </c>
      <c r="AO1680" t="s">
        <v>118</v>
      </c>
      <c r="AP1680">
        <v>72</v>
      </c>
      <c r="AQ1680">
        <v>-139</v>
      </c>
      <c r="AR1680">
        <v>64</v>
      </c>
      <c r="AZ1680">
        <v>4516</v>
      </c>
      <c r="BA1680">
        <v>1</v>
      </c>
      <c r="BB1680" t="str">
        <f t="shared" si="165"/>
        <v xml:space="preserve">N79NX   </v>
      </c>
      <c r="BC1680">
        <v>1</v>
      </c>
      <c r="BE1680">
        <v>0</v>
      </c>
      <c r="BF1680">
        <v>0</v>
      </c>
      <c r="BG1680">
        <v>0</v>
      </c>
      <c r="BH1680">
        <v>2775</v>
      </c>
      <c r="BI1680">
        <v>0</v>
      </c>
      <c r="BJ1680">
        <v>0</v>
      </c>
      <c r="BK1680">
        <v>0</v>
      </c>
      <c r="BL1680">
        <v>0</v>
      </c>
      <c r="BO1680">
        <v>0</v>
      </c>
      <c r="BP1680">
        <v>0</v>
      </c>
      <c r="BW1680" t="str">
        <f>"18:47:32.723"</f>
        <v>18:47:32.723</v>
      </c>
      <c r="BZ1680">
        <v>0</v>
      </c>
      <c r="CA1680">
        <v>3008</v>
      </c>
      <c r="CB1680">
        <v>216</v>
      </c>
      <c r="CC1680">
        <v>518.90629999999999</v>
      </c>
      <c r="CD1680">
        <v>1</v>
      </c>
      <c r="CE1680">
        <v>1</v>
      </c>
      <c r="CF1680">
        <v>0</v>
      </c>
      <c r="CG1680">
        <v>1</v>
      </c>
      <c r="CH1680">
        <v>0</v>
      </c>
      <c r="CI1680">
        <v>1</v>
      </c>
      <c r="CJ1680">
        <v>0</v>
      </c>
      <c r="CK1680">
        <v>2</v>
      </c>
      <c r="CL1680">
        <v>0</v>
      </c>
      <c r="CM1680">
        <v>2</v>
      </c>
      <c r="CN1680">
        <v>0</v>
      </c>
      <c r="CO1680">
        <v>2</v>
      </c>
      <c r="CP1680" t="s">
        <v>119</v>
      </c>
      <c r="CQ1680">
        <v>145</v>
      </c>
      <c r="CR1680">
        <v>1</v>
      </c>
      <c r="CW1680">
        <v>9195044</v>
      </c>
      <c r="CY1680">
        <v>0</v>
      </c>
      <c r="CZ1680">
        <v>0</v>
      </c>
      <c r="DA1680">
        <v>1</v>
      </c>
      <c r="DB1680">
        <v>0</v>
      </c>
      <c r="DC1680">
        <v>0</v>
      </c>
      <c r="DD1680">
        <v>0</v>
      </c>
      <c r="DE1680">
        <v>0</v>
      </c>
      <c r="DF1680">
        <v>0</v>
      </c>
      <c r="DG1680">
        <v>0</v>
      </c>
      <c r="DH1680">
        <v>0</v>
      </c>
      <c r="DI1680">
        <v>0</v>
      </c>
    </row>
    <row r="1681" spans="1:113" x14ac:dyDescent="0.3">
      <c r="A1681" t="str">
        <f>"02/13/2022 18:47:32.929"</f>
        <v>02/13/2022 18:47:32.929</v>
      </c>
      <c r="C1681" t="str">
        <f t="shared" si="163"/>
        <v>FFDFD7C0</v>
      </c>
      <c r="D1681" t="s">
        <v>113</v>
      </c>
      <c r="E1681">
        <v>3</v>
      </c>
      <c r="F1681">
        <v>1003</v>
      </c>
      <c r="G1681" t="s">
        <v>114</v>
      </c>
      <c r="J1681" t="s">
        <v>115</v>
      </c>
      <c r="K1681">
        <v>0</v>
      </c>
      <c r="L1681">
        <v>3</v>
      </c>
      <c r="M1681">
        <v>0</v>
      </c>
      <c r="N1681">
        <v>2</v>
      </c>
      <c r="O1681">
        <v>1</v>
      </c>
      <c r="P1681">
        <v>0</v>
      </c>
      <c r="Q1681">
        <v>0</v>
      </c>
      <c r="S1681" t="str">
        <f>"18:47:32.719"</f>
        <v>18:47:32.719</v>
      </c>
      <c r="T1681" t="str">
        <f>"18:47:31.519"</f>
        <v>18:47:31.519</v>
      </c>
      <c r="U1681" t="str">
        <f t="shared" si="164"/>
        <v>AAB6EE</v>
      </c>
      <c r="V1681">
        <v>0</v>
      </c>
      <c r="W1681">
        <v>0</v>
      </c>
      <c r="X1681">
        <v>4</v>
      </c>
      <c r="Z1681">
        <v>0</v>
      </c>
      <c r="AA1681">
        <v>8</v>
      </c>
      <c r="AB1681">
        <v>3</v>
      </c>
      <c r="AC1681">
        <v>0</v>
      </c>
      <c r="AD1681">
        <v>10</v>
      </c>
      <c r="AE1681">
        <v>0</v>
      </c>
      <c r="AF1681">
        <v>0</v>
      </c>
      <c r="AG1681">
        <v>2</v>
      </c>
      <c r="AH1681">
        <v>1</v>
      </c>
      <c r="AI1681" t="s">
        <v>1240</v>
      </c>
      <c r="AJ1681">
        <v>35.190089</v>
      </c>
      <c r="AK1681" t="s">
        <v>1241</v>
      </c>
      <c r="AL1681">
        <v>-76.022471999999993</v>
      </c>
      <c r="AM1681">
        <v>25</v>
      </c>
      <c r="AN1681">
        <v>2925</v>
      </c>
      <c r="AO1681" t="s">
        <v>118</v>
      </c>
      <c r="AP1681">
        <v>72</v>
      </c>
      <c r="AQ1681">
        <v>-139</v>
      </c>
      <c r="AR1681">
        <v>64</v>
      </c>
      <c r="AZ1681">
        <v>4516</v>
      </c>
      <c r="BA1681">
        <v>1</v>
      </c>
      <c r="BB1681" t="str">
        <f t="shared" si="165"/>
        <v xml:space="preserve">N79NX   </v>
      </c>
      <c r="BC1681">
        <v>1</v>
      </c>
      <c r="BE1681">
        <v>0</v>
      </c>
      <c r="BF1681">
        <v>0</v>
      </c>
      <c r="BG1681">
        <v>0</v>
      </c>
      <c r="BH1681">
        <v>2775</v>
      </c>
      <c r="BI1681">
        <v>0</v>
      </c>
      <c r="BJ1681">
        <v>0</v>
      </c>
      <c r="BK1681">
        <v>0</v>
      </c>
      <c r="BL1681">
        <v>0</v>
      </c>
      <c r="BO1681">
        <v>0</v>
      </c>
      <c r="BP1681">
        <v>0</v>
      </c>
      <c r="BW1681" t="str">
        <f>"18:47:32.723"</f>
        <v>18:47:32.723</v>
      </c>
      <c r="BZ1681">
        <v>0</v>
      </c>
      <c r="CA1681">
        <v>3008</v>
      </c>
      <c r="CB1681">
        <v>216</v>
      </c>
      <c r="CC1681">
        <v>518.90629999999999</v>
      </c>
      <c r="CD1681">
        <v>1</v>
      </c>
      <c r="CE1681">
        <v>1</v>
      </c>
      <c r="CF1681">
        <v>0</v>
      </c>
      <c r="CG1681">
        <v>1</v>
      </c>
      <c r="CH1681">
        <v>0</v>
      </c>
      <c r="CI1681">
        <v>1</v>
      </c>
      <c r="CJ1681">
        <v>0</v>
      </c>
      <c r="CK1681">
        <v>2</v>
      </c>
      <c r="CL1681">
        <v>0</v>
      </c>
      <c r="CM1681">
        <v>2</v>
      </c>
      <c r="CN1681">
        <v>0</v>
      </c>
      <c r="CO1681">
        <v>2</v>
      </c>
      <c r="CP1681" t="s">
        <v>119</v>
      </c>
      <c r="CQ1681">
        <v>145</v>
      </c>
      <c r="CR1681">
        <v>1</v>
      </c>
      <c r="CW1681">
        <v>9195044</v>
      </c>
      <c r="CY1681">
        <v>0</v>
      </c>
      <c r="CZ1681">
        <v>0</v>
      </c>
      <c r="DA1681">
        <v>1</v>
      </c>
      <c r="DB1681">
        <v>0</v>
      </c>
      <c r="DC1681">
        <v>0</v>
      </c>
      <c r="DD1681">
        <v>0</v>
      </c>
      <c r="DE1681">
        <v>0</v>
      </c>
      <c r="DF1681">
        <v>0</v>
      </c>
      <c r="DG1681">
        <v>0</v>
      </c>
      <c r="DH1681">
        <v>0</v>
      </c>
      <c r="DI1681">
        <v>0</v>
      </c>
    </row>
    <row r="1682" spans="1:113" x14ac:dyDescent="0.3">
      <c r="A1682" t="str">
        <f>"02/13/2022 18:47:34.023"</f>
        <v>02/13/2022 18:47:34.023</v>
      </c>
      <c r="C1682" t="str">
        <f t="shared" si="163"/>
        <v>FFDFD7C0</v>
      </c>
      <c r="D1682" t="s">
        <v>113</v>
      </c>
      <c r="E1682">
        <v>3</v>
      </c>
      <c r="F1682">
        <v>1003</v>
      </c>
      <c r="G1682" t="s">
        <v>114</v>
      </c>
      <c r="J1682" t="s">
        <v>115</v>
      </c>
      <c r="K1682">
        <v>0</v>
      </c>
      <c r="L1682">
        <v>3</v>
      </c>
      <c r="M1682">
        <v>0</v>
      </c>
      <c r="N1682">
        <v>2</v>
      </c>
      <c r="O1682">
        <v>1</v>
      </c>
      <c r="P1682">
        <v>0</v>
      </c>
      <c r="Q1682">
        <v>0</v>
      </c>
      <c r="S1682" t="str">
        <f>"18:47:33.656"</f>
        <v>18:47:33.656</v>
      </c>
      <c r="T1682" t="str">
        <f>"18:47:31.456"</f>
        <v>18:47:31.456</v>
      </c>
      <c r="U1682" t="str">
        <f t="shared" si="164"/>
        <v>AAB6EE</v>
      </c>
      <c r="V1682">
        <v>0</v>
      </c>
      <c r="W1682">
        <v>0</v>
      </c>
      <c r="X1682">
        <v>4</v>
      </c>
      <c r="Z1682">
        <v>0</v>
      </c>
      <c r="AA1682">
        <v>8</v>
      </c>
      <c r="AB1682">
        <v>3</v>
      </c>
      <c r="AC1682">
        <v>0</v>
      </c>
      <c r="AD1682">
        <v>10</v>
      </c>
      <c r="AE1682">
        <v>0</v>
      </c>
      <c r="AF1682">
        <v>0</v>
      </c>
      <c r="AG1682">
        <v>2</v>
      </c>
      <c r="AH1682">
        <v>1</v>
      </c>
      <c r="AI1682" t="s">
        <v>1242</v>
      </c>
      <c r="AJ1682">
        <v>35.189531000000002</v>
      </c>
      <c r="AK1682" t="s">
        <v>1243</v>
      </c>
      <c r="AL1682">
        <v>-76.022064999999998</v>
      </c>
      <c r="AM1682">
        <v>25</v>
      </c>
      <c r="AN1682">
        <v>2925</v>
      </c>
      <c r="AO1682" t="s">
        <v>118</v>
      </c>
      <c r="AP1682">
        <v>72</v>
      </c>
      <c r="AQ1682">
        <v>-139</v>
      </c>
      <c r="AR1682">
        <v>64</v>
      </c>
      <c r="AZ1682">
        <v>4516</v>
      </c>
      <c r="BA1682">
        <v>1</v>
      </c>
      <c r="BB1682" t="str">
        <f t="shared" si="165"/>
        <v xml:space="preserve">N79NX   </v>
      </c>
      <c r="BC1682">
        <v>1</v>
      </c>
      <c r="BE1682">
        <v>0</v>
      </c>
      <c r="BF1682">
        <v>0</v>
      </c>
      <c r="BG1682">
        <v>0</v>
      </c>
      <c r="BH1682">
        <v>2775</v>
      </c>
      <c r="BI1682">
        <v>0</v>
      </c>
      <c r="BJ1682">
        <v>0</v>
      </c>
      <c r="BK1682">
        <v>0</v>
      </c>
      <c r="BL1682">
        <v>0</v>
      </c>
      <c r="BO1682">
        <v>0</v>
      </c>
      <c r="BP1682">
        <v>0</v>
      </c>
      <c r="BW1682" t="str">
        <f>"18:47:33.663"</f>
        <v>18:47:33.663</v>
      </c>
      <c r="BZ1682">
        <v>0</v>
      </c>
      <c r="CA1682">
        <v>3008</v>
      </c>
      <c r="CB1682">
        <v>216</v>
      </c>
      <c r="CC1682">
        <v>518.90629999999999</v>
      </c>
      <c r="CD1682">
        <v>1</v>
      </c>
      <c r="CE1682">
        <v>1</v>
      </c>
      <c r="CF1682">
        <v>0</v>
      </c>
      <c r="CG1682">
        <v>1</v>
      </c>
      <c r="CH1682">
        <v>0</v>
      </c>
      <c r="CI1682">
        <v>1</v>
      </c>
      <c r="CJ1682">
        <v>0</v>
      </c>
      <c r="CK1682">
        <v>2</v>
      </c>
      <c r="CL1682">
        <v>0</v>
      </c>
      <c r="CM1682">
        <v>2</v>
      </c>
      <c r="CN1682">
        <v>0</v>
      </c>
      <c r="CO1682">
        <v>1</v>
      </c>
      <c r="CP1682" t="s">
        <v>119</v>
      </c>
      <c r="CQ1682">
        <v>145</v>
      </c>
      <c r="CR1682">
        <v>1</v>
      </c>
      <c r="CW1682">
        <v>9195520</v>
      </c>
      <c r="CY1682">
        <v>0</v>
      </c>
      <c r="CZ1682">
        <v>0</v>
      </c>
      <c r="DA1682">
        <v>0</v>
      </c>
      <c r="DB1682">
        <v>0</v>
      </c>
      <c r="DC1682">
        <v>0</v>
      </c>
      <c r="DD1682">
        <v>0</v>
      </c>
      <c r="DE1682">
        <v>0</v>
      </c>
      <c r="DF1682">
        <v>0</v>
      </c>
      <c r="DG1682">
        <v>0</v>
      </c>
      <c r="DH1682">
        <v>0</v>
      </c>
      <c r="DI1682">
        <v>0</v>
      </c>
    </row>
    <row r="1683" spans="1:113" x14ac:dyDescent="0.3">
      <c r="A1683" t="str">
        <f>"02/13/2022 18:47:34.023"</f>
        <v>02/13/2022 18:47:34.023</v>
      </c>
      <c r="C1683" t="str">
        <f t="shared" si="163"/>
        <v>FFDFD7C0</v>
      </c>
      <c r="D1683" t="s">
        <v>113</v>
      </c>
      <c r="E1683">
        <v>4</v>
      </c>
      <c r="F1683">
        <v>1004</v>
      </c>
      <c r="G1683" t="s">
        <v>120</v>
      </c>
      <c r="J1683" t="s">
        <v>115</v>
      </c>
      <c r="K1683">
        <v>0</v>
      </c>
      <c r="L1683">
        <v>3</v>
      </c>
      <c r="M1683">
        <v>0</v>
      </c>
      <c r="N1683">
        <v>2</v>
      </c>
      <c r="O1683">
        <v>1</v>
      </c>
      <c r="P1683">
        <v>0</v>
      </c>
      <c r="Q1683">
        <v>0</v>
      </c>
      <c r="S1683" t="str">
        <f>"18:47:33.656"</f>
        <v>18:47:33.656</v>
      </c>
      <c r="T1683" t="str">
        <f>"18:47:31.456"</f>
        <v>18:47:31.456</v>
      </c>
      <c r="U1683" t="str">
        <f t="shared" si="164"/>
        <v>AAB6EE</v>
      </c>
      <c r="V1683">
        <v>0</v>
      </c>
      <c r="W1683">
        <v>0</v>
      </c>
      <c r="X1683">
        <v>4</v>
      </c>
      <c r="Z1683">
        <v>0</v>
      </c>
      <c r="AA1683">
        <v>8</v>
      </c>
      <c r="AB1683">
        <v>3</v>
      </c>
      <c r="AC1683">
        <v>0</v>
      </c>
      <c r="AD1683">
        <v>10</v>
      </c>
      <c r="AE1683">
        <v>0</v>
      </c>
      <c r="AF1683">
        <v>0</v>
      </c>
      <c r="AG1683">
        <v>2</v>
      </c>
      <c r="AH1683">
        <v>1</v>
      </c>
      <c r="AI1683" t="s">
        <v>1242</v>
      </c>
      <c r="AJ1683">
        <v>35.189531000000002</v>
      </c>
      <c r="AK1683" t="s">
        <v>1243</v>
      </c>
      <c r="AL1683">
        <v>-76.022064999999998</v>
      </c>
      <c r="AM1683">
        <v>25</v>
      </c>
      <c r="AN1683">
        <v>2925</v>
      </c>
      <c r="AO1683" t="s">
        <v>118</v>
      </c>
      <c r="AP1683">
        <v>72</v>
      </c>
      <c r="AQ1683">
        <v>-139</v>
      </c>
      <c r="AR1683">
        <v>64</v>
      </c>
      <c r="AZ1683">
        <v>4516</v>
      </c>
      <c r="BA1683">
        <v>1</v>
      </c>
      <c r="BB1683" t="str">
        <f t="shared" si="165"/>
        <v xml:space="preserve">N79NX   </v>
      </c>
      <c r="BC1683">
        <v>1</v>
      </c>
      <c r="BE1683">
        <v>0</v>
      </c>
      <c r="BF1683">
        <v>0</v>
      </c>
      <c r="BG1683">
        <v>0</v>
      </c>
      <c r="BH1683">
        <v>2775</v>
      </c>
      <c r="BI1683">
        <v>0</v>
      </c>
      <c r="BJ1683">
        <v>0</v>
      </c>
      <c r="BK1683">
        <v>0</v>
      </c>
      <c r="BL1683">
        <v>0</v>
      </c>
      <c r="BO1683">
        <v>0</v>
      </c>
      <c r="BP1683">
        <v>0</v>
      </c>
      <c r="BW1683" t="str">
        <f>"18:47:33.663"</f>
        <v>18:47:33.663</v>
      </c>
      <c r="BZ1683">
        <v>0</v>
      </c>
      <c r="CA1683">
        <v>3008</v>
      </c>
      <c r="CB1683">
        <v>216</v>
      </c>
      <c r="CC1683">
        <v>518.90629999999999</v>
      </c>
      <c r="CD1683">
        <v>1</v>
      </c>
      <c r="CE1683">
        <v>1</v>
      </c>
      <c r="CF1683">
        <v>0</v>
      </c>
      <c r="CG1683">
        <v>1</v>
      </c>
      <c r="CH1683">
        <v>0</v>
      </c>
      <c r="CI1683">
        <v>1</v>
      </c>
      <c r="CJ1683">
        <v>0</v>
      </c>
      <c r="CK1683">
        <v>2</v>
      </c>
      <c r="CL1683">
        <v>0</v>
      </c>
      <c r="CM1683">
        <v>2</v>
      </c>
      <c r="CN1683">
        <v>0</v>
      </c>
      <c r="CO1683">
        <v>1</v>
      </c>
      <c r="CP1683" t="s">
        <v>119</v>
      </c>
      <c r="CQ1683">
        <v>145</v>
      </c>
      <c r="CR1683">
        <v>1</v>
      </c>
      <c r="CW1683">
        <v>9195520</v>
      </c>
      <c r="CY1683">
        <v>0</v>
      </c>
      <c r="CZ1683">
        <v>0</v>
      </c>
      <c r="DA1683">
        <v>1</v>
      </c>
      <c r="DB1683">
        <v>0</v>
      </c>
      <c r="DC1683">
        <v>0</v>
      </c>
      <c r="DD1683">
        <v>0</v>
      </c>
      <c r="DE1683">
        <v>0</v>
      </c>
      <c r="DF1683">
        <v>0</v>
      </c>
      <c r="DG1683">
        <v>0</v>
      </c>
      <c r="DH1683">
        <v>0</v>
      </c>
      <c r="DI1683">
        <v>0</v>
      </c>
    </row>
    <row r="1684" spans="1:113" x14ac:dyDescent="0.3">
      <c r="A1684" t="str">
        <f>"02/13/2022 18:47:34.023"</f>
        <v>02/13/2022 18:47:34.023</v>
      </c>
      <c r="C1684" t="str">
        <f t="shared" si="163"/>
        <v>FFDFD7C0</v>
      </c>
      <c r="D1684" t="s">
        <v>121</v>
      </c>
      <c r="E1684">
        <v>2</v>
      </c>
      <c r="H1684">
        <v>158</v>
      </c>
      <c r="I1684" t="s">
        <v>120</v>
      </c>
      <c r="J1684" t="s">
        <v>122</v>
      </c>
      <c r="K1684">
        <v>0</v>
      </c>
      <c r="L1684">
        <v>3</v>
      </c>
      <c r="M1684">
        <v>0</v>
      </c>
      <c r="N1684">
        <v>2</v>
      </c>
      <c r="O1684">
        <v>1</v>
      </c>
      <c r="P1684">
        <v>0</v>
      </c>
      <c r="Q1684">
        <v>0</v>
      </c>
      <c r="S1684" t="str">
        <f>"18:47:33.656"</f>
        <v>18:47:33.656</v>
      </c>
      <c r="T1684" t="str">
        <f>"18:47:31.456"</f>
        <v>18:47:31.456</v>
      </c>
      <c r="U1684" t="str">
        <f t="shared" si="164"/>
        <v>AAB6EE</v>
      </c>
      <c r="V1684">
        <v>0</v>
      </c>
      <c r="W1684">
        <v>0</v>
      </c>
      <c r="X1684">
        <v>4</v>
      </c>
      <c r="Z1684">
        <v>0</v>
      </c>
      <c r="AA1684">
        <v>8</v>
      </c>
      <c r="AB1684">
        <v>3</v>
      </c>
      <c r="AC1684">
        <v>0</v>
      </c>
      <c r="AD1684">
        <v>10</v>
      </c>
      <c r="AE1684">
        <v>0</v>
      </c>
      <c r="AF1684">
        <v>0</v>
      </c>
      <c r="AG1684">
        <v>2</v>
      </c>
      <c r="AH1684">
        <v>1</v>
      </c>
      <c r="AI1684" t="s">
        <v>1242</v>
      </c>
      <c r="AJ1684">
        <v>35.189531000000002</v>
      </c>
      <c r="AK1684" t="s">
        <v>1243</v>
      </c>
      <c r="AL1684">
        <v>-76.022064999999998</v>
      </c>
      <c r="AM1684">
        <v>25</v>
      </c>
      <c r="AN1684">
        <v>2925</v>
      </c>
      <c r="AO1684" t="s">
        <v>118</v>
      </c>
      <c r="AP1684">
        <v>72</v>
      </c>
      <c r="AQ1684">
        <v>-139</v>
      </c>
      <c r="AR1684">
        <v>64</v>
      </c>
      <c r="AZ1684">
        <v>4516</v>
      </c>
      <c r="BA1684">
        <v>1</v>
      </c>
      <c r="BB1684" t="str">
        <f t="shared" si="165"/>
        <v xml:space="preserve">N79NX   </v>
      </c>
      <c r="BC1684">
        <v>1</v>
      </c>
      <c r="BE1684">
        <v>0</v>
      </c>
      <c r="BF1684">
        <v>0</v>
      </c>
      <c r="BG1684">
        <v>0</v>
      </c>
      <c r="BH1684">
        <v>2775</v>
      </c>
      <c r="BI1684">
        <v>0</v>
      </c>
      <c r="BJ1684">
        <v>0</v>
      </c>
      <c r="BK1684">
        <v>0</v>
      </c>
      <c r="BL1684">
        <v>0</v>
      </c>
      <c r="BO1684">
        <v>0</v>
      </c>
      <c r="BP1684">
        <v>0</v>
      </c>
      <c r="BW1684" t="str">
        <f>"18:47:33.663"</f>
        <v>18:47:33.663</v>
      </c>
      <c r="BZ1684">
        <v>0</v>
      </c>
      <c r="CA1684">
        <v>3008</v>
      </c>
      <c r="CB1684">
        <v>216</v>
      </c>
      <c r="CC1684">
        <v>518.90629999999999</v>
      </c>
      <c r="CD1684">
        <v>1</v>
      </c>
      <c r="CE1684">
        <v>1</v>
      </c>
      <c r="CF1684">
        <v>0</v>
      </c>
      <c r="CG1684">
        <v>1</v>
      </c>
      <c r="CH1684">
        <v>0</v>
      </c>
      <c r="CI1684">
        <v>1</v>
      </c>
      <c r="CJ1684">
        <v>0</v>
      </c>
      <c r="CK1684">
        <v>2</v>
      </c>
      <c r="CL1684">
        <v>0</v>
      </c>
      <c r="CM1684">
        <v>2</v>
      </c>
      <c r="CN1684">
        <v>0</v>
      </c>
      <c r="CO1684">
        <v>1</v>
      </c>
      <c r="CP1684" t="s">
        <v>119</v>
      </c>
      <c r="CQ1684">
        <v>145</v>
      </c>
      <c r="CR1684">
        <v>1</v>
      </c>
      <c r="CW1684">
        <v>9195520</v>
      </c>
      <c r="CY1684">
        <v>0</v>
      </c>
      <c r="CZ1684">
        <v>0</v>
      </c>
      <c r="DA1684">
        <v>1</v>
      </c>
      <c r="DB1684">
        <v>0</v>
      </c>
      <c r="DC1684">
        <v>0</v>
      </c>
      <c r="DD1684">
        <v>0</v>
      </c>
      <c r="DE1684">
        <v>0</v>
      </c>
      <c r="DF1684">
        <v>0</v>
      </c>
      <c r="DG1684">
        <v>0</v>
      </c>
      <c r="DH1684">
        <v>0</v>
      </c>
      <c r="DI1684">
        <v>0</v>
      </c>
    </row>
    <row r="1685" spans="1:113" x14ac:dyDescent="0.3">
      <c r="A1685" t="str">
        <f>"02/13/2022 18:47:34.791"</f>
        <v>02/13/2022 18:47:34.791</v>
      </c>
      <c r="C1685" t="str">
        <f t="shared" si="163"/>
        <v>FFDFD7C0</v>
      </c>
      <c r="D1685" t="s">
        <v>113</v>
      </c>
      <c r="E1685">
        <v>3</v>
      </c>
      <c r="F1685">
        <v>1003</v>
      </c>
      <c r="G1685" t="s">
        <v>114</v>
      </c>
      <c r="J1685" t="s">
        <v>115</v>
      </c>
      <c r="K1685">
        <v>0</v>
      </c>
      <c r="L1685">
        <v>3</v>
      </c>
      <c r="M1685">
        <v>0</v>
      </c>
      <c r="N1685">
        <v>2</v>
      </c>
      <c r="O1685">
        <v>1</v>
      </c>
      <c r="P1685">
        <v>0</v>
      </c>
      <c r="Q1685">
        <v>0</v>
      </c>
      <c r="S1685" t="str">
        <f t="shared" ref="S1685:T1687" si="166">"18:47:34.492"</f>
        <v>18:47:34.492</v>
      </c>
      <c r="T1685" t="str">
        <f t="shared" si="166"/>
        <v>18:47:34.492</v>
      </c>
      <c r="U1685" t="str">
        <f t="shared" si="164"/>
        <v>AAB6EE</v>
      </c>
      <c r="V1685">
        <v>0</v>
      </c>
      <c r="W1685">
        <v>0</v>
      </c>
      <c r="X1685">
        <v>4</v>
      </c>
      <c r="Z1685">
        <v>0</v>
      </c>
      <c r="AA1685">
        <v>8</v>
      </c>
      <c r="AB1685">
        <v>3</v>
      </c>
      <c r="AC1685">
        <v>0</v>
      </c>
      <c r="AD1685">
        <v>10</v>
      </c>
      <c r="AE1685">
        <v>0</v>
      </c>
      <c r="AF1685">
        <v>0</v>
      </c>
      <c r="AG1685">
        <v>2</v>
      </c>
      <c r="AH1685">
        <v>1</v>
      </c>
      <c r="AI1685" t="s">
        <v>1244</v>
      </c>
      <c r="AJ1685">
        <v>35.189016000000002</v>
      </c>
      <c r="AK1685" t="s">
        <v>1245</v>
      </c>
      <c r="AL1685">
        <v>-76.021786000000006</v>
      </c>
      <c r="AM1685">
        <v>25</v>
      </c>
      <c r="AN1685">
        <v>2925</v>
      </c>
      <c r="AO1685" t="s">
        <v>118</v>
      </c>
      <c r="AP1685">
        <v>73</v>
      </c>
      <c r="AQ1685">
        <v>-139</v>
      </c>
      <c r="AR1685">
        <v>0</v>
      </c>
      <c r="AZ1685">
        <v>4516</v>
      </c>
      <c r="BA1685">
        <v>1</v>
      </c>
      <c r="BB1685" t="str">
        <f t="shared" si="165"/>
        <v xml:space="preserve">N79NX   </v>
      </c>
      <c r="BC1685">
        <v>1</v>
      </c>
      <c r="BE1685">
        <v>0</v>
      </c>
      <c r="BF1685">
        <v>0</v>
      </c>
      <c r="BG1685">
        <v>0</v>
      </c>
      <c r="BH1685">
        <v>2775</v>
      </c>
      <c r="BI1685">
        <v>0</v>
      </c>
      <c r="BJ1685">
        <v>0</v>
      </c>
      <c r="BK1685">
        <v>0</v>
      </c>
      <c r="BL1685">
        <v>0</v>
      </c>
      <c r="BO1685">
        <v>0</v>
      </c>
      <c r="BP1685">
        <v>0</v>
      </c>
      <c r="BW1685" t="str">
        <f>"18:47:34.493"</f>
        <v>18:47:34.493</v>
      </c>
      <c r="BZ1685">
        <v>0</v>
      </c>
      <c r="CA1685">
        <v>3008</v>
      </c>
      <c r="CB1685">
        <v>216</v>
      </c>
      <c r="CC1685">
        <v>518.90629999999999</v>
      </c>
      <c r="CD1685">
        <v>1</v>
      </c>
      <c r="CE1685">
        <v>1</v>
      </c>
      <c r="CF1685">
        <v>0</v>
      </c>
      <c r="CG1685">
        <v>1</v>
      </c>
      <c r="CH1685">
        <v>0</v>
      </c>
      <c r="CI1685">
        <v>1</v>
      </c>
      <c r="CJ1685">
        <v>0</v>
      </c>
      <c r="CK1685">
        <v>2</v>
      </c>
      <c r="CL1685">
        <v>0</v>
      </c>
      <c r="CM1685">
        <v>2</v>
      </c>
      <c r="CN1685">
        <v>0</v>
      </c>
      <c r="CO1685">
        <v>2</v>
      </c>
      <c r="CP1685" t="s">
        <v>119</v>
      </c>
      <c r="CQ1685">
        <v>145</v>
      </c>
      <c r="CR1685">
        <v>1</v>
      </c>
      <c r="CW1685">
        <v>9195930</v>
      </c>
      <c r="CY1685">
        <v>0</v>
      </c>
      <c r="CZ1685">
        <v>0</v>
      </c>
      <c r="DA1685">
        <v>0</v>
      </c>
      <c r="DB1685">
        <v>0</v>
      </c>
      <c r="DC1685">
        <v>0</v>
      </c>
      <c r="DD1685">
        <v>0</v>
      </c>
      <c r="DE1685">
        <v>0</v>
      </c>
      <c r="DF1685">
        <v>0</v>
      </c>
      <c r="DG1685">
        <v>0</v>
      </c>
      <c r="DH1685">
        <v>0</v>
      </c>
      <c r="DI1685">
        <v>0</v>
      </c>
    </row>
    <row r="1686" spans="1:113" x14ac:dyDescent="0.3">
      <c r="A1686" t="str">
        <f>"02/13/2022 18:47:34.791"</f>
        <v>02/13/2022 18:47:34.791</v>
      </c>
      <c r="C1686" t="str">
        <f t="shared" si="163"/>
        <v>FFDFD7C0</v>
      </c>
      <c r="D1686" t="s">
        <v>113</v>
      </c>
      <c r="E1686">
        <v>4</v>
      </c>
      <c r="F1686">
        <v>1004</v>
      </c>
      <c r="G1686" t="s">
        <v>120</v>
      </c>
      <c r="J1686" t="s">
        <v>115</v>
      </c>
      <c r="K1686">
        <v>0</v>
      </c>
      <c r="L1686">
        <v>3</v>
      </c>
      <c r="M1686">
        <v>0</v>
      </c>
      <c r="N1686">
        <v>2</v>
      </c>
      <c r="O1686">
        <v>1</v>
      </c>
      <c r="P1686">
        <v>0</v>
      </c>
      <c r="Q1686">
        <v>0</v>
      </c>
      <c r="S1686" t="str">
        <f t="shared" si="166"/>
        <v>18:47:34.492</v>
      </c>
      <c r="T1686" t="str">
        <f t="shared" si="166"/>
        <v>18:47:34.492</v>
      </c>
      <c r="U1686" t="str">
        <f t="shared" si="164"/>
        <v>AAB6EE</v>
      </c>
      <c r="V1686">
        <v>0</v>
      </c>
      <c r="W1686">
        <v>0</v>
      </c>
      <c r="X1686">
        <v>4</v>
      </c>
      <c r="Z1686">
        <v>0</v>
      </c>
      <c r="AA1686">
        <v>8</v>
      </c>
      <c r="AB1686">
        <v>3</v>
      </c>
      <c r="AC1686">
        <v>0</v>
      </c>
      <c r="AD1686">
        <v>10</v>
      </c>
      <c r="AE1686">
        <v>0</v>
      </c>
      <c r="AF1686">
        <v>0</v>
      </c>
      <c r="AG1686">
        <v>2</v>
      </c>
      <c r="AH1686">
        <v>1</v>
      </c>
      <c r="AI1686" t="s">
        <v>1244</v>
      </c>
      <c r="AJ1686">
        <v>35.189016000000002</v>
      </c>
      <c r="AK1686" t="s">
        <v>1245</v>
      </c>
      <c r="AL1686">
        <v>-76.021786000000006</v>
      </c>
      <c r="AM1686">
        <v>25</v>
      </c>
      <c r="AN1686">
        <v>2925</v>
      </c>
      <c r="AO1686" t="s">
        <v>118</v>
      </c>
      <c r="AP1686">
        <v>73</v>
      </c>
      <c r="AQ1686">
        <v>-139</v>
      </c>
      <c r="AR1686">
        <v>0</v>
      </c>
      <c r="AZ1686">
        <v>4516</v>
      </c>
      <c r="BA1686">
        <v>1</v>
      </c>
      <c r="BB1686" t="str">
        <f t="shared" si="165"/>
        <v xml:space="preserve">N79NX   </v>
      </c>
      <c r="BC1686">
        <v>1</v>
      </c>
      <c r="BE1686">
        <v>0</v>
      </c>
      <c r="BF1686">
        <v>0</v>
      </c>
      <c r="BG1686">
        <v>0</v>
      </c>
      <c r="BH1686">
        <v>2775</v>
      </c>
      <c r="BI1686">
        <v>0</v>
      </c>
      <c r="BJ1686">
        <v>0</v>
      </c>
      <c r="BK1686">
        <v>0</v>
      </c>
      <c r="BL1686">
        <v>0</v>
      </c>
      <c r="BO1686">
        <v>0</v>
      </c>
      <c r="BP1686">
        <v>0</v>
      </c>
      <c r="BW1686" t="str">
        <f>"18:47:34.493"</f>
        <v>18:47:34.493</v>
      </c>
      <c r="BZ1686">
        <v>0</v>
      </c>
      <c r="CA1686">
        <v>3008</v>
      </c>
      <c r="CB1686">
        <v>216</v>
      </c>
      <c r="CC1686">
        <v>518.90629999999999</v>
      </c>
      <c r="CD1686">
        <v>1</v>
      </c>
      <c r="CE1686">
        <v>1</v>
      </c>
      <c r="CF1686">
        <v>0</v>
      </c>
      <c r="CG1686">
        <v>1</v>
      </c>
      <c r="CH1686">
        <v>0</v>
      </c>
      <c r="CI1686">
        <v>1</v>
      </c>
      <c r="CJ1686">
        <v>0</v>
      </c>
      <c r="CK1686">
        <v>2</v>
      </c>
      <c r="CL1686">
        <v>0</v>
      </c>
      <c r="CM1686">
        <v>2</v>
      </c>
      <c r="CN1686">
        <v>0</v>
      </c>
      <c r="CO1686">
        <v>2</v>
      </c>
      <c r="CP1686" t="s">
        <v>119</v>
      </c>
      <c r="CQ1686">
        <v>145</v>
      </c>
      <c r="CR1686">
        <v>1</v>
      </c>
      <c r="CW1686">
        <v>9195930</v>
      </c>
      <c r="CY1686">
        <v>0</v>
      </c>
      <c r="CZ1686">
        <v>0</v>
      </c>
      <c r="DA1686">
        <v>1</v>
      </c>
      <c r="DB1686">
        <v>0</v>
      </c>
      <c r="DC1686">
        <v>0</v>
      </c>
      <c r="DD1686">
        <v>0</v>
      </c>
      <c r="DE1686">
        <v>0</v>
      </c>
      <c r="DF1686">
        <v>0</v>
      </c>
      <c r="DG1686">
        <v>0</v>
      </c>
      <c r="DH1686">
        <v>0</v>
      </c>
      <c r="DI1686">
        <v>0</v>
      </c>
    </row>
    <row r="1687" spans="1:113" x14ac:dyDescent="0.3">
      <c r="A1687" t="str">
        <f>"02/13/2022 18:47:34.807"</f>
        <v>02/13/2022 18:47:34.807</v>
      </c>
      <c r="C1687" t="str">
        <f t="shared" si="163"/>
        <v>FFDFD7C0</v>
      </c>
      <c r="D1687" t="s">
        <v>121</v>
      </c>
      <c r="E1687">
        <v>2</v>
      </c>
      <c r="H1687">
        <v>158</v>
      </c>
      <c r="I1687" t="s">
        <v>120</v>
      </c>
      <c r="J1687" t="s">
        <v>122</v>
      </c>
      <c r="K1687">
        <v>0</v>
      </c>
      <c r="L1687">
        <v>3</v>
      </c>
      <c r="M1687">
        <v>0</v>
      </c>
      <c r="N1687">
        <v>2</v>
      </c>
      <c r="O1687">
        <v>1</v>
      </c>
      <c r="P1687">
        <v>0</v>
      </c>
      <c r="Q1687">
        <v>0</v>
      </c>
      <c r="S1687" t="str">
        <f t="shared" si="166"/>
        <v>18:47:34.492</v>
      </c>
      <c r="T1687" t="str">
        <f t="shared" si="166"/>
        <v>18:47:34.492</v>
      </c>
      <c r="U1687" t="str">
        <f t="shared" si="164"/>
        <v>AAB6EE</v>
      </c>
      <c r="V1687">
        <v>0</v>
      </c>
      <c r="W1687">
        <v>0</v>
      </c>
      <c r="X1687">
        <v>4</v>
      </c>
      <c r="Z1687">
        <v>0</v>
      </c>
      <c r="AA1687">
        <v>8</v>
      </c>
      <c r="AB1687">
        <v>3</v>
      </c>
      <c r="AC1687">
        <v>0</v>
      </c>
      <c r="AD1687">
        <v>10</v>
      </c>
      <c r="AE1687">
        <v>0</v>
      </c>
      <c r="AF1687">
        <v>0</v>
      </c>
      <c r="AG1687">
        <v>2</v>
      </c>
      <c r="AH1687">
        <v>1</v>
      </c>
      <c r="AI1687" t="s">
        <v>1244</v>
      </c>
      <c r="AJ1687">
        <v>35.189016000000002</v>
      </c>
      <c r="AK1687" t="s">
        <v>1245</v>
      </c>
      <c r="AL1687">
        <v>-76.021786000000006</v>
      </c>
      <c r="AM1687">
        <v>25</v>
      </c>
      <c r="AN1687">
        <v>2925</v>
      </c>
      <c r="AO1687" t="s">
        <v>118</v>
      </c>
      <c r="AP1687">
        <v>73</v>
      </c>
      <c r="AQ1687">
        <v>-139</v>
      </c>
      <c r="AR1687">
        <v>0</v>
      </c>
      <c r="AZ1687">
        <v>4516</v>
      </c>
      <c r="BA1687">
        <v>1</v>
      </c>
      <c r="BB1687" t="str">
        <f t="shared" si="165"/>
        <v xml:space="preserve">N79NX   </v>
      </c>
      <c r="BC1687">
        <v>1</v>
      </c>
      <c r="BE1687">
        <v>0</v>
      </c>
      <c r="BF1687">
        <v>0</v>
      </c>
      <c r="BG1687">
        <v>0</v>
      </c>
      <c r="BH1687">
        <v>2775</v>
      </c>
      <c r="BI1687">
        <v>0</v>
      </c>
      <c r="BJ1687">
        <v>0</v>
      </c>
      <c r="BK1687">
        <v>0</v>
      </c>
      <c r="BL1687">
        <v>0</v>
      </c>
      <c r="BO1687">
        <v>0</v>
      </c>
      <c r="BP1687">
        <v>0</v>
      </c>
      <c r="BW1687" t="str">
        <f>"18:47:34.493"</f>
        <v>18:47:34.493</v>
      </c>
      <c r="BZ1687">
        <v>0</v>
      </c>
      <c r="CA1687">
        <v>3008</v>
      </c>
      <c r="CB1687">
        <v>216</v>
      </c>
      <c r="CC1687">
        <v>518.90629999999999</v>
      </c>
      <c r="CD1687">
        <v>1</v>
      </c>
      <c r="CE1687">
        <v>1</v>
      </c>
      <c r="CF1687">
        <v>0</v>
      </c>
      <c r="CG1687">
        <v>1</v>
      </c>
      <c r="CH1687">
        <v>0</v>
      </c>
      <c r="CI1687">
        <v>1</v>
      </c>
      <c r="CJ1687">
        <v>0</v>
      </c>
      <c r="CK1687">
        <v>2</v>
      </c>
      <c r="CL1687">
        <v>0</v>
      </c>
      <c r="CM1687">
        <v>2</v>
      </c>
      <c r="CN1687">
        <v>0</v>
      </c>
      <c r="CO1687">
        <v>2</v>
      </c>
      <c r="CP1687" t="s">
        <v>119</v>
      </c>
      <c r="CQ1687">
        <v>145</v>
      </c>
      <c r="CR1687">
        <v>1</v>
      </c>
      <c r="CW1687">
        <v>9195930</v>
      </c>
      <c r="CY1687">
        <v>0</v>
      </c>
      <c r="CZ1687">
        <v>0</v>
      </c>
      <c r="DA1687">
        <v>1</v>
      </c>
      <c r="DB1687">
        <v>0</v>
      </c>
      <c r="DC1687">
        <v>0</v>
      </c>
      <c r="DD1687">
        <v>0</v>
      </c>
      <c r="DE1687">
        <v>0</v>
      </c>
      <c r="DF1687">
        <v>0</v>
      </c>
      <c r="DG1687">
        <v>0</v>
      </c>
      <c r="DH1687">
        <v>0</v>
      </c>
      <c r="DI1687">
        <v>0</v>
      </c>
    </row>
    <row r="1688" spans="1:113" x14ac:dyDescent="0.3">
      <c r="A1688" t="str">
        <f>"02/13/2022 18:47:35.807"</f>
        <v>02/13/2022 18:47:35.807</v>
      </c>
      <c r="C1688" t="str">
        <f t="shared" si="163"/>
        <v>FFDFD7C0</v>
      </c>
      <c r="D1688" t="s">
        <v>121</v>
      </c>
      <c r="E1688">
        <v>2</v>
      </c>
      <c r="H1688">
        <v>158</v>
      </c>
      <c r="I1688" t="s">
        <v>120</v>
      </c>
      <c r="J1688" t="s">
        <v>122</v>
      </c>
      <c r="K1688">
        <v>0</v>
      </c>
      <c r="L1688">
        <v>3</v>
      </c>
      <c r="M1688">
        <v>0</v>
      </c>
      <c r="N1688">
        <v>2</v>
      </c>
      <c r="O1688">
        <v>1</v>
      </c>
      <c r="P1688">
        <v>0</v>
      </c>
      <c r="Q1688">
        <v>0</v>
      </c>
      <c r="S1688" t="str">
        <f>"18:47:35.539"</f>
        <v>18:47:35.539</v>
      </c>
      <c r="T1688" t="str">
        <f>"18:47:35.339"</f>
        <v>18:47:35.339</v>
      </c>
      <c r="U1688" t="str">
        <f t="shared" si="164"/>
        <v>AAB6EE</v>
      </c>
      <c r="V1688">
        <v>0</v>
      </c>
      <c r="W1688">
        <v>0</v>
      </c>
      <c r="X1688">
        <v>4</v>
      </c>
      <c r="Z1688">
        <v>0</v>
      </c>
      <c r="AA1688">
        <v>8</v>
      </c>
      <c r="AB1688">
        <v>3</v>
      </c>
      <c r="AC1688">
        <v>0</v>
      </c>
      <c r="AD1688">
        <v>10</v>
      </c>
      <c r="AE1688">
        <v>0</v>
      </c>
      <c r="AF1688">
        <v>0</v>
      </c>
      <c r="AG1688">
        <v>2</v>
      </c>
      <c r="AH1688">
        <v>1</v>
      </c>
      <c r="AI1688" t="s">
        <v>1246</v>
      </c>
      <c r="AJ1688">
        <v>35.188285999999998</v>
      </c>
      <c r="AK1688" t="s">
        <v>1247</v>
      </c>
      <c r="AL1688">
        <v>-76.021292000000003</v>
      </c>
      <c r="AM1688">
        <v>25</v>
      </c>
      <c r="AN1688">
        <v>2925</v>
      </c>
      <c r="AO1688" t="s">
        <v>118</v>
      </c>
      <c r="AP1688">
        <v>73</v>
      </c>
      <c r="AQ1688">
        <v>-139</v>
      </c>
      <c r="AR1688">
        <v>0</v>
      </c>
      <c r="AZ1688">
        <v>4516</v>
      </c>
      <c r="BA1688">
        <v>1</v>
      </c>
      <c r="BB1688" t="str">
        <f t="shared" si="165"/>
        <v xml:space="preserve">N79NX   </v>
      </c>
      <c r="BC1688">
        <v>1</v>
      </c>
      <c r="BE1688">
        <v>0</v>
      </c>
      <c r="BF1688">
        <v>0</v>
      </c>
      <c r="BG1688">
        <v>0</v>
      </c>
      <c r="BH1688">
        <v>2775</v>
      </c>
      <c r="BI1688">
        <v>0</v>
      </c>
      <c r="BJ1688">
        <v>0</v>
      </c>
      <c r="BK1688">
        <v>0</v>
      </c>
      <c r="BL1688">
        <v>0</v>
      </c>
      <c r="BO1688">
        <v>0</v>
      </c>
      <c r="BP1688">
        <v>0</v>
      </c>
      <c r="BW1688" t="str">
        <f>"18:47:35.543"</f>
        <v>18:47:35.543</v>
      </c>
      <c r="BZ1688">
        <v>0</v>
      </c>
      <c r="CA1688">
        <v>3008</v>
      </c>
      <c r="CB1688">
        <v>216</v>
      </c>
      <c r="CC1688">
        <v>518.90629999999999</v>
      </c>
      <c r="CD1688">
        <v>1</v>
      </c>
      <c r="CE1688">
        <v>1</v>
      </c>
      <c r="CF1688">
        <v>0</v>
      </c>
      <c r="CG1688">
        <v>1</v>
      </c>
      <c r="CH1688">
        <v>0</v>
      </c>
      <c r="CI1688">
        <v>1</v>
      </c>
      <c r="CJ1688">
        <v>0</v>
      </c>
      <c r="CK1688">
        <v>2</v>
      </c>
      <c r="CL1688">
        <v>0</v>
      </c>
      <c r="CM1688">
        <v>2</v>
      </c>
      <c r="CN1688">
        <v>0</v>
      </c>
      <c r="CO1688">
        <v>1</v>
      </c>
      <c r="CP1688" t="s">
        <v>119</v>
      </c>
      <c r="CQ1688">
        <v>145</v>
      </c>
      <c r="CR1688">
        <v>1</v>
      </c>
      <c r="CW1688">
        <v>9196397</v>
      </c>
      <c r="CY1688">
        <v>0</v>
      </c>
      <c r="CZ1688">
        <v>0</v>
      </c>
      <c r="DA1688">
        <v>0</v>
      </c>
      <c r="DB1688">
        <v>0</v>
      </c>
      <c r="DC1688">
        <v>0</v>
      </c>
      <c r="DD1688">
        <v>0</v>
      </c>
      <c r="DE1688">
        <v>0</v>
      </c>
      <c r="DF1688">
        <v>0</v>
      </c>
      <c r="DG1688">
        <v>0</v>
      </c>
      <c r="DH1688">
        <v>0</v>
      </c>
      <c r="DI1688">
        <v>0</v>
      </c>
    </row>
    <row r="1689" spans="1:113" x14ac:dyDescent="0.3">
      <c r="A1689" t="str">
        <f>"02/13/2022 18:47:35.869"</f>
        <v>02/13/2022 18:47:35.869</v>
      </c>
      <c r="C1689" t="str">
        <f t="shared" si="163"/>
        <v>FFDFD7C0</v>
      </c>
      <c r="D1689" t="s">
        <v>113</v>
      </c>
      <c r="E1689">
        <v>3</v>
      </c>
      <c r="F1689">
        <v>1003</v>
      </c>
      <c r="G1689" t="s">
        <v>114</v>
      </c>
      <c r="J1689" t="s">
        <v>115</v>
      </c>
      <c r="K1689">
        <v>0</v>
      </c>
      <c r="L1689">
        <v>3</v>
      </c>
      <c r="M1689">
        <v>0</v>
      </c>
      <c r="N1689">
        <v>2</v>
      </c>
      <c r="O1689">
        <v>1</v>
      </c>
      <c r="P1689">
        <v>0</v>
      </c>
      <c r="Q1689">
        <v>0</v>
      </c>
      <c r="S1689" t="str">
        <f>"18:47:35.539"</f>
        <v>18:47:35.539</v>
      </c>
      <c r="T1689" t="str">
        <f>"18:47:35.339"</f>
        <v>18:47:35.339</v>
      </c>
      <c r="U1689" t="str">
        <f t="shared" si="164"/>
        <v>AAB6EE</v>
      </c>
      <c r="V1689">
        <v>0</v>
      </c>
      <c r="W1689">
        <v>0</v>
      </c>
      <c r="X1689">
        <v>4</v>
      </c>
      <c r="Z1689">
        <v>0</v>
      </c>
      <c r="AA1689">
        <v>8</v>
      </c>
      <c r="AB1689">
        <v>3</v>
      </c>
      <c r="AC1689">
        <v>0</v>
      </c>
      <c r="AD1689">
        <v>10</v>
      </c>
      <c r="AE1689">
        <v>0</v>
      </c>
      <c r="AF1689">
        <v>0</v>
      </c>
      <c r="AG1689">
        <v>2</v>
      </c>
      <c r="AH1689">
        <v>1</v>
      </c>
      <c r="AI1689" t="s">
        <v>1246</v>
      </c>
      <c r="AJ1689">
        <v>35.188285999999998</v>
      </c>
      <c r="AK1689" t="s">
        <v>1247</v>
      </c>
      <c r="AL1689">
        <v>-76.021292000000003</v>
      </c>
      <c r="AM1689">
        <v>25</v>
      </c>
      <c r="AN1689">
        <v>2925</v>
      </c>
      <c r="AO1689" t="s">
        <v>118</v>
      </c>
      <c r="AP1689">
        <v>73</v>
      </c>
      <c r="AQ1689">
        <v>-139</v>
      </c>
      <c r="AR1689">
        <v>0</v>
      </c>
      <c r="AZ1689">
        <v>4516</v>
      </c>
      <c r="BA1689">
        <v>1</v>
      </c>
      <c r="BB1689" t="str">
        <f t="shared" si="165"/>
        <v xml:space="preserve">N79NX   </v>
      </c>
      <c r="BC1689">
        <v>1</v>
      </c>
      <c r="BE1689">
        <v>0</v>
      </c>
      <c r="BF1689">
        <v>0</v>
      </c>
      <c r="BG1689">
        <v>0</v>
      </c>
      <c r="BH1689">
        <v>2775</v>
      </c>
      <c r="BI1689">
        <v>0</v>
      </c>
      <c r="BJ1689">
        <v>0</v>
      </c>
      <c r="BK1689">
        <v>0</v>
      </c>
      <c r="BL1689">
        <v>0</v>
      </c>
      <c r="BO1689">
        <v>0</v>
      </c>
      <c r="BP1689">
        <v>0</v>
      </c>
      <c r="BW1689" t="str">
        <f>"18:47:35.543"</f>
        <v>18:47:35.543</v>
      </c>
      <c r="BZ1689">
        <v>0</v>
      </c>
      <c r="CA1689">
        <v>3008</v>
      </c>
      <c r="CB1689">
        <v>216</v>
      </c>
      <c r="CC1689">
        <v>518.90629999999999</v>
      </c>
      <c r="CD1689">
        <v>1</v>
      </c>
      <c r="CE1689">
        <v>1</v>
      </c>
      <c r="CF1689">
        <v>0</v>
      </c>
      <c r="CG1689">
        <v>1</v>
      </c>
      <c r="CH1689">
        <v>0</v>
      </c>
      <c r="CI1689">
        <v>1</v>
      </c>
      <c r="CJ1689">
        <v>0</v>
      </c>
      <c r="CK1689">
        <v>2</v>
      </c>
      <c r="CL1689">
        <v>0</v>
      </c>
      <c r="CM1689">
        <v>2</v>
      </c>
      <c r="CN1689">
        <v>0</v>
      </c>
      <c r="CO1689">
        <v>1</v>
      </c>
      <c r="CP1689" t="s">
        <v>119</v>
      </c>
      <c r="CQ1689">
        <v>145</v>
      </c>
      <c r="CR1689">
        <v>1</v>
      </c>
      <c r="CW1689">
        <v>9196397</v>
      </c>
      <c r="CY1689">
        <v>0</v>
      </c>
      <c r="CZ1689">
        <v>0</v>
      </c>
      <c r="DA1689">
        <v>1</v>
      </c>
      <c r="DB1689">
        <v>0</v>
      </c>
      <c r="DC1689">
        <v>0</v>
      </c>
      <c r="DD1689">
        <v>0</v>
      </c>
      <c r="DE1689">
        <v>0</v>
      </c>
      <c r="DF1689">
        <v>0</v>
      </c>
      <c r="DG1689">
        <v>0</v>
      </c>
      <c r="DH1689">
        <v>0</v>
      </c>
      <c r="DI1689">
        <v>0</v>
      </c>
    </row>
    <row r="1690" spans="1:113" x14ac:dyDescent="0.3">
      <c r="A1690" t="str">
        <f>"02/13/2022 18:47:35.869"</f>
        <v>02/13/2022 18:47:35.869</v>
      </c>
      <c r="C1690" t="str">
        <f t="shared" si="163"/>
        <v>FFDFD7C0</v>
      </c>
      <c r="D1690" t="s">
        <v>113</v>
      </c>
      <c r="E1690">
        <v>4</v>
      </c>
      <c r="F1690">
        <v>1004</v>
      </c>
      <c r="G1690" t="s">
        <v>120</v>
      </c>
      <c r="J1690" t="s">
        <v>115</v>
      </c>
      <c r="K1690">
        <v>0</v>
      </c>
      <c r="L1690">
        <v>3</v>
      </c>
      <c r="M1690">
        <v>0</v>
      </c>
      <c r="N1690">
        <v>2</v>
      </c>
      <c r="O1690">
        <v>1</v>
      </c>
      <c r="P1690">
        <v>0</v>
      </c>
      <c r="Q1690">
        <v>0</v>
      </c>
      <c r="S1690" t="str">
        <f>"18:47:35.539"</f>
        <v>18:47:35.539</v>
      </c>
      <c r="T1690" t="str">
        <f>"18:47:35.339"</f>
        <v>18:47:35.339</v>
      </c>
      <c r="U1690" t="str">
        <f t="shared" si="164"/>
        <v>AAB6EE</v>
      </c>
      <c r="V1690">
        <v>0</v>
      </c>
      <c r="W1690">
        <v>0</v>
      </c>
      <c r="X1690">
        <v>4</v>
      </c>
      <c r="Z1690">
        <v>0</v>
      </c>
      <c r="AA1690">
        <v>8</v>
      </c>
      <c r="AB1690">
        <v>3</v>
      </c>
      <c r="AC1690">
        <v>0</v>
      </c>
      <c r="AD1690">
        <v>10</v>
      </c>
      <c r="AE1690">
        <v>0</v>
      </c>
      <c r="AF1690">
        <v>0</v>
      </c>
      <c r="AG1690">
        <v>2</v>
      </c>
      <c r="AH1690">
        <v>1</v>
      </c>
      <c r="AI1690" t="s">
        <v>1246</v>
      </c>
      <c r="AJ1690">
        <v>35.188285999999998</v>
      </c>
      <c r="AK1690" t="s">
        <v>1247</v>
      </c>
      <c r="AL1690">
        <v>-76.021292000000003</v>
      </c>
      <c r="AM1690">
        <v>25</v>
      </c>
      <c r="AN1690">
        <v>2925</v>
      </c>
      <c r="AO1690" t="s">
        <v>118</v>
      </c>
      <c r="AP1690">
        <v>73</v>
      </c>
      <c r="AQ1690">
        <v>-139</v>
      </c>
      <c r="AR1690">
        <v>0</v>
      </c>
      <c r="AZ1690">
        <v>4516</v>
      </c>
      <c r="BA1690">
        <v>1</v>
      </c>
      <c r="BB1690" t="str">
        <f t="shared" si="165"/>
        <v xml:space="preserve">N79NX   </v>
      </c>
      <c r="BC1690">
        <v>1</v>
      </c>
      <c r="BE1690">
        <v>0</v>
      </c>
      <c r="BF1690">
        <v>0</v>
      </c>
      <c r="BG1690">
        <v>0</v>
      </c>
      <c r="BH1690">
        <v>2775</v>
      </c>
      <c r="BI1690">
        <v>0</v>
      </c>
      <c r="BJ1690">
        <v>0</v>
      </c>
      <c r="BK1690">
        <v>0</v>
      </c>
      <c r="BL1690">
        <v>0</v>
      </c>
      <c r="BO1690">
        <v>0</v>
      </c>
      <c r="BP1690">
        <v>0</v>
      </c>
      <c r="BW1690" t="str">
        <f>"18:47:35.543"</f>
        <v>18:47:35.543</v>
      </c>
      <c r="BZ1690">
        <v>0</v>
      </c>
      <c r="CA1690">
        <v>3008</v>
      </c>
      <c r="CB1690">
        <v>216</v>
      </c>
      <c r="CC1690">
        <v>518.90629999999999</v>
      </c>
      <c r="CD1690">
        <v>1</v>
      </c>
      <c r="CE1690">
        <v>1</v>
      </c>
      <c r="CF1690">
        <v>0</v>
      </c>
      <c r="CG1690">
        <v>1</v>
      </c>
      <c r="CH1690">
        <v>0</v>
      </c>
      <c r="CI1690">
        <v>1</v>
      </c>
      <c r="CJ1690">
        <v>0</v>
      </c>
      <c r="CK1690">
        <v>2</v>
      </c>
      <c r="CL1690">
        <v>0</v>
      </c>
      <c r="CM1690">
        <v>2</v>
      </c>
      <c r="CN1690">
        <v>0</v>
      </c>
      <c r="CO1690">
        <v>1</v>
      </c>
      <c r="CP1690" t="s">
        <v>119</v>
      </c>
      <c r="CQ1690">
        <v>145</v>
      </c>
      <c r="CR1690">
        <v>1</v>
      </c>
      <c r="CW1690">
        <v>9196397</v>
      </c>
      <c r="CY1690">
        <v>0</v>
      </c>
      <c r="CZ1690">
        <v>0</v>
      </c>
      <c r="DA1690">
        <v>1</v>
      </c>
      <c r="DB1690">
        <v>0</v>
      </c>
      <c r="DC1690">
        <v>0</v>
      </c>
      <c r="DD1690">
        <v>0</v>
      </c>
      <c r="DE1690">
        <v>0</v>
      </c>
      <c r="DF1690">
        <v>0</v>
      </c>
      <c r="DG1690">
        <v>0</v>
      </c>
      <c r="DH1690">
        <v>0</v>
      </c>
      <c r="DI1690">
        <v>0</v>
      </c>
    </row>
    <row r="1691" spans="1:113" x14ac:dyDescent="0.3">
      <c r="A1691" t="str">
        <f>"02/13/2022 18:47:36.906"</f>
        <v>02/13/2022 18:47:36.906</v>
      </c>
      <c r="C1691" t="str">
        <f t="shared" si="163"/>
        <v>FFDFD7C0</v>
      </c>
      <c r="D1691" t="s">
        <v>121</v>
      </c>
      <c r="E1691">
        <v>2</v>
      </c>
      <c r="H1691">
        <v>158</v>
      </c>
      <c r="I1691" t="s">
        <v>120</v>
      </c>
      <c r="J1691" t="s">
        <v>122</v>
      </c>
      <c r="K1691">
        <v>0</v>
      </c>
      <c r="L1691">
        <v>3</v>
      </c>
      <c r="M1691">
        <v>0</v>
      </c>
      <c r="N1691">
        <v>2</v>
      </c>
      <c r="O1691">
        <v>1</v>
      </c>
      <c r="P1691">
        <v>0</v>
      </c>
      <c r="Q1691">
        <v>0</v>
      </c>
      <c r="S1691" t="str">
        <f>"18:47:36.617"</f>
        <v>18:47:36.617</v>
      </c>
      <c r="T1691" t="str">
        <f>"18:47:35.317"</f>
        <v>18:47:35.317</v>
      </c>
      <c r="U1691" t="str">
        <f t="shared" si="164"/>
        <v>AAB6EE</v>
      </c>
      <c r="V1691">
        <v>0</v>
      </c>
      <c r="W1691">
        <v>0</v>
      </c>
      <c r="X1691">
        <v>4</v>
      </c>
      <c r="Z1691">
        <v>0</v>
      </c>
      <c r="AA1691">
        <v>8</v>
      </c>
      <c r="AB1691">
        <v>3</v>
      </c>
      <c r="AC1691">
        <v>0</v>
      </c>
      <c r="AD1691">
        <v>10</v>
      </c>
      <c r="AE1691">
        <v>0</v>
      </c>
      <c r="AF1691">
        <v>0</v>
      </c>
      <c r="AG1691">
        <v>2</v>
      </c>
      <c r="AH1691">
        <v>1</v>
      </c>
      <c r="AI1691" t="s">
        <v>1248</v>
      </c>
      <c r="AJ1691">
        <v>35.187578000000002</v>
      </c>
      <c r="AK1691" t="s">
        <v>1249</v>
      </c>
      <c r="AL1691">
        <v>-76.020863000000006</v>
      </c>
      <c r="AM1691">
        <v>25</v>
      </c>
      <c r="AN1691">
        <v>2925</v>
      </c>
      <c r="AO1691" t="s">
        <v>118</v>
      </c>
      <c r="AP1691">
        <v>73</v>
      </c>
      <c r="AQ1691">
        <v>-139</v>
      </c>
      <c r="AR1691">
        <v>0</v>
      </c>
      <c r="AZ1691">
        <v>4516</v>
      </c>
      <c r="BA1691">
        <v>1</v>
      </c>
      <c r="BB1691" t="str">
        <f t="shared" si="165"/>
        <v xml:space="preserve">N79NX   </v>
      </c>
      <c r="BC1691">
        <v>1</v>
      </c>
      <c r="BE1691">
        <v>0</v>
      </c>
      <c r="BF1691">
        <v>0</v>
      </c>
      <c r="BG1691">
        <v>0</v>
      </c>
      <c r="BH1691">
        <v>2775</v>
      </c>
      <c r="BI1691">
        <v>0</v>
      </c>
      <c r="BJ1691">
        <v>0</v>
      </c>
      <c r="BK1691">
        <v>0</v>
      </c>
      <c r="BL1691">
        <v>0</v>
      </c>
      <c r="BO1691">
        <v>0</v>
      </c>
      <c r="BP1691">
        <v>0</v>
      </c>
      <c r="BW1691" t="str">
        <f>"18:47:36.623"</f>
        <v>18:47:36.623</v>
      </c>
      <c r="BZ1691">
        <v>0</v>
      </c>
      <c r="CA1691">
        <v>3008</v>
      </c>
      <c r="CB1691">
        <v>216</v>
      </c>
      <c r="CC1691">
        <v>518.90629999999999</v>
      </c>
      <c r="CD1691">
        <v>1</v>
      </c>
      <c r="CE1691">
        <v>1</v>
      </c>
      <c r="CF1691">
        <v>0</v>
      </c>
      <c r="CG1691">
        <v>1</v>
      </c>
      <c r="CH1691">
        <v>0</v>
      </c>
      <c r="CI1691">
        <v>1</v>
      </c>
      <c r="CJ1691">
        <v>0</v>
      </c>
      <c r="CK1691">
        <v>2</v>
      </c>
      <c r="CL1691">
        <v>0</v>
      </c>
      <c r="CM1691">
        <v>2</v>
      </c>
      <c r="CN1691">
        <v>0</v>
      </c>
      <c r="CO1691">
        <v>1</v>
      </c>
      <c r="CP1691" t="s">
        <v>119</v>
      </c>
      <c r="CQ1691">
        <v>145</v>
      </c>
      <c r="CR1691">
        <v>1</v>
      </c>
      <c r="CW1691">
        <v>9196868</v>
      </c>
      <c r="CY1691">
        <v>0</v>
      </c>
      <c r="CZ1691">
        <v>0</v>
      </c>
      <c r="DA1691">
        <v>0</v>
      </c>
      <c r="DB1691">
        <v>0</v>
      </c>
      <c r="DC1691">
        <v>0</v>
      </c>
      <c r="DD1691">
        <v>0</v>
      </c>
      <c r="DE1691">
        <v>0</v>
      </c>
      <c r="DF1691">
        <v>0</v>
      </c>
      <c r="DG1691">
        <v>0</v>
      </c>
      <c r="DH1691">
        <v>0</v>
      </c>
      <c r="DI1691">
        <v>0</v>
      </c>
    </row>
    <row r="1692" spans="1:113" x14ac:dyDescent="0.3">
      <c r="A1692" t="str">
        <f>"02/13/2022 18:47:36.906"</f>
        <v>02/13/2022 18:47:36.906</v>
      </c>
      <c r="C1692" t="str">
        <f t="shared" si="163"/>
        <v>FFDFD7C0</v>
      </c>
      <c r="D1692" t="s">
        <v>113</v>
      </c>
      <c r="E1692">
        <v>3</v>
      </c>
      <c r="F1692">
        <v>1003</v>
      </c>
      <c r="G1692" t="s">
        <v>114</v>
      </c>
      <c r="J1692" t="s">
        <v>115</v>
      </c>
      <c r="K1692">
        <v>0</v>
      </c>
      <c r="L1692">
        <v>3</v>
      </c>
      <c r="M1692">
        <v>0</v>
      </c>
      <c r="N1692">
        <v>2</v>
      </c>
      <c r="O1692">
        <v>1</v>
      </c>
      <c r="P1692">
        <v>0</v>
      </c>
      <c r="Q1692">
        <v>0</v>
      </c>
      <c r="S1692" t="str">
        <f>"18:47:36.617"</f>
        <v>18:47:36.617</v>
      </c>
      <c r="T1692" t="str">
        <f>"18:47:35.317"</f>
        <v>18:47:35.317</v>
      </c>
      <c r="U1692" t="str">
        <f t="shared" si="164"/>
        <v>AAB6EE</v>
      </c>
      <c r="V1692">
        <v>0</v>
      </c>
      <c r="W1692">
        <v>0</v>
      </c>
      <c r="X1692">
        <v>4</v>
      </c>
      <c r="Z1692">
        <v>0</v>
      </c>
      <c r="AA1692">
        <v>8</v>
      </c>
      <c r="AB1692">
        <v>3</v>
      </c>
      <c r="AC1692">
        <v>0</v>
      </c>
      <c r="AD1692">
        <v>10</v>
      </c>
      <c r="AE1692">
        <v>0</v>
      </c>
      <c r="AF1692">
        <v>0</v>
      </c>
      <c r="AG1692">
        <v>2</v>
      </c>
      <c r="AH1692">
        <v>1</v>
      </c>
      <c r="AI1692" t="s">
        <v>1248</v>
      </c>
      <c r="AJ1692">
        <v>35.187578000000002</v>
      </c>
      <c r="AK1692" t="s">
        <v>1249</v>
      </c>
      <c r="AL1692">
        <v>-76.020863000000006</v>
      </c>
      <c r="AM1692">
        <v>25</v>
      </c>
      <c r="AN1692">
        <v>2925</v>
      </c>
      <c r="AO1692" t="s">
        <v>118</v>
      </c>
      <c r="AP1692">
        <v>73</v>
      </c>
      <c r="AQ1692">
        <v>-139</v>
      </c>
      <c r="AR1692">
        <v>0</v>
      </c>
      <c r="AZ1692">
        <v>4516</v>
      </c>
      <c r="BA1692">
        <v>1</v>
      </c>
      <c r="BB1692" t="str">
        <f t="shared" si="165"/>
        <v xml:space="preserve">N79NX   </v>
      </c>
      <c r="BC1692">
        <v>1</v>
      </c>
      <c r="BE1692">
        <v>0</v>
      </c>
      <c r="BF1692">
        <v>0</v>
      </c>
      <c r="BG1692">
        <v>0</v>
      </c>
      <c r="BH1692">
        <v>2775</v>
      </c>
      <c r="BI1692">
        <v>0</v>
      </c>
      <c r="BJ1692">
        <v>0</v>
      </c>
      <c r="BK1692">
        <v>0</v>
      </c>
      <c r="BL1692">
        <v>0</v>
      </c>
      <c r="BO1692">
        <v>0</v>
      </c>
      <c r="BP1692">
        <v>0</v>
      </c>
      <c r="BW1692" t="str">
        <f>"18:47:36.623"</f>
        <v>18:47:36.623</v>
      </c>
      <c r="BZ1692">
        <v>0</v>
      </c>
      <c r="CA1692">
        <v>3008</v>
      </c>
      <c r="CB1692">
        <v>216</v>
      </c>
      <c r="CC1692">
        <v>518.90629999999999</v>
      </c>
      <c r="CD1692">
        <v>1</v>
      </c>
      <c r="CE1692">
        <v>1</v>
      </c>
      <c r="CF1692">
        <v>0</v>
      </c>
      <c r="CG1692">
        <v>1</v>
      </c>
      <c r="CH1692">
        <v>0</v>
      </c>
      <c r="CI1692">
        <v>1</v>
      </c>
      <c r="CJ1692">
        <v>0</v>
      </c>
      <c r="CK1692">
        <v>2</v>
      </c>
      <c r="CL1692">
        <v>0</v>
      </c>
      <c r="CM1692">
        <v>2</v>
      </c>
      <c r="CN1692">
        <v>0</v>
      </c>
      <c r="CO1692">
        <v>1</v>
      </c>
      <c r="CP1692" t="s">
        <v>119</v>
      </c>
      <c r="CQ1692">
        <v>145</v>
      </c>
      <c r="CR1692">
        <v>1</v>
      </c>
      <c r="CW1692">
        <v>9196868</v>
      </c>
      <c r="CY1692">
        <v>0</v>
      </c>
      <c r="CZ1692">
        <v>0</v>
      </c>
      <c r="DA1692">
        <v>1</v>
      </c>
      <c r="DB1692">
        <v>0</v>
      </c>
      <c r="DC1692">
        <v>0</v>
      </c>
      <c r="DD1692">
        <v>0</v>
      </c>
      <c r="DE1692">
        <v>0</v>
      </c>
      <c r="DF1692">
        <v>0</v>
      </c>
      <c r="DG1692">
        <v>0</v>
      </c>
      <c r="DH1692">
        <v>0</v>
      </c>
      <c r="DI1692">
        <v>0</v>
      </c>
    </row>
    <row r="1693" spans="1:113" x14ac:dyDescent="0.3">
      <c r="A1693" t="str">
        <f>"02/13/2022 18:47:36.906"</f>
        <v>02/13/2022 18:47:36.906</v>
      </c>
      <c r="C1693" t="str">
        <f t="shared" si="163"/>
        <v>FFDFD7C0</v>
      </c>
      <c r="D1693" t="s">
        <v>113</v>
      </c>
      <c r="E1693">
        <v>4</v>
      </c>
      <c r="F1693">
        <v>1004</v>
      </c>
      <c r="G1693" t="s">
        <v>120</v>
      </c>
      <c r="J1693" t="s">
        <v>115</v>
      </c>
      <c r="K1693">
        <v>0</v>
      </c>
      <c r="L1693">
        <v>3</v>
      </c>
      <c r="M1693">
        <v>0</v>
      </c>
      <c r="N1693">
        <v>2</v>
      </c>
      <c r="O1693">
        <v>1</v>
      </c>
      <c r="P1693">
        <v>0</v>
      </c>
      <c r="Q1693">
        <v>0</v>
      </c>
      <c r="S1693" t="str">
        <f>"18:47:36.617"</f>
        <v>18:47:36.617</v>
      </c>
      <c r="T1693" t="str">
        <f>"18:47:35.317"</f>
        <v>18:47:35.317</v>
      </c>
      <c r="U1693" t="str">
        <f t="shared" si="164"/>
        <v>AAB6EE</v>
      </c>
      <c r="V1693">
        <v>0</v>
      </c>
      <c r="W1693">
        <v>0</v>
      </c>
      <c r="X1693">
        <v>4</v>
      </c>
      <c r="Z1693">
        <v>0</v>
      </c>
      <c r="AA1693">
        <v>8</v>
      </c>
      <c r="AB1693">
        <v>3</v>
      </c>
      <c r="AC1693">
        <v>0</v>
      </c>
      <c r="AD1693">
        <v>10</v>
      </c>
      <c r="AE1693">
        <v>0</v>
      </c>
      <c r="AF1693">
        <v>0</v>
      </c>
      <c r="AG1693">
        <v>2</v>
      </c>
      <c r="AH1693">
        <v>1</v>
      </c>
      <c r="AI1693" t="s">
        <v>1248</v>
      </c>
      <c r="AJ1693">
        <v>35.187578000000002</v>
      </c>
      <c r="AK1693" t="s">
        <v>1249</v>
      </c>
      <c r="AL1693">
        <v>-76.020863000000006</v>
      </c>
      <c r="AM1693">
        <v>25</v>
      </c>
      <c r="AN1693">
        <v>2925</v>
      </c>
      <c r="AO1693" t="s">
        <v>118</v>
      </c>
      <c r="AP1693">
        <v>73</v>
      </c>
      <c r="AQ1693">
        <v>-139</v>
      </c>
      <c r="AR1693">
        <v>0</v>
      </c>
      <c r="AZ1693">
        <v>4516</v>
      </c>
      <c r="BA1693">
        <v>1</v>
      </c>
      <c r="BB1693" t="str">
        <f t="shared" si="165"/>
        <v xml:space="preserve">N79NX   </v>
      </c>
      <c r="BC1693">
        <v>1</v>
      </c>
      <c r="BE1693">
        <v>0</v>
      </c>
      <c r="BF1693">
        <v>0</v>
      </c>
      <c r="BG1693">
        <v>0</v>
      </c>
      <c r="BH1693">
        <v>2775</v>
      </c>
      <c r="BI1693">
        <v>0</v>
      </c>
      <c r="BJ1693">
        <v>0</v>
      </c>
      <c r="BK1693">
        <v>0</v>
      </c>
      <c r="BL1693">
        <v>0</v>
      </c>
      <c r="BO1693">
        <v>0</v>
      </c>
      <c r="BP1693">
        <v>0</v>
      </c>
      <c r="BW1693" t="str">
        <f>"18:47:36.623"</f>
        <v>18:47:36.623</v>
      </c>
      <c r="BZ1693">
        <v>0</v>
      </c>
      <c r="CA1693">
        <v>3008</v>
      </c>
      <c r="CB1693">
        <v>216</v>
      </c>
      <c r="CC1693">
        <v>518.90629999999999</v>
      </c>
      <c r="CD1693">
        <v>1</v>
      </c>
      <c r="CE1693">
        <v>1</v>
      </c>
      <c r="CF1693">
        <v>0</v>
      </c>
      <c r="CG1693">
        <v>1</v>
      </c>
      <c r="CH1693">
        <v>0</v>
      </c>
      <c r="CI1693">
        <v>1</v>
      </c>
      <c r="CJ1693">
        <v>0</v>
      </c>
      <c r="CK1693">
        <v>2</v>
      </c>
      <c r="CL1693">
        <v>0</v>
      </c>
      <c r="CM1693">
        <v>2</v>
      </c>
      <c r="CN1693">
        <v>0</v>
      </c>
      <c r="CO1693">
        <v>1</v>
      </c>
      <c r="CP1693" t="s">
        <v>119</v>
      </c>
      <c r="CQ1693">
        <v>145</v>
      </c>
      <c r="CR1693">
        <v>1</v>
      </c>
      <c r="CW1693">
        <v>9196868</v>
      </c>
      <c r="CY1693">
        <v>0</v>
      </c>
      <c r="CZ1693">
        <v>0</v>
      </c>
      <c r="DA1693">
        <v>1</v>
      </c>
      <c r="DB1693">
        <v>0</v>
      </c>
      <c r="DC1693">
        <v>0</v>
      </c>
      <c r="DD1693">
        <v>0</v>
      </c>
      <c r="DE1693">
        <v>0</v>
      </c>
      <c r="DF1693">
        <v>0</v>
      </c>
      <c r="DG1693">
        <v>0</v>
      </c>
      <c r="DH1693">
        <v>0</v>
      </c>
      <c r="DI1693">
        <v>0</v>
      </c>
    </row>
    <row r="1694" spans="1:113" x14ac:dyDescent="0.3">
      <c r="A1694" t="str">
        <f>"02/13/2022 18:47:37.968"</f>
        <v>02/13/2022 18:47:37.968</v>
      </c>
      <c r="C1694" t="str">
        <f t="shared" si="163"/>
        <v>FFDFD7C0</v>
      </c>
      <c r="D1694" t="s">
        <v>113</v>
      </c>
      <c r="E1694">
        <v>3</v>
      </c>
      <c r="F1694">
        <v>1003</v>
      </c>
      <c r="G1694" t="s">
        <v>114</v>
      </c>
      <c r="J1694" t="s">
        <v>115</v>
      </c>
      <c r="K1694">
        <v>0</v>
      </c>
      <c r="L1694">
        <v>3</v>
      </c>
      <c r="M1694">
        <v>0</v>
      </c>
      <c r="N1694">
        <v>2</v>
      </c>
      <c r="O1694">
        <v>1</v>
      </c>
      <c r="P1694">
        <v>0</v>
      </c>
      <c r="Q1694">
        <v>0</v>
      </c>
      <c r="S1694" t="str">
        <f>"18:47:37.742"</f>
        <v>18:47:37.742</v>
      </c>
      <c r="T1694" t="str">
        <f>"18:47:35.342"</f>
        <v>18:47:35.342</v>
      </c>
      <c r="U1694" t="str">
        <f t="shared" si="164"/>
        <v>AAB6EE</v>
      </c>
      <c r="V1694">
        <v>0</v>
      </c>
      <c r="W1694">
        <v>0</v>
      </c>
      <c r="X1694">
        <v>4</v>
      </c>
      <c r="Z1694">
        <v>0</v>
      </c>
      <c r="AA1694">
        <v>8</v>
      </c>
      <c r="AB1694">
        <v>3</v>
      </c>
      <c r="AC1694">
        <v>0</v>
      </c>
      <c r="AD1694">
        <v>10</v>
      </c>
      <c r="AE1694">
        <v>0</v>
      </c>
      <c r="AF1694">
        <v>0</v>
      </c>
      <c r="AG1694">
        <v>2</v>
      </c>
      <c r="AH1694">
        <v>1</v>
      </c>
      <c r="AI1694" t="s">
        <v>1250</v>
      </c>
      <c r="AJ1694">
        <v>35.186869999999999</v>
      </c>
      <c r="AK1694" t="s">
        <v>220</v>
      </c>
      <c r="AL1694">
        <v>-76.020411999999993</v>
      </c>
      <c r="AM1694">
        <v>25</v>
      </c>
      <c r="AN1694">
        <v>2925</v>
      </c>
      <c r="AO1694" t="s">
        <v>118</v>
      </c>
      <c r="AP1694">
        <v>73</v>
      </c>
      <c r="AQ1694">
        <v>-139</v>
      </c>
      <c r="AR1694">
        <v>0</v>
      </c>
      <c r="AZ1694">
        <v>4516</v>
      </c>
      <c r="BA1694">
        <v>1</v>
      </c>
      <c r="BB1694" t="str">
        <f t="shared" si="165"/>
        <v xml:space="preserve">N79NX   </v>
      </c>
      <c r="BC1694">
        <v>1</v>
      </c>
      <c r="BE1694">
        <v>0</v>
      </c>
      <c r="BF1694">
        <v>0</v>
      </c>
      <c r="BG1694">
        <v>0</v>
      </c>
      <c r="BH1694">
        <v>2775</v>
      </c>
      <c r="BI1694">
        <v>0</v>
      </c>
      <c r="BJ1694">
        <v>0</v>
      </c>
      <c r="BK1694">
        <v>0</v>
      </c>
      <c r="BL1694">
        <v>0</v>
      </c>
      <c r="BO1694">
        <v>0</v>
      </c>
      <c r="BP1694">
        <v>0</v>
      </c>
      <c r="BW1694" t="str">
        <f>"18:47:37.743"</f>
        <v>18:47:37.743</v>
      </c>
      <c r="BZ1694">
        <v>0</v>
      </c>
      <c r="CA1694">
        <v>3008</v>
      </c>
      <c r="CB1694">
        <v>216</v>
      </c>
      <c r="CC1694">
        <v>518.90629999999999</v>
      </c>
      <c r="CD1694">
        <v>1</v>
      </c>
      <c r="CE1694">
        <v>1</v>
      </c>
      <c r="CF1694">
        <v>0</v>
      </c>
      <c r="CG1694">
        <v>1</v>
      </c>
      <c r="CH1694">
        <v>0</v>
      </c>
      <c r="CI1694">
        <v>1</v>
      </c>
      <c r="CJ1694">
        <v>0</v>
      </c>
      <c r="CK1694">
        <v>2</v>
      </c>
      <c r="CL1694">
        <v>0</v>
      </c>
      <c r="CM1694">
        <v>2</v>
      </c>
      <c r="CN1694">
        <v>0</v>
      </c>
      <c r="CO1694">
        <v>2</v>
      </c>
      <c r="CP1694" t="s">
        <v>119</v>
      </c>
      <c r="CQ1694">
        <v>145</v>
      </c>
      <c r="CR1694">
        <v>1</v>
      </c>
      <c r="CW1694">
        <v>9197415</v>
      </c>
      <c r="CY1694">
        <v>0</v>
      </c>
      <c r="CZ1694">
        <v>0</v>
      </c>
      <c r="DA1694">
        <v>0</v>
      </c>
      <c r="DB1694">
        <v>0</v>
      </c>
      <c r="DC1694">
        <v>0</v>
      </c>
      <c r="DD1694">
        <v>0</v>
      </c>
      <c r="DE1694">
        <v>0</v>
      </c>
      <c r="DF1694">
        <v>0</v>
      </c>
      <c r="DG1694">
        <v>0</v>
      </c>
      <c r="DH1694">
        <v>0</v>
      </c>
      <c r="DI1694">
        <v>0</v>
      </c>
    </row>
    <row r="1695" spans="1:113" x14ac:dyDescent="0.3">
      <c r="A1695" t="str">
        <f>"02/13/2022 18:47:37.968"</f>
        <v>02/13/2022 18:47:37.968</v>
      </c>
      <c r="C1695" t="str">
        <f t="shared" si="163"/>
        <v>FFDFD7C0</v>
      </c>
      <c r="D1695" t="s">
        <v>113</v>
      </c>
      <c r="E1695">
        <v>4</v>
      </c>
      <c r="F1695">
        <v>1004</v>
      </c>
      <c r="G1695" t="s">
        <v>120</v>
      </c>
      <c r="J1695" t="s">
        <v>115</v>
      </c>
      <c r="K1695">
        <v>0</v>
      </c>
      <c r="L1695">
        <v>3</v>
      </c>
      <c r="M1695">
        <v>0</v>
      </c>
      <c r="N1695">
        <v>2</v>
      </c>
      <c r="O1695">
        <v>1</v>
      </c>
      <c r="P1695">
        <v>0</v>
      </c>
      <c r="Q1695">
        <v>0</v>
      </c>
      <c r="S1695" t="str">
        <f>"18:47:37.742"</f>
        <v>18:47:37.742</v>
      </c>
      <c r="T1695" t="str">
        <f>"18:47:35.342"</f>
        <v>18:47:35.342</v>
      </c>
      <c r="U1695" t="str">
        <f t="shared" si="164"/>
        <v>AAB6EE</v>
      </c>
      <c r="V1695">
        <v>0</v>
      </c>
      <c r="W1695">
        <v>0</v>
      </c>
      <c r="X1695">
        <v>4</v>
      </c>
      <c r="Z1695">
        <v>0</v>
      </c>
      <c r="AA1695">
        <v>8</v>
      </c>
      <c r="AB1695">
        <v>3</v>
      </c>
      <c r="AC1695">
        <v>0</v>
      </c>
      <c r="AD1695">
        <v>10</v>
      </c>
      <c r="AE1695">
        <v>0</v>
      </c>
      <c r="AF1695">
        <v>0</v>
      </c>
      <c r="AG1695">
        <v>2</v>
      </c>
      <c r="AH1695">
        <v>1</v>
      </c>
      <c r="AI1695" t="s">
        <v>1250</v>
      </c>
      <c r="AJ1695">
        <v>35.186869999999999</v>
      </c>
      <c r="AK1695" t="s">
        <v>220</v>
      </c>
      <c r="AL1695">
        <v>-76.020411999999993</v>
      </c>
      <c r="AM1695">
        <v>25</v>
      </c>
      <c r="AN1695">
        <v>2925</v>
      </c>
      <c r="AO1695" t="s">
        <v>118</v>
      </c>
      <c r="AP1695">
        <v>73</v>
      </c>
      <c r="AQ1695">
        <v>-139</v>
      </c>
      <c r="AR1695">
        <v>0</v>
      </c>
      <c r="AZ1695">
        <v>4516</v>
      </c>
      <c r="BA1695">
        <v>1</v>
      </c>
      <c r="BB1695" t="str">
        <f t="shared" si="165"/>
        <v xml:space="preserve">N79NX   </v>
      </c>
      <c r="BC1695">
        <v>1</v>
      </c>
      <c r="BE1695">
        <v>0</v>
      </c>
      <c r="BF1695">
        <v>0</v>
      </c>
      <c r="BG1695">
        <v>0</v>
      </c>
      <c r="BH1695">
        <v>2775</v>
      </c>
      <c r="BI1695">
        <v>0</v>
      </c>
      <c r="BJ1695">
        <v>0</v>
      </c>
      <c r="BK1695">
        <v>0</v>
      </c>
      <c r="BL1695">
        <v>0</v>
      </c>
      <c r="BO1695">
        <v>0</v>
      </c>
      <c r="BP1695">
        <v>0</v>
      </c>
      <c r="BW1695" t="str">
        <f>"18:47:37.743"</f>
        <v>18:47:37.743</v>
      </c>
      <c r="BZ1695">
        <v>0</v>
      </c>
      <c r="CA1695">
        <v>3008</v>
      </c>
      <c r="CB1695">
        <v>216</v>
      </c>
      <c r="CC1695">
        <v>518.90629999999999</v>
      </c>
      <c r="CD1695">
        <v>1</v>
      </c>
      <c r="CE1695">
        <v>1</v>
      </c>
      <c r="CF1695">
        <v>0</v>
      </c>
      <c r="CG1695">
        <v>1</v>
      </c>
      <c r="CH1695">
        <v>0</v>
      </c>
      <c r="CI1695">
        <v>1</v>
      </c>
      <c r="CJ1695">
        <v>0</v>
      </c>
      <c r="CK1695">
        <v>2</v>
      </c>
      <c r="CL1695">
        <v>0</v>
      </c>
      <c r="CM1695">
        <v>2</v>
      </c>
      <c r="CN1695">
        <v>0</v>
      </c>
      <c r="CO1695">
        <v>2</v>
      </c>
      <c r="CP1695" t="s">
        <v>119</v>
      </c>
      <c r="CQ1695">
        <v>145</v>
      </c>
      <c r="CR1695">
        <v>1</v>
      </c>
      <c r="CW1695">
        <v>9197415</v>
      </c>
      <c r="CY1695">
        <v>0</v>
      </c>
      <c r="CZ1695">
        <v>0</v>
      </c>
      <c r="DA1695">
        <v>1</v>
      </c>
      <c r="DB1695">
        <v>0</v>
      </c>
      <c r="DC1695">
        <v>0</v>
      </c>
      <c r="DD1695">
        <v>0</v>
      </c>
      <c r="DE1695">
        <v>0</v>
      </c>
      <c r="DF1695">
        <v>0</v>
      </c>
      <c r="DG1695">
        <v>0</v>
      </c>
      <c r="DH1695">
        <v>0</v>
      </c>
      <c r="DI1695">
        <v>0</v>
      </c>
    </row>
    <row r="1696" spans="1:113" x14ac:dyDescent="0.3">
      <c r="A1696" t="str">
        <f>"02/13/2022 18:47:37.968"</f>
        <v>02/13/2022 18:47:37.968</v>
      </c>
      <c r="C1696" t="str">
        <f t="shared" si="163"/>
        <v>FFDFD7C0</v>
      </c>
      <c r="D1696" t="s">
        <v>121</v>
      </c>
      <c r="E1696">
        <v>2</v>
      </c>
      <c r="H1696">
        <v>158</v>
      </c>
      <c r="I1696" t="s">
        <v>120</v>
      </c>
      <c r="J1696" t="s">
        <v>122</v>
      </c>
      <c r="K1696">
        <v>0</v>
      </c>
      <c r="L1696">
        <v>3</v>
      </c>
      <c r="M1696">
        <v>0</v>
      </c>
      <c r="N1696">
        <v>2</v>
      </c>
      <c r="O1696">
        <v>1</v>
      </c>
      <c r="P1696">
        <v>0</v>
      </c>
      <c r="Q1696">
        <v>0</v>
      </c>
      <c r="S1696" t="str">
        <f>"18:47:37.742"</f>
        <v>18:47:37.742</v>
      </c>
      <c r="T1696" t="str">
        <f>"18:47:35.342"</f>
        <v>18:47:35.342</v>
      </c>
      <c r="U1696" t="str">
        <f t="shared" si="164"/>
        <v>AAB6EE</v>
      </c>
      <c r="V1696">
        <v>0</v>
      </c>
      <c r="W1696">
        <v>0</v>
      </c>
      <c r="X1696">
        <v>4</v>
      </c>
      <c r="Z1696">
        <v>0</v>
      </c>
      <c r="AA1696">
        <v>8</v>
      </c>
      <c r="AB1696">
        <v>3</v>
      </c>
      <c r="AC1696">
        <v>0</v>
      </c>
      <c r="AD1696">
        <v>10</v>
      </c>
      <c r="AE1696">
        <v>0</v>
      </c>
      <c r="AF1696">
        <v>0</v>
      </c>
      <c r="AG1696">
        <v>2</v>
      </c>
      <c r="AH1696">
        <v>1</v>
      </c>
      <c r="AI1696" t="s">
        <v>1250</v>
      </c>
      <c r="AJ1696">
        <v>35.186869999999999</v>
      </c>
      <c r="AK1696" t="s">
        <v>220</v>
      </c>
      <c r="AL1696">
        <v>-76.020411999999993</v>
      </c>
      <c r="AM1696">
        <v>25</v>
      </c>
      <c r="AN1696">
        <v>2925</v>
      </c>
      <c r="AO1696" t="s">
        <v>118</v>
      </c>
      <c r="AP1696">
        <v>73</v>
      </c>
      <c r="AQ1696">
        <v>-139</v>
      </c>
      <c r="AR1696">
        <v>0</v>
      </c>
      <c r="AZ1696">
        <v>4516</v>
      </c>
      <c r="BA1696">
        <v>1</v>
      </c>
      <c r="BB1696" t="str">
        <f t="shared" si="165"/>
        <v xml:space="preserve">N79NX   </v>
      </c>
      <c r="BC1696">
        <v>1</v>
      </c>
      <c r="BE1696">
        <v>0</v>
      </c>
      <c r="BF1696">
        <v>0</v>
      </c>
      <c r="BG1696">
        <v>0</v>
      </c>
      <c r="BH1696">
        <v>2775</v>
      </c>
      <c r="BI1696">
        <v>0</v>
      </c>
      <c r="BJ1696">
        <v>0</v>
      </c>
      <c r="BK1696">
        <v>0</v>
      </c>
      <c r="BL1696">
        <v>0</v>
      </c>
      <c r="BO1696">
        <v>0</v>
      </c>
      <c r="BP1696">
        <v>0</v>
      </c>
      <c r="BW1696" t="str">
        <f>"18:47:37.743"</f>
        <v>18:47:37.743</v>
      </c>
      <c r="BZ1696">
        <v>0</v>
      </c>
      <c r="CA1696">
        <v>3008</v>
      </c>
      <c r="CB1696">
        <v>216</v>
      </c>
      <c r="CC1696">
        <v>518.90629999999999</v>
      </c>
      <c r="CD1696">
        <v>1</v>
      </c>
      <c r="CE1696">
        <v>1</v>
      </c>
      <c r="CF1696">
        <v>0</v>
      </c>
      <c r="CG1696">
        <v>1</v>
      </c>
      <c r="CH1696">
        <v>0</v>
      </c>
      <c r="CI1696">
        <v>1</v>
      </c>
      <c r="CJ1696">
        <v>0</v>
      </c>
      <c r="CK1696">
        <v>2</v>
      </c>
      <c r="CL1696">
        <v>0</v>
      </c>
      <c r="CM1696">
        <v>2</v>
      </c>
      <c r="CN1696">
        <v>0</v>
      </c>
      <c r="CO1696">
        <v>2</v>
      </c>
      <c r="CP1696" t="s">
        <v>119</v>
      </c>
      <c r="CQ1696">
        <v>145</v>
      </c>
      <c r="CR1696">
        <v>1</v>
      </c>
      <c r="CW1696">
        <v>9197415</v>
      </c>
      <c r="CY1696">
        <v>0</v>
      </c>
      <c r="CZ1696">
        <v>0</v>
      </c>
      <c r="DA1696">
        <v>1</v>
      </c>
      <c r="DB1696">
        <v>0</v>
      </c>
      <c r="DC1696">
        <v>0</v>
      </c>
      <c r="DD1696">
        <v>0</v>
      </c>
      <c r="DE1696">
        <v>0</v>
      </c>
      <c r="DF1696">
        <v>0</v>
      </c>
      <c r="DG1696">
        <v>0</v>
      </c>
      <c r="DH1696">
        <v>0</v>
      </c>
      <c r="DI1696">
        <v>0</v>
      </c>
    </row>
    <row r="1697" spans="1:113" x14ac:dyDescent="0.3">
      <c r="A1697" t="str">
        <f>"02/13/2022 18:47:39.970"</f>
        <v>02/13/2022 18:47:39.970</v>
      </c>
      <c r="C1697" t="str">
        <f t="shared" si="163"/>
        <v>FFDFD7C0</v>
      </c>
      <c r="D1697" t="s">
        <v>121</v>
      </c>
      <c r="E1697">
        <v>2</v>
      </c>
      <c r="H1697">
        <v>158</v>
      </c>
      <c r="I1697" t="s">
        <v>120</v>
      </c>
      <c r="J1697" t="s">
        <v>122</v>
      </c>
      <c r="K1697">
        <v>0</v>
      </c>
      <c r="L1697">
        <v>3</v>
      </c>
      <c r="M1697">
        <v>0</v>
      </c>
      <c r="N1697">
        <v>2</v>
      </c>
      <c r="O1697">
        <v>1</v>
      </c>
      <c r="P1697">
        <v>0</v>
      </c>
      <c r="Q1697">
        <v>0</v>
      </c>
      <c r="S1697" t="str">
        <f>"18:47:39.789"</f>
        <v>18:47:39.789</v>
      </c>
      <c r="T1697" t="str">
        <f>"18:47:39.389"</f>
        <v>18:47:39.389</v>
      </c>
      <c r="U1697" t="str">
        <f t="shared" si="164"/>
        <v>AAB6EE</v>
      </c>
      <c r="V1697">
        <v>0</v>
      </c>
      <c r="W1697">
        <v>0</v>
      </c>
      <c r="X1697">
        <v>4</v>
      </c>
      <c r="Z1697">
        <v>0</v>
      </c>
      <c r="AA1697">
        <v>8</v>
      </c>
      <c r="AB1697">
        <v>3</v>
      </c>
      <c r="AC1697">
        <v>0</v>
      </c>
      <c r="AD1697">
        <v>10</v>
      </c>
      <c r="AE1697">
        <v>0</v>
      </c>
      <c r="AF1697">
        <v>0</v>
      </c>
      <c r="AG1697">
        <v>2</v>
      </c>
      <c r="AH1697">
        <v>1</v>
      </c>
      <c r="AI1697" t="s">
        <v>1251</v>
      </c>
      <c r="AJ1697">
        <v>35.185583000000001</v>
      </c>
      <c r="AK1697" t="s">
        <v>1252</v>
      </c>
      <c r="AL1697">
        <v>-76.019619000000006</v>
      </c>
      <c r="AM1697">
        <v>25</v>
      </c>
      <c r="AN1697">
        <v>2925</v>
      </c>
      <c r="AO1697" t="s">
        <v>118</v>
      </c>
      <c r="AP1697">
        <v>73</v>
      </c>
      <c r="AQ1697">
        <v>-139</v>
      </c>
      <c r="AR1697">
        <v>0</v>
      </c>
      <c r="AZ1697">
        <v>4516</v>
      </c>
      <c r="BA1697">
        <v>1</v>
      </c>
      <c r="BB1697" t="str">
        <f t="shared" si="165"/>
        <v xml:space="preserve">N79NX   </v>
      </c>
      <c r="BC1697">
        <v>1</v>
      </c>
      <c r="BE1697">
        <v>0</v>
      </c>
      <c r="BF1697">
        <v>0</v>
      </c>
      <c r="BG1697">
        <v>0</v>
      </c>
      <c r="BH1697">
        <v>2775</v>
      </c>
      <c r="BI1697">
        <v>0</v>
      </c>
      <c r="BJ1697">
        <v>0</v>
      </c>
      <c r="BK1697">
        <v>0</v>
      </c>
      <c r="BL1697">
        <v>0</v>
      </c>
      <c r="BO1697">
        <v>0</v>
      </c>
      <c r="BP1697">
        <v>0</v>
      </c>
      <c r="BW1697" t="str">
        <f>"18:47:39.793"</f>
        <v>18:47:39.793</v>
      </c>
      <c r="BZ1697">
        <v>0</v>
      </c>
      <c r="CA1697">
        <v>3008</v>
      </c>
      <c r="CB1697">
        <v>216</v>
      </c>
      <c r="CC1697">
        <v>518.90629999999999</v>
      </c>
      <c r="CD1697">
        <v>1</v>
      </c>
      <c r="CE1697">
        <v>1</v>
      </c>
      <c r="CF1697">
        <v>0</v>
      </c>
      <c r="CG1697">
        <v>1</v>
      </c>
      <c r="CH1697">
        <v>0</v>
      </c>
      <c r="CI1697">
        <v>1</v>
      </c>
      <c r="CJ1697">
        <v>0</v>
      </c>
      <c r="CK1697">
        <v>2</v>
      </c>
      <c r="CL1697">
        <v>0</v>
      </c>
      <c r="CM1697">
        <v>2</v>
      </c>
      <c r="CN1697">
        <v>0</v>
      </c>
      <c r="CO1697">
        <v>2</v>
      </c>
      <c r="CP1697" t="s">
        <v>119</v>
      </c>
      <c r="CQ1697">
        <v>145</v>
      </c>
      <c r="CR1697">
        <v>1</v>
      </c>
      <c r="CW1697">
        <v>9198380</v>
      </c>
      <c r="CY1697">
        <v>0</v>
      </c>
      <c r="CZ1697">
        <v>0</v>
      </c>
      <c r="DA1697">
        <v>0</v>
      </c>
      <c r="DB1697">
        <v>0</v>
      </c>
      <c r="DC1697">
        <v>0</v>
      </c>
      <c r="DD1697">
        <v>0</v>
      </c>
      <c r="DE1697">
        <v>0</v>
      </c>
      <c r="DF1697">
        <v>0</v>
      </c>
      <c r="DG1697">
        <v>0</v>
      </c>
      <c r="DH1697">
        <v>0</v>
      </c>
      <c r="DI1697">
        <v>0</v>
      </c>
    </row>
    <row r="1698" spans="1:113" x14ac:dyDescent="0.3">
      <c r="A1698" t="str">
        <f>"02/13/2022 18:47:39.986"</f>
        <v>02/13/2022 18:47:39.986</v>
      </c>
      <c r="C1698" t="str">
        <f t="shared" si="163"/>
        <v>FFDFD7C0</v>
      </c>
      <c r="D1698" t="s">
        <v>113</v>
      </c>
      <c r="E1698">
        <v>3</v>
      </c>
      <c r="F1698">
        <v>1003</v>
      </c>
      <c r="G1698" t="s">
        <v>114</v>
      </c>
      <c r="J1698" t="s">
        <v>115</v>
      </c>
      <c r="K1698">
        <v>0</v>
      </c>
      <c r="L1698">
        <v>3</v>
      </c>
      <c r="M1698">
        <v>0</v>
      </c>
      <c r="N1698">
        <v>2</v>
      </c>
      <c r="O1698">
        <v>1</v>
      </c>
      <c r="P1698">
        <v>0</v>
      </c>
      <c r="Q1698">
        <v>0</v>
      </c>
      <c r="S1698" t="str">
        <f>"18:47:39.789"</f>
        <v>18:47:39.789</v>
      </c>
      <c r="T1698" t="str">
        <f>"18:47:39.389"</f>
        <v>18:47:39.389</v>
      </c>
      <c r="U1698" t="str">
        <f t="shared" si="164"/>
        <v>AAB6EE</v>
      </c>
      <c r="V1698">
        <v>0</v>
      </c>
      <c r="W1698">
        <v>0</v>
      </c>
      <c r="X1698">
        <v>4</v>
      </c>
      <c r="Z1698">
        <v>0</v>
      </c>
      <c r="AA1698">
        <v>8</v>
      </c>
      <c r="AB1698">
        <v>3</v>
      </c>
      <c r="AC1698">
        <v>0</v>
      </c>
      <c r="AD1698">
        <v>10</v>
      </c>
      <c r="AE1698">
        <v>0</v>
      </c>
      <c r="AF1698">
        <v>0</v>
      </c>
      <c r="AG1698">
        <v>2</v>
      </c>
      <c r="AH1698">
        <v>1</v>
      </c>
      <c r="AI1698" t="s">
        <v>1251</v>
      </c>
      <c r="AJ1698">
        <v>35.185583000000001</v>
      </c>
      <c r="AK1698" t="s">
        <v>1252</v>
      </c>
      <c r="AL1698">
        <v>-76.019619000000006</v>
      </c>
      <c r="AM1698">
        <v>25</v>
      </c>
      <c r="AN1698">
        <v>2925</v>
      </c>
      <c r="AO1698" t="s">
        <v>118</v>
      </c>
      <c r="AP1698">
        <v>73</v>
      </c>
      <c r="AQ1698">
        <v>-139</v>
      </c>
      <c r="AR1698">
        <v>0</v>
      </c>
      <c r="AZ1698">
        <v>4516</v>
      </c>
      <c r="BA1698">
        <v>1</v>
      </c>
      <c r="BB1698" t="str">
        <f t="shared" si="165"/>
        <v xml:space="preserve">N79NX   </v>
      </c>
      <c r="BC1698">
        <v>1</v>
      </c>
      <c r="BE1698">
        <v>0</v>
      </c>
      <c r="BF1698">
        <v>0</v>
      </c>
      <c r="BG1698">
        <v>0</v>
      </c>
      <c r="BH1698">
        <v>2775</v>
      </c>
      <c r="BI1698">
        <v>0</v>
      </c>
      <c r="BJ1698">
        <v>0</v>
      </c>
      <c r="BK1698">
        <v>0</v>
      </c>
      <c r="BL1698">
        <v>0</v>
      </c>
      <c r="BO1698">
        <v>0</v>
      </c>
      <c r="BP1698">
        <v>0</v>
      </c>
      <c r="BW1698" t="str">
        <f>"18:47:39.793"</f>
        <v>18:47:39.793</v>
      </c>
      <c r="BZ1698">
        <v>0</v>
      </c>
      <c r="CA1698">
        <v>3008</v>
      </c>
      <c r="CB1698">
        <v>216</v>
      </c>
      <c r="CC1698">
        <v>518.90629999999999</v>
      </c>
      <c r="CD1698">
        <v>1</v>
      </c>
      <c r="CE1698">
        <v>1</v>
      </c>
      <c r="CF1698">
        <v>0</v>
      </c>
      <c r="CG1698">
        <v>1</v>
      </c>
      <c r="CH1698">
        <v>0</v>
      </c>
      <c r="CI1698">
        <v>1</v>
      </c>
      <c r="CJ1698">
        <v>0</v>
      </c>
      <c r="CK1698">
        <v>2</v>
      </c>
      <c r="CL1698">
        <v>0</v>
      </c>
      <c r="CM1698">
        <v>2</v>
      </c>
      <c r="CN1698">
        <v>0</v>
      </c>
      <c r="CO1698">
        <v>2</v>
      </c>
      <c r="CP1698" t="s">
        <v>119</v>
      </c>
      <c r="CQ1698">
        <v>145</v>
      </c>
      <c r="CR1698">
        <v>1</v>
      </c>
      <c r="CW1698">
        <v>9198380</v>
      </c>
      <c r="CY1698">
        <v>0</v>
      </c>
      <c r="CZ1698">
        <v>0</v>
      </c>
      <c r="DA1698">
        <v>1</v>
      </c>
      <c r="DB1698">
        <v>0</v>
      </c>
      <c r="DC1698">
        <v>0</v>
      </c>
      <c r="DD1698">
        <v>0</v>
      </c>
      <c r="DE1698">
        <v>0</v>
      </c>
      <c r="DF1698">
        <v>0</v>
      </c>
      <c r="DG1698">
        <v>0</v>
      </c>
      <c r="DH1698">
        <v>0</v>
      </c>
      <c r="DI1698">
        <v>0</v>
      </c>
    </row>
    <row r="1699" spans="1:113" x14ac:dyDescent="0.3">
      <c r="A1699" t="str">
        <f>"02/13/2022 18:47:39.986"</f>
        <v>02/13/2022 18:47:39.986</v>
      </c>
      <c r="C1699" t="str">
        <f t="shared" si="163"/>
        <v>FFDFD7C0</v>
      </c>
      <c r="D1699" t="s">
        <v>113</v>
      </c>
      <c r="E1699">
        <v>4</v>
      </c>
      <c r="F1699">
        <v>1004</v>
      </c>
      <c r="G1699" t="s">
        <v>120</v>
      </c>
      <c r="J1699" t="s">
        <v>115</v>
      </c>
      <c r="K1699">
        <v>0</v>
      </c>
      <c r="L1699">
        <v>3</v>
      </c>
      <c r="M1699">
        <v>0</v>
      </c>
      <c r="N1699">
        <v>2</v>
      </c>
      <c r="O1699">
        <v>1</v>
      </c>
      <c r="P1699">
        <v>0</v>
      </c>
      <c r="Q1699">
        <v>0</v>
      </c>
      <c r="S1699" t="str">
        <f>"18:47:39.789"</f>
        <v>18:47:39.789</v>
      </c>
      <c r="T1699" t="str">
        <f>"18:47:39.389"</f>
        <v>18:47:39.389</v>
      </c>
      <c r="U1699" t="str">
        <f t="shared" si="164"/>
        <v>AAB6EE</v>
      </c>
      <c r="V1699">
        <v>0</v>
      </c>
      <c r="W1699">
        <v>0</v>
      </c>
      <c r="X1699">
        <v>4</v>
      </c>
      <c r="Z1699">
        <v>0</v>
      </c>
      <c r="AA1699">
        <v>8</v>
      </c>
      <c r="AB1699">
        <v>3</v>
      </c>
      <c r="AC1699">
        <v>0</v>
      </c>
      <c r="AD1699">
        <v>10</v>
      </c>
      <c r="AE1699">
        <v>0</v>
      </c>
      <c r="AF1699">
        <v>0</v>
      </c>
      <c r="AG1699">
        <v>2</v>
      </c>
      <c r="AH1699">
        <v>1</v>
      </c>
      <c r="AI1699" t="s">
        <v>1251</v>
      </c>
      <c r="AJ1699">
        <v>35.185583000000001</v>
      </c>
      <c r="AK1699" t="s">
        <v>1252</v>
      </c>
      <c r="AL1699">
        <v>-76.019619000000006</v>
      </c>
      <c r="AM1699">
        <v>25</v>
      </c>
      <c r="AN1699">
        <v>2925</v>
      </c>
      <c r="AO1699" t="s">
        <v>118</v>
      </c>
      <c r="AP1699">
        <v>73</v>
      </c>
      <c r="AQ1699">
        <v>-139</v>
      </c>
      <c r="AR1699">
        <v>0</v>
      </c>
      <c r="AZ1699">
        <v>4516</v>
      </c>
      <c r="BA1699">
        <v>1</v>
      </c>
      <c r="BB1699" t="str">
        <f t="shared" si="165"/>
        <v xml:space="preserve">N79NX   </v>
      </c>
      <c r="BC1699">
        <v>1</v>
      </c>
      <c r="BE1699">
        <v>0</v>
      </c>
      <c r="BF1699">
        <v>0</v>
      </c>
      <c r="BG1699">
        <v>0</v>
      </c>
      <c r="BH1699">
        <v>2775</v>
      </c>
      <c r="BI1699">
        <v>0</v>
      </c>
      <c r="BJ1699">
        <v>0</v>
      </c>
      <c r="BK1699">
        <v>0</v>
      </c>
      <c r="BL1699">
        <v>0</v>
      </c>
      <c r="BO1699">
        <v>0</v>
      </c>
      <c r="BP1699">
        <v>0</v>
      </c>
      <c r="BW1699" t="str">
        <f>"18:47:39.793"</f>
        <v>18:47:39.793</v>
      </c>
      <c r="BZ1699">
        <v>0</v>
      </c>
      <c r="CA1699">
        <v>3008</v>
      </c>
      <c r="CB1699">
        <v>216</v>
      </c>
      <c r="CC1699">
        <v>518.90629999999999</v>
      </c>
      <c r="CD1699">
        <v>1</v>
      </c>
      <c r="CE1699">
        <v>1</v>
      </c>
      <c r="CF1699">
        <v>0</v>
      </c>
      <c r="CG1699">
        <v>1</v>
      </c>
      <c r="CH1699">
        <v>0</v>
      </c>
      <c r="CI1699">
        <v>1</v>
      </c>
      <c r="CJ1699">
        <v>0</v>
      </c>
      <c r="CK1699">
        <v>2</v>
      </c>
      <c r="CL1699">
        <v>0</v>
      </c>
      <c r="CM1699">
        <v>2</v>
      </c>
      <c r="CN1699">
        <v>0</v>
      </c>
      <c r="CO1699">
        <v>2</v>
      </c>
      <c r="CP1699" t="s">
        <v>119</v>
      </c>
      <c r="CQ1699">
        <v>145</v>
      </c>
      <c r="CR1699">
        <v>1</v>
      </c>
      <c r="CW1699">
        <v>9198380</v>
      </c>
      <c r="CY1699">
        <v>0</v>
      </c>
      <c r="CZ1699">
        <v>0</v>
      </c>
      <c r="DA1699">
        <v>1</v>
      </c>
      <c r="DB1699">
        <v>0</v>
      </c>
      <c r="DC1699">
        <v>0</v>
      </c>
      <c r="DD1699">
        <v>0</v>
      </c>
      <c r="DE1699">
        <v>0</v>
      </c>
      <c r="DF1699">
        <v>0</v>
      </c>
      <c r="DG1699">
        <v>0</v>
      </c>
      <c r="DH1699">
        <v>0</v>
      </c>
      <c r="DI1699">
        <v>0</v>
      </c>
    </row>
    <row r="1700" spans="1:113" x14ac:dyDescent="0.3">
      <c r="A1700" t="str">
        <f>"02/13/2022 18:47:41.003"</f>
        <v>02/13/2022 18:47:41.003</v>
      </c>
      <c r="C1700" t="str">
        <f t="shared" si="163"/>
        <v>FFDFD7C0</v>
      </c>
      <c r="D1700" t="s">
        <v>121</v>
      </c>
      <c r="E1700">
        <v>2</v>
      </c>
      <c r="H1700">
        <v>158</v>
      </c>
      <c r="I1700" t="s">
        <v>120</v>
      </c>
      <c r="J1700" t="s">
        <v>122</v>
      </c>
      <c r="K1700">
        <v>0</v>
      </c>
      <c r="L1700">
        <v>3</v>
      </c>
      <c r="M1700">
        <v>0</v>
      </c>
      <c r="N1700">
        <v>2</v>
      </c>
      <c r="O1700">
        <v>1</v>
      </c>
      <c r="P1700">
        <v>0</v>
      </c>
      <c r="Q1700">
        <v>0</v>
      </c>
      <c r="S1700" t="str">
        <f>"18:47:40.781"</f>
        <v>18:47:40.781</v>
      </c>
      <c r="T1700" t="str">
        <f>"18:47:40.581"</f>
        <v>18:47:40.581</v>
      </c>
      <c r="U1700" t="str">
        <f t="shared" si="164"/>
        <v>AAB6EE</v>
      </c>
      <c r="V1700">
        <v>0</v>
      </c>
      <c r="W1700">
        <v>0</v>
      </c>
      <c r="X1700">
        <v>4</v>
      </c>
      <c r="Z1700">
        <v>0</v>
      </c>
      <c r="AA1700">
        <v>8</v>
      </c>
      <c r="AB1700">
        <v>3</v>
      </c>
      <c r="AC1700">
        <v>0</v>
      </c>
      <c r="AD1700">
        <v>10</v>
      </c>
      <c r="AE1700">
        <v>0</v>
      </c>
      <c r="AF1700">
        <v>0</v>
      </c>
      <c r="AG1700">
        <v>2</v>
      </c>
      <c r="AH1700">
        <v>1</v>
      </c>
      <c r="AI1700" t="s">
        <v>1253</v>
      </c>
      <c r="AJ1700">
        <v>35.184959999999997</v>
      </c>
      <c r="AK1700" t="s">
        <v>1254</v>
      </c>
      <c r="AL1700">
        <v>-76.019167999999993</v>
      </c>
      <c r="AM1700">
        <v>25</v>
      </c>
      <c r="AN1700">
        <v>2925</v>
      </c>
      <c r="AO1700" t="s">
        <v>118</v>
      </c>
      <c r="AP1700">
        <v>73</v>
      </c>
      <c r="AQ1700">
        <v>-139</v>
      </c>
      <c r="AR1700">
        <v>0</v>
      </c>
      <c r="AZ1700">
        <v>4516</v>
      </c>
      <c r="BA1700">
        <v>1</v>
      </c>
      <c r="BB1700" t="str">
        <f t="shared" si="165"/>
        <v xml:space="preserve">N79NX   </v>
      </c>
      <c r="BC1700">
        <v>1</v>
      </c>
      <c r="BE1700">
        <v>0</v>
      </c>
      <c r="BF1700">
        <v>0</v>
      </c>
      <c r="BG1700">
        <v>0</v>
      </c>
      <c r="BH1700">
        <v>2775</v>
      </c>
      <c r="BI1700">
        <v>0</v>
      </c>
      <c r="BJ1700">
        <v>0</v>
      </c>
      <c r="BK1700">
        <v>0</v>
      </c>
      <c r="BL1700">
        <v>0</v>
      </c>
      <c r="BO1700">
        <v>0</v>
      </c>
      <c r="BP1700">
        <v>0</v>
      </c>
      <c r="BW1700" t="str">
        <f>"18:47:40.783"</f>
        <v>18:47:40.783</v>
      </c>
      <c r="BZ1700">
        <v>0</v>
      </c>
      <c r="CA1700">
        <v>3008</v>
      </c>
      <c r="CB1700">
        <v>216</v>
      </c>
      <c r="CC1700">
        <v>518.90629999999999</v>
      </c>
      <c r="CD1700">
        <v>1</v>
      </c>
      <c r="CE1700">
        <v>1</v>
      </c>
      <c r="CF1700">
        <v>0</v>
      </c>
      <c r="CG1700">
        <v>1</v>
      </c>
      <c r="CH1700">
        <v>0</v>
      </c>
      <c r="CI1700">
        <v>1</v>
      </c>
      <c r="CJ1700">
        <v>0</v>
      </c>
      <c r="CK1700">
        <v>2</v>
      </c>
      <c r="CL1700">
        <v>0</v>
      </c>
      <c r="CM1700">
        <v>2</v>
      </c>
      <c r="CN1700">
        <v>0</v>
      </c>
      <c r="CO1700">
        <v>1</v>
      </c>
      <c r="CP1700" t="s">
        <v>119</v>
      </c>
      <c r="CQ1700">
        <v>145</v>
      </c>
      <c r="CR1700">
        <v>1</v>
      </c>
      <c r="CW1700">
        <v>9198803</v>
      </c>
      <c r="CY1700">
        <v>0</v>
      </c>
      <c r="CZ1700">
        <v>0</v>
      </c>
      <c r="DA1700">
        <v>0</v>
      </c>
      <c r="DB1700">
        <v>0</v>
      </c>
      <c r="DC1700">
        <v>0</v>
      </c>
      <c r="DD1700">
        <v>0</v>
      </c>
      <c r="DE1700">
        <v>0</v>
      </c>
      <c r="DF1700">
        <v>0</v>
      </c>
      <c r="DG1700">
        <v>0</v>
      </c>
      <c r="DH1700">
        <v>0</v>
      </c>
      <c r="DI1700">
        <v>0</v>
      </c>
    </row>
    <row r="1701" spans="1:113" x14ac:dyDescent="0.3">
      <c r="A1701" t="str">
        <f>"02/13/2022 18:47:41.003"</f>
        <v>02/13/2022 18:47:41.003</v>
      </c>
      <c r="C1701" t="str">
        <f t="shared" ref="C1701:C1764" si="167">"FFDFD7C0"</f>
        <v>FFDFD7C0</v>
      </c>
      <c r="D1701" t="s">
        <v>113</v>
      </c>
      <c r="E1701">
        <v>3</v>
      </c>
      <c r="F1701">
        <v>1003</v>
      </c>
      <c r="G1701" t="s">
        <v>114</v>
      </c>
      <c r="J1701" t="s">
        <v>115</v>
      </c>
      <c r="K1701">
        <v>0</v>
      </c>
      <c r="L1701">
        <v>3</v>
      </c>
      <c r="M1701">
        <v>0</v>
      </c>
      <c r="N1701">
        <v>2</v>
      </c>
      <c r="O1701">
        <v>1</v>
      </c>
      <c r="P1701">
        <v>0</v>
      </c>
      <c r="Q1701">
        <v>0</v>
      </c>
      <c r="S1701" t="str">
        <f>"18:47:40.781"</f>
        <v>18:47:40.781</v>
      </c>
      <c r="T1701" t="str">
        <f>"18:47:40.581"</f>
        <v>18:47:40.581</v>
      </c>
      <c r="U1701" t="str">
        <f t="shared" si="164"/>
        <v>AAB6EE</v>
      </c>
      <c r="V1701">
        <v>0</v>
      </c>
      <c r="W1701">
        <v>0</v>
      </c>
      <c r="X1701">
        <v>4</v>
      </c>
      <c r="Z1701">
        <v>0</v>
      </c>
      <c r="AA1701">
        <v>8</v>
      </c>
      <c r="AB1701">
        <v>3</v>
      </c>
      <c r="AC1701">
        <v>0</v>
      </c>
      <c r="AD1701">
        <v>10</v>
      </c>
      <c r="AE1701">
        <v>0</v>
      </c>
      <c r="AF1701">
        <v>0</v>
      </c>
      <c r="AG1701">
        <v>2</v>
      </c>
      <c r="AH1701">
        <v>1</v>
      </c>
      <c r="AI1701" t="s">
        <v>1253</v>
      </c>
      <c r="AJ1701">
        <v>35.184959999999997</v>
      </c>
      <c r="AK1701" t="s">
        <v>1254</v>
      </c>
      <c r="AL1701">
        <v>-76.019167999999993</v>
      </c>
      <c r="AM1701">
        <v>25</v>
      </c>
      <c r="AN1701">
        <v>2925</v>
      </c>
      <c r="AO1701" t="s">
        <v>118</v>
      </c>
      <c r="AP1701">
        <v>73</v>
      </c>
      <c r="AQ1701">
        <v>-139</v>
      </c>
      <c r="AR1701">
        <v>0</v>
      </c>
      <c r="AZ1701">
        <v>4516</v>
      </c>
      <c r="BA1701">
        <v>1</v>
      </c>
      <c r="BB1701" t="str">
        <f t="shared" si="165"/>
        <v xml:space="preserve">N79NX   </v>
      </c>
      <c r="BC1701">
        <v>1</v>
      </c>
      <c r="BE1701">
        <v>0</v>
      </c>
      <c r="BF1701">
        <v>0</v>
      </c>
      <c r="BG1701">
        <v>0</v>
      </c>
      <c r="BH1701">
        <v>2775</v>
      </c>
      <c r="BI1701">
        <v>0</v>
      </c>
      <c r="BJ1701">
        <v>0</v>
      </c>
      <c r="BK1701">
        <v>0</v>
      </c>
      <c r="BL1701">
        <v>0</v>
      </c>
      <c r="BO1701">
        <v>0</v>
      </c>
      <c r="BP1701">
        <v>0</v>
      </c>
      <c r="BW1701" t="str">
        <f>"18:47:40.783"</f>
        <v>18:47:40.783</v>
      </c>
      <c r="BZ1701">
        <v>0</v>
      </c>
      <c r="CA1701">
        <v>3008</v>
      </c>
      <c r="CB1701">
        <v>216</v>
      </c>
      <c r="CC1701">
        <v>518.90629999999999</v>
      </c>
      <c r="CD1701">
        <v>1</v>
      </c>
      <c r="CE1701">
        <v>1</v>
      </c>
      <c r="CF1701">
        <v>0</v>
      </c>
      <c r="CG1701">
        <v>1</v>
      </c>
      <c r="CH1701">
        <v>0</v>
      </c>
      <c r="CI1701">
        <v>1</v>
      </c>
      <c r="CJ1701">
        <v>0</v>
      </c>
      <c r="CK1701">
        <v>2</v>
      </c>
      <c r="CL1701">
        <v>0</v>
      </c>
      <c r="CM1701">
        <v>2</v>
      </c>
      <c r="CN1701">
        <v>0</v>
      </c>
      <c r="CO1701">
        <v>1</v>
      </c>
      <c r="CP1701" t="s">
        <v>119</v>
      </c>
      <c r="CQ1701">
        <v>145</v>
      </c>
      <c r="CR1701">
        <v>1</v>
      </c>
      <c r="CW1701">
        <v>9198803</v>
      </c>
      <c r="CY1701">
        <v>0</v>
      </c>
      <c r="CZ1701">
        <v>0</v>
      </c>
      <c r="DA1701">
        <v>1</v>
      </c>
      <c r="DB1701">
        <v>0</v>
      </c>
      <c r="DC1701">
        <v>0</v>
      </c>
      <c r="DD1701">
        <v>0</v>
      </c>
      <c r="DE1701">
        <v>0</v>
      </c>
      <c r="DF1701">
        <v>0</v>
      </c>
      <c r="DG1701">
        <v>0</v>
      </c>
      <c r="DH1701">
        <v>0</v>
      </c>
      <c r="DI1701">
        <v>0</v>
      </c>
    </row>
    <row r="1702" spans="1:113" x14ac:dyDescent="0.3">
      <c r="A1702" t="str">
        <f>"02/13/2022 18:47:41.003"</f>
        <v>02/13/2022 18:47:41.003</v>
      </c>
      <c r="C1702" t="str">
        <f t="shared" si="167"/>
        <v>FFDFD7C0</v>
      </c>
      <c r="D1702" t="s">
        <v>113</v>
      </c>
      <c r="E1702">
        <v>4</v>
      </c>
      <c r="F1702">
        <v>1004</v>
      </c>
      <c r="G1702" t="s">
        <v>120</v>
      </c>
      <c r="J1702" t="s">
        <v>115</v>
      </c>
      <c r="K1702">
        <v>0</v>
      </c>
      <c r="L1702">
        <v>3</v>
      </c>
      <c r="M1702">
        <v>0</v>
      </c>
      <c r="N1702">
        <v>2</v>
      </c>
      <c r="O1702">
        <v>1</v>
      </c>
      <c r="P1702">
        <v>0</v>
      </c>
      <c r="Q1702">
        <v>0</v>
      </c>
      <c r="S1702" t="str">
        <f>"18:47:40.781"</f>
        <v>18:47:40.781</v>
      </c>
      <c r="T1702" t="str">
        <f>"18:47:40.581"</f>
        <v>18:47:40.581</v>
      </c>
      <c r="U1702" t="str">
        <f t="shared" si="164"/>
        <v>AAB6EE</v>
      </c>
      <c r="V1702">
        <v>0</v>
      </c>
      <c r="W1702">
        <v>0</v>
      </c>
      <c r="X1702">
        <v>4</v>
      </c>
      <c r="Z1702">
        <v>0</v>
      </c>
      <c r="AA1702">
        <v>8</v>
      </c>
      <c r="AB1702">
        <v>3</v>
      </c>
      <c r="AC1702">
        <v>0</v>
      </c>
      <c r="AD1702">
        <v>10</v>
      </c>
      <c r="AE1702">
        <v>0</v>
      </c>
      <c r="AF1702">
        <v>0</v>
      </c>
      <c r="AG1702">
        <v>2</v>
      </c>
      <c r="AH1702">
        <v>1</v>
      </c>
      <c r="AI1702" t="s">
        <v>1253</v>
      </c>
      <c r="AJ1702">
        <v>35.184959999999997</v>
      </c>
      <c r="AK1702" t="s">
        <v>1254</v>
      </c>
      <c r="AL1702">
        <v>-76.019167999999993</v>
      </c>
      <c r="AM1702">
        <v>25</v>
      </c>
      <c r="AN1702">
        <v>2925</v>
      </c>
      <c r="AO1702" t="s">
        <v>118</v>
      </c>
      <c r="AP1702">
        <v>73</v>
      </c>
      <c r="AQ1702">
        <v>-139</v>
      </c>
      <c r="AR1702">
        <v>0</v>
      </c>
      <c r="AZ1702">
        <v>4516</v>
      </c>
      <c r="BA1702">
        <v>1</v>
      </c>
      <c r="BB1702" t="str">
        <f t="shared" si="165"/>
        <v xml:space="preserve">N79NX   </v>
      </c>
      <c r="BC1702">
        <v>1</v>
      </c>
      <c r="BE1702">
        <v>0</v>
      </c>
      <c r="BF1702">
        <v>0</v>
      </c>
      <c r="BG1702">
        <v>0</v>
      </c>
      <c r="BH1702">
        <v>2775</v>
      </c>
      <c r="BI1702">
        <v>0</v>
      </c>
      <c r="BJ1702">
        <v>0</v>
      </c>
      <c r="BK1702">
        <v>0</v>
      </c>
      <c r="BL1702">
        <v>0</v>
      </c>
      <c r="BO1702">
        <v>0</v>
      </c>
      <c r="BP1702">
        <v>0</v>
      </c>
      <c r="BW1702" t="str">
        <f>"18:47:40.783"</f>
        <v>18:47:40.783</v>
      </c>
      <c r="BZ1702">
        <v>0</v>
      </c>
      <c r="CA1702">
        <v>3008</v>
      </c>
      <c r="CB1702">
        <v>216</v>
      </c>
      <c r="CC1702">
        <v>518.90629999999999</v>
      </c>
      <c r="CD1702">
        <v>1</v>
      </c>
      <c r="CE1702">
        <v>1</v>
      </c>
      <c r="CF1702">
        <v>0</v>
      </c>
      <c r="CG1702">
        <v>1</v>
      </c>
      <c r="CH1702">
        <v>0</v>
      </c>
      <c r="CI1702">
        <v>1</v>
      </c>
      <c r="CJ1702">
        <v>0</v>
      </c>
      <c r="CK1702">
        <v>2</v>
      </c>
      <c r="CL1702">
        <v>0</v>
      </c>
      <c r="CM1702">
        <v>2</v>
      </c>
      <c r="CN1702">
        <v>0</v>
      </c>
      <c r="CO1702">
        <v>1</v>
      </c>
      <c r="CP1702" t="s">
        <v>119</v>
      </c>
      <c r="CQ1702">
        <v>145</v>
      </c>
      <c r="CR1702">
        <v>1</v>
      </c>
      <c r="CW1702">
        <v>9198803</v>
      </c>
      <c r="CY1702">
        <v>0</v>
      </c>
      <c r="CZ1702">
        <v>0</v>
      </c>
      <c r="DA1702">
        <v>1</v>
      </c>
      <c r="DB1702">
        <v>0</v>
      </c>
      <c r="DC1702">
        <v>0</v>
      </c>
      <c r="DD1702">
        <v>0</v>
      </c>
      <c r="DE1702">
        <v>0</v>
      </c>
      <c r="DF1702">
        <v>0</v>
      </c>
      <c r="DG1702">
        <v>0</v>
      </c>
      <c r="DH1702">
        <v>0</v>
      </c>
      <c r="DI1702">
        <v>0</v>
      </c>
    </row>
    <row r="1703" spans="1:113" x14ac:dyDescent="0.3">
      <c r="A1703" t="str">
        <f>"02/13/2022 18:47:42.003"</f>
        <v>02/13/2022 18:47:42.003</v>
      </c>
      <c r="C1703" t="str">
        <f t="shared" si="167"/>
        <v>FFDFD7C0</v>
      </c>
      <c r="D1703" t="s">
        <v>121</v>
      </c>
      <c r="E1703">
        <v>2</v>
      </c>
      <c r="H1703">
        <v>158</v>
      </c>
      <c r="I1703" t="s">
        <v>120</v>
      </c>
      <c r="J1703" t="s">
        <v>122</v>
      </c>
      <c r="K1703">
        <v>0</v>
      </c>
      <c r="L1703">
        <v>3</v>
      </c>
      <c r="M1703">
        <v>0</v>
      </c>
      <c r="N1703">
        <v>2</v>
      </c>
      <c r="O1703">
        <v>1</v>
      </c>
      <c r="P1703">
        <v>0</v>
      </c>
      <c r="Q1703">
        <v>0</v>
      </c>
      <c r="S1703" t="str">
        <f>"18:47:41.789"</f>
        <v>18:47:41.789</v>
      </c>
      <c r="T1703" t="str">
        <f>"18:47:40.589"</f>
        <v>18:47:40.589</v>
      </c>
      <c r="U1703" t="str">
        <f t="shared" si="164"/>
        <v>AAB6EE</v>
      </c>
      <c r="V1703">
        <v>0</v>
      </c>
      <c r="W1703">
        <v>0</v>
      </c>
      <c r="X1703">
        <v>4</v>
      </c>
      <c r="Z1703">
        <v>0</v>
      </c>
      <c r="AA1703">
        <v>8</v>
      </c>
      <c r="AB1703">
        <v>3</v>
      </c>
      <c r="AC1703">
        <v>0</v>
      </c>
      <c r="AD1703">
        <v>10</v>
      </c>
      <c r="AE1703">
        <v>0</v>
      </c>
      <c r="AF1703">
        <v>0</v>
      </c>
      <c r="AG1703">
        <v>2</v>
      </c>
      <c r="AH1703">
        <v>1</v>
      </c>
      <c r="AI1703" t="s">
        <v>1255</v>
      </c>
      <c r="AJ1703">
        <v>35.184317</v>
      </c>
      <c r="AK1703" t="s">
        <v>1256</v>
      </c>
      <c r="AL1703">
        <v>-76.018782000000002</v>
      </c>
      <c r="AM1703">
        <v>25</v>
      </c>
      <c r="AN1703">
        <v>2925</v>
      </c>
      <c r="AO1703" t="s">
        <v>118</v>
      </c>
      <c r="AP1703">
        <v>73</v>
      </c>
      <c r="AQ1703">
        <v>-139</v>
      </c>
      <c r="AR1703">
        <v>0</v>
      </c>
      <c r="AZ1703">
        <v>4516</v>
      </c>
      <c r="BA1703">
        <v>1</v>
      </c>
      <c r="BB1703" t="str">
        <f t="shared" si="165"/>
        <v xml:space="preserve">N79NX   </v>
      </c>
      <c r="BC1703">
        <v>1</v>
      </c>
      <c r="BE1703">
        <v>0</v>
      </c>
      <c r="BF1703">
        <v>0</v>
      </c>
      <c r="BG1703">
        <v>0</v>
      </c>
      <c r="BH1703">
        <v>2775</v>
      </c>
      <c r="BI1703">
        <v>0</v>
      </c>
      <c r="BJ1703">
        <v>0</v>
      </c>
      <c r="BK1703">
        <v>0</v>
      </c>
      <c r="BL1703">
        <v>0</v>
      </c>
      <c r="BO1703">
        <v>0</v>
      </c>
      <c r="BP1703">
        <v>0</v>
      </c>
      <c r="BW1703" t="str">
        <f>"18:47:41.793"</f>
        <v>18:47:41.793</v>
      </c>
      <c r="BZ1703">
        <v>0</v>
      </c>
      <c r="CA1703">
        <v>3008</v>
      </c>
      <c r="CB1703">
        <v>216</v>
      </c>
      <c r="CC1703">
        <v>518.90629999999999</v>
      </c>
      <c r="CD1703">
        <v>1</v>
      </c>
      <c r="CE1703">
        <v>1</v>
      </c>
      <c r="CF1703">
        <v>0</v>
      </c>
      <c r="CG1703">
        <v>1</v>
      </c>
      <c r="CH1703">
        <v>0</v>
      </c>
      <c r="CI1703">
        <v>1</v>
      </c>
      <c r="CJ1703">
        <v>0</v>
      </c>
      <c r="CK1703">
        <v>2</v>
      </c>
      <c r="CL1703">
        <v>0</v>
      </c>
      <c r="CM1703">
        <v>2</v>
      </c>
      <c r="CN1703">
        <v>0</v>
      </c>
      <c r="CO1703">
        <v>2</v>
      </c>
      <c r="CP1703" t="s">
        <v>119</v>
      </c>
      <c r="CQ1703">
        <v>145</v>
      </c>
      <c r="CR1703">
        <v>1</v>
      </c>
      <c r="CW1703">
        <v>9199254</v>
      </c>
      <c r="CY1703">
        <v>0</v>
      </c>
      <c r="CZ1703">
        <v>0</v>
      </c>
      <c r="DA1703">
        <v>0</v>
      </c>
      <c r="DB1703">
        <v>0</v>
      </c>
      <c r="DC1703">
        <v>0</v>
      </c>
      <c r="DD1703">
        <v>0</v>
      </c>
      <c r="DE1703">
        <v>0</v>
      </c>
      <c r="DF1703">
        <v>0</v>
      </c>
      <c r="DG1703">
        <v>0</v>
      </c>
      <c r="DH1703">
        <v>0</v>
      </c>
      <c r="DI1703">
        <v>0</v>
      </c>
    </row>
    <row r="1704" spans="1:113" x14ac:dyDescent="0.3">
      <c r="A1704" t="str">
        <f>"02/13/2022 18:47:42.003"</f>
        <v>02/13/2022 18:47:42.003</v>
      </c>
      <c r="C1704" t="str">
        <f t="shared" si="167"/>
        <v>FFDFD7C0</v>
      </c>
      <c r="D1704" t="s">
        <v>113</v>
      </c>
      <c r="E1704">
        <v>3</v>
      </c>
      <c r="F1704">
        <v>1003</v>
      </c>
      <c r="G1704" t="s">
        <v>114</v>
      </c>
      <c r="J1704" t="s">
        <v>115</v>
      </c>
      <c r="K1704">
        <v>0</v>
      </c>
      <c r="L1704">
        <v>3</v>
      </c>
      <c r="M1704">
        <v>0</v>
      </c>
      <c r="N1704">
        <v>2</v>
      </c>
      <c r="O1704">
        <v>1</v>
      </c>
      <c r="P1704">
        <v>0</v>
      </c>
      <c r="Q1704">
        <v>0</v>
      </c>
      <c r="S1704" t="str">
        <f>"18:47:41.789"</f>
        <v>18:47:41.789</v>
      </c>
      <c r="T1704" t="str">
        <f>"18:47:40.589"</f>
        <v>18:47:40.589</v>
      </c>
      <c r="U1704" t="str">
        <f t="shared" si="164"/>
        <v>AAB6EE</v>
      </c>
      <c r="V1704">
        <v>0</v>
      </c>
      <c r="W1704">
        <v>0</v>
      </c>
      <c r="X1704">
        <v>4</v>
      </c>
      <c r="Z1704">
        <v>0</v>
      </c>
      <c r="AA1704">
        <v>8</v>
      </c>
      <c r="AB1704">
        <v>3</v>
      </c>
      <c r="AC1704">
        <v>0</v>
      </c>
      <c r="AD1704">
        <v>10</v>
      </c>
      <c r="AE1704">
        <v>0</v>
      </c>
      <c r="AF1704">
        <v>0</v>
      </c>
      <c r="AG1704">
        <v>2</v>
      </c>
      <c r="AH1704">
        <v>1</v>
      </c>
      <c r="AI1704" t="s">
        <v>1255</v>
      </c>
      <c r="AJ1704">
        <v>35.184317</v>
      </c>
      <c r="AK1704" t="s">
        <v>1256</v>
      </c>
      <c r="AL1704">
        <v>-76.018782000000002</v>
      </c>
      <c r="AM1704">
        <v>25</v>
      </c>
      <c r="AN1704">
        <v>2925</v>
      </c>
      <c r="AO1704" t="s">
        <v>118</v>
      </c>
      <c r="AP1704">
        <v>73</v>
      </c>
      <c r="AQ1704">
        <v>-139</v>
      </c>
      <c r="AR1704">
        <v>0</v>
      </c>
      <c r="AZ1704">
        <v>4516</v>
      </c>
      <c r="BA1704">
        <v>1</v>
      </c>
      <c r="BB1704" t="str">
        <f t="shared" si="165"/>
        <v xml:space="preserve">N79NX   </v>
      </c>
      <c r="BC1704">
        <v>1</v>
      </c>
      <c r="BE1704">
        <v>0</v>
      </c>
      <c r="BF1704">
        <v>0</v>
      </c>
      <c r="BG1704">
        <v>0</v>
      </c>
      <c r="BH1704">
        <v>2775</v>
      </c>
      <c r="BI1704">
        <v>0</v>
      </c>
      <c r="BJ1704">
        <v>0</v>
      </c>
      <c r="BK1704">
        <v>0</v>
      </c>
      <c r="BL1704">
        <v>0</v>
      </c>
      <c r="BO1704">
        <v>0</v>
      </c>
      <c r="BP1704">
        <v>0</v>
      </c>
      <c r="BW1704" t="str">
        <f>"18:47:41.793"</f>
        <v>18:47:41.793</v>
      </c>
      <c r="BZ1704">
        <v>0</v>
      </c>
      <c r="CA1704">
        <v>3008</v>
      </c>
      <c r="CB1704">
        <v>216</v>
      </c>
      <c r="CC1704">
        <v>518.90629999999999</v>
      </c>
      <c r="CD1704">
        <v>1</v>
      </c>
      <c r="CE1704">
        <v>1</v>
      </c>
      <c r="CF1704">
        <v>0</v>
      </c>
      <c r="CG1704">
        <v>1</v>
      </c>
      <c r="CH1704">
        <v>0</v>
      </c>
      <c r="CI1704">
        <v>1</v>
      </c>
      <c r="CJ1704">
        <v>0</v>
      </c>
      <c r="CK1704">
        <v>2</v>
      </c>
      <c r="CL1704">
        <v>0</v>
      </c>
      <c r="CM1704">
        <v>2</v>
      </c>
      <c r="CN1704">
        <v>0</v>
      </c>
      <c r="CO1704">
        <v>2</v>
      </c>
      <c r="CP1704" t="s">
        <v>119</v>
      </c>
      <c r="CQ1704">
        <v>145</v>
      </c>
      <c r="CR1704">
        <v>1</v>
      </c>
      <c r="CW1704">
        <v>9199254</v>
      </c>
      <c r="CY1704">
        <v>0</v>
      </c>
      <c r="CZ1704">
        <v>0</v>
      </c>
      <c r="DA1704">
        <v>1</v>
      </c>
      <c r="DB1704">
        <v>0</v>
      </c>
      <c r="DC1704">
        <v>0</v>
      </c>
      <c r="DD1704">
        <v>0</v>
      </c>
      <c r="DE1704">
        <v>0</v>
      </c>
      <c r="DF1704">
        <v>0</v>
      </c>
      <c r="DG1704">
        <v>0</v>
      </c>
      <c r="DH1704">
        <v>0</v>
      </c>
      <c r="DI1704">
        <v>0</v>
      </c>
    </row>
    <row r="1705" spans="1:113" x14ac:dyDescent="0.3">
      <c r="A1705" t="str">
        <f>"02/13/2022 18:47:42.003"</f>
        <v>02/13/2022 18:47:42.003</v>
      </c>
      <c r="C1705" t="str">
        <f t="shared" si="167"/>
        <v>FFDFD7C0</v>
      </c>
      <c r="D1705" t="s">
        <v>113</v>
      </c>
      <c r="E1705">
        <v>4</v>
      </c>
      <c r="F1705">
        <v>1004</v>
      </c>
      <c r="G1705" t="s">
        <v>120</v>
      </c>
      <c r="J1705" t="s">
        <v>115</v>
      </c>
      <c r="K1705">
        <v>0</v>
      </c>
      <c r="L1705">
        <v>3</v>
      </c>
      <c r="M1705">
        <v>0</v>
      </c>
      <c r="N1705">
        <v>2</v>
      </c>
      <c r="O1705">
        <v>1</v>
      </c>
      <c r="P1705">
        <v>0</v>
      </c>
      <c r="Q1705">
        <v>0</v>
      </c>
      <c r="S1705" t="str">
        <f>"18:47:41.789"</f>
        <v>18:47:41.789</v>
      </c>
      <c r="T1705" t="str">
        <f>"18:47:40.589"</f>
        <v>18:47:40.589</v>
      </c>
      <c r="U1705" t="str">
        <f t="shared" si="164"/>
        <v>AAB6EE</v>
      </c>
      <c r="V1705">
        <v>0</v>
      </c>
      <c r="W1705">
        <v>0</v>
      </c>
      <c r="X1705">
        <v>4</v>
      </c>
      <c r="Z1705">
        <v>0</v>
      </c>
      <c r="AA1705">
        <v>8</v>
      </c>
      <c r="AB1705">
        <v>3</v>
      </c>
      <c r="AC1705">
        <v>0</v>
      </c>
      <c r="AD1705">
        <v>10</v>
      </c>
      <c r="AE1705">
        <v>0</v>
      </c>
      <c r="AF1705">
        <v>0</v>
      </c>
      <c r="AG1705">
        <v>2</v>
      </c>
      <c r="AH1705">
        <v>1</v>
      </c>
      <c r="AI1705" t="s">
        <v>1255</v>
      </c>
      <c r="AJ1705">
        <v>35.184317</v>
      </c>
      <c r="AK1705" t="s">
        <v>1256</v>
      </c>
      <c r="AL1705">
        <v>-76.018782000000002</v>
      </c>
      <c r="AM1705">
        <v>25</v>
      </c>
      <c r="AN1705">
        <v>2925</v>
      </c>
      <c r="AO1705" t="s">
        <v>118</v>
      </c>
      <c r="AP1705">
        <v>73</v>
      </c>
      <c r="AQ1705">
        <v>-139</v>
      </c>
      <c r="AR1705">
        <v>0</v>
      </c>
      <c r="AZ1705">
        <v>4516</v>
      </c>
      <c r="BA1705">
        <v>1</v>
      </c>
      <c r="BB1705" t="str">
        <f t="shared" si="165"/>
        <v xml:space="preserve">N79NX   </v>
      </c>
      <c r="BC1705">
        <v>1</v>
      </c>
      <c r="BE1705">
        <v>0</v>
      </c>
      <c r="BF1705">
        <v>0</v>
      </c>
      <c r="BG1705">
        <v>0</v>
      </c>
      <c r="BH1705">
        <v>2775</v>
      </c>
      <c r="BI1705">
        <v>0</v>
      </c>
      <c r="BJ1705">
        <v>0</v>
      </c>
      <c r="BK1705">
        <v>0</v>
      </c>
      <c r="BL1705">
        <v>0</v>
      </c>
      <c r="BO1705">
        <v>0</v>
      </c>
      <c r="BP1705">
        <v>0</v>
      </c>
      <c r="BW1705" t="str">
        <f>"18:47:41.793"</f>
        <v>18:47:41.793</v>
      </c>
      <c r="BZ1705">
        <v>0</v>
      </c>
      <c r="CA1705">
        <v>3008</v>
      </c>
      <c r="CB1705">
        <v>216</v>
      </c>
      <c r="CC1705">
        <v>518.90629999999999</v>
      </c>
      <c r="CD1705">
        <v>1</v>
      </c>
      <c r="CE1705">
        <v>1</v>
      </c>
      <c r="CF1705">
        <v>0</v>
      </c>
      <c r="CG1705">
        <v>1</v>
      </c>
      <c r="CH1705">
        <v>0</v>
      </c>
      <c r="CI1705">
        <v>1</v>
      </c>
      <c r="CJ1705">
        <v>0</v>
      </c>
      <c r="CK1705">
        <v>2</v>
      </c>
      <c r="CL1705">
        <v>0</v>
      </c>
      <c r="CM1705">
        <v>2</v>
      </c>
      <c r="CN1705">
        <v>0</v>
      </c>
      <c r="CO1705">
        <v>2</v>
      </c>
      <c r="CP1705" t="s">
        <v>119</v>
      </c>
      <c r="CQ1705">
        <v>145</v>
      </c>
      <c r="CR1705">
        <v>1</v>
      </c>
      <c r="CW1705">
        <v>9199254</v>
      </c>
      <c r="CY1705">
        <v>0</v>
      </c>
      <c r="CZ1705">
        <v>0</v>
      </c>
      <c r="DA1705">
        <v>1</v>
      </c>
      <c r="DB1705">
        <v>0</v>
      </c>
      <c r="DC1705">
        <v>0</v>
      </c>
      <c r="DD1705">
        <v>0</v>
      </c>
      <c r="DE1705">
        <v>0</v>
      </c>
      <c r="DF1705">
        <v>0</v>
      </c>
      <c r="DG1705">
        <v>0</v>
      </c>
      <c r="DH1705">
        <v>0</v>
      </c>
      <c r="DI1705">
        <v>0</v>
      </c>
    </row>
    <row r="1706" spans="1:113" x14ac:dyDescent="0.3">
      <c r="A1706" t="str">
        <f>"02/13/2022 18:47:43.066"</f>
        <v>02/13/2022 18:47:43.066</v>
      </c>
      <c r="C1706" t="str">
        <f t="shared" si="167"/>
        <v>FFDFD7C0</v>
      </c>
      <c r="D1706" t="s">
        <v>121</v>
      </c>
      <c r="E1706">
        <v>2</v>
      </c>
      <c r="H1706">
        <v>158</v>
      </c>
      <c r="I1706" t="s">
        <v>120</v>
      </c>
      <c r="J1706" t="s">
        <v>122</v>
      </c>
      <c r="K1706">
        <v>0</v>
      </c>
      <c r="L1706">
        <v>3</v>
      </c>
      <c r="M1706">
        <v>0</v>
      </c>
      <c r="N1706">
        <v>2</v>
      </c>
      <c r="O1706">
        <v>1</v>
      </c>
      <c r="P1706">
        <v>0</v>
      </c>
      <c r="Q1706">
        <v>0</v>
      </c>
      <c r="S1706" t="str">
        <f>"18:47:42.867"</f>
        <v>18:47:42.867</v>
      </c>
      <c r="T1706" t="str">
        <f>"18:47:42.467"</f>
        <v>18:47:42.467</v>
      </c>
      <c r="U1706" t="str">
        <f t="shared" si="164"/>
        <v>AAB6EE</v>
      </c>
      <c r="V1706">
        <v>0</v>
      </c>
      <c r="W1706">
        <v>0</v>
      </c>
      <c r="X1706">
        <v>4</v>
      </c>
      <c r="Z1706">
        <v>0</v>
      </c>
      <c r="AA1706">
        <v>8</v>
      </c>
      <c r="AB1706">
        <v>3</v>
      </c>
      <c r="AC1706">
        <v>0</v>
      </c>
      <c r="AD1706">
        <v>10</v>
      </c>
      <c r="AE1706">
        <v>0</v>
      </c>
      <c r="AF1706">
        <v>0</v>
      </c>
      <c r="AG1706">
        <v>2</v>
      </c>
      <c r="AH1706">
        <v>1</v>
      </c>
      <c r="AI1706" t="s">
        <v>1257</v>
      </c>
      <c r="AJ1706">
        <v>35.183565999999999</v>
      </c>
      <c r="AK1706" t="s">
        <v>1258</v>
      </c>
      <c r="AL1706">
        <v>-76.018287999999998</v>
      </c>
      <c r="AM1706">
        <v>25</v>
      </c>
      <c r="AN1706">
        <v>2925</v>
      </c>
      <c r="AO1706" t="s">
        <v>118</v>
      </c>
      <c r="AP1706">
        <v>73</v>
      </c>
      <c r="AQ1706">
        <v>-139</v>
      </c>
      <c r="AR1706">
        <v>64</v>
      </c>
      <c r="AZ1706">
        <v>4516</v>
      </c>
      <c r="BA1706">
        <v>1</v>
      </c>
      <c r="BB1706" t="str">
        <f t="shared" si="165"/>
        <v xml:space="preserve">N79NX   </v>
      </c>
      <c r="BC1706">
        <v>1</v>
      </c>
      <c r="BE1706">
        <v>0</v>
      </c>
      <c r="BF1706">
        <v>0</v>
      </c>
      <c r="BG1706">
        <v>0</v>
      </c>
      <c r="BH1706">
        <v>2775</v>
      </c>
      <c r="BI1706">
        <v>0</v>
      </c>
      <c r="BJ1706">
        <v>0</v>
      </c>
      <c r="BK1706">
        <v>0</v>
      </c>
      <c r="BL1706">
        <v>0</v>
      </c>
      <c r="BO1706">
        <v>0</v>
      </c>
      <c r="BP1706">
        <v>0</v>
      </c>
      <c r="BW1706" t="str">
        <f>"18:47:42.873"</f>
        <v>18:47:42.873</v>
      </c>
      <c r="BZ1706">
        <v>0</v>
      </c>
      <c r="CA1706">
        <v>3008</v>
      </c>
      <c r="CB1706">
        <v>216</v>
      </c>
      <c r="CC1706">
        <v>518.90629999999999</v>
      </c>
      <c r="CD1706">
        <v>1</v>
      </c>
      <c r="CE1706">
        <v>1</v>
      </c>
      <c r="CF1706">
        <v>0</v>
      </c>
      <c r="CG1706">
        <v>1</v>
      </c>
      <c r="CH1706">
        <v>0</v>
      </c>
      <c r="CI1706">
        <v>1</v>
      </c>
      <c r="CJ1706">
        <v>0</v>
      </c>
      <c r="CK1706">
        <v>2</v>
      </c>
      <c r="CL1706">
        <v>0</v>
      </c>
      <c r="CM1706">
        <v>2</v>
      </c>
      <c r="CN1706">
        <v>0</v>
      </c>
      <c r="CO1706">
        <v>2</v>
      </c>
      <c r="CP1706" t="s">
        <v>119</v>
      </c>
      <c r="CQ1706">
        <v>145</v>
      </c>
      <c r="CR1706">
        <v>1</v>
      </c>
      <c r="CW1706">
        <v>9199804</v>
      </c>
      <c r="CY1706">
        <v>0</v>
      </c>
      <c r="CZ1706">
        <v>0</v>
      </c>
      <c r="DA1706">
        <v>0</v>
      </c>
      <c r="DB1706">
        <v>0</v>
      </c>
      <c r="DC1706">
        <v>0</v>
      </c>
      <c r="DD1706">
        <v>0</v>
      </c>
      <c r="DE1706">
        <v>0</v>
      </c>
      <c r="DF1706">
        <v>0</v>
      </c>
      <c r="DG1706">
        <v>0</v>
      </c>
      <c r="DH1706">
        <v>0</v>
      </c>
      <c r="DI1706">
        <v>0</v>
      </c>
    </row>
    <row r="1707" spans="1:113" x14ac:dyDescent="0.3">
      <c r="A1707" t="str">
        <f>"02/13/2022 18:47:43.066"</f>
        <v>02/13/2022 18:47:43.066</v>
      </c>
      <c r="C1707" t="str">
        <f t="shared" si="167"/>
        <v>FFDFD7C0</v>
      </c>
      <c r="D1707" t="s">
        <v>113</v>
      </c>
      <c r="E1707">
        <v>3</v>
      </c>
      <c r="F1707">
        <v>1003</v>
      </c>
      <c r="G1707" t="s">
        <v>114</v>
      </c>
      <c r="J1707" t="s">
        <v>115</v>
      </c>
      <c r="K1707">
        <v>0</v>
      </c>
      <c r="L1707">
        <v>3</v>
      </c>
      <c r="M1707">
        <v>0</v>
      </c>
      <c r="N1707">
        <v>2</v>
      </c>
      <c r="O1707">
        <v>1</v>
      </c>
      <c r="P1707">
        <v>0</v>
      </c>
      <c r="Q1707">
        <v>0</v>
      </c>
      <c r="S1707" t="str">
        <f>"18:47:42.867"</f>
        <v>18:47:42.867</v>
      </c>
      <c r="T1707" t="str">
        <f>"18:47:42.467"</f>
        <v>18:47:42.467</v>
      </c>
      <c r="U1707" t="str">
        <f t="shared" si="164"/>
        <v>AAB6EE</v>
      </c>
      <c r="V1707">
        <v>0</v>
      </c>
      <c r="W1707">
        <v>0</v>
      </c>
      <c r="X1707">
        <v>4</v>
      </c>
      <c r="Z1707">
        <v>0</v>
      </c>
      <c r="AA1707">
        <v>8</v>
      </c>
      <c r="AB1707">
        <v>3</v>
      </c>
      <c r="AC1707">
        <v>0</v>
      </c>
      <c r="AD1707">
        <v>10</v>
      </c>
      <c r="AE1707">
        <v>0</v>
      </c>
      <c r="AF1707">
        <v>0</v>
      </c>
      <c r="AG1707">
        <v>2</v>
      </c>
      <c r="AH1707">
        <v>1</v>
      </c>
      <c r="AI1707" t="s">
        <v>1257</v>
      </c>
      <c r="AJ1707">
        <v>35.183565999999999</v>
      </c>
      <c r="AK1707" t="s">
        <v>1258</v>
      </c>
      <c r="AL1707">
        <v>-76.018287999999998</v>
      </c>
      <c r="AM1707">
        <v>25</v>
      </c>
      <c r="AN1707">
        <v>2925</v>
      </c>
      <c r="AO1707" t="s">
        <v>118</v>
      </c>
      <c r="AP1707">
        <v>73</v>
      </c>
      <c r="AQ1707">
        <v>-139</v>
      </c>
      <c r="AR1707">
        <v>64</v>
      </c>
      <c r="AZ1707">
        <v>4516</v>
      </c>
      <c r="BA1707">
        <v>1</v>
      </c>
      <c r="BB1707" t="str">
        <f t="shared" si="165"/>
        <v xml:space="preserve">N79NX   </v>
      </c>
      <c r="BC1707">
        <v>1</v>
      </c>
      <c r="BE1707">
        <v>0</v>
      </c>
      <c r="BF1707">
        <v>0</v>
      </c>
      <c r="BG1707">
        <v>0</v>
      </c>
      <c r="BH1707">
        <v>2775</v>
      </c>
      <c r="BI1707">
        <v>0</v>
      </c>
      <c r="BJ1707">
        <v>0</v>
      </c>
      <c r="BK1707">
        <v>0</v>
      </c>
      <c r="BL1707">
        <v>0</v>
      </c>
      <c r="BO1707">
        <v>0</v>
      </c>
      <c r="BP1707">
        <v>0</v>
      </c>
      <c r="BW1707" t="str">
        <f>"18:47:42.873"</f>
        <v>18:47:42.873</v>
      </c>
      <c r="BZ1707">
        <v>0</v>
      </c>
      <c r="CA1707">
        <v>3008</v>
      </c>
      <c r="CB1707">
        <v>216</v>
      </c>
      <c r="CC1707">
        <v>518.90629999999999</v>
      </c>
      <c r="CD1707">
        <v>1</v>
      </c>
      <c r="CE1707">
        <v>1</v>
      </c>
      <c r="CF1707">
        <v>0</v>
      </c>
      <c r="CG1707">
        <v>1</v>
      </c>
      <c r="CH1707">
        <v>0</v>
      </c>
      <c r="CI1707">
        <v>1</v>
      </c>
      <c r="CJ1707">
        <v>0</v>
      </c>
      <c r="CK1707">
        <v>2</v>
      </c>
      <c r="CL1707">
        <v>0</v>
      </c>
      <c r="CM1707">
        <v>2</v>
      </c>
      <c r="CN1707">
        <v>0</v>
      </c>
      <c r="CO1707">
        <v>2</v>
      </c>
      <c r="CP1707" t="s">
        <v>119</v>
      </c>
      <c r="CQ1707">
        <v>145</v>
      </c>
      <c r="CR1707">
        <v>1</v>
      </c>
      <c r="CW1707">
        <v>9199804</v>
      </c>
      <c r="CY1707">
        <v>0</v>
      </c>
      <c r="CZ1707">
        <v>0</v>
      </c>
      <c r="DA1707">
        <v>1</v>
      </c>
      <c r="DB1707">
        <v>0</v>
      </c>
      <c r="DC1707">
        <v>0</v>
      </c>
      <c r="DD1707">
        <v>0</v>
      </c>
      <c r="DE1707">
        <v>0</v>
      </c>
      <c r="DF1707">
        <v>0</v>
      </c>
      <c r="DG1707">
        <v>0</v>
      </c>
      <c r="DH1707">
        <v>0</v>
      </c>
      <c r="DI1707">
        <v>0</v>
      </c>
    </row>
    <row r="1708" spans="1:113" x14ac:dyDescent="0.3">
      <c r="A1708" t="str">
        <f>"02/13/2022 18:47:43.066"</f>
        <v>02/13/2022 18:47:43.066</v>
      </c>
      <c r="C1708" t="str">
        <f t="shared" si="167"/>
        <v>FFDFD7C0</v>
      </c>
      <c r="D1708" t="s">
        <v>113</v>
      </c>
      <c r="E1708">
        <v>4</v>
      </c>
      <c r="F1708">
        <v>1004</v>
      </c>
      <c r="G1708" t="s">
        <v>120</v>
      </c>
      <c r="J1708" t="s">
        <v>115</v>
      </c>
      <c r="K1708">
        <v>0</v>
      </c>
      <c r="L1708">
        <v>3</v>
      </c>
      <c r="M1708">
        <v>0</v>
      </c>
      <c r="N1708">
        <v>2</v>
      </c>
      <c r="O1708">
        <v>1</v>
      </c>
      <c r="P1708">
        <v>0</v>
      </c>
      <c r="Q1708">
        <v>0</v>
      </c>
      <c r="S1708" t="str">
        <f>"18:47:42.867"</f>
        <v>18:47:42.867</v>
      </c>
      <c r="T1708" t="str">
        <f>"18:47:42.467"</f>
        <v>18:47:42.467</v>
      </c>
      <c r="U1708" t="str">
        <f t="shared" si="164"/>
        <v>AAB6EE</v>
      </c>
      <c r="V1708">
        <v>0</v>
      </c>
      <c r="W1708">
        <v>0</v>
      </c>
      <c r="X1708">
        <v>4</v>
      </c>
      <c r="Z1708">
        <v>0</v>
      </c>
      <c r="AA1708">
        <v>8</v>
      </c>
      <c r="AB1708">
        <v>3</v>
      </c>
      <c r="AC1708">
        <v>0</v>
      </c>
      <c r="AD1708">
        <v>10</v>
      </c>
      <c r="AE1708">
        <v>0</v>
      </c>
      <c r="AF1708">
        <v>0</v>
      </c>
      <c r="AG1708">
        <v>2</v>
      </c>
      <c r="AH1708">
        <v>1</v>
      </c>
      <c r="AI1708" t="s">
        <v>1257</v>
      </c>
      <c r="AJ1708">
        <v>35.183565999999999</v>
      </c>
      <c r="AK1708" t="s">
        <v>1258</v>
      </c>
      <c r="AL1708">
        <v>-76.018287999999998</v>
      </c>
      <c r="AM1708">
        <v>25</v>
      </c>
      <c r="AN1708">
        <v>2925</v>
      </c>
      <c r="AO1708" t="s">
        <v>118</v>
      </c>
      <c r="AP1708">
        <v>73</v>
      </c>
      <c r="AQ1708">
        <v>-139</v>
      </c>
      <c r="AR1708">
        <v>64</v>
      </c>
      <c r="AZ1708">
        <v>4516</v>
      </c>
      <c r="BA1708">
        <v>1</v>
      </c>
      <c r="BB1708" t="str">
        <f t="shared" si="165"/>
        <v xml:space="preserve">N79NX   </v>
      </c>
      <c r="BC1708">
        <v>1</v>
      </c>
      <c r="BE1708">
        <v>0</v>
      </c>
      <c r="BF1708">
        <v>0</v>
      </c>
      <c r="BG1708">
        <v>0</v>
      </c>
      <c r="BH1708">
        <v>2775</v>
      </c>
      <c r="BI1708">
        <v>0</v>
      </c>
      <c r="BJ1708">
        <v>0</v>
      </c>
      <c r="BK1708">
        <v>0</v>
      </c>
      <c r="BL1708">
        <v>0</v>
      </c>
      <c r="BO1708">
        <v>0</v>
      </c>
      <c r="BP1708">
        <v>0</v>
      </c>
      <c r="BW1708" t="str">
        <f>"18:47:42.873"</f>
        <v>18:47:42.873</v>
      </c>
      <c r="BZ1708">
        <v>0</v>
      </c>
      <c r="CA1708">
        <v>3008</v>
      </c>
      <c r="CB1708">
        <v>216</v>
      </c>
      <c r="CC1708">
        <v>518.90629999999999</v>
      </c>
      <c r="CD1708">
        <v>1</v>
      </c>
      <c r="CE1708">
        <v>1</v>
      </c>
      <c r="CF1708">
        <v>0</v>
      </c>
      <c r="CG1708">
        <v>1</v>
      </c>
      <c r="CH1708">
        <v>0</v>
      </c>
      <c r="CI1708">
        <v>1</v>
      </c>
      <c r="CJ1708">
        <v>0</v>
      </c>
      <c r="CK1708">
        <v>2</v>
      </c>
      <c r="CL1708">
        <v>0</v>
      </c>
      <c r="CM1708">
        <v>2</v>
      </c>
      <c r="CN1708">
        <v>0</v>
      </c>
      <c r="CO1708">
        <v>2</v>
      </c>
      <c r="CP1708" t="s">
        <v>119</v>
      </c>
      <c r="CQ1708">
        <v>145</v>
      </c>
      <c r="CR1708">
        <v>1</v>
      </c>
      <c r="CW1708">
        <v>9199804</v>
      </c>
      <c r="CY1708">
        <v>0</v>
      </c>
      <c r="CZ1708">
        <v>0</v>
      </c>
      <c r="DA1708">
        <v>1</v>
      </c>
      <c r="DB1708">
        <v>0</v>
      </c>
      <c r="DC1708">
        <v>0</v>
      </c>
      <c r="DD1708">
        <v>0</v>
      </c>
      <c r="DE1708">
        <v>0</v>
      </c>
      <c r="DF1708">
        <v>0</v>
      </c>
      <c r="DG1708">
        <v>0</v>
      </c>
      <c r="DH1708">
        <v>0</v>
      </c>
      <c r="DI1708">
        <v>0</v>
      </c>
    </row>
    <row r="1709" spans="1:113" x14ac:dyDescent="0.3">
      <c r="A1709" t="str">
        <f>"02/13/2022 18:47:44.238"</f>
        <v>02/13/2022 18:47:44.238</v>
      </c>
      <c r="C1709" t="str">
        <f t="shared" si="167"/>
        <v>FFDFD7C0</v>
      </c>
      <c r="D1709" t="s">
        <v>121</v>
      </c>
      <c r="E1709">
        <v>2</v>
      </c>
      <c r="H1709">
        <v>158</v>
      </c>
      <c r="I1709" t="s">
        <v>120</v>
      </c>
      <c r="J1709" t="s">
        <v>122</v>
      </c>
      <c r="K1709">
        <v>0</v>
      </c>
      <c r="L1709">
        <v>3</v>
      </c>
      <c r="M1709">
        <v>0</v>
      </c>
      <c r="N1709">
        <v>2</v>
      </c>
      <c r="O1709">
        <v>1</v>
      </c>
      <c r="P1709">
        <v>0</v>
      </c>
      <c r="Q1709">
        <v>0</v>
      </c>
      <c r="S1709" t="str">
        <f>"18:47:43.992"</f>
        <v>18:47:43.992</v>
      </c>
      <c r="T1709" t="str">
        <f>"18:47:43.492"</f>
        <v>18:47:43.492</v>
      </c>
      <c r="U1709" t="str">
        <f t="shared" si="164"/>
        <v>AAB6EE</v>
      </c>
      <c r="V1709">
        <v>0</v>
      </c>
      <c r="W1709">
        <v>0</v>
      </c>
      <c r="X1709">
        <v>4</v>
      </c>
      <c r="Z1709">
        <v>0</v>
      </c>
      <c r="AA1709">
        <v>8</v>
      </c>
      <c r="AB1709">
        <v>3</v>
      </c>
      <c r="AC1709">
        <v>0</v>
      </c>
      <c r="AD1709">
        <v>10</v>
      </c>
      <c r="AE1709">
        <v>0</v>
      </c>
      <c r="AF1709">
        <v>0</v>
      </c>
      <c r="AG1709">
        <v>2</v>
      </c>
      <c r="AH1709">
        <v>1</v>
      </c>
      <c r="AI1709" t="s">
        <v>1259</v>
      </c>
      <c r="AJ1709">
        <v>35.182899999999997</v>
      </c>
      <c r="AK1709" t="s">
        <v>1260</v>
      </c>
      <c r="AL1709">
        <v>-76.017880000000005</v>
      </c>
      <c r="AM1709">
        <v>25</v>
      </c>
      <c r="AN1709">
        <v>2925</v>
      </c>
      <c r="AO1709" t="s">
        <v>118</v>
      </c>
      <c r="AP1709">
        <v>73</v>
      </c>
      <c r="AQ1709">
        <v>-139</v>
      </c>
      <c r="AR1709">
        <v>0</v>
      </c>
      <c r="AZ1709">
        <v>4516</v>
      </c>
      <c r="BA1709">
        <v>1</v>
      </c>
      <c r="BB1709" t="str">
        <f t="shared" si="165"/>
        <v xml:space="preserve">N79NX   </v>
      </c>
      <c r="BC1709">
        <v>1</v>
      </c>
      <c r="BE1709">
        <v>0</v>
      </c>
      <c r="BF1709">
        <v>0</v>
      </c>
      <c r="BG1709">
        <v>0</v>
      </c>
      <c r="BH1709">
        <v>2775</v>
      </c>
      <c r="BI1709">
        <v>0</v>
      </c>
      <c r="BJ1709">
        <v>0</v>
      </c>
      <c r="BK1709">
        <v>0</v>
      </c>
      <c r="BL1709">
        <v>0</v>
      </c>
      <c r="BO1709">
        <v>0</v>
      </c>
      <c r="BP1709">
        <v>0</v>
      </c>
      <c r="BW1709" t="str">
        <f>"18:47:43.993"</f>
        <v>18:47:43.993</v>
      </c>
      <c r="BZ1709">
        <v>0</v>
      </c>
      <c r="CA1709">
        <v>3008</v>
      </c>
      <c r="CB1709">
        <v>216</v>
      </c>
      <c r="CC1709">
        <v>518.90629999999999</v>
      </c>
      <c r="CD1709">
        <v>1</v>
      </c>
      <c r="CE1709">
        <v>1</v>
      </c>
      <c r="CF1709">
        <v>0</v>
      </c>
      <c r="CG1709">
        <v>1</v>
      </c>
      <c r="CH1709">
        <v>0</v>
      </c>
      <c r="CI1709">
        <v>1</v>
      </c>
      <c r="CJ1709">
        <v>0</v>
      </c>
      <c r="CK1709">
        <v>2</v>
      </c>
      <c r="CL1709">
        <v>0</v>
      </c>
      <c r="CM1709">
        <v>2</v>
      </c>
      <c r="CN1709">
        <v>0</v>
      </c>
      <c r="CO1709">
        <v>1</v>
      </c>
      <c r="CP1709" t="s">
        <v>119</v>
      </c>
      <c r="CQ1709">
        <v>145</v>
      </c>
      <c r="CR1709">
        <v>1</v>
      </c>
      <c r="CW1709">
        <v>9200396</v>
      </c>
      <c r="CY1709">
        <v>0</v>
      </c>
      <c r="CZ1709">
        <v>0</v>
      </c>
      <c r="DA1709">
        <v>0</v>
      </c>
      <c r="DB1709">
        <v>0</v>
      </c>
      <c r="DC1709">
        <v>0</v>
      </c>
      <c r="DD1709">
        <v>0</v>
      </c>
      <c r="DE1709">
        <v>0</v>
      </c>
      <c r="DF1709">
        <v>0</v>
      </c>
      <c r="DG1709">
        <v>0</v>
      </c>
      <c r="DH1709">
        <v>0</v>
      </c>
      <c r="DI1709">
        <v>0</v>
      </c>
    </row>
    <row r="1710" spans="1:113" x14ac:dyDescent="0.3">
      <c r="A1710" t="str">
        <f>"02/13/2022 18:47:44.238"</f>
        <v>02/13/2022 18:47:44.238</v>
      </c>
      <c r="C1710" t="str">
        <f t="shared" si="167"/>
        <v>FFDFD7C0</v>
      </c>
      <c r="D1710" t="s">
        <v>113</v>
      </c>
      <c r="E1710">
        <v>3</v>
      </c>
      <c r="F1710">
        <v>1003</v>
      </c>
      <c r="G1710" t="s">
        <v>114</v>
      </c>
      <c r="J1710" t="s">
        <v>115</v>
      </c>
      <c r="K1710">
        <v>0</v>
      </c>
      <c r="L1710">
        <v>3</v>
      </c>
      <c r="M1710">
        <v>0</v>
      </c>
      <c r="N1710">
        <v>2</v>
      </c>
      <c r="O1710">
        <v>1</v>
      </c>
      <c r="P1710">
        <v>0</v>
      </c>
      <c r="Q1710">
        <v>0</v>
      </c>
      <c r="S1710" t="str">
        <f>"18:47:43.992"</f>
        <v>18:47:43.992</v>
      </c>
      <c r="T1710" t="str">
        <f>"18:47:43.492"</f>
        <v>18:47:43.492</v>
      </c>
      <c r="U1710" t="str">
        <f t="shared" si="164"/>
        <v>AAB6EE</v>
      </c>
      <c r="V1710">
        <v>0</v>
      </c>
      <c r="W1710">
        <v>0</v>
      </c>
      <c r="X1710">
        <v>4</v>
      </c>
      <c r="Z1710">
        <v>0</v>
      </c>
      <c r="AA1710">
        <v>8</v>
      </c>
      <c r="AB1710">
        <v>3</v>
      </c>
      <c r="AC1710">
        <v>0</v>
      </c>
      <c r="AD1710">
        <v>10</v>
      </c>
      <c r="AE1710">
        <v>0</v>
      </c>
      <c r="AF1710">
        <v>0</v>
      </c>
      <c r="AG1710">
        <v>2</v>
      </c>
      <c r="AH1710">
        <v>1</v>
      </c>
      <c r="AI1710" t="s">
        <v>1259</v>
      </c>
      <c r="AJ1710">
        <v>35.182899999999997</v>
      </c>
      <c r="AK1710" t="s">
        <v>1260</v>
      </c>
      <c r="AL1710">
        <v>-76.017880000000005</v>
      </c>
      <c r="AM1710">
        <v>25</v>
      </c>
      <c r="AN1710">
        <v>2925</v>
      </c>
      <c r="AO1710" t="s">
        <v>118</v>
      </c>
      <c r="AP1710">
        <v>73</v>
      </c>
      <c r="AQ1710">
        <v>-139</v>
      </c>
      <c r="AR1710">
        <v>0</v>
      </c>
      <c r="AZ1710">
        <v>4516</v>
      </c>
      <c r="BA1710">
        <v>1</v>
      </c>
      <c r="BB1710" t="str">
        <f t="shared" si="165"/>
        <v xml:space="preserve">N79NX   </v>
      </c>
      <c r="BC1710">
        <v>1</v>
      </c>
      <c r="BE1710">
        <v>0</v>
      </c>
      <c r="BF1710">
        <v>0</v>
      </c>
      <c r="BG1710">
        <v>0</v>
      </c>
      <c r="BH1710">
        <v>2775</v>
      </c>
      <c r="BI1710">
        <v>0</v>
      </c>
      <c r="BJ1710">
        <v>0</v>
      </c>
      <c r="BK1710">
        <v>0</v>
      </c>
      <c r="BL1710">
        <v>0</v>
      </c>
      <c r="BO1710">
        <v>0</v>
      </c>
      <c r="BP1710">
        <v>0</v>
      </c>
      <c r="BW1710" t="str">
        <f>"18:47:43.993"</f>
        <v>18:47:43.993</v>
      </c>
      <c r="BZ1710">
        <v>0</v>
      </c>
      <c r="CA1710">
        <v>3008</v>
      </c>
      <c r="CB1710">
        <v>216</v>
      </c>
      <c r="CC1710">
        <v>518.90629999999999</v>
      </c>
      <c r="CD1710">
        <v>1</v>
      </c>
      <c r="CE1710">
        <v>1</v>
      </c>
      <c r="CF1710">
        <v>0</v>
      </c>
      <c r="CG1710">
        <v>1</v>
      </c>
      <c r="CH1710">
        <v>0</v>
      </c>
      <c r="CI1710">
        <v>1</v>
      </c>
      <c r="CJ1710">
        <v>0</v>
      </c>
      <c r="CK1710">
        <v>2</v>
      </c>
      <c r="CL1710">
        <v>0</v>
      </c>
      <c r="CM1710">
        <v>2</v>
      </c>
      <c r="CN1710">
        <v>0</v>
      </c>
      <c r="CO1710">
        <v>1</v>
      </c>
      <c r="CP1710" t="s">
        <v>119</v>
      </c>
      <c r="CQ1710">
        <v>145</v>
      </c>
      <c r="CR1710">
        <v>1</v>
      </c>
      <c r="CW1710">
        <v>9200396</v>
      </c>
      <c r="CY1710">
        <v>0</v>
      </c>
      <c r="CZ1710">
        <v>0</v>
      </c>
      <c r="DA1710">
        <v>1</v>
      </c>
      <c r="DB1710">
        <v>0</v>
      </c>
      <c r="DC1710">
        <v>0</v>
      </c>
      <c r="DD1710">
        <v>0</v>
      </c>
      <c r="DE1710">
        <v>0</v>
      </c>
      <c r="DF1710">
        <v>0</v>
      </c>
      <c r="DG1710">
        <v>0</v>
      </c>
      <c r="DH1710">
        <v>0</v>
      </c>
      <c r="DI1710">
        <v>0</v>
      </c>
    </row>
    <row r="1711" spans="1:113" x14ac:dyDescent="0.3">
      <c r="A1711" t="str">
        <f>"02/13/2022 18:47:44.238"</f>
        <v>02/13/2022 18:47:44.238</v>
      </c>
      <c r="C1711" t="str">
        <f t="shared" si="167"/>
        <v>FFDFD7C0</v>
      </c>
      <c r="D1711" t="s">
        <v>113</v>
      </c>
      <c r="E1711">
        <v>4</v>
      </c>
      <c r="F1711">
        <v>1004</v>
      </c>
      <c r="G1711" t="s">
        <v>120</v>
      </c>
      <c r="J1711" t="s">
        <v>115</v>
      </c>
      <c r="K1711">
        <v>0</v>
      </c>
      <c r="L1711">
        <v>3</v>
      </c>
      <c r="M1711">
        <v>0</v>
      </c>
      <c r="N1711">
        <v>2</v>
      </c>
      <c r="O1711">
        <v>1</v>
      </c>
      <c r="P1711">
        <v>0</v>
      </c>
      <c r="Q1711">
        <v>0</v>
      </c>
      <c r="S1711" t="str">
        <f>"18:47:43.992"</f>
        <v>18:47:43.992</v>
      </c>
      <c r="T1711" t="str">
        <f>"18:47:43.492"</f>
        <v>18:47:43.492</v>
      </c>
      <c r="U1711" t="str">
        <f t="shared" si="164"/>
        <v>AAB6EE</v>
      </c>
      <c r="V1711">
        <v>0</v>
      </c>
      <c r="W1711">
        <v>0</v>
      </c>
      <c r="X1711">
        <v>4</v>
      </c>
      <c r="Z1711">
        <v>0</v>
      </c>
      <c r="AA1711">
        <v>8</v>
      </c>
      <c r="AB1711">
        <v>3</v>
      </c>
      <c r="AC1711">
        <v>0</v>
      </c>
      <c r="AD1711">
        <v>10</v>
      </c>
      <c r="AE1711">
        <v>0</v>
      </c>
      <c r="AF1711">
        <v>0</v>
      </c>
      <c r="AG1711">
        <v>2</v>
      </c>
      <c r="AH1711">
        <v>1</v>
      </c>
      <c r="AI1711" t="s">
        <v>1259</v>
      </c>
      <c r="AJ1711">
        <v>35.182899999999997</v>
      </c>
      <c r="AK1711" t="s">
        <v>1260</v>
      </c>
      <c r="AL1711">
        <v>-76.017880000000005</v>
      </c>
      <c r="AM1711">
        <v>25</v>
      </c>
      <c r="AN1711">
        <v>2925</v>
      </c>
      <c r="AO1711" t="s">
        <v>118</v>
      </c>
      <c r="AP1711">
        <v>73</v>
      </c>
      <c r="AQ1711">
        <v>-139</v>
      </c>
      <c r="AR1711">
        <v>0</v>
      </c>
      <c r="AZ1711">
        <v>4516</v>
      </c>
      <c r="BA1711">
        <v>1</v>
      </c>
      <c r="BB1711" t="str">
        <f t="shared" si="165"/>
        <v xml:space="preserve">N79NX   </v>
      </c>
      <c r="BC1711">
        <v>1</v>
      </c>
      <c r="BE1711">
        <v>0</v>
      </c>
      <c r="BF1711">
        <v>0</v>
      </c>
      <c r="BG1711">
        <v>0</v>
      </c>
      <c r="BH1711">
        <v>2775</v>
      </c>
      <c r="BI1711">
        <v>0</v>
      </c>
      <c r="BJ1711">
        <v>0</v>
      </c>
      <c r="BK1711">
        <v>0</v>
      </c>
      <c r="BL1711">
        <v>0</v>
      </c>
      <c r="BO1711">
        <v>0</v>
      </c>
      <c r="BP1711">
        <v>0</v>
      </c>
      <c r="BW1711" t="str">
        <f>"18:47:43.993"</f>
        <v>18:47:43.993</v>
      </c>
      <c r="BZ1711">
        <v>0</v>
      </c>
      <c r="CA1711">
        <v>3008</v>
      </c>
      <c r="CB1711">
        <v>216</v>
      </c>
      <c r="CC1711">
        <v>518.90629999999999</v>
      </c>
      <c r="CD1711">
        <v>1</v>
      </c>
      <c r="CE1711">
        <v>1</v>
      </c>
      <c r="CF1711">
        <v>0</v>
      </c>
      <c r="CG1711">
        <v>1</v>
      </c>
      <c r="CH1711">
        <v>0</v>
      </c>
      <c r="CI1711">
        <v>1</v>
      </c>
      <c r="CJ1711">
        <v>0</v>
      </c>
      <c r="CK1711">
        <v>2</v>
      </c>
      <c r="CL1711">
        <v>0</v>
      </c>
      <c r="CM1711">
        <v>2</v>
      </c>
      <c r="CN1711">
        <v>0</v>
      </c>
      <c r="CO1711">
        <v>1</v>
      </c>
      <c r="CP1711" t="s">
        <v>119</v>
      </c>
      <c r="CQ1711">
        <v>145</v>
      </c>
      <c r="CR1711">
        <v>1</v>
      </c>
      <c r="CW1711">
        <v>9200396</v>
      </c>
      <c r="CY1711">
        <v>0</v>
      </c>
      <c r="CZ1711">
        <v>0</v>
      </c>
      <c r="DA1711">
        <v>1</v>
      </c>
      <c r="DB1711">
        <v>0</v>
      </c>
      <c r="DC1711">
        <v>0</v>
      </c>
      <c r="DD1711">
        <v>0</v>
      </c>
      <c r="DE1711">
        <v>0</v>
      </c>
      <c r="DF1711">
        <v>0</v>
      </c>
      <c r="DG1711">
        <v>0</v>
      </c>
      <c r="DH1711">
        <v>0</v>
      </c>
      <c r="DI1711">
        <v>0</v>
      </c>
    </row>
    <row r="1712" spans="1:113" x14ac:dyDescent="0.3">
      <c r="A1712" t="str">
        <f>"02/13/2022 18:47:45.334"</f>
        <v>02/13/2022 18:47:45.334</v>
      </c>
      <c r="C1712" t="str">
        <f t="shared" si="167"/>
        <v>FFDFD7C0</v>
      </c>
      <c r="D1712" t="s">
        <v>121</v>
      </c>
      <c r="E1712">
        <v>2</v>
      </c>
      <c r="H1712">
        <v>158</v>
      </c>
      <c r="I1712" t="s">
        <v>120</v>
      </c>
      <c r="J1712" t="s">
        <v>122</v>
      </c>
      <c r="K1712">
        <v>0</v>
      </c>
      <c r="L1712">
        <v>3</v>
      </c>
      <c r="M1712">
        <v>0</v>
      </c>
      <c r="N1712">
        <v>2</v>
      </c>
      <c r="O1712">
        <v>1</v>
      </c>
      <c r="P1712">
        <v>0</v>
      </c>
      <c r="Q1712">
        <v>0</v>
      </c>
      <c r="S1712" t="str">
        <f>"18:47:45.117"</f>
        <v>18:47:45.117</v>
      </c>
      <c r="T1712" t="str">
        <f>"18:47:44.617"</f>
        <v>18:47:44.617</v>
      </c>
      <c r="U1712" t="str">
        <f t="shared" si="164"/>
        <v>AAB6EE</v>
      </c>
      <c r="V1712">
        <v>0</v>
      </c>
      <c r="W1712">
        <v>0</v>
      </c>
      <c r="X1712">
        <v>4</v>
      </c>
      <c r="Z1712">
        <v>0</v>
      </c>
      <c r="AA1712">
        <v>8</v>
      </c>
      <c r="AB1712">
        <v>3</v>
      </c>
      <c r="AC1712">
        <v>0</v>
      </c>
      <c r="AD1712">
        <v>10</v>
      </c>
      <c r="AE1712">
        <v>0</v>
      </c>
      <c r="AF1712">
        <v>0</v>
      </c>
      <c r="AG1712">
        <v>2</v>
      </c>
      <c r="AH1712">
        <v>1</v>
      </c>
      <c r="AI1712" t="s">
        <v>1261</v>
      </c>
      <c r="AJ1712">
        <v>35.182105999999997</v>
      </c>
      <c r="AK1712" t="s">
        <v>1262</v>
      </c>
      <c r="AL1712">
        <v>-76.017364999999998</v>
      </c>
      <c r="AM1712">
        <v>25</v>
      </c>
      <c r="AN1712">
        <v>2925</v>
      </c>
      <c r="AO1712" t="s">
        <v>118</v>
      </c>
      <c r="AP1712">
        <v>73</v>
      </c>
      <c r="AQ1712">
        <v>-139</v>
      </c>
      <c r="AR1712">
        <v>64</v>
      </c>
      <c r="AZ1712">
        <v>4516</v>
      </c>
      <c r="BA1712">
        <v>1</v>
      </c>
      <c r="BB1712" t="str">
        <f t="shared" si="165"/>
        <v xml:space="preserve">N79NX   </v>
      </c>
      <c r="BC1712">
        <v>1</v>
      </c>
      <c r="BE1712">
        <v>0</v>
      </c>
      <c r="BF1712">
        <v>0</v>
      </c>
      <c r="BG1712">
        <v>0</v>
      </c>
      <c r="BH1712">
        <v>2775</v>
      </c>
      <c r="BI1712">
        <v>0</v>
      </c>
      <c r="BJ1712">
        <v>0</v>
      </c>
      <c r="BK1712">
        <v>0</v>
      </c>
      <c r="BL1712">
        <v>0</v>
      </c>
      <c r="BO1712">
        <v>0</v>
      </c>
      <c r="BP1712">
        <v>0</v>
      </c>
      <c r="BW1712" t="str">
        <f>"18:47:45.123"</f>
        <v>18:47:45.123</v>
      </c>
      <c r="BZ1712">
        <v>0</v>
      </c>
      <c r="CA1712">
        <v>3008</v>
      </c>
      <c r="CB1712">
        <v>216</v>
      </c>
      <c r="CC1712">
        <v>518.90629999999999</v>
      </c>
      <c r="CD1712">
        <v>1</v>
      </c>
      <c r="CE1712">
        <v>1</v>
      </c>
      <c r="CF1712">
        <v>0</v>
      </c>
      <c r="CG1712">
        <v>1</v>
      </c>
      <c r="CH1712">
        <v>0</v>
      </c>
      <c r="CI1712">
        <v>1</v>
      </c>
      <c r="CJ1712">
        <v>0</v>
      </c>
      <c r="CK1712">
        <v>2</v>
      </c>
      <c r="CL1712">
        <v>0</v>
      </c>
      <c r="CM1712">
        <v>2</v>
      </c>
      <c r="CN1712">
        <v>0</v>
      </c>
      <c r="CO1712">
        <v>1</v>
      </c>
      <c r="CP1712" t="s">
        <v>119</v>
      </c>
      <c r="CQ1712">
        <v>145</v>
      </c>
      <c r="CR1712">
        <v>1</v>
      </c>
      <c r="CW1712">
        <v>9200888</v>
      </c>
      <c r="CY1712">
        <v>0</v>
      </c>
      <c r="CZ1712">
        <v>0</v>
      </c>
      <c r="DA1712">
        <v>0</v>
      </c>
      <c r="DB1712">
        <v>0</v>
      </c>
      <c r="DC1712">
        <v>0</v>
      </c>
      <c r="DD1712">
        <v>0</v>
      </c>
      <c r="DE1712">
        <v>0</v>
      </c>
      <c r="DF1712">
        <v>0</v>
      </c>
      <c r="DG1712">
        <v>0</v>
      </c>
      <c r="DH1712">
        <v>0</v>
      </c>
      <c r="DI1712">
        <v>0</v>
      </c>
    </row>
    <row r="1713" spans="1:113" x14ac:dyDescent="0.3">
      <c r="A1713" t="str">
        <f>"02/13/2022 18:47:45.334"</f>
        <v>02/13/2022 18:47:45.334</v>
      </c>
      <c r="C1713" t="str">
        <f t="shared" si="167"/>
        <v>FFDFD7C0</v>
      </c>
      <c r="D1713" t="s">
        <v>113</v>
      </c>
      <c r="E1713">
        <v>3</v>
      </c>
      <c r="F1713">
        <v>1003</v>
      </c>
      <c r="G1713" t="s">
        <v>114</v>
      </c>
      <c r="J1713" t="s">
        <v>115</v>
      </c>
      <c r="K1713">
        <v>0</v>
      </c>
      <c r="L1713">
        <v>3</v>
      </c>
      <c r="M1713">
        <v>0</v>
      </c>
      <c r="N1713">
        <v>2</v>
      </c>
      <c r="O1713">
        <v>1</v>
      </c>
      <c r="P1713">
        <v>0</v>
      </c>
      <c r="Q1713">
        <v>0</v>
      </c>
      <c r="S1713" t="str">
        <f>"18:47:45.117"</f>
        <v>18:47:45.117</v>
      </c>
      <c r="T1713" t="str">
        <f>"18:47:44.617"</f>
        <v>18:47:44.617</v>
      </c>
      <c r="U1713" t="str">
        <f t="shared" si="164"/>
        <v>AAB6EE</v>
      </c>
      <c r="V1713">
        <v>0</v>
      </c>
      <c r="W1713">
        <v>0</v>
      </c>
      <c r="X1713">
        <v>4</v>
      </c>
      <c r="Z1713">
        <v>0</v>
      </c>
      <c r="AA1713">
        <v>8</v>
      </c>
      <c r="AB1713">
        <v>3</v>
      </c>
      <c r="AC1713">
        <v>0</v>
      </c>
      <c r="AD1713">
        <v>10</v>
      </c>
      <c r="AE1713">
        <v>0</v>
      </c>
      <c r="AF1713">
        <v>0</v>
      </c>
      <c r="AG1713">
        <v>2</v>
      </c>
      <c r="AH1713">
        <v>1</v>
      </c>
      <c r="AI1713" t="s">
        <v>1261</v>
      </c>
      <c r="AJ1713">
        <v>35.182105999999997</v>
      </c>
      <c r="AK1713" t="s">
        <v>1262</v>
      </c>
      <c r="AL1713">
        <v>-76.017364999999998</v>
      </c>
      <c r="AM1713">
        <v>25</v>
      </c>
      <c r="AN1713">
        <v>2925</v>
      </c>
      <c r="AO1713" t="s">
        <v>118</v>
      </c>
      <c r="AP1713">
        <v>73</v>
      </c>
      <c r="AQ1713">
        <v>-139</v>
      </c>
      <c r="AR1713">
        <v>64</v>
      </c>
      <c r="AZ1713">
        <v>4516</v>
      </c>
      <c r="BA1713">
        <v>1</v>
      </c>
      <c r="BB1713" t="str">
        <f t="shared" si="165"/>
        <v xml:space="preserve">N79NX   </v>
      </c>
      <c r="BC1713">
        <v>1</v>
      </c>
      <c r="BE1713">
        <v>0</v>
      </c>
      <c r="BF1713">
        <v>0</v>
      </c>
      <c r="BG1713">
        <v>0</v>
      </c>
      <c r="BH1713">
        <v>2775</v>
      </c>
      <c r="BI1713">
        <v>0</v>
      </c>
      <c r="BJ1713">
        <v>0</v>
      </c>
      <c r="BK1713">
        <v>0</v>
      </c>
      <c r="BL1713">
        <v>0</v>
      </c>
      <c r="BO1713">
        <v>0</v>
      </c>
      <c r="BP1713">
        <v>0</v>
      </c>
      <c r="BW1713" t="str">
        <f>"18:47:45.123"</f>
        <v>18:47:45.123</v>
      </c>
      <c r="BZ1713">
        <v>0</v>
      </c>
      <c r="CA1713">
        <v>3008</v>
      </c>
      <c r="CB1713">
        <v>216</v>
      </c>
      <c r="CC1713">
        <v>518.90629999999999</v>
      </c>
      <c r="CD1713">
        <v>1</v>
      </c>
      <c r="CE1713">
        <v>1</v>
      </c>
      <c r="CF1713">
        <v>0</v>
      </c>
      <c r="CG1713">
        <v>1</v>
      </c>
      <c r="CH1713">
        <v>0</v>
      </c>
      <c r="CI1713">
        <v>1</v>
      </c>
      <c r="CJ1713">
        <v>0</v>
      </c>
      <c r="CK1713">
        <v>2</v>
      </c>
      <c r="CL1713">
        <v>0</v>
      </c>
      <c r="CM1713">
        <v>2</v>
      </c>
      <c r="CN1713">
        <v>0</v>
      </c>
      <c r="CO1713">
        <v>1</v>
      </c>
      <c r="CP1713" t="s">
        <v>119</v>
      </c>
      <c r="CQ1713">
        <v>145</v>
      </c>
      <c r="CR1713">
        <v>1</v>
      </c>
      <c r="CW1713">
        <v>9200888</v>
      </c>
      <c r="CY1713">
        <v>0</v>
      </c>
      <c r="CZ1713">
        <v>0</v>
      </c>
      <c r="DA1713">
        <v>1</v>
      </c>
      <c r="DB1713">
        <v>0</v>
      </c>
      <c r="DC1713">
        <v>0</v>
      </c>
      <c r="DD1713">
        <v>0</v>
      </c>
      <c r="DE1713">
        <v>0</v>
      </c>
      <c r="DF1713">
        <v>0</v>
      </c>
      <c r="DG1713">
        <v>0</v>
      </c>
      <c r="DH1713">
        <v>0</v>
      </c>
      <c r="DI1713">
        <v>0</v>
      </c>
    </row>
    <row r="1714" spans="1:113" x14ac:dyDescent="0.3">
      <c r="A1714" t="str">
        <f>"02/13/2022 18:47:45.334"</f>
        <v>02/13/2022 18:47:45.334</v>
      </c>
      <c r="C1714" t="str">
        <f t="shared" si="167"/>
        <v>FFDFD7C0</v>
      </c>
      <c r="D1714" t="s">
        <v>113</v>
      </c>
      <c r="E1714">
        <v>4</v>
      </c>
      <c r="F1714">
        <v>1004</v>
      </c>
      <c r="G1714" t="s">
        <v>120</v>
      </c>
      <c r="J1714" t="s">
        <v>115</v>
      </c>
      <c r="K1714">
        <v>0</v>
      </c>
      <c r="L1714">
        <v>3</v>
      </c>
      <c r="M1714">
        <v>0</v>
      </c>
      <c r="N1714">
        <v>2</v>
      </c>
      <c r="O1714">
        <v>1</v>
      </c>
      <c r="P1714">
        <v>0</v>
      </c>
      <c r="Q1714">
        <v>0</v>
      </c>
      <c r="S1714" t="str">
        <f>"18:47:45.117"</f>
        <v>18:47:45.117</v>
      </c>
      <c r="T1714" t="str">
        <f>"18:47:44.617"</f>
        <v>18:47:44.617</v>
      </c>
      <c r="U1714" t="str">
        <f t="shared" si="164"/>
        <v>AAB6EE</v>
      </c>
      <c r="V1714">
        <v>0</v>
      </c>
      <c r="W1714">
        <v>0</v>
      </c>
      <c r="X1714">
        <v>4</v>
      </c>
      <c r="Z1714">
        <v>0</v>
      </c>
      <c r="AA1714">
        <v>8</v>
      </c>
      <c r="AB1714">
        <v>3</v>
      </c>
      <c r="AC1714">
        <v>0</v>
      </c>
      <c r="AD1714">
        <v>10</v>
      </c>
      <c r="AE1714">
        <v>0</v>
      </c>
      <c r="AF1714">
        <v>0</v>
      </c>
      <c r="AG1714">
        <v>2</v>
      </c>
      <c r="AH1714">
        <v>1</v>
      </c>
      <c r="AI1714" t="s">
        <v>1261</v>
      </c>
      <c r="AJ1714">
        <v>35.182105999999997</v>
      </c>
      <c r="AK1714" t="s">
        <v>1262</v>
      </c>
      <c r="AL1714">
        <v>-76.017364999999998</v>
      </c>
      <c r="AM1714">
        <v>25</v>
      </c>
      <c r="AN1714">
        <v>2925</v>
      </c>
      <c r="AO1714" t="s">
        <v>118</v>
      </c>
      <c r="AP1714">
        <v>73</v>
      </c>
      <c r="AQ1714">
        <v>-139</v>
      </c>
      <c r="AR1714">
        <v>64</v>
      </c>
      <c r="AZ1714">
        <v>4516</v>
      </c>
      <c r="BA1714">
        <v>1</v>
      </c>
      <c r="BB1714" t="str">
        <f t="shared" si="165"/>
        <v xml:space="preserve">N79NX   </v>
      </c>
      <c r="BC1714">
        <v>1</v>
      </c>
      <c r="BE1714">
        <v>0</v>
      </c>
      <c r="BF1714">
        <v>0</v>
      </c>
      <c r="BG1714">
        <v>0</v>
      </c>
      <c r="BH1714">
        <v>2775</v>
      </c>
      <c r="BI1714">
        <v>0</v>
      </c>
      <c r="BJ1714">
        <v>0</v>
      </c>
      <c r="BK1714">
        <v>0</v>
      </c>
      <c r="BL1714">
        <v>0</v>
      </c>
      <c r="BO1714">
        <v>0</v>
      </c>
      <c r="BP1714">
        <v>0</v>
      </c>
      <c r="BW1714" t="str">
        <f>"18:47:45.123"</f>
        <v>18:47:45.123</v>
      </c>
      <c r="BZ1714">
        <v>0</v>
      </c>
      <c r="CA1714">
        <v>3008</v>
      </c>
      <c r="CB1714">
        <v>216</v>
      </c>
      <c r="CC1714">
        <v>518.90629999999999</v>
      </c>
      <c r="CD1714">
        <v>1</v>
      </c>
      <c r="CE1714">
        <v>1</v>
      </c>
      <c r="CF1714">
        <v>0</v>
      </c>
      <c r="CG1714">
        <v>1</v>
      </c>
      <c r="CH1714">
        <v>0</v>
      </c>
      <c r="CI1714">
        <v>1</v>
      </c>
      <c r="CJ1714">
        <v>0</v>
      </c>
      <c r="CK1714">
        <v>2</v>
      </c>
      <c r="CL1714">
        <v>0</v>
      </c>
      <c r="CM1714">
        <v>2</v>
      </c>
      <c r="CN1714">
        <v>0</v>
      </c>
      <c r="CO1714">
        <v>1</v>
      </c>
      <c r="CP1714" t="s">
        <v>119</v>
      </c>
      <c r="CQ1714">
        <v>145</v>
      </c>
      <c r="CR1714">
        <v>1</v>
      </c>
      <c r="CW1714">
        <v>9200888</v>
      </c>
      <c r="CY1714">
        <v>0</v>
      </c>
      <c r="CZ1714">
        <v>0</v>
      </c>
      <c r="DA1714">
        <v>1</v>
      </c>
      <c r="DB1714">
        <v>0</v>
      </c>
      <c r="DC1714">
        <v>0</v>
      </c>
      <c r="DD1714">
        <v>0</v>
      </c>
      <c r="DE1714">
        <v>0</v>
      </c>
      <c r="DF1714">
        <v>0</v>
      </c>
      <c r="DG1714">
        <v>0</v>
      </c>
      <c r="DH1714">
        <v>0</v>
      </c>
      <c r="DI1714">
        <v>0</v>
      </c>
    </row>
    <row r="1715" spans="1:113" x14ac:dyDescent="0.3">
      <c r="A1715" t="str">
        <f>"02/13/2022 18:47:46.241"</f>
        <v>02/13/2022 18:47:46.241</v>
      </c>
      <c r="C1715" t="str">
        <f t="shared" si="167"/>
        <v>FFDFD7C0</v>
      </c>
      <c r="D1715" t="s">
        <v>121</v>
      </c>
      <c r="E1715">
        <v>2</v>
      </c>
      <c r="H1715">
        <v>158</v>
      </c>
      <c r="I1715" t="s">
        <v>120</v>
      </c>
      <c r="J1715" t="s">
        <v>122</v>
      </c>
      <c r="K1715">
        <v>0</v>
      </c>
      <c r="L1715">
        <v>3</v>
      </c>
      <c r="M1715">
        <v>0</v>
      </c>
      <c r="N1715">
        <v>2</v>
      </c>
      <c r="O1715">
        <v>1</v>
      </c>
      <c r="P1715">
        <v>0</v>
      </c>
      <c r="Q1715">
        <v>0</v>
      </c>
      <c r="S1715" t="str">
        <f>"18:47:46.039"</f>
        <v>18:47:46.039</v>
      </c>
      <c r="T1715" t="str">
        <f>"18:47:44.539"</f>
        <v>18:47:44.539</v>
      </c>
      <c r="U1715" t="str">
        <f t="shared" si="164"/>
        <v>AAB6EE</v>
      </c>
      <c r="V1715">
        <v>0</v>
      </c>
      <c r="W1715">
        <v>0</v>
      </c>
      <c r="X1715">
        <v>4</v>
      </c>
      <c r="Z1715">
        <v>0</v>
      </c>
      <c r="AA1715">
        <v>8</v>
      </c>
      <c r="AB1715">
        <v>3</v>
      </c>
      <c r="AC1715">
        <v>0</v>
      </c>
      <c r="AD1715">
        <v>10</v>
      </c>
      <c r="AE1715">
        <v>0</v>
      </c>
      <c r="AF1715">
        <v>0</v>
      </c>
      <c r="AG1715">
        <v>2</v>
      </c>
      <c r="AH1715">
        <v>1</v>
      </c>
      <c r="AI1715" t="s">
        <v>1263</v>
      </c>
      <c r="AJ1715">
        <v>35.181527000000003</v>
      </c>
      <c r="AK1715" t="s">
        <v>1264</v>
      </c>
      <c r="AL1715">
        <v>-76.017043999999999</v>
      </c>
      <c r="AM1715">
        <v>25</v>
      </c>
      <c r="AN1715">
        <v>2925</v>
      </c>
      <c r="AO1715" t="s">
        <v>118</v>
      </c>
      <c r="AP1715">
        <v>73</v>
      </c>
      <c r="AQ1715">
        <v>-139</v>
      </c>
      <c r="AR1715">
        <v>64</v>
      </c>
      <c r="AZ1715">
        <v>4516</v>
      </c>
      <c r="BA1715">
        <v>1</v>
      </c>
      <c r="BB1715" t="str">
        <f t="shared" si="165"/>
        <v xml:space="preserve">N79NX   </v>
      </c>
      <c r="BC1715">
        <v>1</v>
      </c>
      <c r="BE1715">
        <v>0</v>
      </c>
      <c r="BF1715">
        <v>0</v>
      </c>
      <c r="BG1715">
        <v>0</v>
      </c>
      <c r="BH1715">
        <v>2775</v>
      </c>
      <c r="BI1715">
        <v>0</v>
      </c>
      <c r="BJ1715">
        <v>0</v>
      </c>
      <c r="BK1715">
        <v>0</v>
      </c>
      <c r="BL1715">
        <v>0</v>
      </c>
      <c r="BO1715">
        <v>0</v>
      </c>
      <c r="BP1715">
        <v>0</v>
      </c>
      <c r="BW1715" t="str">
        <f>"18:47:46.043"</f>
        <v>18:47:46.043</v>
      </c>
      <c r="BZ1715">
        <v>0</v>
      </c>
      <c r="CA1715">
        <v>3008</v>
      </c>
      <c r="CB1715">
        <v>216</v>
      </c>
      <c r="CC1715">
        <v>518.90629999999999</v>
      </c>
      <c r="CD1715">
        <v>1</v>
      </c>
      <c r="CE1715">
        <v>1</v>
      </c>
      <c r="CF1715">
        <v>0</v>
      </c>
      <c r="CG1715">
        <v>1</v>
      </c>
      <c r="CH1715">
        <v>0</v>
      </c>
      <c r="CI1715">
        <v>1</v>
      </c>
      <c r="CJ1715">
        <v>0</v>
      </c>
      <c r="CK1715">
        <v>2</v>
      </c>
      <c r="CL1715">
        <v>0</v>
      </c>
      <c r="CM1715">
        <v>2</v>
      </c>
      <c r="CN1715">
        <v>0</v>
      </c>
      <c r="CO1715">
        <v>1</v>
      </c>
      <c r="CP1715" t="s">
        <v>119</v>
      </c>
      <c r="CQ1715">
        <v>145</v>
      </c>
      <c r="CR1715">
        <v>1</v>
      </c>
      <c r="CW1715">
        <v>9201230</v>
      </c>
      <c r="CY1715">
        <v>0</v>
      </c>
      <c r="CZ1715">
        <v>0</v>
      </c>
      <c r="DA1715">
        <v>0</v>
      </c>
      <c r="DB1715">
        <v>0</v>
      </c>
      <c r="DC1715">
        <v>0</v>
      </c>
      <c r="DD1715">
        <v>0</v>
      </c>
      <c r="DE1715">
        <v>0</v>
      </c>
      <c r="DF1715">
        <v>0</v>
      </c>
      <c r="DG1715">
        <v>0</v>
      </c>
      <c r="DH1715">
        <v>0</v>
      </c>
      <c r="DI1715">
        <v>0</v>
      </c>
    </row>
    <row r="1716" spans="1:113" x14ac:dyDescent="0.3">
      <c r="A1716" t="str">
        <f>"02/13/2022 18:47:46.241"</f>
        <v>02/13/2022 18:47:46.241</v>
      </c>
      <c r="C1716" t="str">
        <f t="shared" si="167"/>
        <v>FFDFD7C0</v>
      </c>
      <c r="D1716" t="s">
        <v>113</v>
      </c>
      <c r="E1716">
        <v>3</v>
      </c>
      <c r="F1716">
        <v>1003</v>
      </c>
      <c r="G1716" t="s">
        <v>114</v>
      </c>
      <c r="J1716" t="s">
        <v>115</v>
      </c>
      <c r="K1716">
        <v>0</v>
      </c>
      <c r="L1716">
        <v>3</v>
      </c>
      <c r="M1716">
        <v>0</v>
      </c>
      <c r="N1716">
        <v>2</v>
      </c>
      <c r="O1716">
        <v>1</v>
      </c>
      <c r="P1716">
        <v>0</v>
      </c>
      <c r="Q1716">
        <v>0</v>
      </c>
      <c r="S1716" t="str">
        <f>"18:47:46.039"</f>
        <v>18:47:46.039</v>
      </c>
      <c r="T1716" t="str">
        <f>"18:47:44.539"</f>
        <v>18:47:44.539</v>
      </c>
      <c r="U1716" t="str">
        <f t="shared" si="164"/>
        <v>AAB6EE</v>
      </c>
      <c r="V1716">
        <v>0</v>
      </c>
      <c r="W1716">
        <v>0</v>
      </c>
      <c r="X1716">
        <v>4</v>
      </c>
      <c r="Z1716">
        <v>0</v>
      </c>
      <c r="AA1716">
        <v>8</v>
      </c>
      <c r="AB1716">
        <v>3</v>
      </c>
      <c r="AC1716">
        <v>0</v>
      </c>
      <c r="AD1716">
        <v>10</v>
      </c>
      <c r="AE1716">
        <v>0</v>
      </c>
      <c r="AF1716">
        <v>0</v>
      </c>
      <c r="AG1716">
        <v>2</v>
      </c>
      <c r="AH1716">
        <v>1</v>
      </c>
      <c r="AI1716" t="s">
        <v>1263</v>
      </c>
      <c r="AJ1716">
        <v>35.181527000000003</v>
      </c>
      <c r="AK1716" t="s">
        <v>1264</v>
      </c>
      <c r="AL1716">
        <v>-76.017043999999999</v>
      </c>
      <c r="AM1716">
        <v>25</v>
      </c>
      <c r="AN1716">
        <v>2925</v>
      </c>
      <c r="AO1716" t="s">
        <v>118</v>
      </c>
      <c r="AP1716">
        <v>73</v>
      </c>
      <c r="AQ1716">
        <v>-139</v>
      </c>
      <c r="AR1716">
        <v>64</v>
      </c>
      <c r="AZ1716">
        <v>4516</v>
      </c>
      <c r="BA1716">
        <v>1</v>
      </c>
      <c r="BB1716" t="str">
        <f t="shared" si="165"/>
        <v xml:space="preserve">N79NX   </v>
      </c>
      <c r="BC1716">
        <v>1</v>
      </c>
      <c r="BE1716">
        <v>0</v>
      </c>
      <c r="BF1716">
        <v>0</v>
      </c>
      <c r="BG1716">
        <v>0</v>
      </c>
      <c r="BH1716">
        <v>2775</v>
      </c>
      <c r="BI1716">
        <v>0</v>
      </c>
      <c r="BJ1716">
        <v>0</v>
      </c>
      <c r="BK1716">
        <v>0</v>
      </c>
      <c r="BL1716">
        <v>0</v>
      </c>
      <c r="BO1716">
        <v>0</v>
      </c>
      <c r="BP1716">
        <v>0</v>
      </c>
      <c r="BW1716" t="str">
        <f>"18:47:46.043"</f>
        <v>18:47:46.043</v>
      </c>
      <c r="BZ1716">
        <v>0</v>
      </c>
      <c r="CA1716">
        <v>3008</v>
      </c>
      <c r="CB1716">
        <v>216</v>
      </c>
      <c r="CC1716">
        <v>518.90629999999999</v>
      </c>
      <c r="CD1716">
        <v>1</v>
      </c>
      <c r="CE1716">
        <v>1</v>
      </c>
      <c r="CF1716">
        <v>0</v>
      </c>
      <c r="CG1716">
        <v>1</v>
      </c>
      <c r="CH1716">
        <v>0</v>
      </c>
      <c r="CI1716">
        <v>1</v>
      </c>
      <c r="CJ1716">
        <v>0</v>
      </c>
      <c r="CK1716">
        <v>2</v>
      </c>
      <c r="CL1716">
        <v>0</v>
      </c>
      <c r="CM1716">
        <v>2</v>
      </c>
      <c r="CN1716">
        <v>0</v>
      </c>
      <c r="CO1716">
        <v>1</v>
      </c>
      <c r="CP1716" t="s">
        <v>119</v>
      </c>
      <c r="CQ1716">
        <v>145</v>
      </c>
      <c r="CR1716">
        <v>1</v>
      </c>
      <c r="CW1716">
        <v>9201230</v>
      </c>
      <c r="CY1716">
        <v>0</v>
      </c>
      <c r="CZ1716">
        <v>0</v>
      </c>
      <c r="DA1716">
        <v>1</v>
      </c>
      <c r="DB1716">
        <v>0</v>
      </c>
      <c r="DC1716">
        <v>0</v>
      </c>
      <c r="DD1716">
        <v>0</v>
      </c>
      <c r="DE1716">
        <v>0</v>
      </c>
      <c r="DF1716">
        <v>0</v>
      </c>
      <c r="DG1716">
        <v>0</v>
      </c>
      <c r="DH1716">
        <v>0</v>
      </c>
      <c r="DI1716">
        <v>0</v>
      </c>
    </row>
    <row r="1717" spans="1:113" x14ac:dyDescent="0.3">
      <c r="A1717" t="str">
        <f>"02/13/2022 18:47:46.241"</f>
        <v>02/13/2022 18:47:46.241</v>
      </c>
      <c r="C1717" t="str">
        <f t="shared" si="167"/>
        <v>FFDFD7C0</v>
      </c>
      <c r="D1717" t="s">
        <v>113</v>
      </c>
      <c r="E1717">
        <v>4</v>
      </c>
      <c r="F1717">
        <v>1004</v>
      </c>
      <c r="G1717" t="s">
        <v>120</v>
      </c>
      <c r="J1717" t="s">
        <v>115</v>
      </c>
      <c r="K1717">
        <v>0</v>
      </c>
      <c r="L1717">
        <v>3</v>
      </c>
      <c r="M1717">
        <v>0</v>
      </c>
      <c r="N1717">
        <v>2</v>
      </c>
      <c r="O1717">
        <v>1</v>
      </c>
      <c r="P1717">
        <v>0</v>
      </c>
      <c r="Q1717">
        <v>0</v>
      </c>
      <c r="S1717" t="str">
        <f>"18:47:46.039"</f>
        <v>18:47:46.039</v>
      </c>
      <c r="T1717" t="str">
        <f>"18:47:44.539"</f>
        <v>18:47:44.539</v>
      </c>
      <c r="U1717" t="str">
        <f t="shared" si="164"/>
        <v>AAB6EE</v>
      </c>
      <c r="V1717">
        <v>0</v>
      </c>
      <c r="W1717">
        <v>0</v>
      </c>
      <c r="X1717">
        <v>4</v>
      </c>
      <c r="Z1717">
        <v>0</v>
      </c>
      <c r="AA1717">
        <v>8</v>
      </c>
      <c r="AB1717">
        <v>3</v>
      </c>
      <c r="AC1717">
        <v>0</v>
      </c>
      <c r="AD1717">
        <v>10</v>
      </c>
      <c r="AE1717">
        <v>0</v>
      </c>
      <c r="AF1717">
        <v>0</v>
      </c>
      <c r="AG1717">
        <v>2</v>
      </c>
      <c r="AH1717">
        <v>1</v>
      </c>
      <c r="AI1717" t="s">
        <v>1263</v>
      </c>
      <c r="AJ1717">
        <v>35.181527000000003</v>
      </c>
      <c r="AK1717" t="s">
        <v>1264</v>
      </c>
      <c r="AL1717">
        <v>-76.017043999999999</v>
      </c>
      <c r="AM1717">
        <v>25</v>
      </c>
      <c r="AN1717">
        <v>2925</v>
      </c>
      <c r="AO1717" t="s">
        <v>118</v>
      </c>
      <c r="AP1717">
        <v>73</v>
      </c>
      <c r="AQ1717">
        <v>-139</v>
      </c>
      <c r="AR1717">
        <v>64</v>
      </c>
      <c r="AZ1717">
        <v>4516</v>
      </c>
      <c r="BA1717">
        <v>1</v>
      </c>
      <c r="BB1717" t="str">
        <f t="shared" si="165"/>
        <v xml:space="preserve">N79NX   </v>
      </c>
      <c r="BC1717">
        <v>1</v>
      </c>
      <c r="BE1717">
        <v>0</v>
      </c>
      <c r="BF1717">
        <v>0</v>
      </c>
      <c r="BG1717">
        <v>0</v>
      </c>
      <c r="BH1717">
        <v>2775</v>
      </c>
      <c r="BI1717">
        <v>0</v>
      </c>
      <c r="BJ1717">
        <v>0</v>
      </c>
      <c r="BK1717">
        <v>0</v>
      </c>
      <c r="BL1717">
        <v>0</v>
      </c>
      <c r="BO1717">
        <v>0</v>
      </c>
      <c r="BP1717">
        <v>0</v>
      </c>
      <c r="BW1717" t="str">
        <f>"18:47:46.043"</f>
        <v>18:47:46.043</v>
      </c>
      <c r="BZ1717">
        <v>0</v>
      </c>
      <c r="CA1717">
        <v>3008</v>
      </c>
      <c r="CB1717">
        <v>216</v>
      </c>
      <c r="CC1717">
        <v>518.90629999999999</v>
      </c>
      <c r="CD1717">
        <v>1</v>
      </c>
      <c r="CE1717">
        <v>1</v>
      </c>
      <c r="CF1717">
        <v>0</v>
      </c>
      <c r="CG1717">
        <v>1</v>
      </c>
      <c r="CH1717">
        <v>0</v>
      </c>
      <c r="CI1717">
        <v>1</v>
      </c>
      <c r="CJ1717">
        <v>0</v>
      </c>
      <c r="CK1717">
        <v>2</v>
      </c>
      <c r="CL1717">
        <v>0</v>
      </c>
      <c r="CM1717">
        <v>2</v>
      </c>
      <c r="CN1717">
        <v>0</v>
      </c>
      <c r="CO1717">
        <v>1</v>
      </c>
      <c r="CP1717" t="s">
        <v>119</v>
      </c>
      <c r="CQ1717">
        <v>145</v>
      </c>
      <c r="CR1717">
        <v>1</v>
      </c>
      <c r="CW1717">
        <v>9201230</v>
      </c>
      <c r="CY1717">
        <v>0</v>
      </c>
      <c r="CZ1717">
        <v>0</v>
      </c>
      <c r="DA1717">
        <v>1</v>
      </c>
      <c r="DB1717">
        <v>0</v>
      </c>
      <c r="DC1717">
        <v>0</v>
      </c>
      <c r="DD1717">
        <v>0</v>
      </c>
      <c r="DE1717">
        <v>0</v>
      </c>
      <c r="DF1717">
        <v>0</v>
      </c>
      <c r="DG1717">
        <v>0</v>
      </c>
      <c r="DH1717">
        <v>0</v>
      </c>
      <c r="DI1717">
        <v>0</v>
      </c>
    </row>
    <row r="1718" spans="1:113" x14ac:dyDescent="0.3">
      <c r="A1718" t="str">
        <f>"02/13/2022 18:47:48.195"</f>
        <v>02/13/2022 18:47:48.195</v>
      </c>
      <c r="C1718" t="str">
        <f t="shared" si="167"/>
        <v>FFDFD7C0</v>
      </c>
      <c r="D1718" t="s">
        <v>121</v>
      </c>
      <c r="E1718">
        <v>2</v>
      </c>
      <c r="H1718">
        <v>158</v>
      </c>
      <c r="I1718" t="s">
        <v>120</v>
      </c>
      <c r="J1718" t="s">
        <v>122</v>
      </c>
      <c r="K1718">
        <v>0</v>
      </c>
      <c r="L1718">
        <v>3</v>
      </c>
      <c r="M1718">
        <v>0</v>
      </c>
      <c r="N1718">
        <v>2</v>
      </c>
      <c r="O1718">
        <v>1</v>
      </c>
      <c r="P1718">
        <v>0</v>
      </c>
      <c r="Q1718">
        <v>0</v>
      </c>
      <c r="S1718" t="str">
        <f>"18:47:47.961"</f>
        <v>18:47:47.961</v>
      </c>
      <c r="T1718" t="str">
        <f>"18:47:47.761"</f>
        <v>18:47:47.761</v>
      </c>
      <c r="U1718" t="str">
        <f t="shared" si="164"/>
        <v>AAB6EE</v>
      </c>
      <c r="V1718">
        <v>0</v>
      </c>
      <c r="W1718">
        <v>0</v>
      </c>
      <c r="X1718">
        <v>4</v>
      </c>
      <c r="Z1718">
        <v>0</v>
      </c>
      <c r="AA1718">
        <v>8</v>
      </c>
      <c r="AB1718">
        <v>3</v>
      </c>
      <c r="AC1718">
        <v>0</v>
      </c>
      <c r="AD1718">
        <v>10</v>
      </c>
      <c r="AE1718">
        <v>0</v>
      </c>
      <c r="AF1718">
        <v>0</v>
      </c>
      <c r="AG1718">
        <v>2</v>
      </c>
      <c r="AH1718">
        <v>1</v>
      </c>
      <c r="AI1718" t="s">
        <v>1265</v>
      </c>
      <c r="AJ1718">
        <v>35.180326000000001</v>
      </c>
      <c r="AK1718" t="s">
        <v>1266</v>
      </c>
      <c r="AL1718">
        <v>-76.016249999999999</v>
      </c>
      <c r="AM1718">
        <v>25</v>
      </c>
      <c r="AN1718">
        <v>2925</v>
      </c>
      <c r="AO1718" t="s">
        <v>118</v>
      </c>
      <c r="AP1718">
        <v>73</v>
      </c>
      <c r="AQ1718">
        <v>-139</v>
      </c>
      <c r="AR1718">
        <v>0</v>
      </c>
      <c r="AZ1718">
        <v>4516</v>
      </c>
      <c r="BA1718">
        <v>1</v>
      </c>
      <c r="BB1718" t="str">
        <f t="shared" si="165"/>
        <v xml:space="preserve">N79NX   </v>
      </c>
      <c r="BC1718">
        <v>1</v>
      </c>
      <c r="BE1718">
        <v>0</v>
      </c>
      <c r="BF1718">
        <v>0</v>
      </c>
      <c r="BG1718">
        <v>0</v>
      </c>
      <c r="BH1718">
        <v>2775</v>
      </c>
      <c r="BI1718">
        <v>0</v>
      </c>
      <c r="BJ1718">
        <v>0</v>
      </c>
      <c r="BK1718">
        <v>0</v>
      </c>
      <c r="BL1718">
        <v>0</v>
      </c>
      <c r="BO1718">
        <v>0</v>
      </c>
      <c r="BP1718">
        <v>0</v>
      </c>
      <c r="BW1718" t="str">
        <f>"18:47:47.963"</f>
        <v>18:47:47.963</v>
      </c>
      <c r="BZ1718">
        <v>0</v>
      </c>
      <c r="CA1718">
        <v>3008</v>
      </c>
      <c r="CB1718">
        <v>216</v>
      </c>
      <c r="CC1718">
        <v>518.90629999999999</v>
      </c>
      <c r="CD1718">
        <v>1</v>
      </c>
      <c r="CE1718">
        <v>1</v>
      </c>
      <c r="CF1718">
        <v>0</v>
      </c>
      <c r="CG1718">
        <v>1</v>
      </c>
      <c r="CH1718">
        <v>0</v>
      </c>
      <c r="CI1718">
        <v>1</v>
      </c>
      <c r="CJ1718">
        <v>0</v>
      </c>
      <c r="CK1718">
        <v>2</v>
      </c>
      <c r="CL1718">
        <v>0</v>
      </c>
      <c r="CM1718">
        <v>2</v>
      </c>
      <c r="CN1718">
        <v>0</v>
      </c>
      <c r="CO1718">
        <v>1</v>
      </c>
      <c r="CP1718" t="s">
        <v>119</v>
      </c>
      <c r="CQ1718">
        <v>145</v>
      </c>
      <c r="CR1718">
        <v>1</v>
      </c>
      <c r="CW1718">
        <v>9202146</v>
      </c>
      <c r="CY1718">
        <v>0</v>
      </c>
      <c r="CZ1718">
        <v>0</v>
      </c>
      <c r="DA1718">
        <v>0</v>
      </c>
      <c r="DB1718">
        <v>0</v>
      </c>
      <c r="DC1718">
        <v>0</v>
      </c>
      <c r="DD1718">
        <v>0</v>
      </c>
      <c r="DE1718">
        <v>0</v>
      </c>
      <c r="DF1718">
        <v>0</v>
      </c>
      <c r="DG1718">
        <v>0</v>
      </c>
      <c r="DH1718">
        <v>0</v>
      </c>
      <c r="DI1718">
        <v>0</v>
      </c>
    </row>
    <row r="1719" spans="1:113" x14ac:dyDescent="0.3">
      <c r="A1719" t="str">
        <f>"02/13/2022 18:47:48.226"</f>
        <v>02/13/2022 18:47:48.226</v>
      </c>
      <c r="C1719" t="str">
        <f t="shared" si="167"/>
        <v>FFDFD7C0</v>
      </c>
      <c r="D1719" t="s">
        <v>113</v>
      </c>
      <c r="E1719">
        <v>3</v>
      </c>
      <c r="F1719">
        <v>1003</v>
      </c>
      <c r="G1719" t="s">
        <v>114</v>
      </c>
      <c r="J1719" t="s">
        <v>115</v>
      </c>
      <c r="K1719">
        <v>0</v>
      </c>
      <c r="L1719">
        <v>3</v>
      </c>
      <c r="M1719">
        <v>0</v>
      </c>
      <c r="N1719">
        <v>2</v>
      </c>
      <c r="O1719">
        <v>1</v>
      </c>
      <c r="P1719">
        <v>0</v>
      </c>
      <c r="Q1719">
        <v>0</v>
      </c>
      <c r="S1719" t="str">
        <f>"18:47:47.961"</f>
        <v>18:47:47.961</v>
      </c>
      <c r="T1719" t="str">
        <f>"18:47:47.761"</f>
        <v>18:47:47.761</v>
      </c>
      <c r="U1719" t="str">
        <f t="shared" si="164"/>
        <v>AAB6EE</v>
      </c>
      <c r="V1719">
        <v>0</v>
      </c>
      <c r="W1719">
        <v>0</v>
      </c>
      <c r="X1719">
        <v>4</v>
      </c>
      <c r="Z1719">
        <v>0</v>
      </c>
      <c r="AA1719">
        <v>8</v>
      </c>
      <c r="AB1719">
        <v>3</v>
      </c>
      <c r="AC1719">
        <v>0</v>
      </c>
      <c r="AD1719">
        <v>10</v>
      </c>
      <c r="AE1719">
        <v>0</v>
      </c>
      <c r="AF1719">
        <v>0</v>
      </c>
      <c r="AG1719">
        <v>2</v>
      </c>
      <c r="AH1719">
        <v>1</v>
      </c>
      <c r="AI1719" t="s">
        <v>1265</v>
      </c>
      <c r="AJ1719">
        <v>35.180326000000001</v>
      </c>
      <c r="AK1719" t="s">
        <v>1266</v>
      </c>
      <c r="AL1719">
        <v>-76.016249999999999</v>
      </c>
      <c r="AM1719">
        <v>25</v>
      </c>
      <c r="AN1719">
        <v>2925</v>
      </c>
      <c r="AO1719" t="s">
        <v>118</v>
      </c>
      <c r="AP1719">
        <v>73</v>
      </c>
      <c r="AQ1719">
        <v>-139</v>
      </c>
      <c r="AR1719">
        <v>0</v>
      </c>
      <c r="AZ1719">
        <v>4516</v>
      </c>
      <c r="BA1719">
        <v>1</v>
      </c>
      <c r="BB1719" t="str">
        <f t="shared" si="165"/>
        <v xml:space="preserve">N79NX   </v>
      </c>
      <c r="BC1719">
        <v>1</v>
      </c>
      <c r="BE1719">
        <v>0</v>
      </c>
      <c r="BF1719">
        <v>0</v>
      </c>
      <c r="BG1719">
        <v>0</v>
      </c>
      <c r="BH1719">
        <v>2775</v>
      </c>
      <c r="BI1719">
        <v>0</v>
      </c>
      <c r="BJ1719">
        <v>0</v>
      </c>
      <c r="BK1719">
        <v>0</v>
      </c>
      <c r="BL1719">
        <v>0</v>
      </c>
      <c r="BO1719">
        <v>0</v>
      </c>
      <c r="BP1719">
        <v>0</v>
      </c>
      <c r="BW1719" t="str">
        <f>"18:47:47.963"</f>
        <v>18:47:47.963</v>
      </c>
      <c r="BZ1719">
        <v>0</v>
      </c>
      <c r="CA1719">
        <v>3008</v>
      </c>
      <c r="CB1719">
        <v>216</v>
      </c>
      <c r="CC1719">
        <v>518.90629999999999</v>
      </c>
      <c r="CD1719">
        <v>1</v>
      </c>
      <c r="CE1719">
        <v>1</v>
      </c>
      <c r="CF1719">
        <v>0</v>
      </c>
      <c r="CG1719">
        <v>1</v>
      </c>
      <c r="CH1719">
        <v>0</v>
      </c>
      <c r="CI1719">
        <v>1</v>
      </c>
      <c r="CJ1719">
        <v>0</v>
      </c>
      <c r="CK1719">
        <v>2</v>
      </c>
      <c r="CL1719">
        <v>0</v>
      </c>
      <c r="CM1719">
        <v>2</v>
      </c>
      <c r="CN1719">
        <v>0</v>
      </c>
      <c r="CO1719">
        <v>1</v>
      </c>
      <c r="CP1719" t="s">
        <v>119</v>
      </c>
      <c r="CQ1719">
        <v>145</v>
      </c>
      <c r="CR1719">
        <v>1</v>
      </c>
      <c r="CW1719">
        <v>9202146</v>
      </c>
      <c r="CY1719">
        <v>0</v>
      </c>
      <c r="CZ1719">
        <v>0</v>
      </c>
      <c r="DA1719">
        <v>1</v>
      </c>
      <c r="DB1719">
        <v>0</v>
      </c>
      <c r="DC1719">
        <v>0</v>
      </c>
      <c r="DD1719">
        <v>0</v>
      </c>
      <c r="DE1719">
        <v>0</v>
      </c>
      <c r="DF1719">
        <v>0</v>
      </c>
      <c r="DG1719">
        <v>0</v>
      </c>
      <c r="DH1719">
        <v>0</v>
      </c>
      <c r="DI1719">
        <v>0</v>
      </c>
    </row>
    <row r="1720" spans="1:113" x14ac:dyDescent="0.3">
      <c r="A1720" t="str">
        <f>"02/13/2022 18:47:48.226"</f>
        <v>02/13/2022 18:47:48.226</v>
      </c>
      <c r="C1720" t="str">
        <f t="shared" si="167"/>
        <v>FFDFD7C0</v>
      </c>
      <c r="D1720" t="s">
        <v>113</v>
      </c>
      <c r="E1720">
        <v>4</v>
      </c>
      <c r="F1720">
        <v>1004</v>
      </c>
      <c r="G1720" t="s">
        <v>120</v>
      </c>
      <c r="J1720" t="s">
        <v>115</v>
      </c>
      <c r="K1720">
        <v>0</v>
      </c>
      <c r="L1720">
        <v>3</v>
      </c>
      <c r="M1720">
        <v>0</v>
      </c>
      <c r="N1720">
        <v>2</v>
      </c>
      <c r="O1720">
        <v>1</v>
      </c>
      <c r="P1720">
        <v>0</v>
      </c>
      <c r="Q1720">
        <v>0</v>
      </c>
      <c r="S1720" t="str">
        <f>"18:47:47.961"</f>
        <v>18:47:47.961</v>
      </c>
      <c r="T1720" t="str">
        <f>"18:47:47.761"</f>
        <v>18:47:47.761</v>
      </c>
      <c r="U1720" t="str">
        <f t="shared" si="164"/>
        <v>AAB6EE</v>
      </c>
      <c r="V1720">
        <v>0</v>
      </c>
      <c r="W1720">
        <v>0</v>
      </c>
      <c r="X1720">
        <v>4</v>
      </c>
      <c r="Z1720">
        <v>0</v>
      </c>
      <c r="AA1720">
        <v>8</v>
      </c>
      <c r="AB1720">
        <v>3</v>
      </c>
      <c r="AC1720">
        <v>0</v>
      </c>
      <c r="AD1720">
        <v>10</v>
      </c>
      <c r="AE1720">
        <v>0</v>
      </c>
      <c r="AF1720">
        <v>0</v>
      </c>
      <c r="AG1720">
        <v>2</v>
      </c>
      <c r="AH1720">
        <v>1</v>
      </c>
      <c r="AI1720" t="s">
        <v>1265</v>
      </c>
      <c r="AJ1720">
        <v>35.180326000000001</v>
      </c>
      <c r="AK1720" t="s">
        <v>1266</v>
      </c>
      <c r="AL1720">
        <v>-76.016249999999999</v>
      </c>
      <c r="AM1720">
        <v>25</v>
      </c>
      <c r="AN1720">
        <v>2925</v>
      </c>
      <c r="AO1720" t="s">
        <v>118</v>
      </c>
      <c r="AP1720">
        <v>73</v>
      </c>
      <c r="AQ1720">
        <v>-139</v>
      </c>
      <c r="AR1720">
        <v>0</v>
      </c>
      <c r="AZ1720">
        <v>4516</v>
      </c>
      <c r="BA1720">
        <v>1</v>
      </c>
      <c r="BB1720" t="str">
        <f t="shared" si="165"/>
        <v xml:space="preserve">N79NX   </v>
      </c>
      <c r="BC1720">
        <v>1</v>
      </c>
      <c r="BE1720">
        <v>0</v>
      </c>
      <c r="BF1720">
        <v>0</v>
      </c>
      <c r="BG1720">
        <v>0</v>
      </c>
      <c r="BH1720">
        <v>2775</v>
      </c>
      <c r="BI1720">
        <v>0</v>
      </c>
      <c r="BJ1720">
        <v>0</v>
      </c>
      <c r="BK1720">
        <v>0</v>
      </c>
      <c r="BL1720">
        <v>0</v>
      </c>
      <c r="BO1720">
        <v>0</v>
      </c>
      <c r="BP1720">
        <v>0</v>
      </c>
      <c r="BW1720" t="str">
        <f>"18:47:47.963"</f>
        <v>18:47:47.963</v>
      </c>
      <c r="BZ1720">
        <v>0</v>
      </c>
      <c r="CA1720">
        <v>3008</v>
      </c>
      <c r="CB1720">
        <v>216</v>
      </c>
      <c r="CC1720">
        <v>518.90629999999999</v>
      </c>
      <c r="CD1720">
        <v>1</v>
      </c>
      <c r="CE1720">
        <v>1</v>
      </c>
      <c r="CF1720">
        <v>0</v>
      </c>
      <c r="CG1720">
        <v>1</v>
      </c>
      <c r="CH1720">
        <v>0</v>
      </c>
      <c r="CI1720">
        <v>1</v>
      </c>
      <c r="CJ1720">
        <v>0</v>
      </c>
      <c r="CK1720">
        <v>2</v>
      </c>
      <c r="CL1720">
        <v>0</v>
      </c>
      <c r="CM1720">
        <v>2</v>
      </c>
      <c r="CN1720">
        <v>0</v>
      </c>
      <c r="CO1720">
        <v>1</v>
      </c>
      <c r="CP1720" t="s">
        <v>119</v>
      </c>
      <c r="CQ1720">
        <v>145</v>
      </c>
      <c r="CR1720">
        <v>1</v>
      </c>
      <c r="CW1720">
        <v>9202146</v>
      </c>
      <c r="CY1720">
        <v>0</v>
      </c>
      <c r="CZ1720">
        <v>0</v>
      </c>
      <c r="DA1720">
        <v>1</v>
      </c>
      <c r="DB1720">
        <v>0</v>
      </c>
      <c r="DC1720">
        <v>0</v>
      </c>
      <c r="DD1720">
        <v>0</v>
      </c>
      <c r="DE1720">
        <v>0</v>
      </c>
      <c r="DF1720">
        <v>0</v>
      </c>
      <c r="DG1720">
        <v>0</v>
      </c>
      <c r="DH1720">
        <v>0</v>
      </c>
      <c r="DI1720">
        <v>0</v>
      </c>
    </row>
    <row r="1721" spans="1:113" x14ac:dyDescent="0.3">
      <c r="A1721" t="str">
        <f>"02/13/2022 18:47:49.273"</f>
        <v>02/13/2022 18:47:49.273</v>
      </c>
      <c r="C1721" t="str">
        <f t="shared" si="167"/>
        <v>FFDFD7C0</v>
      </c>
      <c r="D1721" t="s">
        <v>113</v>
      </c>
      <c r="E1721">
        <v>3</v>
      </c>
      <c r="F1721">
        <v>1003</v>
      </c>
      <c r="G1721" t="s">
        <v>114</v>
      </c>
      <c r="J1721" t="s">
        <v>115</v>
      </c>
      <c r="K1721">
        <v>0</v>
      </c>
      <c r="L1721">
        <v>3</v>
      </c>
      <c r="M1721">
        <v>0</v>
      </c>
      <c r="N1721">
        <v>2</v>
      </c>
      <c r="O1721">
        <v>1</v>
      </c>
      <c r="P1721">
        <v>0</v>
      </c>
      <c r="Q1721">
        <v>0</v>
      </c>
      <c r="S1721" t="str">
        <f>"18:47:49.031"</f>
        <v>18:47:49.031</v>
      </c>
      <c r="T1721" t="str">
        <f>"18:47:47.731"</f>
        <v>18:47:47.731</v>
      </c>
      <c r="U1721" t="str">
        <f t="shared" si="164"/>
        <v>AAB6EE</v>
      </c>
      <c r="V1721">
        <v>0</v>
      </c>
      <c r="W1721">
        <v>0</v>
      </c>
      <c r="X1721">
        <v>4</v>
      </c>
      <c r="Z1721">
        <v>0</v>
      </c>
      <c r="AA1721">
        <v>8</v>
      </c>
      <c r="AB1721">
        <v>3</v>
      </c>
      <c r="AC1721">
        <v>0</v>
      </c>
      <c r="AD1721">
        <v>10</v>
      </c>
      <c r="AE1721">
        <v>0</v>
      </c>
      <c r="AF1721">
        <v>0</v>
      </c>
      <c r="AG1721">
        <v>2</v>
      </c>
      <c r="AH1721">
        <v>1</v>
      </c>
      <c r="AI1721" t="s">
        <v>1267</v>
      </c>
      <c r="AJ1721">
        <v>35.179617</v>
      </c>
      <c r="AK1721" t="s">
        <v>1268</v>
      </c>
      <c r="AL1721">
        <v>-76.015777999999997</v>
      </c>
      <c r="AM1721">
        <v>25</v>
      </c>
      <c r="AN1721">
        <v>2925</v>
      </c>
      <c r="AO1721" t="s">
        <v>118</v>
      </c>
      <c r="AP1721">
        <v>73</v>
      </c>
      <c r="AQ1721">
        <v>-139</v>
      </c>
      <c r="AR1721">
        <v>0</v>
      </c>
      <c r="AZ1721">
        <v>4516</v>
      </c>
      <c r="BA1721">
        <v>1</v>
      </c>
      <c r="BB1721" t="str">
        <f t="shared" si="165"/>
        <v xml:space="preserve">N79NX   </v>
      </c>
      <c r="BC1721">
        <v>1</v>
      </c>
      <c r="BE1721">
        <v>0</v>
      </c>
      <c r="BF1721">
        <v>0</v>
      </c>
      <c r="BG1721">
        <v>0</v>
      </c>
      <c r="BH1721">
        <v>2775</v>
      </c>
      <c r="BI1721">
        <v>0</v>
      </c>
      <c r="BJ1721">
        <v>0</v>
      </c>
      <c r="BK1721">
        <v>0</v>
      </c>
      <c r="BL1721">
        <v>0</v>
      </c>
      <c r="BO1721">
        <v>0</v>
      </c>
      <c r="BP1721">
        <v>0</v>
      </c>
      <c r="BW1721" t="str">
        <f>"18:47:49.033"</f>
        <v>18:47:49.033</v>
      </c>
      <c r="BZ1721">
        <v>0</v>
      </c>
      <c r="CA1721">
        <v>3008</v>
      </c>
      <c r="CB1721">
        <v>216</v>
      </c>
      <c r="CC1721">
        <v>518.90629999999999</v>
      </c>
      <c r="CD1721">
        <v>1</v>
      </c>
      <c r="CE1721">
        <v>1</v>
      </c>
      <c r="CF1721">
        <v>0</v>
      </c>
      <c r="CG1721">
        <v>1</v>
      </c>
      <c r="CH1721">
        <v>0</v>
      </c>
      <c r="CI1721">
        <v>1</v>
      </c>
      <c r="CJ1721">
        <v>0</v>
      </c>
      <c r="CK1721">
        <v>2</v>
      </c>
      <c r="CL1721">
        <v>0</v>
      </c>
      <c r="CM1721">
        <v>2</v>
      </c>
      <c r="CN1721">
        <v>0</v>
      </c>
      <c r="CO1721">
        <v>1</v>
      </c>
      <c r="CP1721" t="s">
        <v>119</v>
      </c>
      <c r="CQ1721">
        <v>145</v>
      </c>
      <c r="CR1721">
        <v>1</v>
      </c>
      <c r="CW1721">
        <v>9202705</v>
      </c>
      <c r="CY1721">
        <v>0</v>
      </c>
      <c r="CZ1721">
        <v>0</v>
      </c>
      <c r="DA1721">
        <v>0</v>
      </c>
      <c r="DB1721">
        <v>0</v>
      </c>
      <c r="DC1721">
        <v>0</v>
      </c>
      <c r="DD1721">
        <v>0</v>
      </c>
      <c r="DE1721">
        <v>0</v>
      </c>
      <c r="DF1721">
        <v>0</v>
      </c>
      <c r="DG1721">
        <v>0</v>
      </c>
      <c r="DH1721">
        <v>0</v>
      </c>
      <c r="DI1721">
        <v>0</v>
      </c>
    </row>
    <row r="1722" spans="1:113" x14ac:dyDescent="0.3">
      <c r="A1722" t="str">
        <f>"02/13/2022 18:47:49.273"</f>
        <v>02/13/2022 18:47:49.273</v>
      </c>
      <c r="C1722" t="str">
        <f t="shared" si="167"/>
        <v>FFDFD7C0</v>
      </c>
      <c r="D1722" t="s">
        <v>113</v>
      </c>
      <c r="E1722">
        <v>4</v>
      </c>
      <c r="F1722">
        <v>1004</v>
      </c>
      <c r="G1722" t="s">
        <v>120</v>
      </c>
      <c r="J1722" t="s">
        <v>115</v>
      </c>
      <c r="K1722">
        <v>0</v>
      </c>
      <c r="L1722">
        <v>3</v>
      </c>
      <c r="M1722">
        <v>0</v>
      </c>
      <c r="N1722">
        <v>2</v>
      </c>
      <c r="O1722">
        <v>1</v>
      </c>
      <c r="P1722">
        <v>0</v>
      </c>
      <c r="Q1722">
        <v>0</v>
      </c>
      <c r="S1722" t="str">
        <f>"18:47:49.031"</f>
        <v>18:47:49.031</v>
      </c>
      <c r="T1722" t="str">
        <f>"18:47:47.731"</f>
        <v>18:47:47.731</v>
      </c>
      <c r="U1722" t="str">
        <f t="shared" si="164"/>
        <v>AAB6EE</v>
      </c>
      <c r="V1722">
        <v>0</v>
      </c>
      <c r="W1722">
        <v>0</v>
      </c>
      <c r="X1722">
        <v>4</v>
      </c>
      <c r="Z1722">
        <v>0</v>
      </c>
      <c r="AA1722">
        <v>8</v>
      </c>
      <c r="AB1722">
        <v>3</v>
      </c>
      <c r="AC1722">
        <v>0</v>
      </c>
      <c r="AD1722">
        <v>10</v>
      </c>
      <c r="AE1722">
        <v>0</v>
      </c>
      <c r="AF1722">
        <v>0</v>
      </c>
      <c r="AG1722">
        <v>2</v>
      </c>
      <c r="AH1722">
        <v>1</v>
      </c>
      <c r="AI1722" t="s">
        <v>1267</v>
      </c>
      <c r="AJ1722">
        <v>35.179617</v>
      </c>
      <c r="AK1722" t="s">
        <v>1268</v>
      </c>
      <c r="AL1722">
        <v>-76.015777999999997</v>
      </c>
      <c r="AM1722">
        <v>25</v>
      </c>
      <c r="AN1722">
        <v>2925</v>
      </c>
      <c r="AO1722" t="s">
        <v>118</v>
      </c>
      <c r="AP1722">
        <v>73</v>
      </c>
      <c r="AQ1722">
        <v>-139</v>
      </c>
      <c r="AR1722">
        <v>0</v>
      </c>
      <c r="AZ1722">
        <v>4516</v>
      </c>
      <c r="BA1722">
        <v>1</v>
      </c>
      <c r="BB1722" t="str">
        <f t="shared" si="165"/>
        <v xml:space="preserve">N79NX   </v>
      </c>
      <c r="BC1722">
        <v>1</v>
      </c>
      <c r="BE1722">
        <v>0</v>
      </c>
      <c r="BF1722">
        <v>0</v>
      </c>
      <c r="BG1722">
        <v>0</v>
      </c>
      <c r="BH1722">
        <v>2775</v>
      </c>
      <c r="BI1722">
        <v>0</v>
      </c>
      <c r="BJ1722">
        <v>0</v>
      </c>
      <c r="BK1722">
        <v>0</v>
      </c>
      <c r="BL1722">
        <v>0</v>
      </c>
      <c r="BO1722">
        <v>0</v>
      </c>
      <c r="BP1722">
        <v>0</v>
      </c>
      <c r="BW1722" t="str">
        <f>"18:47:49.033"</f>
        <v>18:47:49.033</v>
      </c>
      <c r="BZ1722">
        <v>0</v>
      </c>
      <c r="CA1722">
        <v>3008</v>
      </c>
      <c r="CB1722">
        <v>216</v>
      </c>
      <c r="CC1722">
        <v>518.90629999999999</v>
      </c>
      <c r="CD1722">
        <v>1</v>
      </c>
      <c r="CE1722">
        <v>1</v>
      </c>
      <c r="CF1722">
        <v>0</v>
      </c>
      <c r="CG1722">
        <v>1</v>
      </c>
      <c r="CH1722">
        <v>0</v>
      </c>
      <c r="CI1722">
        <v>1</v>
      </c>
      <c r="CJ1722">
        <v>0</v>
      </c>
      <c r="CK1722">
        <v>2</v>
      </c>
      <c r="CL1722">
        <v>0</v>
      </c>
      <c r="CM1722">
        <v>2</v>
      </c>
      <c r="CN1722">
        <v>0</v>
      </c>
      <c r="CO1722">
        <v>1</v>
      </c>
      <c r="CP1722" t="s">
        <v>119</v>
      </c>
      <c r="CQ1722">
        <v>145</v>
      </c>
      <c r="CR1722">
        <v>1</v>
      </c>
      <c r="CW1722">
        <v>9202705</v>
      </c>
      <c r="CY1722">
        <v>0</v>
      </c>
      <c r="CZ1722">
        <v>0</v>
      </c>
      <c r="DA1722">
        <v>1</v>
      </c>
      <c r="DB1722">
        <v>0</v>
      </c>
      <c r="DC1722">
        <v>0</v>
      </c>
      <c r="DD1722">
        <v>0</v>
      </c>
      <c r="DE1722">
        <v>0</v>
      </c>
      <c r="DF1722">
        <v>0</v>
      </c>
      <c r="DG1722">
        <v>0</v>
      </c>
      <c r="DH1722">
        <v>0</v>
      </c>
      <c r="DI1722">
        <v>0</v>
      </c>
    </row>
    <row r="1723" spans="1:113" x14ac:dyDescent="0.3">
      <c r="A1723" t="str">
        <f>"02/13/2022 18:47:49.273"</f>
        <v>02/13/2022 18:47:49.273</v>
      </c>
      <c r="C1723" t="str">
        <f t="shared" si="167"/>
        <v>FFDFD7C0</v>
      </c>
      <c r="D1723" t="s">
        <v>121</v>
      </c>
      <c r="E1723">
        <v>2</v>
      </c>
      <c r="H1723">
        <v>158</v>
      </c>
      <c r="I1723" t="s">
        <v>120</v>
      </c>
      <c r="J1723" t="s">
        <v>122</v>
      </c>
      <c r="K1723">
        <v>0</v>
      </c>
      <c r="L1723">
        <v>3</v>
      </c>
      <c r="M1723">
        <v>0</v>
      </c>
      <c r="N1723">
        <v>2</v>
      </c>
      <c r="O1723">
        <v>1</v>
      </c>
      <c r="P1723">
        <v>0</v>
      </c>
      <c r="Q1723">
        <v>0</v>
      </c>
      <c r="S1723" t="str">
        <f>"18:47:49.031"</f>
        <v>18:47:49.031</v>
      </c>
      <c r="T1723" t="str">
        <f>"18:47:47.731"</f>
        <v>18:47:47.731</v>
      </c>
      <c r="U1723" t="str">
        <f t="shared" si="164"/>
        <v>AAB6EE</v>
      </c>
      <c r="V1723">
        <v>0</v>
      </c>
      <c r="W1723">
        <v>0</v>
      </c>
      <c r="X1723">
        <v>4</v>
      </c>
      <c r="Z1723">
        <v>0</v>
      </c>
      <c r="AA1723">
        <v>8</v>
      </c>
      <c r="AB1723">
        <v>3</v>
      </c>
      <c r="AC1723">
        <v>0</v>
      </c>
      <c r="AD1723">
        <v>10</v>
      </c>
      <c r="AE1723">
        <v>0</v>
      </c>
      <c r="AF1723">
        <v>0</v>
      </c>
      <c r="AG1723">
        <v>2</v>
      </c>
      <c r="AH1723">
        <v>1</v>
      </c>
      <c r="AI1723" t="s">
        <v>1267</v>
      </c>
      <c r="AJ1723">
        <v>35.179617</v>
      </c>
      <c r="AK1723" t="s">
        <v>1268</v>
      </c>
      <c r="AL1723">
        <v>-76.015777999999997</v>
      </c>
      <c r="AM1723">
        <v>25</v>
      </c>
      <c r="AN1723">
        <v>2925</v>
      </c>
      <c r="AO1723" t="s">
        <v>118</v>
      </c>
      <c r="AP1723">
        <v>73</v>
      </c>
      <c r="AQ1723">
        <v>-139</v>
      </c>
      <c r="AR1723">
        <v>0</v>
      </c>
      <c r="AZ1723">
        <v>4516</v>
      </c>
      <c r="BA1723">
        <v>1</v>
      </c>
      <c r="BB1723" t="str">
        <f t="shared" si="165"/>
        <v xml:space="preserve">N79NX   </v>
      </c>
      <c r="BC1723">
        <v>1</v>
      </c>
      <c r="BE1723">
        <v>0</v>
      </c>
      <c r="BF1723">
        <v>0</v>
      </c>
      <c r="BG1723">
        <v>0</v>
      </c>
      <c r="BH1723">
        <v>2775</v>
      </c>
      <c r="BI1723">
        <v>0</v>
      </c>
      <c r="BJ1723">
        <v>0</v>
      </c>
      <c r="BK1723">
        <v>0</v>
      </c>
      <c r="BL1723">
        <v>0</v>
      </c>
      <c r="BO1723">
        <v>0</v>
      </c>
      <c r="BP1723">
        <v>0</v>
      </c>
      <c r="BW1723" t="str">
        <f>"18:47:49.033"</f>
        <v>18:47:49.033</v>
      </c>
      <c r="BZ1723">
        <v>0</v>
      </c>
      <c r="CA1723">
        <v>3008</v>
      </c>
      <c r="CB1723">
        <v>216</v>
      </c>
      <c r="CC1723">
        <v>518.90629999999999</v>
      </c>
      <c r="CD1723">
        <v>1</v>
      </c>
      <c r="CE1723">
        <v>1</v>
      </c>
      <c r="CF1723">
        <v>0</v>
      </c>
      <c r="CG1723">
        <v>1</v>
      </c>
      <c r="CH1723">
        <v>0</v>
      </c>
      <c r="CI1723">
        <v>1</v>
      </c>
      <c r="CJ1723">
        <v>0</v>
      </c>
      <c r="CK1723">
        <v>2</v>
      </c>
      <c r="CL1723">
        <v>0</v>
      </c>
      <c r="CM1723">
        <v>2</v>
      </c>
      <c r="CN1723">
        <v>0</v>
      </c>
      <c r="CO1723">
        <v>1</v>
      </c>
      <c r="CP1723" t="s">
        <v>119</v>
      </c>
      <c r="CQ1723">
        <v>145</v>
      </c>
      <c r="CR1723">
        <v>1</v>
      </c>
      <c r="CW1723">
        <v>9202705</v>
      </c>
      <c r="CY1723">
        <v>0</v>
      </c>
      <c r="CZ1723">
        <v>0</v>
      </c>
      <c r="DA1723">
        <v>1</v>
      </c>
      <c r="DB1723">
        <v>0</v>
      </c>
      <c r="DC1723">
        <v>0</v>
      </c>
      <c r="DD1723">
        <v>0</v>
      </c>
      <c r="DE1723">
        <v>0</v>
      </c>
      <c r="DF1723">
        <v>0</v>
      </c>
      <c r="DG1723">
        <v>0</v>
      </c>
      <c r="DH1723">
        <v>0</v>
      </c>
      <c r="DI1723">
        <v>0</v>
      </c>
    </row>
    <row r="1724" spans="1:113" x14ac:dyDescent="0.3">
      <c r="A1724" t="str">
        <f>"02/13/2022 18:47:50.150"</f>
        <v>02/13/2022 18:47:50.150</v>
      </c>
      <c r="C1724" t="str">
        <f t="shared" si="167"/>
        <v>FFDFD7C0</v>
      </c>
      <c r="D1724" t="s">
        <v>113</v>
      </c>
      <c r="E1724">
        <v>3</v>
      </c>
      <c r="F1724">
        <v>1003</v>
      </c>
      <c r="G1724" t="s">
        <v>114</v>
      </c>
      <c r="J1724" t="s">
        <v>115</v>
      </c>
      <c r="K1724">
        <v>0</v>
      </c>
      <c r="L1724">
        <v>3</v>
      </c>
      <c r="M1724">
        <v>0</v>
      </c>
      <c r="N1724">
        <v>2</v>
      </c>
      <c r="O1724">
        <v>1</v>
      </c>
      <c r="P1724">
        <v>0</v>
      </c>
      <c r="Q1724">
        <v>0</v>
      </c>
      <c r="S1724" t="str">
        <f>"18:47:49.898"</f>
        <v>18:47:49.898</v>
      </c>
      <c r="T1724" t="str">
        <f>"18:47:49.698"</f>
        <v>18:47:49.698</v>
      </c>
      <c r="U1724" t="str">
        <f t="shared" si="164"/>
        <v>AAB6EE</v>
      </c>
      <c r="V1724">
        <v>0</v>
      </c>
      <c r="W1724">
        <v>0</v>
      </c>
      <c r="X1724">
        <v>4</v>
      </c>
      <c r="Z1724">
        <v>0</v>
      </c>
      <c r="AA1724">
        <v>8</v>
      </c>
      <c r="AB1724">
        <v>3</v>
      </c>
      <c r="AC1724">
        <v>0</v>
      </c>
      <c r="AD1724">
        <v>10</v>
      </c>
      <c r="AE1724">
        <v>0</v>
      </c>
      <c r="AF1724">
        <v>0</v>
      </c>
      <c r="AG1724">
        <v>2</v>
      </c>
      <c r="AH1724">
        <v>1</v>
      </c>
      <c r="AI1724" t="s">
        <v>1269</v>
      </c>
      <c r="AJ1724">
        <v>35.179102</v>
      </c>
      <c r="AK1724" t="s">
        <v>1270</v>
      </c>
      <c r="AL1724">
        <v>-76.015433999999999</v>
      </c>
      <c r="AM1724">
        <v>25</v>
      </c>
      <c r="AN1724">
        <v>2925</v>
      </c>
      <c r="AO1724" t="s">
        <v>118</v>
      </c>
      <c r="AP1724">
        <v>73</v>
      </c>
      <c r="AQ1724">
        <v>-139</v>
      </c>
      <c r="AR1724">
        <v>0</v>
      </c>
      <c r="AZ1724">
        <v>4516</v>
      </c>
      <c r="BA1724">
        <v>1</v>
      </c>
      <c r="BB1724" t="str">
        <f t="shared" si="165"/>
        <v xml:space="preserve">N79NX   </v>
      </c>
      <c r="BC1724">
        <v>1</v>
      </c>
      <c r="BE1724">
        <v>0</v>
      </c>
      <c r="BF1724">
        <v>0</v>
      </c>
      <c r="BG1724">
        <v>0</v>
      </c>
      <c r="BH1724">
        <v>2775</v>
      </c>
      <c r="BI1724">
        <v>0</v>
      </c>
      <c r="BJ1724">
        <v>0</v>
      </c>
      <c r="BK1724">
        <v>0</v>
      </c>
      <c r="BL1724">
        <v>0</v>
      </c>
      <c r="BO1724">
        <v>0</v>
      </c>
      <c r="BP1724">
        <v>0</v>
      </c>
      <c r="BW1724" t="str">
        <f>"18:47:49.903"</f>
        <v>18:47:49.903</v>
      </c>
      <c r="BZ1724">
        <v>0</v>
      </c>
      <c r="CA1724">
        <v>3008</v>
      </c>
      <c r="CB1724">
        <v>216</v>
      </c>
      <c r="CC1724">
        <v>518.90629999999999</v>
      </c>
      <c r="CD1724">
        <v>1</v>
      </c>
      <c r="CE1724">
        <v>1</v>
      </c>
      <c r="CF1724">
        <v>0</v>
      </c>
      <c r="CG1724">
        <v>1</v>
      </c>
      <c r="CH1724">
        <v>0</v>
      </c>
      <c r="CI1724">
        <v>1</v>
      </c>
      <c r="CJ1724">
        <v>0</v>
      </c>
      <c r="CK1724">
        <v>2</v>
      </c>
      <c r="CL1724">
        <v>0</v>
      </c>
      <c r="CM1724">
        <v>2</v>
      </c>
      <c r="CN1724">
        <v>0</v>
      </c>
      <c r="CO1724">
        <v>1</v>
      </c>
      <c r="CP1724" t="s">
        <v>119</v>
      </c>
      <c r="CQ1724">
        <v>145</v>
      </c>
      <c r="CR1724">
        <v>1</v>
      </c>
      <c r="CW1724">
        <v>9203086</v>
      </c>
      <c r="CY1724">
        <v>0</v>
      </c>
      <c r="CZ1724">
        <v>0</v>
      </c>
      <c r="DA1724">
        <v>0</v>
      </c>
      <c r="DB1724">
        <v>0</v>
      </c>
      <c r="DC1724">
        <v>0</v>
      </c>
      <c r="DD1724">
        <v>0</v>
      </c>
      <c r="DE1724">
        <v>0</v>
      </c>
      <c r="DF1724">
        <v>0</v>
      </c>
      <c r="DG1724">
        <v>0</v>
      </c>
      <c r="DH1724">
        <v>0</v>
      </c>
      <c r="DI1724">
        <v>0</v>
      </c>
    </row>
    <row r="1725" spans="1:113" x14ac:dyDescent="0.3">
      <c r="A1725" t="str">
        <f>"02/13/2022 18:47:50.150"</f>
        <v>02/13/2022 18:47:50.150</v>
      </c>
      <c r="C1725" t="str">
        <f t="shared" si="167"/>
        <v>FFDFD7C0</v>
      </c>
      <c r="D1725" t="s">
        <v>113</v>
      </c>
      <c r="E1725">
        <v>4</v>
      </c>
      <c r="F1725">
        <v>1004</v>
      </c>
      <c r="G1725" t="s">
        <v>120</v>
      </c>
      <c r="J1725" t="s">
        <v>115</v>
      </c>
      <c r="K1725">
        <v>0</v>
      </c>
      <c r="L1725">
        <v>3</v>
      </c>
      <c r="M1725">
        <v>0</v>
      </c>
      <c r="N1725">
        <v>2</v>
      </c>
      <c r="O1725">
        <v>1</v>
      </c>
      <c r="P1725">
        <v>0</v>
      </c>
      <c r="Q1725">
        <v>0</v>
      </c>
      <c r="S1725" t="str">
        <f>"18:47:49.898"</f>
        <v>18:47:49.898</v>
      </c>
      <c r="T1725" t="str">
        <f>"18:47:49.698"</f>
        <v>18:47:49.698</v>
      </c>
      <c r="U1725" t="str">
        <f t="shared" si="164"/>
        <v>AAB6EE</v>
      </c>
      <c r="V1725">
        <v>0</v>
      </c>
      <c r="W1725">
        <v>0</v>
      </c>
      <c r="X1725">
        <v>4</v>
      </c>
      <c r="Z1725">
        <v>0</v>
      </c>
      <c r="AA1725">
        <v>8</v>
      </c>
      <c r="AB1725">
        <v>3</v>
      </c>
      <c r="AC1725">
        <v>0</v>
      </c>
      <c r="AD1725">
        <v>10</v>
      </c>
      <c r="AE1725">
        <v>0</v>
      </c>
      <c r="AF1725">
        <v>0</v>
      </c>
      <c r="AG1725">
        <v>2</v>
      </c>
      <c r="AH1725">
        <v>1</v>
      </c>
      <c r="AI1725" t="s">
        <v>1269</v>
      </c>
      <c r="AJ1725">
        <v>35.179102</v>
      </c>
      <c r="AK1725" t="s">
        <v>1270</v>
      </c>
      <c r="AL1725">
        <v>-76.015433999999999</v>
      </c>
      <c r="AM1725">
        <v>25</v>
      </c>
      <c r="AN1725">
        <v>2925</v>
      </c>
      <c r="AO1725" t="s">
        <v>118</v>
      </c>
      <c r="AP1725">
        <v>73</v>
      </c>
      <c r="AQ1725">
        <v>-139</v>
      </c>
      <c r="AR1725">
        <v>0</v>
      </c>
      <c r="AZ1725">
        <v>4516</v>
      </c>
      <c r="BA1725">
        <v>1</v>
      </c>
      <c r="BB1725" t="str">
        <f t="shared" si="165"/>
        <v xml:space="preserve">N79NX   </v>
      </c>
      <c r="BC1725">
        <v>1</v>
      </c>
      <c r="BE1725">
        <v>0</v>
      </c>
      <c r="BF1725">
        <v>0</v>
      </c>
      <c r="BG1725">
        <v>0</v>
      </c>
      <c r="BH1725">
        <v>2775</v>
      </c>
      <c r="BI1725">
        <v>0</v>
      </c>
      <c r="BJ1725">
        <v>0</v>
      </c>
      <c r="BK1725">
        <v>0</v>
      </c>
      <c r="BL1725">
        <v>0</v>
      </c>
      <c r="BO1725">
        <v>0</v>
      </c>
      <c r="BP1725">
        <v>0</v>
      </c>
      <c r="BW1725" t="str">
        <f>"18:47:49.903"</f>
        <v>18:47:49.903</v>
      </c>
      <c r="BZ1725">
        <v>0</v>
      </c>
      <c r="CA1725">
        <v>3008</v>
      </c>
      <c r="CB1725">
        <v>216</v>
      </c>
      <c r="CC1725">
        <v>518.90629999999999</v>
      </c>
      <c r="CD1725">
        <v>1</v>
      </c>
      <c r="CE1725">
        <v>1</v>
      </c>
      <c r="CF1725">
        <v>0</v>
      </c>
      <c r="CG1725">
        <v>1</v>
      </c>
      <c r="CH1725">
        <v>0</v>
      </c>
      <c r="CI1725">
        <v>1</v>
      </c>
      <c r="CJ1725">
        <v>0</v>
      </c>
      <c r="CK1725">
        <v>2</v>
      </c>
      <c r="CL1725">
        <v>0</v>
      </c>
      <c r="CM1725">
        <v>2</v>
      </c>
      <c r="CN1725">
        <v>0</v>
      </c>
      <c r="CO1725">
        <v>1</v>
      </c>
      <c r="CP1725" t="s">
        <v>119</v>
      </c>
      <c r="CQ1725">
        <v>145</v>
      </c>
      <c r="CR1725">
        <v>1</v>
      </c>
      <c r="CW1725">
        <v>9203086</v>
      </c>
      <c r="CY1725">
        <v>0</v>
      </c>
      <c r="CZ1725">
        <v>0</v>
      </c>
      <c r="DA1725">
        <v>1</v>
      </c>
      <c r="DB1725">
        <v>0</v>
      </c>
      <c r="DC1725">
        <v>0</v>
      </c>
      <c r="DD1725">
        <v>0</v>
      </c>
      <c r="DE1725">
        <v>0</v>
      </c>
      <c r="DF1725">
        <v>0</v>
      </c>
      <c r="DG1725">
        <v>0</v>
      </c>
      <c r="DH1725">
        <v>0</v>
      </c>
      <c r="DI1725">
        <v>0</v>
      </c>
    </row>
    <row r="1726" spans="1:113" x14ac:dyDescent="0.3">
      <c r="A1726" t="str">
        <f>"02/13/2022 18:47:50.150"</f>
        <v>02/13/2022 18:47:50.150</v>
      </c>
      <c r="C1726" t="str">
        <f t="shared" si="167"/>
        <v>FFDFD7C0</v>
      </c>
      <c r="D1726" t="s">
        <v>121</v>
      </c>
      <c r="E1726">
        <v>2</v>
      </c>
      <c r="H1726">
        <v>158</v>
      </c>
      <c r="I1726" t="s">
        <v>120</v>
      </c>
      <c r="J1726" t="s">
        <v>122</v>
      </c>
      <c r="K1726">
        <v>0</v>
      </c>
      <c r="L1726">
        <v>3</v>
      </c>
      <c r="M1726">
        <v>0</v>
      </c>
      <c r="N1726">
        <v>2</v>
      </c>
      <c r="O1726">
        <v>1</v>
      </c>
      <c r="P1726">
        <v>0</v>
      </c>
      <c r="Q1726">
        <v>0</v>
      </c>
      <c r="S1726" t="str">
        <f>"18:47:49.898"</f>
        <v>18:47:49.898</v>
      </c>
      <c r="T1726" t="str">
        <f>"18:47:49.698"</f>
        <v>18:47:49.698</v>
      </c>
      <c r="U1726" t="str">
        <f t="shared" si="164"/>
        <v>AAB6EE</v>
      </c>
      <c r="V1726">
        <v>0</v>
      </c>
      <c r="W1726">
        <v>0</v>
      </c>
      <c r="X1726">
        <v>4</v>
      </c>
      <c r="Z1726">
        <v>0</v>
      </c>
      <c r="AA1726">
        <v>8</v>
      </c>
      <c r="AB1726">
        <v>3</v>
      </c>
      <c r="AC1726">
        <v>0</v>
      </c>
      <c r="AD1726">
        <v>10</v>
      </c>
      <c r="AE1726">
        <v>0</v>
      </c>
      <c r="AF1726">
        <v>0</v>
      </c>
      <c r="AG1726">
        <v>2</v>
      </c>
      <c r="AH1726">
        <v>1</v>
      </c>
      <c r="AI1726" t="s">
        <v>1269</v>
      </c>
      <c r="AJ1726">
        <v>35.179102</v>
      </c>
      <c r="AK1726" t="s">
        <v>1270</v>
      </c>
      <c r="AL1726">
        <v>-76.015433999999999</v>
      </c>
      <c r="AM1726">
        <v>25</v>
      </c>
      <c r="AN1726">
        <v>2925</v>
      </c>
      <c r="AO1726" t="s">
        <v>118</v>
      </c>
      <c r="AP1726">
        <v>73</v>
      </c>
      <c r="AQ1726">
        <v>-139</v>
      </c>
      <c r="AR1726">
        <v>0</v>
      </c>
      <c r="AZ1726">
        <v>4516</v>
      </c>
      <c r="BA1726">
        <v>1</v>
      </c>
      <c r="BB1726" t="str">
        <f t="shared" si="165"/>
        <v xml:space="preserve">N79NX   </v>
      </c>
      <c r="BC1726">
        <v>1</v>
      </c>
      <c r="BE1726">
        <v>0</v>
      </c>
      <c r="BF1726">
        <v>0</v>
      </c>
      <c r="BG1726">
        <v>0</v>
      </c>
      <c r="BH1726">
        <v>2775</v>
      </c>
      <c r="BI1726">
        <v>0</v>
      </c>
      <c r="BJ1726">
        <v>0</v>
      </c>
      <c r="BK1726">
        <v>0</v>
      </c>
      <c r="BL1726">
        <v>0</v>
      </c>
      <c r="BO1726">
        <v>0</v>
      </c>
      <c r="BP1726">
        <v>0</v>
      </c>
      <c r="BW1726" t="str">
        <f>"18:47:49.903"</f>
        <v>18:47:49.903</v>
      </c>
      <c r="BZ1726">
        <v>0</v>
      </c>
      <c r="CA1726">
        <v>3008</v>
      </c>
      <c r="CB1726">
        <v>216</v>
      </c>
      <c r="CC1726">
        <v>518.90629999999999</v>
      </c>
      <c r="CD1726">
        <v>1</v>
      </c>
      <c r="CE1726">
        <v>1</v>
      </c>
      <c r="CF1726">
        <v>0</v>
      </c>
      <c r="CG1726">
        <v>1</v>
      </c>
      <c r="CH1726">
        <v>0</v>
      </c>
      <c r="CI1726">
        <v>1</v>
      </c>
      <c r="CJ1726">
        <v>0</v>
      </c>
      <c r="CK1726">
        <v>2</v>
      </c>
      <c r="CL1726">
        <v>0</v>
      </c>
      <c r="CM1726">
        <v>2</v>
      </c>
      <c r="CN1726">
        <v>0</v>
      </c>
      <c r="CO1726">
        <v>1</v>
      </c>
      <c r="CP1726" t="s">
        <v>119</v>
      </c>
      <c r="CQ1726">
        <v>145</v>
      </c>
      <c r="CR1726">
        <v>1</v>
      </c>
      <c r="CW1726">
        <v>9203086</v>
      </c>
      <c r="CY1726">
        <v>0</v>
      </c>
      <c r="CZ1726">
        <v>0</v>
      </c>
      <c r="DA1726">
        <v>1</v>
      </c>
      <c r="DB1726">
        <v>0</v>
      </c>
      <c r="DC1726">
        <v>0</v>
      </c>
      <c r="DD1726">
        <v>0</v>
      </c>
      <c r="DE1726">
        <v>0</v>
      </c>
      <c r="DF1726">
        <v>0</v>
      </c>
      <c r="DG1726">
        <v>0</v>
      </c>
      <c r="DH1726">
        <v>0</v>
      </c>
      <c r="DI1726">
        <v>0</v>
      </c>
    </row>
    <row r="1727" spans="1:113" x14ac:dyDescent="0.3">
      <c r="A1727" t="str">
        <f>"02/13/2022 18:47:51.042"</f>
        <v>02/13/2022 18:47:51.042</v>
      </c>
      <c r="C1727" t="str">
        <f t="shared" si="167"/>
        <v>FFDFD7C0</v>
      </c>
      <c r="D1727" t="s">
        <v>113</v>
      </c>
      <c r="E1727">
        <v>3</v>
      </c>
      <c r="F1727">
        <v>1003</v>
      </c>
      <c r="G1727" t="s">
        <v>114</v>
      </c>
      <c r="J1727" t="s">
        <v>115</v>
      </c>
      <c r="K1727">
        <v>0</v>
      </c>
      <c r="L1727">
        <v>3</v>
      </c>
      <c r="M1727">
        <v>0</v>
      </c>
      <c r="N1727">
        <v>2</v>
      </c>
      <c r="O1727">
        <v>1</v>
      </c>
      <c r="P1727">
        <v>0</v>
      </c>
      <c r="Q1727">
        <v>0</v>
      </c>
      <c r="S1727" t="str">
        <f>"18:47:50.828"</f>
        <v>18:47:50.828</v>
      </c>
      <c r="T1727" t="str">
        <f>"18:47:49.628"</f>
        <v>18:47:49.628</v>
      </c>
      <c r="U1727" t="str">
        <f t="shared" si="164"/>
        <v>AAB6EE</v>
      </c>
      <c r="V1727">
        <v>0</v>
      </c>
      <c r="W1727">
        <v>0</v>
      </c>
      <c r="X1727">
        <v>4</v>
      </c>
      <c r="Z1727">
        <v>0</v>
      </c>
      <c r="AA1727">
        <v>8</v>
      </c>
      <c r="AB1727">
        <v>3</v>
      </c>
      <c r="AC1727">
        <v>0</v>
      </c>
      <c r="AD1727">
        <v>10</v>
      </c>
      <c r="AE1727">
        <v>0</v>
      </c>
      <c r="AF1727">
        <v>0</v>
      </c>
      <c r="AG1727">
        <v>2</v>
      </c>
      <c r="AH1727">
        <v>1</v>
      </c>
      <c r="AI1727" t="s">
        <v>1271</v>
      </c>
      <c r="AJ1727">
        <v>35.178458999999997</v>
      </c>
      <c r="AK1727" t="s">
        <v>1272</v>
      </c>
      <c r="AL1727">
        <v>-76.015027000000003</v>
      </c>
      <c r="AM1727">
        <v>25</v>
      </c>
      <c r="AN1727">
        <v>2925</v>
      </c>
      <c r="AO1727" t="s">
        <v>118</v>
      </c>
      <c r="AP1727">
        <v>73</v>
      </c>
      <c r="AQ1727">
        <v>-139</v>
      </c>
      <c r="AR1727">
        <v>0</v>
      </c>
      <c r="AZ1727">
        <v>4516</v>
      </c>
      <c r="BA1727">
        <v>1</v>
      </c>
      <c r="BB1727" t="str">
        <f t="shared" si="165"/>
        <v xml:space="preserve">N79NX   </v>
      </c>
      <c r="BC1727">
        <v>1</v>
      </c>
      <c r="BE1727">
        <v>0</v>
      </c>
      <c r="BF1727">
        <v>0</v>
      </c>
      <c r="BG1727">
        <v>0</v>
      </c>
      <c r="BH1727">
        <v>2775</v>
      </c>
      <c r="BI1727">
        <v>0</v>
      </c>
      <c r="BJ1727">
        <v>0</v>
      </c>
      <c r="BK1727">
        <v>0</v>
      </c>
      <c r="BL1727">
        <v>0</v>
      </c>
      <c r="BO1727">
        <v>0</v>
      </c>
      <c r="BP1727">
        <v>0</v>
      </c>
      <c r="BW1727" t="str">
        <f>"18:47:50.833"</f>
        <v>18:47:50.833</v>
      </c>
      <c r="BZ1727">
        <v>0</v>
      </c>
      <c r="CA1727">
        <v>3008</v>
      </c>
      <c r="CB1727">
        <v>216</v>
      </c>
      <c r="CC1727">
        <v>518.90629999999999</v>
      </c>
      <c r="CD1727">
        <v>1</v>
      </c>
      <c r="CE1727">
        <v>1</v>
      </c>
      <c r="CF1727">
        <v>0</v>
      </c>
      <c r="CG1727">
        <v>1</v>
      </c>
      <c r="CH1727">
        <v>0</v>
      </c>
      <c r="CI1727">
        <v>1</v>
      </c>
      <c r="CJ1727">
        <v>0</v>
      </c>
      <c r="CK1727">
        <v>2</v>
      </c>
      <c r="CL1727">
        <v>0</v>
      </c>
      <c r="CM1727">
        <v>2</v>
      </c>
      <c r="CN1727">
        <v>0</v>
      </c>
      <c r="CO1727">
        <v>1</v>
      </c>
      <c r="CP1727" t="s">
        <v>119</v>
      </c>
      <c r="CQ1727">
        <v>145</v>
      </c>
      <c r="CR1727">
        <v>1</v>
      </c>
      <c r="CW1727">
        <v>9203447</v>
      </c>
      <c r="CY1727">
        <v>0</v>
      </c>
      <c r="CZ1727">
        <v>0</v>
      </c>
      <c r="DA1727">
        <v>0</v>
      </c>
      <c r="DB1727">
        <v>0</v>
      </c>
      <c r="DC1727">
        <v>0</v>
      </c>
      <c r="DD1727">
        <v>0</v>
      </c>
      <c r="DE1727">
        <v>0</v>
      </c>
      <c r="DF1727">
        <v>0</v>
      </c>
      <c r="DG1727">
        <v>0</v>
      </c>
      <c r="DH1727">
        <v>0</v>
      </c>
      <c r="DI1727">
        <v>0</v>
      </c>
    </row>
    <row r="1728" spans="1:113" x14ac:dyDescent="0.3">
      <c r="A1728" t="str">
        <f>"02/13/2022 18:47:51.042"</f>
        <v>02/13/2022 18:47:51.042</v>
      </c>
      <c r="C1728" t="str">
        <f t="shared" si="167"/>
        <v>FFDFD7C0</v>
      </c>
      <c r="D1728" t="s">
        <v>113</v>
      </c>
      <c r="E1728">
        <v>4</v>
      </c>
      <c r="F1728">
        <v>1004</v>
      </c>
      <c r="G1728" t="s">
        <v>120</v>
      </c>
      <c r="J1728" t="s">
        <v>115</v>
      </c>
      <c r="K1728">
        <v>0</v>
      </c>
      <c r="L1728">
        <v>3</v>
      </c>
      <c r="M1728">
        <v>0</v>
      </c>
      <c r="N1728">
        <v>2</v>
      </c>
      <c r="O1728">
        <v>1</v>
      </c>
      <c r="P1728">
        <v>0</v>
      </c>
      <c r="Q1728">
        <v>0</v>
      </c>
      <c r="S1728" t="str">
        <f>"18:47:50.828"</f>
        <v>18:47:50.828</v>
      </c>
      <c r="T1728" t="str">
        <f>"18:47:49.628"</f>
        <v>18:47:49.628</v>
      </c>
      <c r="U1728" t="str">
        <f t="shared" si="164"/>
        <v>AAB6EE</v>
      </c>
      <c r="V1728">
        <v>0</v>
      </c>
      <c r="W1728">
        <v>0</v>
      </c>
      <c r="X1728">
        <v>4</v>
      </c>
      <c r="Z1728">
        <v>0</v>
      </c>
      <c r="AA1728">
        <v>8</v>
      </c>
      <c r="AB1728">
        <v>3</v>
      </c>
      <c r="AC1728">
        <v>0</v>
      </c>
      <c r="AD1728">
        <v>10</v>
      </c>
      <c r="AE1728">
        <v>0</v>
      </c>
      <c r="AF1728">
        <v>0</v>
      </c>
      <c r="AG1728">
        <v>2</v>
      </c>
      <c r="AH1728">
        <v>1</v>
      </c>
      <c r="AI1728" t="s">
        <v>1271</v>
      </c>
      <c r="AJ1728">
        <v>35.178458999999997</v>
      </c>
      <c r="AK1728" t="s">
        <v>1272</v>
      </c>
      <c r="AL1728">
        <v>-76.015027000000003</v>
      </c>
      <c r="AM1728">
        <v>25</v>
      </c>
      <c r="AN1728">
        <v>2925</v>
      </c>
      <c r="AO1728" t="s">
        <v>118</v>
      </c>
      <c r="AP1728">
        <v>73</v>
      </c>
      <c r="AQ1728">
        <v>-139</v>
      </c>
      <c r="AR1728">
        <v>0</v>
      </c>
      <c r="AZ1728">
        <v>4516</v>
      </c>
      <c r="BA1728">
        <v>1</v>
      </c>
      <c r="BB1728" t="str">
        <f t="shared" si="165"/>
        <v xml:space="preserve">N79NX   </v>
      </c>
      <c r="BC1728">
        <v>1</v>
      </c>
      <c r="BE1728">
        <v>0</v>
      </c>
      <c r="BF1728">
        <v>0</v>
      </c>
      <c r="BG1728">
        <v>0</v>
      </c>
      <c r="BH1728">
        <v>2775</v>
      </c>
      <c r="BI1728">
        <v>0</v>
      </c>
      <c r="BJ1728">
        <v>0</v>
      </c>
      <c r="BK1728">
        <v>0</v>
      </c>
      <c r="BL1728">
        <v>0</v>
      </c>
      <c r="BO1728">
        <v>0</v>
      </c>
      <c r="BP1728">
        <v>0</v>
      </c>
      <c r="BW1728" t="str">
        <f>"18:47:50.833"</f>
        <v>18:47:50.833</v>
      </c>
      <c r="BZ1728">
        <v>0</v>
      </c>
      <c r="CA1728">
        <v>3008</v>
      </c>
      <c r="CB1728">
        <v>216</v>
      </c>
      <c r="CC1728">
        <v>518.90629999999999</v>
      </c>
      <c r="CD1728">
        <v>1</v>
      </c>
      <c r="CE1728">
        <v>1</v>
      </c>
      <c r="CF1728">
        <v>0</v>
      </c>
      <c r="CG1728">
        <v>1</v>
      </c>
      <c r="CH1728">
        <v>0</v>
      </c>
      <c r="CI1728">
        <v>1</v>
      </c>
      <c r="CJ1728">
        <v>0</v>
      </c>
      <c r="CK1728">
        <v>2</v>
      </c>
      <c r="CL1728">
        <v>0</v>
      </c>
      <c r="CM1728">
        <v>2</v>
      </c>
      <c r="CN1728">
        <v>0</v>
      </c>
      <c r="CO1728">
        <v>1</v>
      </c>
      <c r="CP1728" t="s">
        <v>119</v>
      </c>
      <c r="CQ1728">
        <v>145</v>
      </c>
      <c r="CR1728">
        <v>1</v>
      </c>
      <c r="CW1728">
        <v>9203447</v>
      </c>
      <c r="CY1728">
        <v>0</v>
      </c>
      <c r="CZ1728">
        <v>0</v>
      </c>
      <c r="DA1728">
        <v>1</v>
      </c>
      <c r="DB1728">
        <v>0</v>
      </c>
      <c r="DC1728">
        <v>0</v>
      </c>
      <c r="DD1728">
        <v>0</v>
      </c>
      <c r="DE1728">
        <v>0</v>
      </c>
      <c r="DF1728">
        <v>0</v>
      </c>
      <c r="DG1728">
        <v>0</v>
      </c>
      <c r="DH1728">
        <v>0</v>
      </c>
      <c r="DI1728">
        <v>0</v>
      </c>
    </row>
    <row r="1729" spans="1:113" x14ac:dyDescent="0.3">
      <c r="A1729" t="str">
        <f>"02/13/2022 18:47:51.042"</f>
        <v>02/13/2022 18:47:51.042</v>
      </c>
      <c r="C1729" t="str">
        <f t="shared" si="167"/>
        <v>FFDFD7C0</v>
      </c>
      <c r="D1729" t="s">
        <v>121</v>
      </c>
      <c r="E1729">
        <v>2</v>
      </c>
      <c r="H1729">
        <v>158</v>
      </c>
      <c r="I1729" t="s">
        <v>120</v>
      </c>
      <c r="J1729" t="s">
        <v>122</v>
      </c>
      <c r="K1729">
        <v>0</v>
      </c>
      <c r="L1729">
        <v>3</v>
      </c>
      <c r="M1729">
        <v>0</v>
      </c>
      <c r="N1729">
        <v>2</v>
      </c>
      <c r="O1729">
        <v>1</v>
      </c>
      <c r="P1729">
        <v>0</v>
      </c>
      <c r="Q1729">
        <v>0</v>
      </c>
      <c r="S1729" t="str">
        <f>"18:47:50.828"</f>
        <v>18:47:50.828</v>
      </c>
      <c r="T1729" t="str">
        <f>"18:47:49.628"</f>
        <v>18:47:49.628</v>
      </c>
      <c r="U1729" t="str">
        <f t="shared" si="164"/>
        <v>AAB6EE</v>
      </c>
      <c r="V1729">
        <v>0</v>
      </c>
      <c r="W1729">
        <v>0</v>
      </c>
      <c r="X1729">
        <v>4</v>
      </c>
      <c r="Z1729">
        <v>0</v>
      </c>
      <c r="AA1729">
        <v>8</v>
      </c>
      <c r="AB1729">
        <v>3</v>
      </c>
      <c r="AC1729">
        <v>0</v>
      </c>
      <c r="AD1729">
        <v>10</v>
      </c>
      <c r="AE1729">
        <v>0</v>
      </c>
      <c r="AF1729">
        <v>0</v>
      </c>
      <c r="AG1729">
        <v>2</v>
      </c>
      <c r="AH1729">
        <v>1</v>
      </c>
      <c r="AI1729" t="s">
        <v>1271</v>
      </c>
      <c r="AJ1729">
        <v>35.178458999999997</v>
      </c>
      <c r="AK1729" t="s">
        <v>1272</v>
      </c>
      <c r="AL1729">
        <v>-76.015027000000003</v>
      </c>
      <c r="AM1729">
        <v>25</v>
      </c>
      <c r="AN1729">
        <v>2925</v>
      </c>
      <c r="AO1729" t="s">
        <v>118</v>
      </c>
      <c r="AP1729">
        <v>73</v>
      </c>
      <c r="AQ1729">
        <v>-139</v>
      </c>
      <c r="AR1729">
        <v>0</v>
      </c>
      <c r="AZ1729">
        <v>4516</v>
      </c>
      <c r="BA1729">
        <v>1</v>
      </c>
      <c r="BB1729" t="str">
        <f t="shared" si="165"/>
        <v xml:space="preserve">N79NX   </v>
      </c>
      <c r="BC1729">
        <v>1</v>
      </c>
      <c r="BE1729">
        <v>0</v>
      </c>
      <c r="BF1729">
        <v>0</v>
      </c>
      <c r="BG1729">
        <v>0</v>
      </c>
      <c r="BH1729">
        <v>2775</v>
      </c>
      <c r="BI1729">
        <v>0</v>
      </c>
      <c r="BJ1729">
        <v>0</v>
      </c>
      <c r="BK1729">
        <v>0</v>
      </c>
      <c r="BL1729">
        <v>0</v>
      </c>
      <c r="BO1729">
        <v>0</v>
      </c>
      <c r="BP1729">
        <v>0</v>
      </c>
      <c r="BW1729" t="str">
        <f>"18:47:50.833"</f>
        <v>18:47:50.833</v>
      </c>
      <c r="BZ1729">
        <v>0</v>
      </c>
      <c r="CA1729">
        <v>3008</v>
      </c>
      <c r="CB1729">
        <v>216</v>
      </c>
      <c r="CC1729">
        <v>518.90629999999999</v>
      </c>
      <c r="CD1729">
        <v>1</v>
      </c>
      <c r="CE1729">
        <v>1</v>
      </c>
      <c r="CF1729">
        <v>0</v>
      </c>
      <c r="CG1729">
        <v>1</v>
      </c>
      <c r="CH1729">
        <v>0</v>
      </c>
      <c r="CI1729">
        <v>1</v>
      </c>
      <c r="CJ1729">
        <v>0</v>
      </c>
      <c r="CK1729">
        <v>2</v>
      </c>
      <c r="CL1729">
        <v>0</v>
      </c>
      <c r="CM1729">
        <v>2</v>
      </c>
      <c r="CN1729">
        <v>0</v>
      </c>
      <c r="CO1729">
        <v>1</v>
      </c>
      <c r="CP1729" t="s">
        <v>119</v>
      </c>
      <c r="CQ1729">
        <v>145</v>
      </c>
      <c r="CR1729">
        <v>1</v>
      </c>
      <c r="CW1729">
        <v>9203447</v>
      </c>
      <c r="CY1729">
        <v>0</v>
      </c>
      <c r="CZ1729">
        <v>0</v>
      </c>
      <c r="DA1729">
        <v>1</v>
      </c>
      <c r="DB1729">
        <v>0</v>
      </c>
      <c r="DC1729">
        <v>0</v>
      </c>
      <c r="DD1729">
        <v>0</v>
      </c>
      <c r="DE1729">
        <v>0</v>
      </c>
      <c r="DF1729">
        <v>0</v>
      </c>
      <c r="DG1729">
        <v>0</v>
      </c>
      <c r="DH1729">
        <v>0</v>
      </c>
      <c r="DI1729">
        <v>0</v>
      </c>
    </row>
    <row r="1730" spans="1:113" x14ac:dyDescent="0.3">
      <c r="A1730" t="str">
        <f>"02/13/2022 18:47:51.980"</f>
        <v>02/13/2022 18:47:51.980</v>
      </c>
      <c r="C1730" t="str">
        <f t="shared" si="167"/>
        <v>FFDFD7C0</v>
      </c>
      <c r="D1730" t="s">
        <v>121</v>
      </c>
      <c r="E1730">
        <v>2</v>
      </c>
      <c r="H1730">
        <v>158</v>
      </c>
      <c r="I1730" t="s">
        <v>120</v>
      </c>
      <c r="J1730" t="s">
        <v>122</v>
      </c>
      <c r="K1730">
        <v>0</v>
      </c>
      <c r="L1730">
        <v>3</v>
      </c>
      <c r="M1730">
        <v>0</v>
      </c>
      <c r="N1730">
        <v>2</v>
      </c>
      <c r="O1730">
        <v>1</v>
      </c>
      <c r="P1730">
        <v>0</v>
      </c>
      <c r="Q1730">
        <v>0</v>
      </c>
      <c r="S1730" t="str">
        <f>"18:47:51.742"</f>
        <v>18:47:51.742</v>
      </c>
      <c r="T1730" t="str">
        <f>"18:47:51.642"</f>
        <v>18:47:51.642</v>
      </c>
      <c r="U1730" t="str">
        <f t="shared" ref="U1730:U1793" si="168">"AAB6EE"</f>
        <v>AAB6EE</v>
      </c>
      <c r="V1730">
        <v>0</v>
      </c>
      <c r="W1730">
        <v>0</v>
      </c>
      <c r="X1730">
        <v>4</v>
      </c>
      <c r="Z1730">
        <v>0</v>
      </c>
      <c r="AA1730">
        <v>8</v>
      </c>
      <c r="AB1730">
        <v>3</v>
      </c>
      <c r="AC1730">
        <v>0</v>
      </c>
      <c r="AD1730">
        <v>10</v>
      </c>
      <c r="AE1730">
        <v>0</v>
      </c>
      <c r="AF1730">
        <v>0</v>
      </c>
      <c r="AG1730">
        <v>2</v>
      </c>
      <c r="AH1730">
        <v>1</v>
      </c>
      <c r="AI1730" t="s">
        <v>1273</v>
      </c>
      <c r="AJ1730">
        <v>35.177858000000001</v>
      </c>
      <c r="AK1730" t="s">
        <v>194</v>
      </c>
      <c r="AL1730">
        <v>-76.014683000000005</v>
      </c>
      <c r="AM1730">
        <v>25</v>
      </c>
      <c r="AN1730">
        <v>2925</v>
      </c>
      <c r="AO1730" t="s">
        <v>118</v>
      </c>
      <c r="AP1730">
        <v>72</v>
      </c>
      <c r="AQ1730">
        <v>-139</v>
      </c>
      <c r="AR1730">
        <v>0</v>
      </c>
      <c r="AZ1730">
        <v>4516</v>
      </c>
      <c r="BA1730">
        <v>1</v>
      </c>
      <c r="BB1730" t="str">
        <f t="shared" si="165"/>
        <v xml:space="preserve">N79NX   </v>
      </c>
      <c r="BC1730">
        <v>1</v>
      </c>
      <c r="BE1730">
        <v>0</v>
      </c>
      <c r="BF1730">
        <v>0</v>
      </c>
      <c r="BG1730">
        <v>0</v>
      </c>
      <c r="BH1730">
        <v>2775</v>
      </c>
      <c r="BI1730">
        <v>0</v>
      </c>
      <c r="BJ1730">
        <v>0</v>
      </c>
      <c r="BK1730">
        <v>0</v>
      </c>
      <c r="BL1730">
        <v>0</v>
      </c>
      <c r="BO1730">
        <v>0</v>
      </c>
      <c r="BP1730">
        <v>0</v>
      </c>
      <c r="BW1730" t="str">
        <f>"18:47:51.743"</f>
        <v>18:47:51.743</v>
      </c>
      <c r="BZ1730">
        <v>0</v>
      </c>
      <c r="CA1730">
        <v>3008</v>
      </c>
      <c r="CB1730">
        <v>216</v>
      </c>
      <c r="CC1730">
        <v>518.90629999999999</v>
      </c>
      <c r="CD1730">
        <v>1</v>
      </c>
      <c r="CE1730">
        <v>1</v>
      </c>
      <c r="CF1730">
        <v>0</v>
      </c>
      <c r="CG1730">
        <v>1</v>
      </c>
      <c r="CH1730">
        <v>0</v>
      </c>
      <c r="CI1730">
        <v>1</v>
      </c>
      <c r="CJ1730">
        <v>0</v>
      </c>
      <c r="CK1730">
        <v>2</v>
      </c>
      <c r="CL1730">
        <v>0</v>
      </c>
      <c r="CM1730">
        <v>2</v>
      </c>
      <c r="CN1730">
        <v>0</v>
      </c>
      <c r="CO1730">
        <v>1</v>
      </c>
      <c r="CP1730" t="s">
        <v>119</v>
      </c>
      <c r="CQ1730">
        <v>145</v>
      </c>
      <c r="CR1730">
        <v>1</v>
      </c>
      <c r="CW1730">
        <v>9203910</v>
      </c>
      <c r="CY1730">
        <v>0</v>
      </c>
      <c r="CZ1730">
        <v>0</v>
      </c>
      <c r="DA1730">
        <v>0</v>
      </c>
      <c r="DB1730">
        <v>0</v>
      </c>
      <c r="DC1730">
        <v>0</v>
      </c>
      <c r="DD1730">
        <v>0</v>
      </c>
      <c r="DE1730">
        <v>0</v>
      </c>
      <c r="DF1730">
        <v>0</v>
      </c>
      <c r="DG1730">
        <v>0</v>
      </c>
      <c r="DH1730">
        <v>0</v>
      </c>
      <c r="DI1730">
        <v>0</v>
      </c>
    </row>
    <row r="1731" spans="1:113" x14ac:dyDescent="0.3">
      <c r="A1731" t="str">
        <f>"02/13/2022 18:47:52.043"</f>
        <v>02/13/2022 18:47:52.043</v>
      </c>
      <c r="C1731" t="str">
        <f t="shared" si="167"/>
        <v>FFDFD7C0</v>
      </c>
      <c r="D1731" t="s">
        <v>113</v>
      </c>
      <c r="E1731">
        <v>3</v>
      </c>
      <c r="F1731">
        <v>1003</v>
      </c>
      <c r="G1731" t="s">
        <v>114</v>
      </c>
      <c r="J1731" t="s">
        <v>115</v>
      </c>
      <c r="K1731">
        <v>0</v>
      </c>
      <c r="L1731">
        <v>3</v>
      </c>
      <c r="M1731">
        <v>0</v>
      </c>
      <c r="N1731">
        <v>2</v>
      </c>
      <c r="O1731">
        <v>1</v>
      </c>
      <c r="P1731">
        <v>0</v>
      </c>
      <c r="Q1731">
        <v>0</v>
      </c>
      <c r="S1731" t="str">
        <f>"18:47:51.742"</f>
        <v>18:47:51.742</v>
      </c>
      <c r="T1731" t="str">
        <f>"18:47:51.642"</f>
        <v>18:47:51.642</v>
      </c>
      <c r="U1731" t="str">
        <f t="shared" si="168"/>
        <v>AAB6EE</v>
      </c>
      <c r="V1731">
        <v>0</v>
      </c>
      <c r="W1731">
        <v>0</v>
      </c>
      <c r="X1731">
        <v>4</v>
      </c>
      <c r="Z1731">
        <v>0</v>
      </c>
      <c r="AA1731">
        <v>8</v>
      </c>
      <c r="AB1731">
        <v>3</v>
      </c>
      <c r="AC1731">
        <v>0</v>
      </c>
      <c r="AD1731">
        <v>10</v>
      </c>
      <c r="AE1731">
        <v>0</v>
      </c>
      <c r="AF1731">
        <v>0</v>
      </c>
      <c r="AG1731">
        <v>2</v>
      </c>
      <c r="AH1731">
        <v>1</v>
      </c>
      <c r="AI1731" t="s">
        <v>1273</v>
      </c>
      <c r="AJ1731">
        <v>35.177858000000001</v>
      </c>
      <c r="AK1731" t="s">
        <v>194</v>
      </c>
      <c r="AL1731">
        <v>-76.014683000000005</v>
      </c>
      <c r="AM1731">
        <v>25</v>
      </c>
      <c r="AN1731">
        <v>2925</v>
      </c>
      <c r="AO1731" t="s">
        <v>118</v>
      </c>
      <c r="AP1731">
        <v>72</v>
      </c>
      <c r="AQ1731">
        <v>-139</v>
      </c>
      <c r="AR1731">
        <v>0</v>
      </c>
      <c r="AZ1731">
        <v>4516</v>
      </c>
      <c r="BA1731">
        <v>1</v>
      </c>
      <c r="BB1731" t="str">
        <f t="shared" si="165"/>
        <v xml:space="preserve">N79NX   </v>
      </c>
      <c r="BC1731">
        <v>1</v>
      </c>
      <c r="BE1731">
        <v>0</v>
      </c>
      <c r="BF1731">
        <v>0</v>
      </c>
      <c r="BG1731">
        <v>0</v>
      </c>
      <c r="BH1731">
        <v>2775</v>
      </c>
      <c r="BI1731">
        <v>0</v>
      </c>
      <c r="BJ1731">
        <v>0</v>
      </c>
      <c r="BK1731">
        <v>0</v>
      </c>
      <c r="BL1731">
        <v>0</v>
      </c>
      <c r="BO1731">
        <v>0</v>
      </c>
      <c r="BP1731">
        <v>0</v>
      </c>
      <c r="BW1731" t="str">
        <f>"18:47:51.743"</f>
        <v>18:47:51.743</v>
      </c>
      <c r="BZ1731">
        <v>0</v>
      </c>
      <c r="CA1731">
        <v>3008</v>
      </c>
      <c r="CB1731">
        <v>216</v>
      </c>
      <c r="CC1731">
        <v>518.90629999999999</v>
      </c>
      <c r="CD1731">
        <v>1</v>
      </c>
      <c r="CE1731">
        <v>1</v>
      </c>
      <c r="CF1731">
        <v>0</v>
      </c>
      <c r="CG1731">
        <v>1</v>
      </c>
      <c r="CH1731">
        <v>0</v>
      </c>
      <c r="CI1731">
        <v>1</v>
      </c>
      <c r="CJ1731">
        <v>0</v>
      </c>
      <c r="CK1731">
        <v>2</v>
      </c>
      <c r="CL1731">
        <v>0</v>
      </c>
      <c r="CM1731">
        <v>2</v>
      </c>
      <c r="CN1731">
        <v>0</v>
      </c>
      <c r="CO1731">
        <v>1</v>
      </c>
      <c r="CP1731" t="s">
        <v>119</v>
      </c>
      <c r="CQ1731">
        <v>145</v>
      </c>
      <c r="CR1731">
        <v>1</v>
      </c>
      <c r="CW1731">
        <v>9203910</v>
      </c>
      <c r="CY1731">
        <v>0</v>
      </c>
      <c r="CZ1731">
        <v>0</v>
      </c>
      <c r="DA1731">
        <v>1</v>
      </c>
      <c r="DB1731">
        <v>0</v>
      </c>
      <c r="DC1731">
        <v>0</v>
      </c>
      <c r="DD1731">
        <v>0</v>
      </c>
      <c r="DE1731">
        <v>0</v>
      </c>
      <c r="DF1731">
        <v>0</v>
      </c>
      <c r="DG1731">
        <v>0</v>
      </c>
      <c r="DH1731">
        <v>0</v>
      </c>
      <c r="DI1731">
        <v>0</v>
      </c>
    </row>
    <row r="1732" spans="1:113" x14ac:dyDescent="0.3">
      <c r="A1732" t="str">
        <f>"02/13/2022 18:47:52.043"</f>
        <v>02/13/2022 18:47:52.043</v>
      </c>
      <c r="C1732" t="str">
        <f t="shared" si="167"/>
        <v>FFDFD7C0</v>
      </c>
      <c r="D1732" t="s">
        <v>113</v>
      </c>
      <c r="E1732">
        <v>4</v>
      </c>
      <c r="F1732">
        <v>1004</v>
      </c>
      <c r="G1732" t="s">
        <v>120</v>
      </c>
      <c r="J1732" t="s">
        <v>115</v>
      </c>
      <c r="K1732">
        <v>0</v>
      </c>
      <c r="L1732">
        <v>3</v>
      </c>
      <c r="M1732">
        <v>0</v>
      </c>
      <c r="N1732">
        <v>2</v>
      </c>
      <c r="O1732">
        <v>1</v>
      </c>
      <c r="P1732">
        <v>0</v>
      </c>
      <c r="Q1732">
        <v>0</v>
      </c>
      <c r="S1732" t="str">
        <f>"18:47:51.742"</f>
        <v>18:47:51.742</v>
      </c>
      <c r="T1732" t="str">
        <f>"18:47:51.642"</f>
        <v>18:47:51.642</v>
      </c>
      <c r="U1732" t="str">
        <f t="shared" si="168"/>
        <v>AAB6EE</v>
      </c>
      <c r="V1732">
        <v>0</v>
      </c>
      <c r="W1732">
        <v>0</v>
      </c>
      <c r="X1732">
        <v>4</v>
      </c>
      <c r="Z1732">
        <v>0</v>
      </c>
      <c r="AA1732">
        <v>8</v>
      </c>
      <c r="AB1732">
        <v>3</v>
      </c>
      <c r="AC1732">
        <v>0</v>
      </c>
      <c r="AD1732">
        <v>10</v>
      </c>
      <c r="AE1732">
        <v>0</v>
      </c>
      <c r="AF1732">
        <v>0</v>
      </c>
      <c r="AG1732">
        <v>2</v>
      </c>
      <c r="AH1732">
        <v>1</v>
      </c>
      <c r="AI1732" t="s">
        <v>1273</v>
      </c>
      <c r="AJ1732">
        <v>35.177858000000001</v>
      </c>
      <c r="AK1732" t="s">
        <v>194</v>
      </c>
      <c r="AL1732">
        <v>-76.014683000000005</v>
      </c>
      <c r="AM1732">
        <v>25</v>
      </c>
      <c r="AN1732">
        <v>2925</v>
      </c>
      <c r="AO1732" t="s">
        <v>118</v>
      </c>
      <c r="AP1732">
        <v>72</v>
      </c>
      <c r="AQ1732">
        <v>-139</v>
      </c>
      <c r="AR1732">
        <v>0</v>
      </c>
      <c r="AZ1732">
        <v>4516</v>
      </c>
      <c r="BA1732">
        <v>1</v>
      </c>
      <c r="BB1732" t="str">
        <f t="shared" si="165"/>
        <v xml:space="preserve">N79NX   </v>
      </c>
      <c r="BC1732">
        <v>1</v>
      </c>
      <c r="BE1732">
        <v>0</v>
      </c>
      <c r="BF1732">
        <v>0</v>
      </c>
      <c r="BG1732">
        <v>0</v>
      </c>
      <c r="BH1732">
        <v>2775</v>
      </c>
      <c r="BI1732">
        <v>0</v>
      </c>
      <c r="BJ1732">
        <v>0</v>
      </c>
      <c r="BK1732">
        <v>0</v>
      </c>
      <c r="BL1732">
        <v>0</v>
      </c>
      <c r="BO1732">
        <v>0</v>
      </c>
      <c r="BP1732">
        <v>0</v>
      </c>
      <c r="BW1732" t="str">
        <f>"18:47:51.743"</f>
        <v>18:47:51.743</v>
      </c>
      <c r="BZ1732">
        <v>0</v>
      </c>
      <c r="CA1732">
        <v>3008</v>
      </c>
      <c r="CB1732">
        <v>216</v>
      </c>
      <c r="CC1732">
        <v>518.90629999999999</v>
      </c>
      <c r="CD1732">
        <v>1</v>
      </c>
      <c r="CE1732">
        <v>1</v>
      </c>
      <c r="CF1732">
        <v>0</v>
      </c>
      <c r="CG1732">
        <v>1</v>
      </c>
      <c r="CH1732">
        <v>0</v>
      </c>
      <c r="CI1732">
        <v>1</v>
      </c>
      <c r="CJ1732">
        <v>0</v>
      </c>
      <c r="CK1732">
        <v>2</v>
      </c>
      <c r="CL1732">
        <v>0</v>
      </c>
      <c r="CM1732">
        <v>2</v>
      </c>
      <c r="CN1732">
        <v>0</v>
      </c>
      <c r="CO1732">
        <v>1</v>
      </c>
      <c r="CP1732" t="s">
        <v>119</v>
      </c>
      <c r="CQ1732">
        <v>145</v>
      </c>
      <c r="CR1732">
        <v>1</v>
      </c>
      <c r="CW1732">
        <v>9203910</v>
      </c>
      <c r="CY1732">
        <v>0</v>
      </c>
      <c r="CZ1732">
        <v>0</v>
      </c>
      <c r="DA1732">
        <v>1</v>
      </c>
      <c r="DB1732">
        <v>0</v>
      </c>
      <c r="DC1732">
        <v>0</v>
      </c>
      <c r="DD1732">
        <v>0</v>
      </c>
      <c r="DE1732">
        <v>0</v>
      </c>
      <c r="DF1732">
        <v>0</v>
      </c>
      <c r="DG1732">
        <v>0</v>
      </c>
      <c r="DH1732">
        <v>0</v>
      </c>
      <c r="DI1732">
        <v>0</v>
      </c>
    </row>
    <row r="1733" spans="1:113" x14ac:dyDescent="0.3">
      <c r="A1733" t="str">
        <f>"02/13/2022 18:47:54.184"</f>
        <v>02/13/2022 18:47:54.184</v>
      </c>
      <c r="C1733" t="str">
        <f t="shared" si="167"/>
        <v>FFDFD7C0</v>
      </c>
      <c r="D1733" t="s">
        <v>121</v>
      </c>
      <c r="E1733">
        <v>2</v>
      </c>
      <c r="H1733">
        <v>158</v>
      </c>
      <c r="I1733" t="s">
        <v>120</v>
      </c>
      <c r="J1733" t="s">
        <v>122</v>
      </c>
      <c r="K1733">
        <v>0</v>
      </c>
      <c r="L1733">
        <v>3</v>
      </c>
      <c r="M1733">
        <v>0</v>
      </c>
      <c r="N1733">
        <v>2</v>
      </c>
      <c r="O1733">
        <v>1</v>
      </c>
      <c r="P1733">
        <v>0</v>
      </c>
      <c r="Q1733">
        <v>0</v>
      </c>
      <c r="S1733" t="str">
        <f>"18:47:53.922"</f>
        <v>18:47:53.922</v>
      </c>
      <c r="T1733" t="str">
        <f>"18:47:51.622"</f>
        <v>18:47:51.622</v>
      </c>
      <c r="U1733" t="str">
        <f t="shared" si="168"/>
        <v>AAB6EE</v>
      </c>
      <c r="V1733">
        <v>0</v>
      </c>
      <c r="W1733">
        <v>0</v>
      </c>
      <c r="X1733">
        <v>4</v>
      </c>
      <c r="Z1733">
        <v>0</v>
      </c>
      <c r="AA1733">
        <v>8</v>
      </c>
      <c r="AB1733">
        <v>3</v>
      </c>
      <c r="AC1733">
        <v>0</v>
      </c>
      <c r="AD1733">
        <v>10</v>
      </c>
      <c r="AE1733">
        <v>0</v>
      </c>
      <c r="AF1733">
        <v>0</v>
      </c>
      <c r="AG1733">
        <v>2</v>
      </c>
      <c r="AH1733">
        <v>1</v>
      </c>
      <c r="AI1733" t="s">
        <v>1274</v>
      </c>
      <c r="AJ1733">
        <v>35.176485</v>
      </c>
      <c r="AK1733" t="s">
        <v>190</v>
      </c>
      <c r="AL1733">
        <v>-76.013782000000006</v>
      </c>
      <c r="AM1733">
        <v>25</v>
      </c>
      <c r="AN1733">
        <v>2925</v>
      </c>
      <c r="AO1733" t="s">
        <v>118</v>
      </c>
      <c r="AP1733">
        <v>72</v>
      </c>
      <c r="AQ1733">
        <v>-139</v>
      </c>
      <c r="AR1733">
        <v>0</v>
      </c>
      <c r="AZ1733">
        <v>4516</v>
      </c>
      <c r="BA1733">
        <v>1</v>
      </c>
      <c r="BB1733" t="str">
        <f t="shared" ref="BB1733:BB1789" si="169">"N79NX   "</f>
        <v xml:space="preserve">N79NX   </v>
      </c>
      <c r="BC1733">
        <v>1</v>
      </c>
      <c r="BE1733">
        <v>0</v>
      </c>
      <c r="BF1733">
        <v>0</v>
      </c>
      <c r="BG1733">
        <v>0</v>
      </c>
      <c r="BH1733">
        <v>2775</v>
      </c>
      <c r="BI1733">
        <v>0</v>
      </c>
      <c r="BJ1733">
        <v>0</v>
      </c>
      <c r="BK1733">
        <v>0</v>
      </c>
      <c r="BL1733">
        <v>0</v>
      </c>
      <c r="BO1733">
        <v>0</v>
      </c>
      <c r="BP1733">
        <v>0</v>
      </c>
      <c r="BW1733" t="str">
        <f>"18:47:53.923"</f>
        <v>18:47:53.923</v>
      </c>
      <c r="BZ1733">
        <v>0</v>
      </c>
      <c r="CA1733">
        <v>3008</v>
      </c>
      <c r="CB1733">
        <v>216</v>
      </c>
      <c r="CC1733">
        <v>518.90629999999999</v>
      </c>
      <c r="CD1733">
        <v>1</v>
      </c>
      <c r="CE1733">
        <v>1</v>
      </c>
      <c r="CF1733">
        <v>0</v>
      </c>
      <c r="CG1733">
        <v>1</v>
      </c>
      <c r="CH1733">
        <v>0</v>
      </c>
      <c r="CI1733">
        <v>1</v>
      </c>
      <c r="CJ1733">
        <v>0</v>
      </c>
      <c r="CK1733">
        <v>2</v>
      </c>
      <c r="CL1733">
        <v>0</v>
      </c>
      <c r="CM1733">
        <v>2</v>
      </c>
      <c r="CN1733">
        <v>0</v>
      </c>
      <c r="CO1733">
        <v>1</v>
      </c>
      <c r="CP1733" t="s">
        <v>119</v>
      </c>
      <c r="CQ1733">
        <v>145</v>
      </c>
      <c r="CR1733">
        <v>1</v>
      </c>
      <c r="CW1733">
        <v>9205063</v>
      </c>
      <c r="CY1733">
        <v>0</v>
      </c>
      <c r="CZ1733">
        <v>0</v>
      </c>
      <c r="DA1733">
        <v>0</v>
      </c>
      <c r="DB1733">
        <v>0</v>
      </c>
      <c r="DC1733">
        <v>0</v>
      </c>
      <c r="DD1733">
        <v>0</v>
      </c>
      <c r="DE1733">
        <v>0</v>
      </c>
      <c r="DF1733">
        <v>0</v>
      </c>
      <c r="DG1733">
        <v>0</v>
      </c>
      <c r="DH1733">
        <v>0</v>
      </c>
      <c r="DI1733">
        <v>0</v>
      </c>
    </row>
    <row r="1734" spans="1:113" x14ac:dyDescent="0.3">
      <c r="A1734" t="str">
        <f>"02/13/2022 18:47:54.199"</f>
        <v>02/13/2022 18:47:54.199</v>
      </c>
      <c r="C1734" t="str">
        <f t="shared" si="167"/>
        <v>FFDFD7C0</v>
      </c>
      <c r="D1734" t="s">
        <v>113</v>
      </c>
      <c r="E1734">
        <v>3</v>
      </c>
      <c r="F1734">
        <v>1003</v>
      </c>
      <c r="G1734" t="s">
        <v>114</v>
      </c>
      <c r="J1734" t="s">
        <v>115</v>
      </c>
      <c r="K1734">
        <v>0</v>
      </c>
      <c r="L1734">
        <v>3</v>
      </c>
      <c r="M1734">
        <v>0</v>
      </c>
      <c r="N1734">
        <v>2</v>
      </c>
      <c r="O1734">
        <v>1</v>
      </c>
      <c r="P1734">
        <v>0</v>
      </c>
      <c r="Q1734">
        <v>0</v>
      </c>
      <c r="S1734" t="str">
        <f>"18:47:53.922"</f>
        <v>18:47:53.922</v>
      </c>
      <c r="T1734" t="str">
        <f>"18:47:51.622"</f>
        <v>18:47:51.622</v>
      </c>
      <c r="U1734" t="str">
        <f t="shared" si="168"/>
        <v>AAB6EE</v>
      </c>
      <c r="V1734">
        <v>0</v>
      </c>
      <c r="W1734">
        <v>0</v>
      </c>
      <c r="X1734">
        <v>4</v>
      </c>
      <c r="Z1734">
        <v>0</v>
      </c>
      <c r="AA1734">
        <v>8</v>
      </c>
      <c r="AB1734">
        <v>3</v>
      </c>
      <c r="AC1734">
        <v>0</v>
      </c>
      <c r="AD1734">
        <v>10</v>
      </c>
      <c r="AE1734">
        <v>0</v>
      </c>
      <c r="AF1734">
        <v>0</v>
      </c>
      <c r="AG1734">
        <v>2</v>
      </c>
      <c r="AH1734">
        <v>1</v>
      </c>
      <c r="AI1734" t="s">
        <v>1274</v>
      </c>
      <c r="AJ1734">
        <v>35.176485</v>
      </c>
      <c r="AK1734" t="s">
        <v>190</v>
      </c>
      <c r="AL1734">
        <v>-76.013782000000006</v>
      </c>
      <c r="AM1734">
        <v>25</v>
      </c>
      <c r="AN1734">
        <v>2925</v>
      </c>
      <c r="AO1734" t="s">
        <v>118</v>
      </c>
      <c r="AP1734">
        <v>72</v>
      </c>
      <c r="AQ1734">
        <v>-139</v>
      </c>
      <c r="AR1734">
        <v>0</v>
      </c>
      <c r="AZ1734">
        <v>4516</v>
      </c>
      <c r="BA1734">
        <v>1</v>
      </c>
      <c r="BB1734" t="str">
        <f t="shared" si="169"/>
        <v xml:space="preserve">N79NX   </v>
      </c>
      <c r="BC1734">
        <v>1</v>
      </c>
      <c r="BE1734">
        <v>0</v>
      </c>
      <c r="BF1734">
        <v>0</v>
      </c>
      <c r="BG1734">
        <v>0</v>
      </c>
      <c r="BH1734">
        <v>2775</v>
      </c>
      <c r="BI1734">
        <v>0</v>
      </c>
      <c r="BJ1734">
        <v>0</v>
      </c>
      <c r="BK1734">
        <v>0</v>
      </c>
      <c r="BL1734">
        <v>0</v>
      </c>
      <c r="BO1734">
        <v>0</v>
      </c>
      <c r="BP1734">
        <v>0</v>
      </c>
      <c r="BW1734" t="str">
        <f>"18:47:53.923"</f>
        <v>18:47:53.923</v>
      </c>
      <c r="BZ1734">
        <v>0</v>
      </c>
      <c r="CA1734">
        <v>3008</v>
      </c>
      <c r="CB1734">
        <v>216</v>
      </c>
      <c r="CC1734">
        <v>518.90629999999999</v>
      </c>
      <c r="CD1734">
        <v>1</v>
      </c>
      <c r="CE1734">
        <v>1</v>
      </c>
      <c r="CF1734">
        <v>0</v>
      </c>
      <c r="CG1734">
        <v>1</v>
      </c>
      <c r="CH1734">
        <v>0</v>
      </c>
      <c r="CI1734">
        <v>1</v>
      </c>
      <c r="CJ1734">
        <v>0</v>
      </c>
      <c r="CK1734">
        <v>2</v>
      </c>
      <c r="CL1734">
        <v>0</v>
      </c>
      <c r="CM1734">
        <v>2</v>
      </c>
      <c r="CN1734">
        <v>0</v>
      </c>
      <c r="CO1734">
        <v>1</v>
      </c>
      <c r="CP1734" t="s">
        <v>119</v>
      </c>
      <c r="CQ1734">
        <v>145</v>
      </c>
      <c r="CR1734">
        <v>1</v>
      </c>
      <c r="CW1734">
        <v>9205063</v>
      </c>
      <c r="CY1734">
        <v>0</v>
      </c>
      <c r="CZ1734">
        <v>0</v>
      </c>
      <c r="DA1734">
        <v>1</v>
      </c>
      <c r="DB1734">
        <v>0</v>
      </c>
      <c r="DC1734">
        <v>0</v>
      </c>
      <c r="DD1734">
        <v>0</v>
      </c>
      <c r="DE1734">
        <v>0</v>
      </c>
      <c r="DF1734">
        <v>0</v>
      </c>
      <c r="DG1734">
        <v>0</v>
      </c>
      <c r="DH1734">
        <v>0</v>
      </c>
      <c r="DI1734">
        <v>0</v>
      </c>
    </row>
    <row r="1735" spans="1:113" x14ac:dyDescent="0.3">
      <c r="A1735" t="str">
        <f>"02/13/2022 18:47:54.199"</f>
        <v>02/13/2022 18:47:54.199</v>
      </c>
      <c r="C1735" t="str">
        <f t="shared" si="167"/>
        <v>FFDFD7C0</v>
      </c>
      <c r="D1735" t="s">
        <v>113</v>
      </c>
      <c r="E1735">
        <v>4</v>
      </c>
      <c r="F1735">
        <v>1004</v>
      </c>
      <c r="G1735" t="s">
        <v>120</v>
      </c>
      <c r="J1735" t="s">
        <v>115</v>
      </c>
      <c r="K1735">
        <v>0</v>
      </c>
      <c r="L1735">
        <v>3</v>
      </c>
      <c r="M1735">
        <v>0</v>
      </c>
      <c r="N1735">
        <v>2</v>
      </c>
      <c r="O1735">
        <v>1</v>
      </c>
      <c r="P1735">
        <v>0</v>
      </c>
      <c r="Q1735">
        <v>0</v>
      </c>
      <c r="S1735" t="str">
        <f>"18:47:53.922"</f>
        <v>18:47:53.922</v>
      </c>
      <c r="T1735" t="str">
        <f>"18:47:51.622"</f>
        <v>18:47:51.622</v>
      </c>
      <c r="U1735" t="str">
        <f t="shared" si="168"/>
        <v>AAB6EE</v>
      </c>
      <c r="V1735">
        <v>0</v>
      </c>
      <c r="W1735">
        <v>0</v>
      </c>
      <c r="X1735">
        <v>4</v>
      </c>
      <c r="Z1735">
        <v>0</v>
      </c>
      <c r="AA1735">
        <v>8</v>
      </c>
      <c r="AB1735">
        <v>3</v>
      </c>
      <c r="AC1735">
        <v>0</v>
      </c>
      <c r="AD1735">
        <v>10</v>
      </c>
      <c r="AE1735">
        <v>0</v>
      </c>
      <c r="AF1735">
        <v>0</v>
      </c>
      <c r="AG1735">
        <v>2</v>
      </c>
      <c r="AH1735">
        <v>1</v>
      </c>
      <c r="AI1735" t="s">
        <v>1274</v>
      </c>
      <c r="AJ1735">
        <v>35.176485</v>
      </c>
      <c r="AK1735" t="s">
        <v>190</v>
      </c>
      <c r="AL1735">
        <v>-76.013782000000006</v>
      </c>
      <c r="AM1735">
        <v>25</v>
      </c>
      <c r="AN1735">
        <v>2925</v>
      </c>
      <c r="AO1735" t="s">
        <v>118</v>
      </c>
      <c r="AP1735">
        <v>72</v>
      </c>
      <c r="AQ1735">
        <v>-139</v>
      </c>
      <c r="AR1735">
        <v>0</v>
      </c>
      <c r="AZ1735">
        <v>4516</v>
      </c>
      <c r="BA1735">
        <v>1</v>
      </c>
      <c r="BB1735" t="str">
        <f t="shared" si="169"/>
        <v xml:space="preserve">N79NX   </v>
      </c>
      <c r="BC1735">
        <v>1</v>
      </c>
      <c r="BE1735">
        <v>0</v>
      </c>
      <c r="BF1735">
        <v>0</v>
      </c>
      <c r="BG1735">
        <v>0</v>
      </c>
      <c r="BH1735">
        <v>2775</v>
      </c>
      <c r="BI1735">
        <v>0</v>
      </c>
      <c r="BJ1735">
        <v>0</v>
      </c>
      <c r="BK1735">
        <v>0</v>
      </c>
      <c r="BL1735">
        <v>0</v>
      </c>
      <c r="BO1735">
        <v>0</v>
      </c>
      <c r="BP1735">
        <v>0</v>
      </c>
      <c r="BW1735" t="str">
        <f>"18:47:53.923"</f>
        <v>18:47:53.923</v>
      </c>
      <c r="BZ1735">
        <v>0</v>
      </c>
      <c r="CA1735">
        <v>3008</v>
      </c>
      <c r="CB1735">
        <v>216</v>
      </c>
      <c r="CC1735">
        <v>518.90629999999999</v>
      </c>
      <c r="CD1735">
        <v>1</v>
      </c>
      <c r="CE1735">
        <v>1</v>
      </c>
      <c r="CF1735">
        <v>0</v>
      </c>
      <c r="CG1735">
        <v>1</v>
      </c>
      <c r="CH1735">
        <v>0</v>
      </c>
      <c r="CI1735">
        <v>1</v>
      </c>
      <c r="CJ1735">
        <v>0</v>
      </c>
      <c r="CK1735">
        <v>2</v>
      </c>
      <c r="CL1735">
        <v>0</v>
      </c>
      <c r="CM1735">
        <v>2</v>
      </c>
      <c r="CN1735">
        <v>0</v>
      </c>
      <c r="CO1735">
        <v>1</v>
      </c>
      <c r="CP1735" t="s">
        <v>119</v>
      </c>
      <c r="CQ1735">
        <v>145</v>
      </c>
      <c r="CR1735">
        <v>1</v>
      </c>
      <c r="CW1735">
        <v>9205063</v>
      </c>
      <c r="CY1735">
        <v>0</v>
      </c>
      <c r="CZ1735">
        <v>0</v>
      </c>
      <c r="DA1735">
        <v>1</v>
      </c>
      <c r="DB1735">
        <v>0</v>
      </c>
      <c r="DC1735">
        <v>0</v>
      </c>
      <c r="DD1735">
        <v>0</v>
      </c>
      <c r="DE1735">
        <v>0</v>
      </c>
      <c r="DF1735">
        <v>0</v>
      </c>
      <c r="DG1735">
        <v>0</v>
      </c>
      <c r="DH1735">
        <v>0</v>
      </c>
      <c r="DI1735">
        <v>0</v>
      </c>
    </row>
    <row r="1736" spans="1:113" x14ac:dyDescent="0.3">
      <c r="A1736" t="str">
        <f>"02/13/2022 18:47:55.170"</f>
        <v>02/13/2022 18:47:55.170</v>
      </c>
      <c r="C1736" t="str">
        <f t="shared" si="167"/>
        <v>FFDFD7C0</v>
      </c>
      <c r="D1736" t="s">
        <v>113</v>
      </c>
      <c r="E1736">
        <v>3</v>
      </c>
      <c r="F1736">
        <v>1003</v>
      </c>
      <c r="G1736" t="s">
        <v>114</v>
      </c>
      <c r="J1736" t="s">
        <v>115</v>
      </c>
      <c r="K1736">
        <v>0</v>
      </c>
      <c r="L1736">
        <v>3</v>
      </c>
      <c r="M1736">
        <v>0</v>
      </c>
      <c r="N1736">
        <v>2</v>
      </c>
      <c r="O1736">
        <v>1</v>
      </c>
      <c r="P1736">
        <v>0</v>
      </c>
      <c r="Q1736">
        <v>0</v>
      </c>
      <c r="S1736" t="str">
        <f>"18:47:55.000"</f>
        <v>18:47:55.000</v>
      </c>
      <c r="T1736" t="str">
        <f>"18:47:51.600"</f>
        <v>18:47:51.600</v>
      </c>
      <c r="U1736" t="str">
        <f t="shared" si="168"/>
        <v>AAB6EE</v>
      </c>
      <c r="V1736">
        <v>0</v>
      </c>
      <c r="W1736">
        <v>0</v>
      </c>
      <c r="X1736">
        <v>4</v>
      </c>
      <c r="Z1736">
        <v>0</v>
      </c>
      <c r="AA1736">
        <v>8</v>
      </c>
      <c r="AB1736">
        <v>3</v>
      </c>
      <c r="AC1736">
        <v>0</v>
      </c>
      <c r="AD1736">
        <v>10</v>
      </c>
      <c r="AE1736">
        <v>0</v>
      </c>
      <c r="AF1736">
        <v>0</v>
      </c>
      <c r="AG1736">
        <v>2</v>
      </c>
      <c r="AH1736">
        <v>1</v>
      </c>
      <c r="AI1736" t="s">
        <v>1275</v>
      </c>
      <c r="AJ1736">
        <v>35.175840999999998</v>
      </c>
      <c r="AK1736" t="s">
        <v>1276</v>
      </c>
      <c r="AL1736">
        <v>-76.013396</v>
      </c>
      <c r="AM1736">
        <v>25</v>
      </c>
      <c r="AN1736">
        <v>2925</v>
      </c>
      <c r="AO1736" t="s">
        <v>118</v>
      </c>
      <c r="AP1736">
        <v>72</v>
      </c>
      <c r="AQ1736">
        <v>-139</v>
      </c>
      <c r="AR1736">
        <v>0</v>
      </c>
      <c r="AZ1736">
        <v>4516</v>
      </c>
      <c r="BA1736">
        <v>1</v>
      </c>
      <c r="BB1736" t="str">
        <f t="shared" si="169"/>
        <v xml:space="preserve">N79NX   </v>
      </c>
      <c r="BC1736">
        <v>1</v>
      </c>
      <c r="BE1736">
        <v>0</v>
      </c>
      <c r="BF1736">
        <v>0</v>
      </c>
      <c r="BG1736">
        <v>0</v>
      </c>
      <c r="BH1736">
        <v>2775</v>
      </c>
      <c r="BI1736">
        <v>0</v>
      </c>
      <c r="BJ1736">
        <v>0</v>
      </c>
      <c r="BK1736">
        <v>0</v>
      </c>
      <c r="BL1736">
        <v>0</v>
      </c>
      <c r="BO1736">
        <v>0</v>
      </c>
      <c r="BP1736">
        <v>0</v>
      </c>
      <c r="BW1736" t="str">
        <f>"18:47:55.003"</f>
        <v>18:47:55.003</v>
      </c>
      <c r="BZ1736">
        <v>0</v>
      </c>
      <c r="CA1736">
        <v>3008</v>
      </c>
      <c r="CB1736">
        <v>216</v>
      </c>
      <c r="CC1736">
        <v>518.90629999999999</v>
      </c>
      <c r="CD1736">
        <v>1</v>
      </c>
      <c r="CE1736">
        <v>1</v>
      </c>
      <c r="CF1736">
        <v>0</v>
      </c>
      <c r="CG1736">
        <v>1</v>
      </c>
      <c r="CH1736">
        <v>0</v>
      </c>
      <c r="CI1736">
        <v>1</v>
      </c>
      <c r="CJ1736">
        <v>0</v>
      </c>
      <c r="CK1736">
        <v>2</v>
      </c>
      <c r="CL1736">
        <v>0</v>
      </c>
      <c r="CM1736">
        <v>2</v>
      </c>
      <c r="CN1736">
        <v>0</v>
      </c>
      <c r="CO1736">
        <v>1</v>
      </c>
      <c r="CP1736" t="s">
        <v>119</v>
      </c>
      <c r="CQ1736">
        <v>145</v>
      </c>
      <c r="CR1736">
        <v>1</v>
      </c>
      <c r="CW1736">
        <v>9205458</v>
      </c>
      <c r="CY1736">
        <v>0</v>
      </c>
      <c r="CZ1736">
        <v>0</v>
      </c>
      <c r="DA1736">
        <v>0</v>
      </c>
      <c r="DB1736">
        <v>0</v>
      </c>
      <c r="DC1736">
        <v>0</v>
      </c>
      <c r="DD1736">
        <v>0</v>
      </c>
      <c r="DE1736">
        <v>0</v>
      </c>
      <c r="DF1736">
        <v>0</v>
      </c>
      <c r="DG1736">
        <v>0</v>
      </c>
      <c r="DH1736">
        <v>0</v>
      </c>
      <c r="DI1736">
        <v>0</v>
      </c>
    </row>
    <row r="1737" spans="1:113" x14ac:dyDescent="0.3">
      <c r="A1737" t="str">
        <f>"02/13/2022 18:47:55.170"</f>
        <v>02/13/2022 18:47:55.170</v>
      </c>
      <c r="C1737" t="str">
        <f t="shared" si="167"/>
        <v>FFDFD7C0</v>
      </c>
      <c r="D1737" t="s">
        <v>113</v>
      </c>
      <c r="E1737">
        <v>4</v>
      </c>
      <c r="F1737">
        <v>1004</v>
      </c>
      <c r="G1737" t="s">
        <v>120</v>
      </c>
      <c r="J1737" t="s">
        <v>115</v>
      </c>
      <c r="K1737">
        <v>0</v>
      </c>
      <c r="L1737">
        <v>3</v>
      </c>
      <c r="M1737">
        <v>0</v>
      </c>
      <c r="N1737">
        <v>2</v>
      </c>
      <c r="O1737">
        <v>1</v>
      </c>
      <c r="P1737">
        <v>0</v>
      </c>
      <c r="Q1737">
        <v>0</v>
      </c>
      <c r="S1737" t="str">
        <f>"18:47:55.000"</f>
        <v>18:47:55.000</v>
      </c>
      <c r="T1737" t="str">
        <f>"18:47:51.600"</f>
        <v>18:47:51.600</v>
      </c>
      <c r="U1737" t="str">
        <f t="shared" si="168"/>
        <v>AAB6EE</v>
      </c>
      <c r="V1737">
        <v>0</v>
      </c>
      <c r="W1737">
        <v>0</v>
      </c>
      <c r="X1737">
        <v>4</v>
      </c>
      <c r="Z1737">
        <v>0</v>
      </c>
      <c r="AA1737">
        <v>8</v>
      </c>
      <c r="AB1737">
        <v>3</v>
      </c>
      <c r="AC1737">
        <v>0</v>
      </c>
      <c r="AD1737">
        <v>10</v>
      </c>
      <c r="AE1737">
        <v>0</v>
      </c>
      <c r="AF1737">
        <v>0</v>
      </c>
      <c r="AG1737">
        <v>2</v>
      </c>
      <c r="AH1737">
        <v>1</v>
      </c>
      <c r="AI1737" t="s">
        <v>1275</v>
      </c>
      <c r="AJ1737">
        <v>35.175840999999998</v>
      </c>
      <c r="AK1737" t="s">
        <v>1276</v>
      </c>
      <c r="AL1737">
        <v>-76.013396</v>
      </c>
      <c r="AM1737">
        <v>25</v>
      </c>
      <c r="AN1737">
        <v>2925</v>
      </c>
      <c r="AO1737" t="s">
        <v>118</v>
      </c>
      <c r="AP1737">
        <v>72</v>
      </c>
      <c r="AQ1737">
        <v>-139</v>
      </c>
      <c r="AR1737">
        <v>0</v>
      </c>
      <c r="AZ1737">
        <v>4516</v>
      </c>
      <c r="BA1737">
        <v>1</v>
      </c>
      <c r="BB1737" t="str">
        <f t="shared" si="169"/>
        <v xml:space="preserve">N79NX   </v>
      </c>
      <c r="BC1737">
        <v>1</v>
      </c>
      <c r="BE1737">
        <v>0</v>
      </c>
      <c r="BF1737">
        <v>0</v>
      </c>
      <c r="BG1737">
        <v>0</v>
      </c>
      <c r="BH1737">
        <v>2775</v>
      </c>
      <c r="BI1737">
        <v>0</v>
      </c>
      <c r="BJ1737">
        <v>0</v>
      </c>
      <c r="BK1737">
        <v>0</v>
      </c>
      <c r="BL1737">
        <v>0</v>
      </c>
      <c r="BO1737">
        <v>0</v>
      </c>
      <c r="BP1737">
        <v>0</v>
      </c>
      <c r="BW1737" t="str">
        <f>"18:47:55.003"</f>
        <v>18:47:55.003</v>
      </c>
      <c r="BZ1737">
        <v>0</v>
      </c>
      <c r="CA1737">
        <v>3008</v>
      </c>
      <c r="CB1737">
        <v>216</v>
      </c>
      <c r="CC1737">
        <v>518.90629999999999</v>
      </c>
      <c r="CD1737">
        <v>1</v>
      </c>
      <c r="CE1737">
        <v>1</v>
      </c>
      <c r="CF1737">
        <v>0</v>
      </c>
      <c r="CG1737">
        <v>1</v>
      </c>
      <c r="CH1737">
        <v>0</v>
      </c>
      <c r="CI1737">
        <v>1</v>
      </c>
      <c r="CJ1737">
        <v>0</v>
      </c>
      <c r="CK1737">
        <v>2</v>
      </c>
      <c r="CL1737">
        <v>0</v>
      </c>
      <c r="CM1737">
        <v>2</v>
      </c>
      <c r="CN1737">
        <v>0</v>
      </c>
      <c r="CO1737">
        <v>1</v>
      </c>
      <c r="CP1737" t="s">
        <v>119</v>
      </c>
      <c r="CQ1737">
        <v>145</v>
      </c>
      <c r="CR1737">
        <v>1</v>
      </c>
      <c r="CW1737">
        <v>9205458</v>
      </c>
      <c r="CY1737">
        <v>0</v>
      </c>
      <c r="CZ1737">
        <v>0</v>
      </c>
      <c r="DA1737">
        <v>1</v>
      </c>
      <c r="DB1737">
        <v>0</v>
      </c>
      <c r="DC1737">
        <v>0</v>
      </c>
      <c r="DD1737">
        <v>0</v>
      </c>
      <c r="DE1737">
        <v>0</v>
      </c>
      <c r="DF1737">
        <v>0</v>
      </c>
      <c r="DG1737">
        <v>0</v>
      </c>
      <c r="DH1737">
        <v>0</v>
      </c>
      <c r="DI1737">
        <v>0</v>
      </c>
    </row>
    <row r="1738" spans="1:113" x14ac:dyDescent="0.3">
      <c r="A1738" t="str">
        <f>"02/13/2022 18:47:55.217"</f>
        <v>02/13/2022 18:47:55.217</v>
      </c>
      <c r="C1738" t="str">
        <f t="shared" si="167"/>
        <v>FFDFD7C0</v>
      </c>
      <c r="D1738" t="s">
        <v>121</v>
      </c>
      <c r="E1738">
        <v>2</v>
      </c>
      <c r="H1738">
        <v>158</v>
      </c>
      <c r="I1738" t="s">
        <v>120</v>
      </c>
      <c r="J1738" t="s">
        <v>122</v>
      </c>
      <c r="K1738">
        <v>0</v>
      </c>
      <c r="L1738">
        <v>3</v>
      </c>
      <c r="M1738">
        <v>0</v>
      </c>
      <c r="N1738">
        <v>2</v>
      </c>
      <c r="O1738">
        <v>1</v>
      </c>
      <c r="P1738">
        <v>0</v>
      </c>
      <c r="Q1738">
        <v>0</v>
      </c>
      <c r="S1738" t="str">
        <f>"18:47:55.000"</f>
        <v>18:47:55.000</v>
      </c>
      <c r="T1738" t="str">
        <f>"18:47:51.600"</f>
        <v>18:47:51.600</v>
      </c>
      <c r="U1738" t="str">
        <f t="shared" si="168"/>
        <v>AAB6EE</v>
      </c>
      <c r="V1738">
        <v>0</v>
      </c>
      <c r="W1738">
        <v>0</v>
      </c>
      <c r="X1738">
        <v>4</v>
      </c>
      <c r="Z1738">
        <v>0</v>
      </c>
      <c r="AA1738">
        <v>8</v>
      </c>
      <c r="AB1738">
        <v>3</v>
      </c>
      <c r="AC1738">
        <v>0</v>
      </c>
      <c r="AD1738">
        <v>10</v>
      </c>
      <c r="AE1738">
        <v>0</v>
      </c>
      <c r="AF1738">
        <v>0</v>
      </c>
      <c r="AG1738">
        <v>2</v>
      </c>
      <c r="AH1738">
        <v>1</v>
      </c>
      <c r="AI1738" t="s">
        <v>1275</v>
      </c>
      <c r="AJ1738">
        <v>35.175840999999998</v>
      </c>
      <c r="AK1738" t="s">
        <v>1276</v>
      </c>
      <c r="AL1738">
        <v>-76.013396</v>
      </c>
      <c r="AM1738">
        <v>25</v>
      </c>
      <c r="AN1738">
        <v>2925</v>
      </c>
      <c r="AO1738" t="s">
        <v>118</v>
      </c>
      <c r="AP1738">
        <v>72</v>
      </c>
      <c r="AQ1738">
        <v>-139</v>
      </c>
      <c r="AR1738">
        <v>0</v>
      </c>
      <c r="AZ1738">
        <v>4516</v>
      </c>
      <c r="BA1738">
        <v>1</v>
      </c>
      <c r="BB1738" t="str">
        <f t="shared" si="169"/>
        <v xml:space="preserve">N79NX   </v>
      </c>
      <c r="BC1738">
        <v>1</v>
      </c>
      <c r="BE1738">
        <v>0</v>
      </c>
      <c r="BF1738">
        <v>0</v>
      </c>
      <c r="BG1738">
        <v>0</v>
      </c>
      <c r="BH1738">
        <v>2775</v>
      </c>
      <c r="BI1738">
        <v>0</v>
      </c>
      <c r="BJ1738">
        <v>0</v>
      </c>
      <c r="BK1738">
        <v>0</v>
      </c>
      <c r="BL1738">
        <v>0</v>
      </c>
      <c r="BO1738">
        <v>0</v>
      </c>
      <c r="BP1738">
        <v>0</v>
      </c>
      <c r="BW1738" t="str">
        <f>"18:47:55.003"</f>
        <v>18:47:55.003</v>
      </c>
      <c r="BZ1738">
        <v>0</v>
      </c>
      <c r="CA1738">
        <v>3008</v>
      </c>
      <c r="CB1738">
        <v>216</v>
      </c>
      <c r="CC1738">
        <v>518.90629999999999</v>
      </c>
      <c r="CD1738">
        <v>1</v>
      </c>
      <c r="CE1738">
        <v>1</v>
      </c>
      <c r="CF1738">
        <v>0</v>
      </c>
      <c r="CG1738">
        <v>1</v>
      </c>
      <c r="CH1738">
        <v>0</v>
      </c>
      <c r="CI1738">
        <v>1</v>
      </c>
      <c r="CJ1738">
        <v>0</v>
      </c>
      <c r="CK1738">
        <v>2</v>
      </c>
      <c r="CL1738">
        <v>0</v>
      </c>
      <c r="CM1738">
        <v>2</v>
      </c>
      <c r="CN1738">
        <v>0</v>
      </c>
      <c r="CO1738">
        <v>1</v>
      </c>
      <c r="CP1738" t="s">
        <v>119</v>
      </c>
      <c r="CQ1738">
        <v>145</v>
      </c>
      <c r="CR1738">
        <v>1</v>
      </c>
      <c r="CW1738">
        <v>9205458</v>
      </c>
      <c r="CY1738">
        <v>0</v>
      </c>
      <c r="CZ1738">
        <v>0</v>
      </c>
      <c r="DA1738">
        <v>1</v>
      </c>
      <c r="DB1738">
        <v>0</v>
      </c>
      <c r="DC1738">
        <v>0</v>
      </c>
      <c r="DD1738">
        <v>0</v>
      </c>
      <c r="DE1738">
        <v>0</v>
      </c>
      <c r="DF1738">
        <v>0</v>
      </c>
      <c r="DG1738">
        <v>0</v>
      </c>
      <c r="DH1738">
        <v>0</v>
      </c>
      <c r="DI1738">
        <v>0</v>
      </c>
    </row>
    <row r="1739" spans="1:113" x14ac:dyDescent="0.3">
      <c r="A1739" t="str">
        <f>"02/13/2022 18:47:59.062"</f>
        <v>02/13/2022 18:47:59.062</v>
      </c>
      <c r="C1739" t="str">
        <f t="shared" si="167"/>
        <v>FFDFD7C0</v>
      </c>
      <c r="D1739" t="s">
        <v>121</v>
      </c>
      <c r="E1739">
        <v>2</v>
      </c>
      <c r="H1739">
        <v>158</v>
      </c>
      <c r="I1739" t="s">
        <v>120</v>
      </c>
      <c r="J1739" t="s">
        <v>122</v>
      </c>
      <c r="K1739">
        <v>0</v>
      </c>
      <c r="L1739">
        <v>3</v>
      </c>
      <c r="M1739">
        <v>0</v>
      </c>
      <c r="N1739">
        <v>2</v>
      </c>
      <c r="O1739">
        <v>1</v>
      </c>
      <c r="P1739">
        <v>0</v>
      </c>
      <c r="Q1739">
        <v>0</v>
      </c>
      <c r="S1739" t="str">
        <f>"18:47:58.836"</f>
        <v>18:47:58.836</v>
      </c>
      <c r="T1739" t="str">
        <f>"18:47:56.436"</f>
        <v>18:47:56.436</v>
      </c>
      <c r="U1739" t="str">
        <f t="shared" si="168"/>
        <v>AAB6EE</v>
      </c>
      <c r="V1739">
        <v>0</v>
      </c>
      <c r="W1739">
        <v>0</v>
      </c>
      <c r="X1739">
        <v>4</v>
      </c>
      <c r="Z1739">
        <v>0</v>
      </c>
      <c r="AA1739">
        <v>8</v>
      </c>
      <c r="AB1739">
        <v>3</v>
      </c>
      <c r="AC1739">
        <v>0</v>
      </c>
      <c r="AD1739">
        <v>10</v>
      </c>
      <c r="AE1739">
        <v>0</v>
      </c>
      <c r="AF1739">
        <v>0</v>
      </c>
      <c r="AG1739">
        <v>2</v>
      </c>
      <c r="AH1739">
        <v>1</v>
      </c>
      <c r="AI1739" t="s">
        <v>1277</v>
      </c>
      <c r="AJ1739">
        <v>35.17333</v>
      </c>
      <c r="AK1739" t="s">
        <v>1278</v>
      </c>
      <c r="AL1739">
        <v>-76.011764999999997</v>
      </c>
      <c r="AM1739">
        <v>25</v>
      </c>
      <c r="AN1739">
        <v>2925</v>
      </c>
      <c r="AO1739" t="s">
        <v>118</v>
      </c>
      <c r="AP1739">
        <v>73</v>
      </c>
      <c r="AQ1739">
        <v>-138</v>
      </c>
      <c r="AR1739">
        <v>64</v>
      </c>
      <c r="AZ1739">
        <v>4516</v>
      </c>
      <c r="BA1739">
        <v>1</v>
      </c>
      <c r="BB1739" t="str">
        <f t="shared" si="169"/>
        <v xml:space="preserve">N79NX   </v>
      </c>
      <c r="BC1739">
        <v>1</v>
      </c>
      <c r="BE1739">
        <v>0</v>
      </c>
      <c r="BF1739">
        <v>0</v>
      </c>
      <c r="BG1739">
        <v>0</v>
      </c>
      <c r="BH1739">
        <v>2775</v>
      </c>
      <c r="BI1739">
        <v>0</v>
      </c>
      <c r="BJ1739">
        <v>0</v>
      </c>
      <c r="BK1739">
        <v>0</v>
      </c>
      <c r="BL1739">
        <v>0</v>
      </c>
      <c r="BO1739">
        <v>0</v>
      </c>
      <c r="BP1739">
        <v>0</v>
      </c>
      <c r="BW1739" t="str">
        <f>"18:47:58.843"</f>
        <v>18:47:58.843</v>
      </c>
      <c r="BZ1739">
        <v>0</v>
      </c>
      <c r="CA1739">
        <v>3008</v>
      </c>
      <c r="CB1739">
        <v>216</v>
      </c>
      <c r="CC1739">
        <v>518.90629999999999</v>
      </c>
      <c r="CD1739">
        <v>1</v>
      </c>
      <c r="CE1739">
        <v>1</v>
      </c>
      <c r="CF1739">
        <v>0</v>
      </c>
      <c r="CG1739">
        <v>1</v>
      </c>
      <c r="CH1739">
        <v>0</v>
      </c>
      <c r="CI1739">
        <v>1</v>
      </c>
      <c r="CJ1739">
        <v>0</v>
      </c>
      <c r="CK1739">
        <v>2</v>
      </c>
      <c r="CL1739">
        <v>0</v>
      </c>
      <c r="CM1739">
        <v>2</v>
      </c>
      <c r="CN1739">
        <v>0</v>
      </c>
      <c r="CO1739">
        <v>1</v>
      </c>
      <c r="CP1739" t="s">
        <v>119</v>
      </c>
      <c r="CQ1739">
        <v>145</v>
      </c>
      <c r="CR1739">
        <v>1</v>
      </c>
      <c r="CW1739">
        <v>9207240</v>
      </c>
      <c r="CY1739">
        <v>0</v>
      </c>
      <c r="CZ1739">
        <v>0</v>
      </c>
      <c r="DA1739">
        <v>0</v>
      </c>
      <c r="DB1739">
        <v>0</v>
      </c>
      <c r="DC1739">
        <v>0</v>
      </c>
      <c r="DD1739">
        <v>0</v>
      </c>
      <c r="DE1739">
        <v>0</v>
      </c>
      <c r="DF1739">
        <v>0</v>
      </c>
      <c r="DG1739">
        <v>0</v>
      </c>
      <c r="DH1739">
        <v>0</v>
      </c>
      <c r="DI1739">
        <v>0</v>
      </c>
    </row>
    <row r="1740" spans="1:113" x14ac:dyDescent="0.3">
      <c r="A1740" t="str">
        <f>"02/13/2022 18:47:59.062"</f>
        <v>02/13/2022 18:47:59.062</v>
      </c>
      <c r="C1740" t="str">
        <f t="shared" si="167"/>
        <v>FFDFD7C0</v>
      </c>
      <c r="D1740" t="s">
        <v>113</v>
      </c>
      <c r="E1740">
        <v>4</v>
      </c>
      <c r="F1740">
        <v>1004</v>
      </c>
      <c r="G1740" t="s">
        <v>120</v>
      </c>
      <c r="J1740" t="s">
        <v>115</v>
      </c>
      <c r="K1740">
        <v>0</v>
      </c>
      <c r="L1740">
        <v>3</v>
      </c>
      <c r="M1740">
        <v>0</v>
      </c>
      <c r="N1740">
        <v>2</v>
      </c>
      <c r="O1740">
        <v>1</v>
      </c>
      <c r="P1740">
        <v>0</v>
      </c>
      <c r="Q1740">
        <v>0</v>
      </c>
      <c r="S1740" t="str">
        <f>"18:47:58.836"</f>
        <v>18:47:58.836</v>
      </c>
      <c r="T1740" t="str">
        <f>"18:47:56.436"</f>
        <v>18:47:56.436</v>
      </c>
      <c r="U1740" t="str">
        <f t="shared" si="168"/>
        <v>AAB6EE</v>
      </c>
      <c r="V1740">
        <v>0</v>
      </c>
      <c r="W1740">
        <v>0</v>
      </c>
      <c r="X1740">
        <v>4</v>
      </c>
      <c r="Z1740">
        <v>0</v>
      </c>
      <c r="AA1740">
        <v>8</v>
      </c>
      <c r="AB1740">
        <v>3</v>
      </c>
      <c r="AC1740">
        <v>0</v>
      </c>
      <c r="AD1740">
        <v>10</v>
      </c>
      <c r="AE1740">
        <v>0</v>
      </c>
      <c r="AF1740">
        <v>0</v>
      </c>
      <c r="AG1740">
        <v>2</v>
      </c>
      <c r="AH1740">
        <v>1</v>
      </c>
      <c r="AI1740" t="s">
        <v>1277</v>
      </c>
      <c r="AJ1740">
        <v>35.17333</v>
      </c>
      <c r="AK1740" t="s">
        <v>1278</v>
      </c>
      <c r="AL1740">
        <v>-76.011764999999997</v>
      </c>
      <c r="AM1740">
        <v>25</v>
      </c>
      <c r="AN1740">
        <v>2925</v>
      </c>
      <c r="AO1740" t="s">
        <v>118</v>
      </c>
      <c r="AP1740">
        <v>73</v>
      </c>
      <c r="AQ1740">
        <v>-138</v>
      </c>
      <c r="AR1740">
        <v>64</v>
      </c>
      <c r="AZ1740">
        <v>4516</v>
      </c>
      <c r="BA1740">
        <v>1</v>
      </c>
      <c r="BB1740" t="str">
        <f t="shared" si="169"/>
        <v xml:space="preserve">N79NX   </v>
      </c>
      <c r="BC1740">
        <v>1</v>
      </c>
      <c r="BE1740">
        <v>0</v>
      </c>
      <c r="BF1740">
        <v>0</v>
      </c>
      <c r="BG1740">
        <v>0</v>
      </c>
      <c r="BH1740">
        <v>2775</v>
      </c>
      <c r="BI1740">
        <v>0</v>
      </c>
      <c r="BJ1740">
        <v>0</v>
      </c>
      <c r="BK1740">
        <v>0</v>
      </c>
      <c r="BL1740">
        <v>0</v>
      </c>
      <c r="BO1740">
        <v>0</v>
      </c>
      <c r="BP1740">
        <v>0</v>
      </c>
      <c r="BW1740" t="str">
        <f>"18:47:58.843"</f>
        <v>18:47:58.843</v>
      </c>
      <c r="BZ1740">
        <v>0</v>
      </c>
      <c r="CA1740">
        <v>3008</v>
      </c>
      <c r="CB1740">
        <v>216</v>
      </c>
      <c r="CC1740">
        <v>518.90629999999999</v>
      </c>
      <c r="CD1740">
        <v>1</v>
      </c>
      <c r="CE1740">
        <v>1</v>
      </c>
      <c r="CF1740">
        <v>0</v>
      </c>
      <c r="CG1740">
        <v>1</v>
      </c>
      <c r="CH1740">
        <v>0</v>
      </c>
      <c r="CI1740">
        <v>1</v>
      </c>
      <c r="CJ1740">
        <v>0</v>
      </c>
      <c r="CK1740">
        <v>2</v>
      </c>
      <c r="CL1740">
        <v>0</v>
      </c>
      <c r="CM1740">
        <v>2</v>
      </c>
      <c r="CN1740">
        <v>0</v>
      </c>
      <c r="CO1740">
        <v>1</v>
      </c>
      <c r="CP1740" t="s">
        <v>119</v>
      </c>
      <c r="CQ1740">
        <v>145</v>
      </c>
      <c r="CR1740">
        <v>1</v>
      </c>
      <c r="CW1740">
        <v>9207240</v>
      </c>
      <c r="CY1740">
        <v>0</v>
      </c>
      <c r="CZ1740">
        <v>0</v>
      </c>
      <c r="DA1740">
        <v>1</v>
      </c>
      <c r="DB1740">
        <v>0</v>
      </c>
      <c r="DC1740">
        <v>0</v>
      </c>
      <c r="DD1740">
        <v>0</v>
      </c>
      <c r="DE1740">
        <v>0</v>
      </c>
      <c r="DF1740">
        <v>0</v>
      </c>
      <c r="DG1740">
        <v>0</v>
      </c>
      <c r="DH1740">
        <v>0</v>
      </c>
      <c r="DI1740">
        <v>0</v>
      </c>
    </row>
    <row r="1741" spans="1:113" x14ac:dyDescent="0.3">
      <c r="A1741" t="str">
        <f>"02/13/2022 18:47:59.062"</f>
        <v>02/13/2022 18:47:59.062</v>
      </c>
      <c r="C1741" t="str">
        <f t="shared" si="167"/>
        <v>FFDFD7C0</v>
      </c>
      <c r="D1741" t="s">
        <v>113</v>
      </c>
      <c r="E1741">
        <v>3</v>
      </c>
      <c r="F1741">
        <v>1003</v>
      </c>
      <c r="G1741" t="s">
        <v>114</v>
      </c>
      <c r="J1741" t="s">
        <v>115</v>
      </c>
      <c r="K1741">
        <v>0</v>
      </c>
      <c r="L1741">
        <v>3</v>
      </c>
      <c r="M1741">
        <v>0</v>
      </c>
      <c r="N1741">
        <v>2</v>
      </c>
      <c r="O1741">
        <v>1</v>
      </c>
      <c r="P1741">
        <v>0</v>
      </c>
      <c r="Q1741">
        <v>0</v>
      </c>
      <c r="S1741" t="str">
        <f>"18:47:58.836"</f>
        <v>18:47:58.836</v>
      </c>
      <c r="T1741" t="str">
        <f>"18:47:56.436"</f>
        <v>18:47:56.436</v>
      </c>
      <c r="U1741" t="str">
        <f t="shared" si="168"/>
        <v>AAB6EE</v>
      </c>
      <c r="V1741">
        <v>0</v>
      </c>
      <c r="W1741">
        <v>0</v>
      </c>
      <c r="X1741">
        <v>4</v>
      </c>
      <c r="Z1741">
        <v>0</v>
      </c>
      <c r="AA1741">
        <v>8</v>
      </c>
      <c r="AB1741">
        <v>3</v>
      </c>
      <c r="AC1741">
        <v>0</v>
      </c>
      <c r="AD1741">
        <v>10</v>
      </c>
      <c r="AE1741">
        <v>0</v>
      </c>
      <c r="AF1741">
        <v>0</v>
      </c>
      <c r="AG1741">
        <v>2</v>
      </c>
      <c r="AH1741">
        <v>1</v>
      </c>
      <c r="AI1741" t="s">
        <v>1277</v>
      </c>
      <c r="AJ1741">
        <v>35.17333</v>
      </c>
      <c r="AK1741" t="s">
        <v>1278</v>
      </c>
      <c r="AL1741">
        <v>-76.011764999999997</v>
      </c>
      <c r="AM1741">
        <v>25</v>
      </c>
      <c r="AN1741">
        <v>2925</v>
      </c>
      <c r="AO1741" t="s">
        <v>118</v>
      </c>
      <c r="AP1741">
        <v>73</v>
      </c>
      <c r="AQ1741">
        <v>-138</v>
      </c>
      <c r="AR1741">
        <v>64</v>
      </c>
      <c r="AZ1741">
        <v>4516</v>
      </c>
      <c r="BA1741">
        <v>1</v>
      </c>
      <c r="BB1741" t="str">
        <f t="shared" si="169"/>
        <v xml:space="preserve">N79NX   </v>
      </c>
      <c r="BC1741">
        <v>1</v>
      </c>
      <c r="BE1741">
        <v>0</v>
      </c>
      <c r="BF1741">
        <v>0</v>
      </c>
      <c r="BG1741">
        <v>0</v>
      </c>
      <c r="BH1741">
        <v>2775</v>
      </c>
      <c r="BI1741">
        <v>0</v>
      </c>
      <c r="BJ1741">
        <v>0</v>
      </c>
      <c r="BK1741">
        <v>0</v>
      </c>
      <c r="BL1741">
        <v>0</v>
      </c>
      <c r="BO1741">
        <v>0</v>
      </c>
      <c r="BP1741">
        <v>0</v>
      </c>
      <c r="BW1741" t="str">
        <f>"18:47:58.843"</f>
        <v>18:47:58.843</v>
      </c>
      <c r="BZ1741">
        <v>0</v>
      </c>
      <c r="CA1741">
        <v>3008</v>
      </c>
      <c r="CB1741">
        <v>216</v>
      </c>
      <c r="CC1741">
        <v>518.90629999999999</v>
      </c>
      <c r="CD1741">
        <v>1</v>
      </c>
      <c r="CE1741">
        <v>1</v>
      </c>
      <c r="CF1741">
        <v>0</v>
      </c>
      <c r="CG1741">
        <v>1</v>
      </c>
      <c r="CH1741">
        <v>0</v>
      </c>
      <c r="CI1741">
        <v>1</v>
      </c>
      <c r="CJ1741">
        <v>0</v>
      </c>
      <c r="CK1741">
        <v>2</v>
      </c>
      <c r="CL1741">
        <v>0</v>
      </c>
      <c r="CM1741">
        <v>2</v>
      </c>
      <c r="CN1741">
        <v>0</v>
      </c>
      <c r="CO1741">
        <v>1</v>
      </c>
      <c r="CP1741" t="s">
        <v>119</v>
      </c>
      <c r="CQ1741">
        <v>145</v>
      </c>
      <c r="CR1741">
        <v>1</v>
      </c>
      <c r="CW1741">
        <v>9207240</v>
      </c>
      <c r="CY1741">
        <v>0</v>
      </c>
      <c r="CZ1741">
        <v>0</v>
      </c>
      <c r="DA1741">
        <v>1</v>
      </c>
      <c r="DB1741">
        <v>0</v>
      </c>
      <c r="DC1741">
        <v>0</v>
      </c>
      <c r="DD1741">
        <v>0</v>
      </c>
      <c r="DE1741">
        <v>0</v>
      </c>
      <c r="DF1741">
        <v>0</v>
      </c>
      <c r="DG1741">
        <v>0</v>
      </c>
      <c r="DH1741">
        <v>0</v>
      </c>
      <c r="DI1741">
        <v>0</v>
      </c>
    </row>
    <row r="1742" spans="1:113" x14ac:dyDescent="0.3">
      <c r="A1742" t="str">
        <f>"02/13/2022 18:48:03.930"</f>
        <v>02/13/2022 18:48:03.930</v>
      </c>
      <c r="C1742" t="str">
        <f t="shared" si="167"/>
        <v>FFDFD7C0</v>
      </c>
      <c r="D1742" t="s">
        <v>121</v>
      </c>
      <c r="E1742">
        <v>2</v>
      </c>
      <c r="H1742">
        <v>158</v>
      </c>
      <c r="I1742" t="s">
        <v>120</v>
      </c>
      <c r="J1742" t="s">
        <v>122</v>
      </c>
      <c r="K1742">
        <v>0</v>
      </c>
      <c r="L1742">
        <v>3</v>
      </c>
      <c r="M1742">
        <v>0</v>
      </c>
      <c r="N1742">
        <v>2</v>
      </c>
      <c r="O1742">
        <v>1</v>
      </c>
      <c r="P1742">
        <v>0</v>
      </c>
      <c r="Q1742">
        <v>0</v>
      </c>
      <c r="S1742" t="str">
        <f>"18:48:03.641"</f>
        <v>18:48:03.641</v>
      </c>
      <c r="T1742" t="str">
        <f>"18:48:02.641"</f>
        <v>18:48:02.641</v>
      </c>
      <c r="U1742" t="str">
        <f t="shared" si="168"/>
        <v>AAB6EE</v>
      </c>
      <c r="V1742">
        <v>0</v>
      </c>
      <c r="W1742">
        <v>0</v>
      </c>
      <c r="X1742">
        <v>4</v>
      </c>
      <c r="Z1742">
        <v>0</v>
      </c>
      <c r="AA1742">
        <v>8</v>
      </c>
      <c r="AB1742">
        <v>3</v>
      </c>
      <c r="AC1742">
        <v>0</v>
      </c>
      <c r="AD1742">
        <v>10</v>
      </c>
      <c r="AE1742">
        <v>0</v>
      </c>
      <c r="AF1742">
        <v>0</v>
      </c>
      <c r="AG1742">
        <v>2</v>
      </c>
      <c r="AH1742">
        <v>1</v>
      </c>
      <c r="AI1742" t="s">
        <v>1279</v>
      </c>
      <c r="AJ1742">
        <v>35.170262000000001</v>
      </c>
      <c r="AK1742" t="s">
        <v>1280</v>
      </c>
      <c r="AL1742">
        <v>-76.009833999999998</v>
      </c>
      <c r="AM1742">
        <v>25</v>
      </c>
      <c r="AN1742">
        <v>2925</v>
      </c>
      <c r="AO1742" t="s">
        <v>118</v>
      </c>
      <c r="AP1742">
        <v>72</v>
      </c>
      <c r="AQ1742">
        <v>-138</v>
      </c>
      <c r="AR1742">
        <v>0</v>
      </c>
      <c r="AZ1742">
        <v>4516</v>
      </c>
      <c r="BA1742">
        <v>1</v>
      </c>
      <c r="BB1742" t="str">
        <f t="shared" si="169"/>
        <v xml:space="preserve">N79NX   </v>
      </c>
      <c r="BC1742">
        <v>1</v>
      </c>
      <c r="BE1742">
        <v>0</v>
      </c>
      <c r="BF1742">
        <v>0</v>
      </c>
      <c r="BG1742">
        <v>0</v>
      </c>
      <c r="BH1742">
        <v>2775</v>
      </c>
      <c r="BI1742">
        <v>0</v>
      </c>
      <c r="BJ1742">
        <v>0</v>
      </c>
      <c r="BK1742">
        <v>0</v>
      </c>
      <c r="BL1742">
        <v>0</v>
      </c>
      <c r="BO1742">
        <v>0</v>
      </c>
      <c r="BP1742">
        <v>0</v>
      </c>
      <c r="BW1742" t="str">
        <f>"18:48:03.643"</f>
        <v>18:48:03.643</v>
      </c>
      <c r="BZ1742">
        <v>0</v>
      </c>
      <c r="CA1742">
        <v>3008</v>
      </c>
      <c r="CB1742">
        <v>216</v>
      </c>
      <c r="CC1742">
        <v>518.90629999999999</v>
      </c>
      <c r="CD1742">
        <v>1</v>
      </c>
      <c r="CE1742">
        <v>1</v>
      </c>
      <c r="CF1742">
        <v>0</v>
      </c>
      <c r="CG1742">
        <v>1</v>
      </c>
      <c r="CH1742">
        <v>0</v>
      </c>
      <c r="CI1742">
        <v>1</v>
      </c>
      <c r="CJ1742">
        <v>0</v>
      </c>
      <c r="CK1742">
        <v>2</v>
      </c>
      <c r="CL1742">
        <v>0</v>
      </c>
      <c r="CM1742">
        <v>2</v>
      </c>
      <c r="CN1742">
        <v>0</v>
      </c>
      <c r="CO1742">
        <v>1</v>
      </c>
      <c r="CP1742" t="s">
        <v>119</v>
      </c>
      <c r="CQ1742">
        <v>145</v>
      </c>
      <c r="CR1742">
        <v>1</v>
      </c>
      <c r="CW1742">
        <v>9209415</v>
      </c>
      <c r="CY1742">
        <v>0</v>
      </c>
      <c r="CZ1742">
        <v>0</v>
      </c>
      <c r="DA1742">
        <v>0</v>
      </c>
      <c r="DB1742">
        <v>0</v>
      </c>
      <c r="DC1742">
        <v>0</v>
      </c>
      <c r="DD1742">
        <v>0</v>
      </c>
      <c r="DE1742">
        <v>0</v>
      </c>
      <c r="DF1742">
        <v>0</v>
      </c>
      <c r="DG1742">
        <v>0</v>
      </c>
      <c r="DH1742">
        <v>0</v>
      </c>
      <c r="DI1742">
        <v>0</v>
      </c>
    </row>
    <row r="1743" spans="1:113" x14ac:dyDescent="0.3">
      <c r="A1743" t="str">
        <f>"02/13/2022 18:48:03.930"</f>
        <v>02/13/2022 18:48:03.930</v>
      </c>
      <c r="C1743" t="str">
        <f t="shared" si="167"/>
        <v>FFDFD7C0</v>
      </c>
      <c r="D1743" t="s">
        <v>113</v>
      </c>
      <c r="E1743">
        <v>3</v>
      </c>
      <c r="F1743">
        <v>1003</v>
      </c>
      <c r="G1743" t="s">
        <v>114</v>
      </c>
      <c r="J1743" t="s">
        <v>115</v>
      </c>
      <c r="K1743">
        <v>0</v>
      </c>
      <c r="L1743">
        <v>3</v>
      </c>
      <c r="M1743">
        <v>0</v>
      </c>
      <c r="N1743">
        <v>2</v>
      </c>
      <c r="O1743">
        <v>1</v>
      </c>
      <c r="P1743">
        <v>0</v>
      </c>
      <c r="Q1743">
        <v>0</v>
      </c>
      <c r="S1743" t="str">
        <f>"18:48:03.641"</f>
        <v>18:48:03.641</v>
      </c>
      <c r="T1743" t="str">
        <f>"18:48:02.641"</f>
        <v>18:48:02.641</v>
      </c>
      <c r="U1743" t="str">
        <f t="shared" si="168"/>
        <v>AAB6EE</v>
      </c>
      <c r="V1743">
        <v>0</v>
      </c>
      <c r="W1743">
        <v>0</v>
      </c>
      <c r="X1743">
        <v>4</v>
      </c>
      <c r="Z1743">
        <v>0</v>
      </c>
      <c r="AA1743">
        <v>8</v>
      </c>
      <c r="AB1743">
        <v>3</v>
      </c>
      <c r="AC1743">
        <v>0</v>
      </c>
      <c r="AD1743">
        <v>10</v>
      </c>
      <c r="AE1743">
        <v>0</v>
      </c>
      <c r="AF1743">
        <v>0</v>
      </c>
      <c r="AG1743">
        <v>2</v>
      </c>
      <c r="AH1743">
        <v>1</v>
      </c>
      <c r="AI1743" t="s">
        <v>1279</v>
      </c>
      <c r="AJ1743">
        <v>35.170262000000001</v>
      </c>
      <c r="AK1743" t="s">
        <v>1280</v>
      </c>
      <c r="AL1743">
        <v>-76.009833999999998</v>
      </c>
      <c r="AM1743">
        <v>25</v>
      </c>
      <c r="AN1743">
        <v>2925</v>
      </c>
      <c r="AO1743" t="s">
        <v>118</v>
      </c>
      <c r="AP1743">
        <v>72</v>
      </c>
      <c r="AQ1743">
        <v>-138</v>
      </c>
      <c r="AR1743">
        <v>0</v>
      </c>
      <c r="AZ1743">
        <v>4516</v>
      </c>
      <c r="BA1743">
        <v>1</v>
      </c>
      <c r="BB1743" t="str">
        <f t="shared" si="169"/>
        <v xml:space="preserve">N79NX   </v>
      </c>
      <c r="BC1743">
        <v>1</v>
      </c>
      <c r="BE1743">
        <v>0</v>
      </c>
      <c r="BF1743">
        <v>0</v>
      </c>
      <c r="BG1743">
        <v>0</v>
      </c>
      <c r="BH1743">
        <v>2775</v>
      </c>
      <c r="BI1743">
        <v>0</v>
      </c>
      <c r="BJ1743">
        <v>0</v>
      </c>
      <c r="BK1743">
        <v>0</v>
      </c>
      <c r="BL1743">
        <v>0</v>
      </c>
      <c r="BO1743">
        <v>0</v>
      </c>
      <c r="BP1743">
        <v>0</v>
      </c>
      <c r="BW1743" t="str">
        <f>"18:48:03.643"</f>
        <v>18:48:03.643</v>
      </c>
      <c r="BZ1743">
        <v>0</v>
      </c>
      <c r="CA1743">
        <v>3008</v>
      </c>
      <c r="CB1743">
        <v>216</v>
      </c>
      <c r="CC1743">
        <v>518.90629999999999</v>
      </c>
      <c r="CD1743">
        <v>1</v>
      </c>
      <c r="CE1743">
        <v>1</v>
      </c>
      <c r="CF1743">
        <v>0</v>
      </c>
      <c r="CG1743">
        <v>1</v>
      </c>
      <c r="CH1743">
        <v>0</v>
      </c>
      <c r="CI1743">
        <v>1</v>
      </c>
      <c r="CJ1743">
        <v>0</v>
      </c>
      <c r="CK1743">
        <v>2</v>
      </c>
      <c r="CL1743">
        <v>0</v>
      </c>
      <c r="CM1743">
        <v>2</v>
      </c>
      <c r="CN1743">
        <v>0</v>
      </c>
      <c r="CO1743">
        <v>1</v>
      </c>
      <c r="CP1743" t="s">
        <v>119</v>
      </c>
      <c r="CQ1743">
        <v>145</v>
      </c>
      <c r="CR1743">
        <v>1</v>
      </c>
      <c r="CW1743">
        <v>9209415</v>
      </c>
      <c r="CY1743">
        <v>0</v>
      </c>
      <c r="CZ1743">
        <v>0</v>
      </c>
      <c r="DA1743">
        <v>1</v>
      </c>
      <c r="DB1743">
        <v>0</v>
      </c>
      <c r="DC1743">
        <v>0</v>
      </c>
      <c r="DD1743">
        <v>0</v>
      </c>
      <c r="DE1743">
        <v>0</v>
      </c>
      <c r="DF1743">
        <v>0</v>
      </c>
      <c r="DG1743">
        <v>0</v>
      </c>
      <c r="DH1743">
        <v>0</v>
      </c>
      <c r="DI1743">
        <v>0</v>
      </c>
    </row>
    <row r="1744" spans="1:113" x14ac:dyDescent="0.3">
      <c r="A1744" t="str">
        <f>"02/13/2022 18:48:03.930"</f>
        <v>02/13/2022 18:48:03.930</v>
      </c>
      <c r="C1744" t="str">
        <f t="shared" si="167"/>
        <v>FFDFD7C0</v>
      </c>
      <c r="D1744" t="s">
        <v>113</v>
      </c>
      <c r="E1744">
        <v>4</v>
      </c>
      <c r="F1744">
        <v>1004</v>
      </c>
      <c r="G1744" t="s">
        <v>120</v>
      </c>
      <c r="J1744" t="s">
        <v>115</v>
      </c>
      <c r="K1744">
        <v>0</v>
      </c>
      <c r="L1744">
        <v>3</v>
      </c>
      <c r="M1744">
        <v>0</v>
      </c>
      <c r="N1744">
        <v>2</v>
      </c>
      <c r="O1744">
        <v>1</v>
      </c>
      <c r="P1744">
        <v>0</v>
      </c>
      <c r="Q1744">
        <v>0</v>
      </c>
      <c r="S1744" t="str">
        <f>"18:48:03.641"</f>
        <v>18:48:03.641</v>
      </c>
      <c r="T1744" t="str">
        <f>"18:48:02.641"</f>
        <v>18:48:02.641</v>
      </c>
      <c r="U1744" t="str">
        <f t="shared" si="168"/>
        <v>AAB6EE</v>
      </c>
      <c r="V1744">
        <v>0</v>
      </c>
      <c r="W1744">
        <v>0</v>
      </c>
      <c r="X1744">
        <v>4</v>
      </c>
      <c r="Z1744">
        <v>0</v>
      </c>
      <c r="AA1744">
        <v>8</v>
      </c>
      <c r="AB1744">
        <v>3</v>
      </c>
      <c r="AC1744">
        <v>0</v>
      </c>
      <c r="AD1744">
        <v>10</v>
      </c>
      <c r="AE1744">
        <v>0</v>
      </c>
      <c r="AF1744">
        <v>0</v>
      </c>
      <c r="AG1744">
        <v>2</v>
      </c>
      <c r="AH1744">
        <v>1</v>
      </c>
      <c r="AI1744" t="s">
        <v>1279</v>
      </c>
      <c r="AJ1744">
        <v>35.170262000000001</v>
      </c>
      <c r="AK1744" t="s">
        <v>1280</v>
      </c>
      <c r="AL1744">
        <v>-76.009833999999998</v>
      </c>
      <c r="AM1744">
        <v>25</v>
      </c>
      <c r="AN1744">
        <v>2925</v>
      </c>
      <c r="AO1744" t="s">
        <v>118</v>
      </c>
      <c r="AP1744">
        <v>72</v>
      </c>
      <c r="AQ1744">
        <v>-138</v>
      </c>
      <c r="AR1744">
        <v>0</v>
      </c>
      <c r="AZ1744">
        <v>4516</v>
      </c>
      <c r="BA1744">
        <v>1</v>
      </c>
      <c r="BB1744" t="str">
        <f t="shared" si="169"/>
        <v xml:space="preserve">N79NX   </v>
      </c>
      <c r="BC1744">
        <v>1</v>
      </c>
      <c r="BE1744">
        <v>0</v>
      </c>
      <c r="BF1744">
        <v>0</v>
      </c>
      <c r="BG1744">
        <v>0</v>
      </c>
      <c r="BH1744">
        <v>2775</v>
      </c>
      <c r="BI1744">
        <v>0</v>
      </c>
      <c r="BJ1744">
        <v>0</v>
      </c>
      <c r="BK1744">
        <v>0</v>
      </c>
      <c r="BL1744">
        <v>0</v>
      </c>
      <c r="BO1744">
        <v>0</v>
      </c>
      <c r="BP1744">
        <v>0</v>
      </c>
      <c r="BW1744" t="str">
        <f>"18:48:03.643"</f>
        <v>18:48:03.643</v>
      </c>
      <c r="BZ1744">
        <v>0</v>
      </c>
      <c r="CA1744">
        <v>3008</v>
      </c>
      <c r="CB1744">
        <v>216</v>
      </c>
      <c r="CC1744">
        <v>518.90629999999999</v>
      </c>
      <c r="CD1744">
        <v>1</v>
      </c>
      <c r="CE1744">
        <v>1</v>
      </c>
      <c r="CF1744">
        <v>0</v>
      </c>
      <c r="CG1744">
        <v>1</v>
      </c>
      <c r="CH1744">
        <v>0</v>
      </c>
      <c r="CI1744">
        <v>1</v>
      </c>
      <c r="CJ1744">
        <v>0</v>
      </c>
      <c r="CK1744">
        <v>2</v>
      </c>
      <c r="CL1744">
        <v>0</v>
      </c>
      <c r="CM1744">
        <v>2</v>
      </c>
      <c r="CN1744">
        <v>0</v>
      </c>
      <c r="CO1744">
        <v>1</v>
      </c>
      <c r="CP1744" t="s">
        <v>119</v>
      </c>
      <c r="CQ1744">
        <v>145</v>
      </c>
      <c r="CR1744">
        <v>1</v>
      </c>
      <c r="CW1744">
        <v>9209415</v>
      </c>
      <c r="CY1744">
        <v>0</v>
      </c>
      <c r="CZ1744">
        <v>0</v>
      </c>
      <c r="DA1744">
        <v>1</v>
      </c>
      <c r="DB1744">
        <v>0</v>
      </c>
      <c r="DC1744">
        <v>0</v>
      </c>
      <c r="DD1744">
        <v>0</v>
      </c>
      <c r="DE1744">
        <v>0</v>
      </c>
      <c r="DF1744">
        <v>0</v>
      </c>
      <c r="DG1744">
        <v>0</v>
      </c>
      <c r="DH1744">
        <v>0</v>
      </c>
      <c r="DI1744">
        <v>0</v>
      </c>
    </row>
    <row r="1745" spans="1:113" x14ac:dyDescent="0.3">
      <c r="A1745" t="str">
        <f>"02/13/2022 18:48:04.979"</f>
        <v>02/13/2022 18:48:04.979</v>
      </c>
      <c r="C1745" t="str">
        <f t="shared" si="167"/>
        <v>FFDFD7C0</v>
      </c>
      <c r="D1745" t="s">
        <v>113</v>
      </c>
      <c r="E1745">
        <v>3</v>
      </c>
      <c r="F1745">
        <v>1003</v>
      </c>
      <c r="G1745" t="s">
        <v>114</v>
      </c>
      <c r="J1745" t="s">
        <v>115</v>
      </c>
      <c r="K1745">
        <v>0</v>
      </c>
      <c r="L1745">
        <v>3</v>
      </c>
      <c r="M1745">
        <v>0</v>
      </c>
      <c r="N1745">
        <v>2</v>
      </c>
      <c r="O1745">
        <v>1</v>
      </c>
      <c r="P1745">
        <v>0</v>
      </c>
      <c r="Q1745">
        <v>0</v>
      </c>
      <c r="S1745" t="str">
        <f>"18:48:04.711"</f>
        <v>18:48:04.711</v>
      </c>
      <c r="T1745" t="str">
        <f>"18:48:02.611"</f>
        <v>18:48:02.611</v>
      </c>
      <c r="U1745" t="str">
        <f t="shared" si="168"/>
        <v>AAB6EE</v>
      </c>
      <c r="V1745">
        <v>0</v>
      </c>
      <c r="W1745">
        <v>0</v>
      </c>
      <c r="X1745">
        <v>4</v>
      </c>
      <c r="Z1745">
        <v>0</v>
      </c>
      <c r="AA1745">
        <v>8</v>
      </c>
      <c r="AB1745">
        <v>3</v>
      </c>
      <c r="AC1745">
        <v>0</v>
      </c>
      <c r="AD1745">
        <v>10</v>
      </c>
      <c r="AE1745">
        <v>0</v>
      </c>
      <c r="AF1745">
        <v>0</v>
      </c>
      <c r="AG1745">
        <v>2</v>
      </c>
      <c r="AH1745">
        <v>1</v>
      </c>
      <c r="AI1745" t="s">
        <v>1281</v>
      </c>
      <c r="AJ1745">
        <v>35.169531999999997</v>
      </c>
      <c r="AK1745" t="s">
        <v>1282</v>
      </c>
      <c r="AL1745">
        <v>-76.009361999999996</v>
      </c>
      <c r="AM1745">
        <v>25</v>
      </c>
      <c r="AN1745">
        <v>2925</v>
      </c>
      <c r="AO1745" t="s">
        <v>118</v>
      </c>
      <c r="AP1745">
        <v>72</v>
      </c>
      <c r="AQ1745">
        <v>-138</v>
      </c>
      <c r="AR1745">
        <v>0</v>
      </c>
      <c r="AZ1745">
        <v>4516</v>
      </c>
      <c r="BA1745">
        <v>1</v>
      </c>
      <c r="BB1745" t="str">
        <f t="shared" si="169"/>
        <v xml:space="preserve">N79NX   </v>
      </c>
      <c r="BC1745">
        <v>1</v>
      </c>
      <c r="BE1745">
        <v>0</v>
      </c>
      <c r="BF1745">
        <v>0</v>
      </c>
      <c r="BG1745">
        <v>0</v>
      </c>
      <c r="BH1745">
        <v>2775</v>
      </c>
      <c r="BI1745">
        <v>0</v>
      </c>
      <c r="BJ1745">
        <v>0</v>
      </c>
      <c r="BK1745">
        <v>0</v>
      </c>
      <c r="BL1745">
        <v>0</v>
      </c>
      <c r="BO1745">
        <v>0</v>
      </c>
      <c r="BP1745">
        <v>0</v>
      </c>
      <c r="BW1745" t="str">
        <f>"18:48:04.713"</f>
        <v>18:48:04.713</v>
      </c>
      <c r="BZ1745">
        <v>0</v>
      </c>
      <c r="CA1745">
        <v>3008</v>
      </c>
      <c r="CB1745">
        <v>216</v>
      </c>
      <c r="CC1745">
        <v>518.90629999999999</v>
      </c>
      <c r="CD1745">
        <v>1</v>
      </c>
      <c r="CE1745">
        <v>1</v>
      </c>
      <c r="CF1745">
        <v>0</v>
      </c>
      <c r="CG1745">
        <v>1</v>
      </c>
      <c r="CH1745">
        <v>0</v>
      </c>
      <c r="CI1745">
        <v>1</v>
      </c>
      <c r="CJ1745">
        <v>0</v>
      </c>
      <c r="CK1745">
        <v>2</v>
      </c>
      <c r="CL1745">
        <v>0</v>
      </c>
      <c r="CM1745">
        <v>2</v>
      </c>
      <c r="CN1745">
        <v>0</v>
      </c>
      <c r="CO1745">
        <v>1</v>
      </c>
      <c r="CP1745" t="s">
        <v>119</v>
      </c>
      <c r="CQ1745">
        <v>145</v>
      </c>
      <c r="CR1745">
        <v>1</v>
      </c>
      <c r="CW1745">
        <v>9209874</v>
      </c>
      <c r="CY1745">
        <v>0</v>
      </c>
      <c r="CZ1745">
        <v>0</v>
      </c>
      <c r="DA1745">
        <v>0</v>
      </c>
      <c r="DB1745">
        <v>0</v>
      </c>
      <c r="DC1745">
        <v>0</v>
      </c>
      <c r="DD1745">
        <v>0</v>
      </c>
      <c r="DE1745">
        <v>0</v>
      </c>
      <c r="DF1745">
        <v>0</v>
      </c>
      <c r="DG1745">
        <v>0</v>
      </c>
      <c r="DH1745">
        <v>0</v>
      </c>
      <c r="DI1745">
        <v>0</v>
      </c>
    </row>
    <row r="1746" spans="1:113" x14ac:dyDescent="0.3">
      <c r="A1746" t="str">
        <f>"02/13/2022 18:48:04.979"</f>
        <v>02/13/2022 18:48:04.979</v>
      </c>
      <c r="C1746" t="str">
        <f t="shared" si="167"/>
        <v>FFDFD7C0</v>
      </c>
      <c r="D1746" t="s">
        <v>121</v>
      </c>
      <c r="E1746">
        <v>2</v>
      </c>
      <c r="H1746">
        <v>158</v>
      </c>
      <c r="I1746" t="s">
        <v>120</v>
      </c>
      <c r="J1746" t="s">
        <v>122</v>
      </c>
      <c r="K1746">
        <v>0</v>
      </c>
      <c r="L1746">
        <v>3</v>
      </c>
      <c r="M1746">
        <v>0</v>
      </c>
      <c r="N1746">
        <v>2</v>
      </c>
      <c r="O1746">
        <v>1</v>
      </c>
      <c r="P1746">
        <v>0</v>
      </c>
      <c r="Q1746">
        <v>0</v>
      </c>
      <c r="S1746" t="str">
        <f>"18:48:04.711"</f>
        <v>18:48:04.711</v>
      </c>
      <c r="T1746" t="str">
        <f>"18:48:02.611"</f>
        <v>18:48:02.611</v>
      </c>
      <c r="U1746" t="str">
        <f t="shared" si="168"/>
        <v>AAB6EE</v>
      </c>
      <c r="V1746">
        <v>0</v>
      </c>
      <c r="W1746">
        <v>0</v>
      </c>
      <c r="X1746">
        <v>4</v>
      </c>
      <c r="Z1746">
        <v>0</v>
      </c>
      <c r="AA1746">
        <v>8</v>
      </c>
      <c r="AB1746">
        <v>3</v>
      </c>
      <c r="AC1746">
        <v>0</v>
      </c>
      <c r="AD1746">
        <v>10</v>
      </c>
      <c r="AE1746">
        <v>0</v>
      </c>
      <c r="AF1746">
        <v>0</v>
      </c>
      <c r="AG1746">
        <v>2</v>
      </c>
      <c r="AH1746">
        <v>1</v>
      </c>
      <c r="AI1746" t="s">
        <v>1281</v>
      </c>
      <c r="AJ1746">
        <v>35.169531999999997</v>
      </c>
      <c r="AK1746" t="s">
        <v>1282</v>
      </c>
      <c r="AL1746">
        <v>-76.009361999999996</v>
      </c>
      <c r="AM1746">
        <v>25</v>
      </c>
      <c r="AN1746">
        <v>2925</v>
      </c>
      <c r="AO1746" t="s">
        <v>118</v>
      </c>
      <c r="AP1746">
        <v>72</v>
      </c>
      <c r="AQ1746">
        <v>-138</v>
      </c>
      <c r="AR1746">
        <v>0</v>
      </c>
      <c r="AZ1746">
        <v>4516</v>
      </c>
      <c r="BA1746">
        <v>1</v>
      </c>
      <c r="BB1746" t="str">
        <f t="shared" si="169"/>
        <v xml:space="preserve">N79NX   </v>
      </c>
      <c r="BC1746">
        <v>1</v>
      </c>
      <c r="BE1746">
        <v>0</v>
      </c>
      <c r="BF1746">
        <v>0</v>
      </c>
      <c r="BG1746">
        <v>0</v>
      </c>
      <c r="BH1746">
        <v>2775</v>
      </c>
      <c r="BI1746">
        <v>0</v>
      </c>
      <c r="BJ1746">
        <v>0</v>
      </c>
      <c r="BK1746">
        <v>0</v>
      </c>
      <c r="BL1746">
        <v>0</v>
      </c>
      <c r="BO1746">
        <v>0</v>
      </c>
      <c r="BP1746">
        <v>0</v>
      </c>
      <c r="BW1746" t="str">
        <f>"18:48:04.713"</f>
        <v>18:48:04.713</v>
      </c>
      <c r="BZ1746">
        <v>0</v>
      </c>
      <c r="CA1746">
        <v>3008</v>
      </c>
      <c r="CB1746">
        <v>216</v>
      </c>
      <c r="CC1746">
        <v>518.90629999999999</v>
      </c>
      <c r="CD1746">
        <v>1</v>
      </c>
      <c r="CE1746">
        <v>1</v>
      </c>
      <c r="CF1746">
        <v>0</v>
      </c>
      <c r="CG1746">
        <v>1</v>
      </c>
      <c r="CH1746">
        <v>0</v>
      </c>
      <c r="CI1746">
        <v>1</v>
      </c>
      <c r="CJ1746">
        <v>0</v>
      </c>
      <c r="CK1746">
        <v>2</v>
      </c>
      <c r="CL1746">
        <v>0</v>
      </c>
      <c r="CM1746">
        <v>2</v>
      </c>
      <c r="CN1746">
        <v>0</v>
      </c>
      <c r="CO1746">
        <v>1</v>
      </c>
      <c r="CP1746" t="s">
        <v>119</v>
      </c>
      <c r="CQ1746">
        <v>145</v>
      </c>
      <c r="CR1746">
        <v>1</v>
      </c>
      <c r="CW1746">
        <v>9209874</v>
      </c>
      <c r="CY1746">
        <v>0</v>
      </c>
      <c r="CZ1746">
        <v>0</v>
      </c>
      <c r="DA1746">
        <v>1</v>
      </c>
      <c r="DB1746">
        <v>0</v>
      </c>
      <c r="DC1746">
        <v>0</v>
      </c>
      <c r="DD1746">
        <v>0</v>
      </c>
      <c r="DE1746">
        <v>0</v>
      </c>
      <c r="DF1746">
        <v>0</v>
      </c>
      <c r="DG1746">
        <v>0</v>
      </c>
      <c r="DH1746">
        <v>0</v>
      </c>
      <c r="DI1746">
        <v>0</v>
      </c>
    </row>
    <row r="1747" spans="1:113" x14ac:dyDescent="0.3">
      <c r="A1747" t="str">
        <f>"02/13/2022 18:48:04.979"</f>
        <v>02/13/2022 18:48:04.979</v>
      </c>
      <c r="C1747" t="str">
        <f t="shared" si="167"/>
        <v>FFDFD7C0</v>
      </c>
      <c r="D1747" t="s">
        <v>113</v>
      </c>
      <c r="E1747">
        <v>4</v>
      </c>
      <c r="F1747">
        <v>1004</v>
      </c>
      <c r="G1747" t="s">
        <v>120</v>
      </c>
      <c r="J1747" t="s">
        <v>115</v>
      </c>
      <c r="K1747">
        <v>0</v>
      </c>
      <c r="L1747">
        <v>3</v>
      </c>
      <c r="M1747">
        <v>0</v>
      </c>
      <c r="N1747">
        <v>2</v>
      </c>
      <c r="O1747">
        <v>1</v>
      </c>
      <c r="P1747">
        <v>0</v>
      </c>
      <c r="Q1747">
        <v>0</v>
      </c>
      <c r="S1747" t="str">
        <f>"18:48:04.711"</f>
        <v>18:48:04.711</v>
      </c>
      <c r="T1747" t="str">
        <f>"18:48:02.611"</f>
        <v>18:48:02.611</v>
      </c>
      <c r="U1747" t="str">
        <f t="shared" si="168"/>
        <v>AAB6EE</v>
      </c>
      <c r="V1747">
        <v>0</v>
      </c>
      <c r="W1747">
        <v>0</v>
      </c>
      <c r="X1747">
        <v>4</v>
      </c>
      <c r="Z1747">
        <v>0</v>
      </c>
      <c r="AA1747">
        <v>8</v>
      </c>
      <c r="AB1747">
        <v>3</v>
      </c>
      <c r="AC1747">
        <v>0</v>
      </c>
      <c r="AD1747">
        <v>10</v>
      </c>
      <c r="AE1747">
        <v>0</v>
      </c>
      <c r="AF1747">
        <v>0</v>
      </c>
      <c r="AG1747">
        <v>2</v>
      </c>
      <c r="AH1747">
        <v>1</v>
      </c>
      <c r="AI1747" t="s">
        <v>1281</v>
      </c>
      <c r="AJ1747">
        <v>35.169531999999997</v>
      </c>
      <c r="AK1747" t="s">
        <v>1282</v>
      </c>
      <c r="AL1747">
        <v>-76.009361999999996</v>
      </c>
      <c r="AM1747">
        <v>25</v>
      </c>
      <c r="AN1747">
        <v>2925</v>
      </c>
      <c r="AO1747" t="s">
        <v>118</v>
      </c>
      <c r="AP1747">
        <v>72</v>
      </c>
      <c r="AQ1747">
        <v>-138</v>
      </c>
      <c r="AR1747">
        <v>0</v>
      </c>
      <c r="AZ1747">
        <v>4516</v>
      </c>
      <c r="BA1747">
        <v>1</v>
      </c>
      <c r="BB1747" t="str">
        <f t="shared" si="169"/>
        <v xml:space="preserve">N79NX   </v>
      </c>
      <c r="BC1747">
        <v>1</v>
      </c>
      <c r="BE1747">
        <v>0</v>
      </c>
      <c r="BF1747">
        <v>0</v>
      </c>
      <c r="BG1747">
        <v>0</v>
      </c>
      <c r="BH1747">
        <v>2775</v>
      </c>
      <c r="BI1747">
        <v>0</v>
      </c>
      <c r="BJ1747">
        <v>0</v>
      </c>
      <c r="BK1747">
        <v>0</v>
      </c>
      <c r="BL1747">
        <v>0</v>
      </c>
      <c r="BO1747">
        <v>0</v>
      </c>
      <c r="BP1747">
        <v>0</v>
      </c>
      <c r="BW1747" t="str">
        <f>"18:48:04.713"</f>
        <v>18:48:04.713</v>
      </c>
      <c r="BZ1747">
        <v>0</v>
      </c>
      <c r="CA1747">
        <v>3008</v>
      </c>
      <c r="CB1747">
        <v>216</v>
      </c>
      <c r="CC1747">
        <v>518.90629999999999</v>
      </c>
      <c r="CD1747">
        <v>1</v>
      </c>
      <c r="CE1747">
        <v>1</v>
      </c>
      <c r="CF1747">
        <v>0</v>
      </c>
      <c r="CG1747">
        <v>1</v>
      </c>
      <c r="CH1747">
        <v>0</v>
      </c>
      <c r="CI1747">
        <v>1</v>
      </c>
      <c r="CJ1747">
        <v>0</v>
      </c>
      <c r="CK1747">
        <v>2</v>
      </c>
      <c r="CL1747">
        <v>0</v>
      </c>
      <c r="CM1747">
        <v>2</v>
      </c>
      <c r="CN1747">
        <v>0</v>
      </c>
      <c r="CO1747">
        <v>1</v>
      </c>
      <c r="CP1747" t="s">
        <v>119</v>
      </c>
      <c r="CQ1747">
        <v>145</v>
      </c>
      <c r="CR1747">
        <v>1</v>
      </c>
      <c r="CW1747">
        <v>9209874</v>
      </c>
      <c r="CY1747">
        <v>0</v>
      </c>
      <c r="CZ1747">
        <v>0</v>
      </c>
      <c r="DA1747">
        <v>1</v>
      </c>
      <c r="DB1747">
        <v>0</v>
      </c>
      <c r="DC1747">
        <v>0</v>
      </c>
      <c r="DD1747">
        <v>0</v>
      </c>
      <c r="DE1747">
        <v>0</v>
      </c>
      <c r="DF1747">
        <v>0</v>
      </c>
      <c r="DG1747">
        <v>0</v>
      </c>
      <c r="DH1747">
        <v>0</v>
      </c>
      <c r="DI1747">
        <v>0</v>
      </c>
    </row>
    <row r="1748" spans="1:113" x14ac:dyDescent="0.3">
      <c r="A1748" t="str">
        <f>"02/13/2022 18:48:08.840"</f>
        <v>02/13/2022 18:48:08.840</v>
      </c>
      <c r="C1748" t="str">
        <f t="shared" si="167"/>
        <v>FFDFD7C0</v>
      </c>
      <c r="D1748" t="s">
        <v>113</v>
      </c>
      <c r="E1748">
        <v>3</v>
      </c>
      <c r="F1748">
        <v>1003</v>
      </c>
      <c r="G1748" t="s">
        <v>114</v>
      </c>
      <c r="J1748" t="s">
        <v>115</v>
      </c>
      <c r="K1748">
        <v>0</v>
      </c>
      <c r="L1748">
        <v>3</v>
      </c>
      <c r="M1748">
        <v>0</v>
      </c>
      <c r="N1748">
        <v>2</v>
      </c>
      <c r="O1748">
        <v>1</v>
      </c>
      <c r="P1748">
        <v>0</v>
      </c>
      <c r="Q1748">
        <v>0</v>
      </c>
      <c r="S1748" t="str">
        <f>"18:48:08.570"</f>
        <v>18:48:08.570</v>
      </c>
      <c r="T1748" t="str">
        <f>"18:48:02.670"</f>
        <v>18:48:02.670</v>
      </c>
      <c r="U1748" t="str">
        <f t="shared" si="168"/>
        <v>AAB6EE</v>
      </c>
      <c r="V1748">
        <v>0</v>
      </c>
      <c r="W1748">
        <v>0</v>
      </c>
      <c r="X1748">
        <v>4</v>
      </c>
      <c r="Z1748">
        <v>0</v>
      </c>
      <c r="AA1748">
        <v>8</v>
      </c>
      <c r="AB1748">
        <v>3</v>
      </c>
      <c r="AC1748">
        <v>0</v>
      </c>
      <c r="AD1748">
        <v>10</v>
      </c>
      <c r="AE1748">
        <v>0</v>
      </c>
      <c r="AF1748">
        <v>0</v>
      </c>
      <c r="AG1748">
        <v>2</v>
      </c>
      <c r="AH1748">
        <v>1</v>
      </c>
      <c r="AI1748" t="s">
        <v>1283</v>
      </c>
      <c r="AJ1748">
        <v>35.167107999999999</v>
      </c>
      <c r="AK1748" t="s">
        <v>1284</v>
      </c>
      <c r="AL1748">
        <v>-76.007838000000007</v>
      </c>
      <c r="AM1748">
        <v>25</v>
      </c>
      <c r="AN1748">
        <v>2925</v>
      </c>
      <c r="AO1748" t="s">
        <v>118</v>
      </c>
      <c r="AP1748">
        <v>72</v>
      </c>
      <c r="AQ1748">
        <v>-138</v>
      </c>
      <c r="AR1748">
        <v>0</v>
      </c>
      <c r="AZ1748">
        <v>4516</v>
      </c>
      <c r="BA1748">
        <v>1</v>
      </c>
      <c r="BB1748" t="str">
        <f t="shared" si="169"/>
        <v xml:space="preserve">N79NX   </v>
      </c>
      <c r="BC1748">
        <v>1</v>
      </c>
      <c r="BE1748">
        <v>0</v>
      </c>
      <c r="BF1748">
        <v>0</v>
      </c>
      <c r="BG1748">
        <v>0</v>
      </c>
      <c r="BH1748">
        <v>2775</v>
      </c>
      <c r="BI1748">
        <v>0</v>
      </c>
      <c r="BJ1748">
        <v>0</v>
      </c>
      <c r="BK1748">
        <v>0</v>
      </c>
      <c r="BL1748">
        <v>0</v>
      </c>
      <c r="BO1748">
        <v>0</v>
      </c>
      <c r="BP1748">
        <v>0</v>
      </c>
      <c r="BW1748" t="str">
        <f>"18:48:08.573"</f>
        <v>18:48:08.573</v>
      </c>
      <c r="BZ1748">
        <v>0</v>
      </c>
      <c r="CA1748">
        <v>3008</v>
      </c>
      <c r="CB1748">
        <v>216</v>
      </c>
      <c r="CC1748">
        <v>518.90629999999999</v>
      </c>
      <c r="CD1748">
        <v>1</v>
      </c>
      <c r="CE1748">
        <v>1</v>
      </c>
      <c r="CF1748">
        <v>0</v>
      </c>
      <c r="CG1748">
        <v>1</v>
      </c>
      <c r="CH1748">
        <v>0</v>
      </c>
      <c r="CI1748">
        <v>1</v>
      </c>
      <c r="CJ1748">
        <v>0</v>
      </c>
      <c r="CK1748">
        <v>2</v>
      </c>
      <c r="CL1748">
        <v>0</v>
      </c>
      <c r="CM1748">
        <v>2</v>
      </c>
      <c r="CN1748">
        <v>0</v>
      </c>
      <c r="CO1748">
        <v>1</v>
      </c>
      <c r="CP1748" t="s">
        <v>119</v>
      </c>
      <c r="CQ1748">
        <v>145</v>
      </c>
      <c r="CR1748">
        <v>1</v>
      </c>
      <c r="CW1748">
        <v>9211685</v>
      </c>
      <c r="CY1748">
        <v>0</v>
      </c>
      <c r="CZ1748">
        <v>0</v>
      </c>
      <c r="DA1748">
        <v>0</v>
      </c>
      <c r="DB1748">
        <v>0</v>
      </c>
      <c r="DC1748">
        <v>0</v>
      </c>
      <c r="DD1748">
        <v>0</v>
      </c>
      <c r="DE1748">
        <v>0</v>
      </c>
      <c r="DF1748">
        <v>0</v>
      </c>
      <c r="DG1748">
        <v>0</v>
      </c>
      <c r="DH1748">
        <v>0</v>
      </c>
      <c r="DI1748">
        <v>0</v>
      </c>
    </row>
    <row r="1749" spans="1:113" x14ac:dyDescent="0.3">
      <c r="A1749" t="str">
        <f>"02/13/2022 18:48:08.840"</f>
        <v>02/13/2022 18:48:08.840</v>
      </c>
      <c r="C1749" t="str">
        <f t="shared" si="167"/>
        <v>FFDFD7C0</v>
      </c>
      <c r="D1749" t="s">
        <v>113</v>
      </c>
      <c r="E1749">
        <v>4</v>
      </c>
      <c r="F1749">
        <v>1004</v>
      </c>
      <c r="G1749" t="s">
        <v>120</v>
      </c>
      <c r="J1749" t="s">
        <v>115</v>
      </c>
      <c r="K1749">
        <v>0</v>
      </c>
      <c r="L1749">
        <v>3</v>
      </c>
      <c r="M1749">
        <v>0</v>
      </c>
      <c r="N1749">
        <v>2</v>
      </c>
      <c r="O1749">
        <v>1</v>
      </c>
      <c r="P1749">
        <v>0</v>
      </c>
      <c r="Q1749">
        <v>0</v>
      </c>
      <c r="S1749" t="str">
        <f>"18:48:08.570"</f>
        <v>18:48:08.570</v>
      </c>
      <c r="T1749" t="str">
        <f>"18:48:02.670"</f>
        <v>18:48:02.670</v>
      </c>
      <c r="U1749" t="str">
        <f t="shared" si="168"/>
        <v>AAB6EE</v>
      </c>
      <c r="V1749">
        <v>0</v>
      </c>
      <c r="W1749">
        <v>0</v>
      </c>
      <c r="X1749">
        <v>4</v>
      </c>
      <c r="Z1749">
        <v>0</v>
      </c>
      <c r="AA1749">
        <v>8</v>
      </c>
      <c r="AB1749">
        <v>3</v>
      </c>
      <c r="AC1749">
        <v>0</v>
      </c>
      <c r="AD1749">
        <v>10</v>
      </c>
      <c r="AE1749">
        <v>0</v>
      </c>
      <c r="AF1749">
        <v>0</v>
      </c>
      <c r="AG1749">
        <v>2</v>
      </c>
      <c r="AH1749">
        <v>1</v>
      </c>
      <c r="AI1749" t="s">
        <v>1283</v>
      </c>
      <c r="AJ1749">
        <v>35.167107999999999</v>
      </c>
      <c r="AK1749" t="s">
        <v>1284</v>
      </c>
      <c r="AL1749">
        <v>-76.007838000000007</v>
      </c>
      <c r="AM1749">
        <v>25</v>
      </c>
      <c r="AN1749">
        <v>2925</v>
      </c>
      <c r="AO1749" t="s">
        <v>118</v>
      </c>
      <c r="AP1749">
        <v>72</v>
      </c>
      <c r="AQ1749">
        <v>-138</v>
      </c>
      <c r="AR1749">
        <v>0</v>
      </c>
      <c r="AZ1749">
        <v>4516</v>
      </c>
      <c r="BA1749">
        <v>1</v>
      </c>
      <c r="BB1749" t="str">
        <f t="shared" si="169"/>
        <v xml:space="preserve">N79NX   </v>
      </c>
      <c r="BC1749">
        <v>1</v>
      </c>
      <c r="BE1749">
        <v>0</v>
      </c>
      <c r="BF1749">
        <v>0</v>
      </c>
      <c r="BG1749">
        <v>0</v>
      </c>
      <c r="BH1749">
        <v>2775</v>
      </c>
      <c r="BI1749">
        <v>0</v>
      </c>
      <c r="BJ1749">
        <v>0</v>
      </c>
      <c r="BK1749">
        <v>0</v>
      </c>
      <c r="BL1749">
        <v>0</v>
      </c>
      <c r="BO1749">
        <v>0</v>
      </c>
      <c r="BP1749">
        <v>0</v>
      </c>
      <c r="BW1749" t="str">
        <f>"18:48:08.573"</f>
        <v>18:48:08.573</v>
      </c>
      <c r="BZ1749">
        <v>0</v>
      </c>
      <c r="CA1749">
        <v>3008</v>
      </c>
      <c r="CB1749">
        <v>216</v>
      </c>
      <c r="CC1749">
        <v>518.90629999999999</v>
      </c>
      <c r="CD1749">
        <v>1</v>
      </c>
      <c r="CE1749">
        <v>1</v>
      </c>
      <c r="CF1749">
        <v>0</v>
      </c>
      <c r="CG1749">
        <v>1</v>
      </c>
      <c r="CH1749">
        <v>0</v>
      </c>
      <c r="CI1749">
        <v>1</v>
      </c>
      <c r="CJ1749">
        <v>0</v>
      </c>
      <c r="CK1749">
        <v>2</v>
      </c>
      <c r="CL1749">
        <v>0</v>
      </c>
      <c r="CM1749">
        <v>2</v>
      </c>
      <c r="CN1749">
        <v>0</v>
      </c>
      <c r="CO1749">
        <v>1</v>
      </c>
      <c r="CP1749" t="s">
        <v>119</v>
      </c>
      <c r="CQ1749">
        <v>145</v>
      </c>
      <c r="CR1749">
        <v>1</v>
      </c>
      <c r="CW1749">
        <v>9211685</v>
      </c>
      <c r="CY1749">
        <v>0</v>
      </c>
      <c r="CZ1749">
        <v>0</v>
      </c>
      <c r="DA1749">
        <v>1</v>
      </c>
      <c r="DB1749">
        <v>0</v>
      </c>
      <c r="DC1749">
        <v>0</v>
      </c>
      <c r="DD1749">
        <v>0</v>
      </c>
      <c r="DE1749">
        <v>0</v>
      </c>
      <c r="DF1749">
        <v>0</v>
      </c>
      <c r="DG1749">
        <v>0</v>
      </c>
      <c r="DH1749">
        <v>0</v>
      </c>
      <c r="DI1749">
        <v>0</v>
      </c>
    </row>
    <row r="1750" spans="1:113" x14ac:dyDescent="0.3">
      <c r="A1750" t="str">
        <f>"02/13/2022 18:48:08.840"</f>
        <v>02/13/2022 18:48:08.840</v>
      </c>
      <c r="C1750" t="str">
        <f t="shared" si="167"/>
        <v>FFDFD7C0</v>
      </c>
      <c r="D1750" t="s">
        <v>121</v>
      </c>
      <c r="E1750">
        <v>2</v>
      </c>
      <c r="H1750">
        <v>158</v>
      </c>
      <c r="I1750" t="s">
        <v>120</v>
      </c>
      <c r="J1750" t="s">
        <v>122</v>
      </c>
      <c r="K1750">
        <v>0</v>
      </c>
      <c r="L1750">
        <v>3</v>
      </c>
      <c r="M1750">
        <v>0</v>
      </c>
      <c r="N1750">
        <v>2</v>
      </c>
      <c r="O1750">
        <v>1</v>
      </c>
      <c r="P1750">
        <v>0</v>
      </c>
      <c r="Q1750">
        <v>0</v>
      </c>
      <c r="S1750" t="str">
        <f>"18:48:08.570"</f>
        <v>18:48:08.570</v>
      </c>
      <c r="T1750" t="str">
        <f>"18:48:02.670"</f>
        <v>18:48:02.670</v>
      </c>
      <c r="U1750" t="str">
        <f t="shared" si="168"/>
        <v>AAB6EE</v>
      </c>
      <c r="V1750">
        <v>0</v>
      </c>
      <c r="W1750">
        <v>0</v>
      </c>
      <c r="X1750">
        <v>4</v>
      </c>
      <c r="Z1750">
        <v>0</v>
      </c>
      <c r="AA1750">
        <v>8</v>
      </c>
      <c r="AB1750">
        <v>3</v>
      </c>
      <c r="AC1750">
        <v>0</v>
      </c>
      <c r="AD1750">
        <v>10</v>
      </c>
      <c r="AE1750">
        <v>0</v>
      </c>
      <c r="AF1750">
        <v>0</v>
      </c>
      <c r="AG1750">
        <v>2</v>
      </c>
      <c r="AH1750">
        <v>1</v>
      </c>
      <c r="AI1750" t="s">
        <v>1283</v>
      </c>
      <c r="AJ1750">
        <v>35.167107999999999</v>
      </c>
      <c r="AK1750" t="s">
        <v>1284</v>
      </c>
      <c r="AL1750">
        <v>-76.007838000000007</v>
      </c>
      <c r="AM1750">
        <v>25</v>
      </c>
      <c r="AN1750">
        <v>2925</v>
      </c>
      <c r="AO1750" t="s">
        <v>118</v>
      </c>
      <c r="AP1750">
        <v>72</v>
      </c>
      <c r="AQ1750">
        <v>-138</v>
      </c>
      <c r="AR1750">
        <v>0</v>
      </c>
      <c r="AZ1750">
        <v>4516</v>
      </c>
      <c r="BA1750">
        <v>1</v>
      </c>
      <c r="BB1750" t="str">
        <f t="shared" si="169"/>
        <v xml:space="preserve">N79NX   </v>
      </c>
      <c r="BC1750">
        <v>1</v>
      </c>
      <c r="BE1750">
        <v>0</v>
      </c>
      <c r="BF1750">
        <v>0</v>
      </c>
      <c r="BG1750">
        <v>0</v>
      </c>
      <c r="BH1750">
        <v>2775</v>
      </c>
      <c r="BI1750">
        <v>0</v>
      </c>
      <c r="BJ1750">
        <v>0</v>
      </c>
      <c r="BK1750">
        <v>0</v>
      </c>
      <c r="BL1750">
        <v>0</v>
      </c>
      <c r="BO1750">
        <v>0</v>
      </c>
      <c r="BP1750">
        <v>0</v>
      </c>
      <c r="BW1750" t="str">
        <f>"18:48:08.573"</f>
        <v>18:48:08.573</v>
      </c>
      <c r="BZ1750">
        <v>0</v>
      </c>
      <c r="CA1750">
        <v>3008</v>
      </c>
      <c r="CB1750">
        <v>216</v>
      </c>
      <c r="CC1750">
        <v>518.90629999999999</v>
      </c>
      <c r="CD1750">
        <v>1</v>
      </c>
      <c r="CE1750">
        <v>1</v>
      </c>
      <c r="CF1750">
        <v>0</v>
      </c>
      <c r="CG1750">
        <v>1</v>
      </c>
      <c r="CH1750">
        <v>0</v>
      </c>
      <c r="CI1750">
        <v>1</v>
      </c>
      <c r="CJ1750">
        <v>0</v>
      </c>
      <c r="CK1750">
        <v>2</v>
      </c>
      <c r="CL1750">
        <v>0</v>
      </c>
      <c r="CM1750">
        <v>2</v>
      </c>
      <c r="CN1750">
        <v>0</v>
      </c>
      <c r="CO1750">
        <v>1</v>
      </c>
      <c r="CP1750" t="s">
        <v>119</v>
      </c>
      <c r="CQ1750">
        <v>145</v>
      </c>
      <c r="CR1750">
        <v>1</v>
      </c>
      <c r="CW1750">
        <v>9211685</v>
      </c>
      <c r="CY1750">
        <v>0</v>
      </c>
      <c r="CZ1750">
        <v>0</v>
      </c>
      <c r="DA1750">
        <v>1</v>
      </c>
      <c r="DB1750">
        <v>0</v>
      </c>
      <c r="DC1750">
        <v>0</v>
      </c>
      <c r="DD1750">
        <v>0</v>
      </c>
      <c r="DE1750">
        <v>0</v>
      </c>
      <c r="DF1750">
        <v>0</v>
      </c>
      <c r="DG1750">
        <v>0</v>
      </c>
      <c r="DH1750">
        <v>0</v>
      </c>
      <c r="DI1750">
        <v>0</v>
      </c>
    </row>
    <row r="1751" spans="1:113" x14ac:dyDescent="0.3">
      <c r="A1751" t="str">
        <f>"02/13/2022 18:48:14.095"</f>
        <v>02/13/2022 18:48:14.095</v>
      </c>
      <c r="C1751" t="str">
        <f t="shared" si="167"/>
        <v>FFDFD7C0</v>
      </c>
      <c r="D1751" t="s">
        <v>121</v>
      </c>
      <c r="E1751">
        <v>2</v>
      </c>
      <c r="H1751">
        <v>158</v>
      </c>
      <c r="I1751" t="s">
        <v>120</v>
      </c>
      <c r="J1751" t="s">
        <v>122</v>
      </c>
      <c r="K1751">
        <v>0</v>
      </c>
      <c r="L1751">
        <v>3</v>
      </c>
      <c r="M1751">
        <v>0</v>
      </c>
      <c r="N1751">
        <v>2</v>
      </c>
      <c r="O1751">
        <v>1</v>
      </c>
      <c r="P1751">
        <v>0</v>
      </c>
      <c r="Q1751">
        <v>0</v>
      </c>
      <c r="S1751" t="str">
        <f>"18:48:13.672"</f>
        <v>18:48:13.672</v>
      </c>
      <c r="T1751" t="str">
        <f>"18:48:13.572"</f>
        <v>18:48:13.572</v>
      </c>
      <c r="U1751" t="str">
        <f t="shared" si="168"/>
        <v>AAB6EE</v>
      </c>
      <c r="V1751">
        <v>0</v>
      </c>
      <c r="W1751">
        <v>0</v>
      </c>
      <c r="X1751">
        <v>4</v>
      </c>
      <c r="Z1751">
        <v>0</v>
      </c>
      <c r="AA1751">
        <v>8</v>
      </c>
      <c r="AB1751">
        <v>3</v>
      </c>
      <c r="AC1751">
        <v>0</v>
      </c>
      <c r="AD1751">
        <v>10</v>
      </c>
      <c r="AE1751">
        <v>0</v>
      </c>
      <c r="AF1751">
        <v>0</v>
      </c>
      <c r="AG1751">
        <v>2</v>
      </c>
      <c r="AH1751">
        <v>1</v>
      </c>
      <c r="AI1751" t="s">
        <v>1285</v>
      </c>
      <c r="AJ1751">
        <v>35.163845999999999</v>
      </c>
      <c r="AK1751" t="s">
        <v>1286</v>
      </c>
      <c r="AL1751">
        <v>-76.005757000000003</v>
      </c>
      <c r="AM1751">
        <v>25</v>
      </c>
      <c r="AN1751">
        <v>2925</v>
      </c>
      <c r="AO1751" t="s">
        <v>118</v>
      </c>
      <c r="AP1751">
        <v>72</v>
      </c>
      <c r="AQ1751">
        <v>-138</v>
      </c>
      <c r="AR1751">
        <v>0</v>
      </c>
      <c r="AZ1751">
        <v>4516</v>
      </c>
      <c r="BA1751">
        <v>1</v>
      </c>
      <c r="BB1751" t="str">
        <f t="shared" si="169"/>
        <v xml:space="preserve">N79NX   </v>
      </c>
      <c r="BC1751">
        <v>1</v>
      </c>
      <c r="BE1751">
        <v>0</v>
      </c>
      <c r="BF1751">
        <v>0</v>
      </c>
      <c r="BG1751">
        <v>0</v>
      </c>
      <c r="BH1751">
        <v>2775</v>
      </c>
      <c r="BI1751">
        <v>0</v>
      </c>
      <c r="BJ1751">
        <v>0</v>
      </c>
      <c r="BK1751">
        <v>0</v>
      </c>
      <c r="BL1751">
        <v>0</v>
      </c>
      <c r="BO1751">
        <v>0</v>
      </c>
      <c r="BP1751">
        <v>0</v>
      </c>
      <c r="BW1751" t="str">
        <f>"18:48:13.673"</f>
        <v>18:48:13.673</v>
      </c>
      <c r="BZ1751">
        <v>0</v>
      </c>
      <c r="CA1751">
        <v>3008</v>
      </c>
      <c r="CB1751">
        <v>216</v>
      </c>
      <c r="CC1751">
        <v>518.90629999999999</v>
      </c>
      <c r="CD1751">
        <v>1</v>
      </c>
      <c r="CE1751">
        <v>1</v>
      </c>
      <c r="CF1751">
        <v>0</v>
      </c>
      <c r="CG1751">
        <v>1</v>
      </c>
      <c r="CH1751">
        <v>0</v>
      </c>
      <c r="CI1751">
        <v>1</v>
      </c>
      <c r="CJ1751">
        <v>0</v>
      </c>
      <c r="CK1751">
        <v>2</v>
      </c>
      <c r="CL1751">
        <v>0</v>
      </c>
      <c r="CM1751">
        <v>2</v>
      </c>
      <c r="CN1751">
        <v>0</v>
      </c>
      <c r="CO1751">
        <v>1</v>
      </c>
      <c r="CP1751" t="s">
        <v>119</v>
      </c>
      <c r="CQ1751">
        <v>145</v>
      </c>
      <c r="CR1751">
        <v>1</v>
      </c>
      <c r="CW1751">
        <v>9213912</v>
      </c>
      <c r="CY1751">
        <v>0</v>
      </c>
      <c r="CZ1751">
        <v>0</v>
      </c>
      <c r="DA1751">
        <v>0</v>
      </c>
      <c r="DB1751">
        <v>0</v>
      </c>
      <c r="DC1751">
        <v>0</v>
      </c>
      <c r="DD1751">
        <v>0</v>
      </c>
      <c r="DE1751">
        <v>0</v>
      </c>
      <c r="DF1751">
        <v>0</v>
      </c>
      <c r="DG1751">
        <v>0</v>
      </c>
      <c r="DH1751">
        <v>0</v>
      </c>
      <c r="DI1751">
        <v>0</v>
      </c>
    </row>
    <row r="1752" spans="1:113" x14ac:dyDescent="0.3">
      <c r="A1752" t="str">
        <f>"02/13/2022 18:48:14.126"</f>
        <v>02/13/2022 18:48:14.126</v>
      </c>
      <c r="C1752" t="str">
        <f t="shared" si="167"/>
        <v>FFDFD7C0</v>
      </c>
      <c r="D1752" t="s">
        <v>113</v>
      </c>
      <c r="E1752">
        <v>3</v>
      </c>
      <c r="F1752">
        <v>1003</v>
      </c>
      <c r="G1752" t="s">
        <v>114</v>
      </c>
      <c r="J1752" t="s">
        <v>115</v>
      </c>
      <c r="K1752">
        <v>0</v>
      </c>
      <c r="L1752">
        <v>3</v>
      </c>
      <c r="M1752">
        <v>0</v>
      </c>
      <c r="N1752">
        <v>2</v>
      </c>
      <c r="O1752">
        <v>1</v>
      </c>
      <c r="P1752">
        <v>0</v>
      </c>
      <c r="Q1752">
        <v>0</v>
      </c>
      <c r="S1752" t="str">
        <f>"18:48:13.672"</f>
        <v>18:48:13.672</v>
      </c>
      <c r="T1752" t="str">
        <f>"18:48:13.572"</f>
        <v>18:48:13.572</v>
      </c>
      <c r="U1752" t="str">
        <f t="shared" si="168"/>
        <v>AAB6EE</v>
      </c>
      <c r="V1752">
        <v>0</v>
      </c>
      <c r="W1752">
        <v>0</v>
      </c>
      <c r="X1752">
        <v>4</v>
      </c>
      <c r="Z1752">
        <v>0</v>
      </c>
      <c r="AA1752">
        <v>8</v>
      </c>
      <c r="AB1752">
        <v>3</v>
      </c>
      <c r="AC1752">
        <v>0</v>
      </c>
      <c r="AD1752">
        <v>10</v>
      </c>
      <c r="AE1752">
        <v>0</v>
      </c>
      <c r="AF1752">
        <v>0</v>
      </c>
      <c r="AG1752">
        <v>2</v>
      </c>
      <c r="AH1752">
        <v>1</v>
      </c>
      <c r="AI1752" t="s">
        <v>1285</v>
      </c>
      <c r="AJ1752">
        <v>35.163845999999999</v>
      </c>
      <c r="AK1752" t="s">
        <v>1286</v>
      </c>
      <c r="AL1752">
        <v>-76.005757000000003</v>
      </c>
      <c r="AM1752">
        <v>25</v>
      </c>
      <c r="AN1752">
        <v>2925</v>
      </c>
      <c r="AO1752" t="s">
        <v>118</v>
      </c>
      <c r="AP1752">
        <v>72</v>
      </c>
      <c r="AQ1752">
        <v>-138</v>
      </c>
      <c r="AR1752">
        <v>0</v>
      </c>
      <c r="AZ1752">
        <v>4516</v>
      </c>
      <c r="BA1752">
        <v>1</v>
      </c>
      <c r="BB1752" t="str">
        <f t="shared" si="169"/>
        <v xml:space="preserve">N79NX   </v>
      </c>
      <c r="BC1752">
        <v>1</v>
      </c>
      <c r="BE1752">
        <v>0</v>
      </c>
      <c r="BF1752">
        <v>0</v>
      </c>
      <c r="BG1752">
        <v>0</v>
      </c>
      <c r="BH1752">
        <v>2775</v>
      </c>
      <c r="BI1752">
        <v>0</v>
      </c>
      <c r="BJ1752">
        <v>0</v>
      </c>
      <c r="BK1752">
        <v>0</v>
      </c>
      <c r="BL1752">
        <v>0</v>
      </c>
      <c r="BO1752">
        <v>0</v>
      </c>
      <c r="BP1752">
        <v>0</v>
      </c>
      <c r="BW1752" t="str">
        <f>"18:48:13.673"</f>
        <v>18:48:13.673</v>
      </c>
      <c r="BZ1752">
        <v>0</v>
      </c>
      <c r="CA1752">
        <v>3008</v>
      </c>
      <c r="CB1752">
        <v>216</v>
      </c>
      <c r="CC1752">
        <v>518.90629999999999</v>
      </c>
      <c r="CD1752">
        <v>1</v>
      </c>
      <c r="CE1752">
        <v>1</v>
      </c>
      <c r="CF1752">
        <v>0</v>
      </c>
      <c r="CG1752">
        <v>1</v>
      </c>
      <c r="CH1752">
        <v>0</v>
      </c>
      <c r="CI1752">
        <v>1</v>
      </c>
      <c r="CJ1752">
        <v>0</v>
      </c>
      <c r="CK1752">
        <v>2</v>
      </c>
      <c r="CL1752">
        <v>0</v>
      </c>
      <c r="CM1752">
        <v>2</v>
      </c>
      <c r="CN1752">
        <v>0</v>
      </c>
      <c r="CO1752">
        <v>1</v>
      </c>
      <c r="CP1752" t="s">
        <v>119</v>
      </c>
      <c r="CQ1752">
        <v>145</v>
      </c>
      <c r="CR1752">
        <v>1</v>
      </c>
      <c r="CW1752">
        <v>9213912</v>
      </c>
      <c r="CY1752">
        <v>0</v>
      </c>
      <c r="CZ1752">
        <v>0</v>
      </c>
      <c r="DA1752">
        <v>0</v>
      </c>
      <c r="DB1752">
        <v>0</v>
      </c>
      <c r="DC1752">
        <v>0</v>
      </c>
      <c r="DD1752">
        <v>0</v>
      </c>
      <c r="DE1752">
        <v>0</v>
      </c>
      <c r="DF1752">
        <v>0</v>
      </c>
      <c r="DG1752">
        <v>0</v>
      </c>
      <c r="DH1752">
        <v>0</v>
      </c>
      <c r="DI1752">
        <v>0</v>
      </c>
    </row>
    <row r="1753" spans="1:113" x14ac:dyDescent="0.3">
      <c r="A1753" t="str">
        <f>"02/13/2022 18:48:14.126"</f>
        <v>02/13/2022 18:48:14.126</v>
      </c>
      <c r="C1753" t="str">
        <f t="shared" si="167"/>
        <v>FFDFD7C0</v>
      </c>
      <c r="D1753" t="s">
        <v>113</v>
      </c>
      <c r="E1753">
        <v>4</v>
      </c>
      <c r="F1753">
        <v>1004</v>
      </c>
      <c r="G1753" t="s">
        <v>120</v>
      </c>
      <c r="J1753" t="s">
        <v>115</v>
      </c>
      <c r="K1753">
        <v>0</v>
      </c>
      <c r="L1753">
        <v>3</v>
      </c>
      <c r="M1753">
        <v>0</v>
      </c>
      <c r="N1753">
        <v>2</v>
      </c>
      <c r="O1753">
        <v>1</v>
      </c>
      <c r="P1753">
        <v>0</v>
      </c>
      <c r="Q1753">
        <v>0</v>
      </c>
      <c r="S1753" t="str">
        <f>"18:48:13.672"</f>
        <v>18:48:13.672</v>
      </c>
      <c r="T1753" t="str">
        <f>"18:48:13.572"</f>
        <v>18:48:13.572</v>
      </c>
      <c r="U1753" t="str">
        <f t="shared" si="168"/>
        <v>AAB6EE</v>
      </c>
      <c r="V1753">
        <v>0</v>
      </c>
      <c r="W1753">
        <v>0</v>
      </c>
      <c r="X1753">
        <v>4</v>
      </c>
      <c r="Z1753">
        <v>0</v>
      </c>
      <c r="AA1753">
        <v>8</v>
      </c>
      <c r="AB1753">
        <v>3</v>
      </c>
      <c r="AC1753">
        <v>0</v>
      </c>
      <c r="AD1753">
        <v>10</v>
      </c>
      <c r="AE1753">
        <v>0</v>
      </c>
      <c r="AF1753">
        <v>0</v>
      </c>
      <c r="AG1753">
        <v>2</v>
      </c>
      <c r="AH1753">
        <v>1</v>
      </c>
      <c r="AI1753" t="s">
        <v>1285</v>
      </c>
      <c r="AJ1753">
        <v>35.163845999999999</v>
      </c>
      <c r="AK1753" t="s">
        <v>1286</v>
      </c>
      <c r="AL1753">
        <v>-76.005757000000003</v>
      </c>
      <c r="AM1753">
        <v>25</v>
      </c>
      <c r="AN1753">
        <v>2925</v>
      </c>
      <c r="AO1753" t="s">
        <v>118</v>
      </c>
      <c r="AP1753">
        <v>72</v>
      </c>
      <c r="AQ1753">
        <v>-138</v>
      </c>
      <c r="AR1753">
        <v>0</v>
      </c>
      <c r="AZ1753">
        <v>4516</v>
      </c>
      <c r="BA1753">
        <v>1</v>
      </c>
      <c r="BB1753" t="str">
        <f t="shared" si="169"/>
        <v xml:space="preserve">N79NX   </v>
      </c>
      <c r="BC1753">
        <v>1</v>
      </c>
      <c r="BE1753">
        <v>0</v>
      </c>
      <c r="BF1753">
        <v>0</v>
      </c>
      <c r="BG1753">
        <v>0</v>
      </c>
      <c r="BH1753">
        <v>2775</v>
      </c>
      <c r="BI1753">
        <v>0</v>
      </c>
      <c r="BJ1753">
        <v>0</v>
      </c>
      <c r="BK1753">
        <v>0</v>
      </c>
      <c r="BL1753">
        <v>0</v>
      </c>
      <c r="BO1753">
        <v>0</v>
      </c>
      <c r="BP1753">
        <v>0</v>
      </c>
      <c r="BW1753" t="str">
        <f>"18:48:13.673"</f>
        <v>18:48:13.673</v>
      </c>
      <c r="BZ1753">
        <v>0</v>
      </c>
      <c r="CA1753">
        <v>3008</v>
      </c>
      <c r="CB1753">
        <v>216</v>
      </c>
      <c r="CC1753">
        <v>518.90629999999999</v>
      </c>
      <c r="CD1753">
        <v>1</v>
      </c>
      <c r="CE1753">
        <v>1</v>
      </c>
      <c r="CF1753">
        <v>0</v>
      </c>
      <c r="CG1753">
        <v>1</v>
      </c>
      <c r="CH1753">
        <v>0</v>
      </c>
      <c r="CI1753">
        <v>1</v>
      </c>
      <c r="CJ1753">
        <v>0</v>
      </c>
      <c r="CK1753">
        <v>2</v>
      </c>
      <c r="CL1753">
        <v>0</v>
      </c>
      <c r="CM1753">
        <v>2</v>
      </c>
      <c r="CN1753">
        <v>0</v>
      </c>
      <c r="CO1753">
        <v>1</v>
      </c>
      <c r="CP1753" t="s">
        <v>119</v>
      </c>
      <c r="CQ1753">
        <v>145</v>
      </c>
      <c r="CR1753">
        <v>1</v>
      </c>
      <c r="CW1753">
        <v>9213912</v>
      </c>
      <c r="CY1753">
        <v>0</v>
      </c>
      <c r="CZ1753">
        <v>0</v>
      </c>
      <c r="DA1753">
        <v>1</v>
      </c>
      <c r="DB1753">
        <v>0</v>
      </c>
      <c r="DC1753">
        <v>0</v>
      </c>
      <c r="DD1753">
        <v>0</v>
      </c>
      <c r="DE1753">
        <v>0</v>
      </c>
      <c r="DF1753">
        <v>0</v>
      </c>
      <c r="DG1753">
        <v>0</v>
      </c>
      <c r="DH1753">
        <v>0</v>
      </c>
      <c r="DI1753">
        <v>0</v>
      </c>
    </row>
    <row r="1754" spans="1:113" x14ac:dyDescent="0.3">
      <c r="A1754" t="str">
        <f>"02/13/2022 18:48:16.190"</f>
        <v>02/13/2022 18:48:16.190</v>
      </c>
      <c r="C1754" t="str">
        <f t="shared" si="167"/>
        <v>FFDFD7C0</v>
      </c>
      <c r="D1754" t="s">
        <v>113</v>
      </c>
      <c r="E1754">
        <v>3</v>
      </c>
      <c r="F1754">
        <v>1003</v>
      </c>
      <c r="G1754" t="s">
        <v>114</v>
      </c>
      <c r="J1754" t="s">
        <v>115</v>
      </c>
      <c r="K1754">
        <v>0</v>
      </c>
      <c r="L1754">
        <v>3</v>
      </c>
      <c r="M1754">
        <v>0</v>
      </c>
      <c r="N1754">
        <v>2</v>
      </c>
      <c r="O1754">
        <v>1</v>
      </c>
      <c r="P1754">
        <v>0</v>
      </c>
      <c r="Q1754">
        <v>0</v>
      </c>
      <c r="S1754" t="str">
        <f>"18:48:15.828"</f>
        <v>18:48:15.828</v>
      </c>
      <c r="T1754" t="str">
        <f>"18:48:14.628"</f>
        <v>18:48:14.628</v>
      </c>
      <c r="U1754" t="str">
        <f t="shared" si="168"/>
        <v>AAB6EE</v>
      </c>
      <c r="V1754">
        <v>0</v>
      </c>
      <c r="W1754">
        <v>0</v>
      </c>
      <c r="X1754">
        <v>4</v>
      </c>
      <c r="Z1754">
        <v>0</v>
      </c>
      <c r="AA1754">
        <v>8</v>
      </c>
      <c r="AB1754">
        <v>3</v>
      </c>
      <c r="AC1754">
        <v>0</v>
      </c>
      <c r="AD1754">
        <v>10</v>
      </c>
      <c r="AE1754">
        <v>0</v>
      </c>
      <c r="AF1754">
        <v>0</v>
      </c>
      <c r="AG1754">
        <v>2</v>
      </c>
      <c r="AH1754">
        <v>1</v>
      </c>
      <c r="AI1754" t="s">
        <v>1287</v>
      </c>
      <c r="AJ1754">
        <v>35.162450999999997</v>
      </c>
      <c r="AK1754" t="s">
        <v>1288</v>
      </c>
      <c r="AL1754">
        <v>-76.004856000000004</v>
      </c>
      <c r="AM1754">
        <v>25</v>
      </c>
      <c r="AN1754">
        <v>2925</v>
      </c>
      <c r="AO1754" t="s">
        <v>118</v>
      </c>
      <c r="AP1754">
        <v>72</v>
      </c>
      <c r="AQ1754">
        <v>-138</v>
      </c>
      <c r="AR1754">
        <v>0</v>
      </c>
      <c r="AZ1754">
        <v>4516</v>
      </c>
      <c r="BA1754">
        <v>1</v>
      </c>
      <c r="BB1754" t="str">
        <f t="shared" si="169"/>
        <v xml:space="preserve">N79NX   </v>
      </c>
      <c r="BC1754">
        <v>1</v>
      </c>
      <c r="BE1754">
        <v>0</v>
      </c>
      <c r="BF1754">
        <v>0</v>
      </c>
      <c r="BG1754">
        <v>0</v>
      </c>
      <c r="BH1754">
        <v>2775</v>
      </c>
      <c r="BI1754">
        <v>0</v>
      </c>
      <c r="BJ1754">
        <v>0</v>
      </c>
      <c r="BK1754">
        <v>0</v>
      </c>
      <c r="BL1754">
        <v>0</v>
      </c>
      <c r="BO1754">
        <v>0</v>
      </c>
      <c r="BP1754">
        <v>0</v>
      </c>
      <c r="BW1754" t="str">
        <f>"18:48:15.833"</f>
        <v>18:48:15.833</v>
      </c>
      <c r="BZ1754">
        <v>0</v>
      </c>
      <c r="CA1754">
        <v>3008</v>
      </c>
      <c r="CB1754">
        <v>216</v>
      </c>
      <c r="CC1754">
        <v>518.90629999999999</v>
      </c>
      <c r="CD1754">
        <v>1</v>
      </c>
      <c r="CE1754">
        <v>1</v>
      </c>
      <c r="CF1754">
        <v>0</v>
      </c>
      <c r="CG1754">
        <v>1</v>
      </c>
      <c r="CH1754">
        <v>0</v>
      </c>
      <c r="CI1754">
        <v>1</v>
      </c>
      <c r="CJ1754">
        <v>0</v>
      </c>
      <c r="CK1754">
        <v>2</v>
      </c>
      <c r="CL1754">
        <v>0</v>
      </c>
      <c r="CM1754">
        <v>2</v>
      </c>
      <c r="CN1754">
        <v>0</v>
      </c>
      <c r="CO1754">
        <v>1</v>
      </c>
      <c r="CP1754" t="s">
        <v>119</v>
      </c>
      <c r="CQ1754">
        <v>145</v>
      </c>
      <c r="CR1754">
        <v>1</v>
      </c>
      <c r="CW1754">
        <v>9214935</v>
      </c>
      <c r="CY1754">
        <v>0</v>
      </c>
      <c r="CZ1754">
        <v>0</v>
      </c>
      <c r="DA1754">
        <v>0</v>
      </c>
      <c r="DB1754">
        <v>0</v>
      </c>
      <c r="DC1754">
        <v>0</v>
      </c>
      <c r="DD1754">
        <v>0</v>
      </c>
      <c r="DE1754">
        <v>0</v>
      </c>
      <c r="DF1754">
        <v>0</v>
      </c>
      <c r="DG1754">
        <v>0</v>
      </c>
      <c r="DH1754">
        <v>0</v>
      </c>
      <c r="DI1754">
        <v>0</v>
      </c>
    </row>
    <row r="1755" spans="1:113" x14ac:dyDescent="0.3">
      <c r="A1755" t="str">
        <f>"02/13/2022 18:48:16.190"</f>
        <v>02/13/2022 18:48:16.190</v>
      </c>
      <c r="C1755" t="str">
        <f t="shared" si="167"/>
        <v>FFDFD7C0</v>
      </c>
      <c r="D1755" t="s">
        <v>113</v>
      </c>
      <c r="E1755">
        <v>4</v>
      </c>
      <c r="F1755">
        <v>1004</v>
      </c>
      <c r="G1755" t="s">
        <v>120</v>
      </c>
      <c r="J1755" t="s">
        <v>115</v>
      </c>
      <c r="K1755">
        <v>0</v>
      </c>
      <c r="L1755">
        <v>3</v>
      </c>
      <c r="M1755">
        <v>0</v>
      </c>
      <c r="N1755">
        <v>2</v>
      </c>
      <c r="O1755">
        <v>1</v>
      </c>
      <c r="P1755">
        <v>0</v>
      </c>
      <c r="Q1755">
        <v>0</v>
      </c>
      <c r="S1755" t="str">
        <f>"18:48:15.828"</f>
        <v>18:48:15.828</v>
      </c>
      <c r="T1755" t="str">
        <f>"18:48:14.628"</f>
        <v>18:48:14.628</v>
      </c>
      <c r="U1755" t="str">
        <f t="shared" si="168"/>
        <v>AAB6EE</v>
      </c>
      <c r="V1755">
        <v>0</v>
      </c>
      <c r="W1755">
        <v>0</v>
      </c>
      <c r="X1755">
        <v>4</v>
      </c>
      <c r="Z1755">
        <v>0</v>
      </c>
      <c r="AA1755">
        <v>8</v>
      </c>
      <c r="AB1755">
        <v>3</v>
      </c>
      <c r="AC1755">
        <v>0</v>
      </c>
      <c r="AD1755">
        <v>10</v>
      </c>
      <c r="AE1755">
        <v>0</v>
      </c>
      <c r="AF1755">
        <v>0</v>
      </c>
      <c r="AG1755">
        <v>2</v>
      </c>
      <c r="AH1755">
        <v>1</v>
      </c>
      <c r="AI1755" t="s">
        <v>1287</v>
      </c>
      <c r="AJ1755">
        <v>35.162450999999997</v>
      </c>
      <c r="AK1755" t="s">
        <v>1288</v>
      </c>
      <c r="AL1755">
        <v>-76.004856000000004</v>
      </c>
      <c r="AM1755">
        <v>25</v>
      </c>
      <c r="AN1755">
        <v>2925</v>
      </c>
      <c r="AO1755" t="s">
        <v>118</v>
      </c>
      <c r="AP1755">
        <v>72</v>
      </c>
      <c r="AQ1755">
        <v>-138</v>
      </c>
      <c r="AR1755">
        <v>0</v>
      </c>
      <c r="AZ1755">
        <v>4516</v>
      </c>
      <c r="BA1755">
        <v>1</v>
      </c>
      <c r="BB1755" t="str">
        <f t="shared" si="169"/>
        <v xml:space="preserve">N79NX   </v>
      </c>
      <c r="BC1755">
        <v>1</v>
      </c>
      <c r="BE1755">
        <v>0</v>
      </c>
      <c r="BF1755">
        <v>0</v>
      </c>
      <c r="BG1755">
        <v>0</v>
      </c>
      <c r="BH1755">
        <v>2775</v>
      </c>
      <c r="BI1755">
        <v>0</v>
      </c>
      <c r="BJ1755">
        <v>0</v>
      </c>
      <c r="BK1755">
        <v>0</v>
      </c>
      <c r="BL1755">
        <v>0</v>
      </c>
      <c r="BO1755">
        <v>0</v>
      </c>
      <c r="BP1755">
        <v>0</v>
      </c>
      <c r="BW1755" t="str">
        <f>"18:48:15.833"</f>
        <v>18:48:15.833</v>
      </c>
      <c r="BZ1755">
        <v>0</v>
      </c>
      <c r="CA1755">
        <v>3008</v>
      </c>
      <c r="CB1755">
        <v>216</v>
      </c>
      <c r="CC1755">
        <v>518.90629999999999</v>
      </c>
      <c r="CD1755">
        <v>1</v>
      </c>
      <c r="CE1755">
        <v>1</v>
      </c>
      <c r="CF1755">
        <v>0</v>
      </c>
      <c r="CG1755">
        <v>1</v>
      </c>
      <c r="CH1755">
        <v>0</v>
      </c>
      <c r="CI1755">
        <v>1</v>
      </c>
      <c r="CJ1755">
        <v>0</v>
      </c>
      <c r="CK1755">
        <v>2</v>
      </c>
      <c r="CL1755">
        <v>0</v>
      </c>
      <c r="CM1755">
        <v>2</v>
      </c>
      <c r="CN1755">
        <v>0</v>
      </c>
      <c r="CO1755">
        <v>1</v>
      </c>
      <c r="CP1755" t="s">
        <v>119</v>
      </c>
      <c r="CQ1755">
        <v>145</v>
      </c>
      <c r="CR1755">
        <v>1</v>
      </c>
      <c r="CW1755">
        <v>9214935</v>
      </c>
      <c r="CY1755">
        <v>0</v>
      </c>
      <c r="CZ1755">
        <v>0</v>
      </c>
      <c r="DA1755">
        <v>1</v>
      </c>
      <c r="DB1755">
        <v>0</v>
      </c>
      <c r="DC1755">
        <v>0</v>
      </c>
      <c r="DD1755">
        <v>0</v>
      </c>
      <c r="DE1755">
        <v>0</v>
      </c>
      <c r="DF1755">
        <v>0</v>
      </c>
      <c r="DG1755">
        <v>0</v>
      </c>
      <c r="DH1755">
        <v>0</v>
      </c>
      <c r="DI1755">
        <v>0</v>
      </c>
    </row>
    <row r="1756" spans="1:113" x14ac:dyDescent="0.3">
      <c r="A1756" t="str">
        <f>"02/13/2022 18:48:16.190"</f>
        <v>02/13/2022 18:48:16.190</v>
      </c>
      <c r="C1756" t="str">
        <f t="shared" si="167"/>
        <v>FFDFD7C0</v>
      </c>
      <c r="D1756" t="s">
        <v>121</v>
      </c>
      <c r="E1756">
        <v>2</v>
      </c>
      <c r="H1756">
        <v>158</v>
      </c>
      <c r="I1756" t="s">
        <v>120</v>
      </c>
      <c r="J1756" t="s">
        <v>122</v>
      </c>
      <c r="K1756">
        <v>0</v>
      </c>
      <c r="L1756">
        <v>3</v>
      </c>
      <c r="M1756">
        <v>0</v>
      </c>
      <c r="N1756">
        <v>2</v>
      </c>
      <c r="O1756">
        <v>1</v>
      </c>
      <c r="P1756">
        <v>0</v>
      </c>
      <c r="Q1756">
        <v>0</v>
      </c>
      <c r="S1756" t="str">
        <f>"18:48:15.828"</f>
        <v>18:48:15.828</v>
      </c>
      <c r="T1756" t="str">
        <f>"18:48:14.628"</f>
        <v>18:48:14.628</v>
      </c>
      <c r="U1756" t="str">
        <f t="shared" si="168"/>
        <v>AAB6EE</v>
      </c>
      <c r="V1756">
        <v>0</v>
      </c>
      <c r="W1756">
        <v>0</v>
      </c>
      <c r="X1756">
        <v>4</v>
      </c>
      <c r="Z1756">
        <v>0</v>
      </c>
      <c r="AA1756">
        <v>8</v>
      </c>
      <c r="AB1756">
        <v>3</v>
      </c>
      <c r="AC1756">
        <v>0</v>
      </c>
      <c r="AD1756">
        <v>10</v>
      </c>
      <c r="AE1756">
        <v>0</v>
      </c>
      <c r="AF1756">
        <v>0</v>
      </c>
      <c r="AG1756">
        <v>2</v>
      </c>
      <c r="AH1756">
        <v>1</v>
      </c>
      <c r="AI1756" t="s">
        <v>1287</v>
      </c>
      <c r="AJ1756">
        <v>35.162450999999997</v>
      </c>
      <c r="AK1756" t="s">
        <v>1288</v>
      </c>
      <c r="AL1756">
        <v>-76.004856000000004</v>
      </c>
      <c r="AM1756">
        <v>25</v>
      </c>
      <c r="AN1756">
        <v>2925</v>
      </c>
      <c r="AO1756" t="s">
        <v>118</v>
      </c>
      <c r="AP1756">
        <v>72</v>
      </c>
      <c r="AQ1756">
        <v>-138</v>
      </c>
      <c r="AR1756">
        <v>0</v>
      </c>
      <c r="AZ1756">
        <v>4516</v>
      </c>
      <c r="BA1756">
        <v>1</v>
      </c>
      <c r="BB1756" t="str">
        <f t="shared" si="169"/>
        <v xml:space="preserve">N79NX   </v>
      </c>
      <c r="BC1756">
        <v>1</v>
      </c>
      <c r="BE1756">
        <v>0</v>
      </c>
      <c r="BF1756">
        <v>0</v>
      </c>
      <c r="BG1756">
        <v>0</v>
      </c>
      <c r="BH1756">
        <v>2775</v>
      </c>
      <c r="BI1756">
        <v>0</v>
      </c>
      <c r="BJ1756">
        <v>0</v>
      </c>
      <c r="BK1756">
        <v>0</v>
      </c>
      <c r="BL1756">
        <v>0</v>
      </c>
      <c r="BO1756">
        <v>0</v>
      </c>
      <c r="BP1756">
        <v>0</v>
      </c>
      <c r="BW1756" t="str">
        <f>"18:48:15.833"</f>
        <v>18:48:15.833</v>
      </c>
      <c r="BZ1756">
        <v>0</v>
      </c>
      <c r="CA1756">
        <v>3008</v>
      </c>
      <c r="CB1756">
        <v>216</v>
      </c>
      <c r="CC1756">
        <v>518.90629999999999</v>
      </c>
      <c r="CD1756">
        <v>1</v>
      </c>
      <c r="CE1756">
        <v>1</v>
      </c>
      <c r="CF1756">
        <v>0</v>
      </c>
      <c r="CG1756">
        <v>1</v>
      </c>
      <c r="CH1756">
        <v>0</v>
      </c>
      <c r="CI1756">
        <v>1</v>
      </c>
      <c r="CJ1756">
        <v>0</v>
      </c>
      <c r="CK1756">
        <v>2</v>
      </c>
      <c r="CL1756">
        <v>0</v>
      </c>
      <c r="CM1756">
        <v>2</v>
      </c>
      <c r="CN1756">
        <v>0</v>
      </c>
      <c r="CO1756">
        <v>1</v>
      </c>
      <c r="CP1756" t="s">
        <v>119</v>
      </c>
      <c r="CQ1756">
        <v>145</v>
      </c>
      <c r="CR1756">
        <v>1</v>
      </c>
      <c r="CW1756">
        <v>9214935</v>
      </c>
      <c r="CY1756">
        <v>0</v>
      </c>
      <c r="CZ1756">
        <v>0</v>
      </c>
      <c r="DA1756">
        <v>1</v>
      </c>
      <c r="DB1756">
        <v>0</v>
      </c>
      <c r="DC1756">
        <v>0</v>
      </c>
      <c r="DD1756">
        <v>0</v>
      </c>
      <c r="DE1756">
        <v>0</v>
      </c>
      <c r="DF1756">
        <v>0</v>
      </c>
      <c r="DG1756">
        <v>0</v>
      </c>
      <c r="DH1756">
        <v>0</v>
      </c>
      <c r="DI1756">
        <v>0</v>
      </c>
    </row>
    <row r="1757" spans="1:113" x14ac:dyDescent="0.3">
      <c r="A1757" t="str">
        <f>"02/13/2022 18:48:22.131"</f>
        <v>02/13/2022 18:48:22.131</v>
      </c>
      <c r="C1757" t="str">
        <f t="shared" si="167"/>
        <v>FFDFD7C0</v>
      </c>
      <c r="D1757" t="s">
        <v>121</v>
      </c>
      <c r="E1757">
        <v>2</v>
      </c>
      <c r="H1757">
        <v>158</v>
      </c>
      <c r="I1757" t="s">
        <v>120</v>
      </c>
      <c r="J1757" t="s">
        <v>122</v>
      </c>
      <c r="K1757">
        <v>0</v>
      </c>
      <c r="L1757">
        <v>3</v>
      </c>
      <c r="M1757">
        <v>0</v>
      </c>
      <c r="N1757">
        <v>2</v>
      </c>
      <c r="O1757">
        <v>1</v>
      </c>
      <c r="P1757">
        <v>0</v>
      </c>
      <c r="Q1757">
        <v>0</v>
      </c>
      <c r="S1757" t="str">
        <f>"18:48:21.898"</f>
        <v>18:48:21.898</v>
      </c>
      <c r="T1757" t="str">
        <f>"18:48:20.698"</f>
        <v>18:48:20.698</v>
      </c>
      <c r="U1757" t="str">
        <f t="shared" si="168"/>
        <v>AAB6EE</v>
      </c>
      <c r="V1757">
        <v>0</v>
      </c>
      <c r="W1757">
        <v>0</v>
      </c>
      <c r="X1757">
        <v>4</v>
      </c>
      <c r="Z1757">
        <v>0</v>
      </c>
      <c r="AA1757">
        <v>8</v>
      </c>
      <c r="AB1757">
        <v>3</v>
      </c>
      <c r="AC1757">
        <v>0</v>
      </c>
      <c r="AD1757">
        <v>10</v>
      </c>
      <c r="AE1757">
        <v>0</v>
      </c>
      <c r="AF1757">
        <v>0</v>
      </c>
      <c r="AG1757">
        <v>2</v>
      </c>
      <c r="AH1757">
        <v>1</v>
      </c>
      <c r="AI1757" t="s">
        <v>1289</v>
      </c>
      <c r="AJ1757">
        <v>35.158566999999998</v>
      </c>
      <c r="AK1757" t="s">
        <v>1290</v>
      </c>
      <c r="AL1757">
        <v>-76.002387999999996</v>
      </c>
      <c r="AM1757">
        <v>25</v>
      </c>
      <c r="AN1757">
        <v>2925</v>
      </c>
      <c r="AO1757" t="s">
        <v>118</v>
      </c>
      <c r="AP1757">
        <v>72</v>
      </c>
      <c r="AQ1757">
        <v>-138</v>
      </c>
      <c r="AR1757">
        <v>64</v>
      </c>
      <c r="AZ1757">
        <v>4516</v>
      </c>
      <c r="BA1757">
        <v>1</v>
      </c>
      <c r="BB1757" t="str">
        <f t="shared" si="169"/>
        <v xml:space="preserve">N79NX   </v>
      </c>
      <c r="BC1757">
        <v>1</v>
      </c>
      <c r="BE1757">
        <v>0</v>
      </c>
      <c r="BF1757">
        <v>0</v>
      </c>
      <c r="BG1757">
        <v>0</v>
      </c>
      <c r="BH1757">
        <v>2775</v>
      </c>
      <c r="BI1757">
        <v>0</v>
      </c>
      <c r="BJ1757">
        <v>0</v>
      </c>
      <c r="BK1757">
        <v>0</v>
      </c>
      <c r="BL1757">
        <v>0</v>
      </c>
      <c r="BO1757">
        <v>0</v>
      </c>
      <c r="BP1757">
        <v>0</v>
      </c>
      <c r="BW1757" t="str">
        <f>"18:48:21.903"</f>
        <v>18:48:21.903</v>
      </c>
      <c r="BZ1757">
        <v>0</v>
      </c>
      <c r="CA1757">
        <v>3008</v>
      </c>
      <c r="CB1757">
        <v>216</v>
      </c>
      <c r="CC1757">
        <v>518.90629999999999</v>
      </c>
      <c r="CD1757">
        <v>1</v>
      </c>
      <c r="CE1757">
        <v>1</v>
      </c>
      <c r="CF1757">
        <v>0</v>
      </c>
      <c r="CG1757">
        <v>1</v>
      </c>
      <c r="CH1757">
        <v>0</v>
      </c>
      <c r="CI1757">
        <v>1</v>
      </c>
      <c r="CJ1757">
        <v>0</v>
      </c>
      <c r="CK1757">
        <v>2</v>
      </c>
      <c r="CL1757">
        <v>0</v>
      </c>
      <c r="CM1757">
        <v>2</v>
      </c>
      <c r="CN1757">
        <v>0</v>
      </c>
      <c r="CO1757">
        <v>1</v>
      </c>
      <c r="CP1757" t="s">
        <v>119</v>
      </c>
      <c r="CQ1757">
        <v>145</v>
      </c>
      <c r="CR1757">
        <v>1</v>
      </c>
      <c r="CW1757">
        <v>9217668</v>
      </c>
      <c r="CY1757">
        <v>0</v>
      </c>
      <c r="CZ1757">
        <v>0</v>
      </c>
      <c r="DA1757">
        <v>0</v>
      </c>
      <c r="DB1757">
        <v>0</v>
      </c>
      <c r="DC1757">
        <v>0</v>
      </c>
      <c r="DD1757">
        <v>0</v>
      </c>
      <c r="DE1757">
        <v>0</v>
      </c>
      <c r="DF1757">
        <v>0</v>
      </c>
      <c r="DG1757">
        <v>0</v>
      </c>
      <c r="DH1757">
        <v>0</v>
      </c>
      <c r="DI1757">
        <v>0</v>
      </c>
    </row>
    <row r="1758" spans="1:113" x14ac:dyDescent="0.3">
      <c r="A1758" t="str">
        <f>"02/13/2022 18:48:22.147"</f>
        <v>02/13/2022 18:48:22.147</v>
      </c>
      <c r="C1758" t="str">
        <f t="shared" si="167"/>
        <v>FFDFD7C0</v>
      </c>
      <c r="D1758" t="s">
        <v>113</v>
      </c>
      <c r="E1758">
        <v>3</v>
      </c>
      <c r="F1758">
        <v>1003</v>
      </c>
      <c r="G1758" t="s">
        <v>114</v>
      </c>
      <c r="J1758" t="s">
        <v>115</v>
      </c>
      <c r="K1758">
        <v>0</v>
      </c>
      <c r="L1758">
        <v>3</v>
      </c>
      <c r="M1758">
        <v>0</v>
      </c>
      <c r="N1758">
        <v>2</v>
      </c>
      <c r="O1758">
        <v>1</v>
      </c>
      <c r="P1758">
        <v>0</v>
      </c>
      <c r="Q1758">
        <v>0</v>
      </c>
      <c r="S1758" t="str">
        <f>"18:48:21.898"</f>
        <v>18:48:21.898</v>
      </c>
      <c r="T1758" t="str">
        <f>"18:48:20.698"</f>
        <v>18:48:20.698</v>
      </c>
      <c r="U1758" t="str">
        <f t="shared" si="168"/>
        <v>AAB6EE</v>
      </c>
      <c r="V1758">
        <v>0</v>
      </c>
      <c r="W1758">
        <v>0</v>
      </c>
      <c r="X1758">
        <v>4</v>
      </c>
      <c r="Z1758">
        <v>0</v>
      </c>
      <c r="AA1758">
        <v>8</v>
      </c>
      <c r="AB1758">
        <v>3</v>
      </c>
      <c r="AC1758">
        <v>0</v>
      </c>
      <c r="AD1758">
        <v>10</v>
      </c>
      <c r="AE1758">
        <v>0</v>
      </c>
      <c r="AF1758">
        <v>0</v>
      </c>
      <c r="AG1758">
        <v>2</v>
      </c>
      <c r="AH1758">
        <v>1</v>
      </c>
      <c r="AI1758" t="s">
        <v>1289</v>
      </c>
      <c r="AJ1758">
        <v>35.158566999999998</v>
      </c>
      <c r="AK1758" t="s">
        <v>1290</v>
      </c>
      <c r="AL1758">
        <v>-76.002387999999996</v>
      </c>
      <c r="AM1758">
        <v>25</v>
      </c>
      <c r="AN1758">
        <v>2925</v>
      </c>
      <c r="AO1758" t="s">
        <v>118</v>
      </c>
      <c r="AP1758">
        <v>72</v>
      </c>
      <c r="AQ1758">
        <v>-138</v>
      </c>
      <c r="AR1758">
        <v>64</v>
      </c>
      <c r="AZ1758">
        <v>4516</v>
      </c>
      <c r="BA1758">
        <v>1</v>
      </c>
      <c r="BB1758" t="str">
        <f t="shared" si="169"/>
        <v xml:space="preserve">N79NX   </v>
      </c>
      <c r="BC1758">
        <v>1</v>
      </c>
      <c r="BE1758">
        <v>0</v>
      </c>
      <c r="BF1758">
        <v>0</v>
      </c>
      <c r="BG1758">
        <v>0</v>
      </c>
      <c r="BH1758">
        <v>2775</v>
      </c>
      <c r="BI1758">
        <v>0</v>
      </c>
      <c r="BJ1758">
        <v>0</v>
      </c>
      <c r="BK1758">
        <v>0</v>
      </c>
      <c r="BL1758">
        <v>0</v>
      </c>
      <c r="BO1758">
        <v>0</v>
      </c>
      <c r="BP1758">
        <v>0</v>
      </c>
      <c r="BW1758" t="str">
        <f>"18:48:21.903"</f>
        <v>18:48:21.903</v>
      </c>
      <c r="BZ1758">
        <v>0</v>
      </c>
      <c r="CA1758">
        <v>3008</v>
      </c>
      <c r="CB1758">
        <v>216</v>
      </c>
      <c r="CC1758">
        <v>518.90629999999999</v>
      </c>
      <c r="CD1758">
        <v>1</v>
      </c>
      <c r="CE1758">
        <v>1</v>
      </c>
      <c r="CF1758">
        <v>0</v>
      </c>
      <c r="CG1758">
        <v>1</v>
      </c>
      <c r="CH1758">
        <v>0</v>
      </c>
      <c r="CI1758">
        <v>1</v>
      </c>
      <c r="CJ1758">
        <v>0</v>
      </c>
      <c r="CK1758">
        <v>2</v>
      </c>
      <c r="CL1758">
        <v>0</v>
      </c>
      <c r="CM1758">
        <v>2</v>
      </c>
      <c r="CN1758">
        <v>0</v>
      </c>
      <c r="CO1758">
        <v>1</v>
      </c>
      <c r="CP1758" t="s">
        <v>119</v>
      </c>
      <c r="CQ1758">
        <v>145</v>
      </c>
      <c r="CR1758">
        <v>1</v>
      </c>
      <c r="CW1758">
        <v>9217668</v>
      </c>
      <c r="CY1758">
        <v>0</v>
      </c>
      <c r="CZ1758">
        <v>0</v>
      </c>
      <c r="DA1758">
        <v>1</v>
      </c>
      <c r="DB1758">
        <v>0</v>
      </c>
      <c r="DC1758">
        <v>0</v>
      </c>
      <c r="DD1758">
        <v>0</v>
      </c>
      <c r="DE1758">
        <v>0</v>
      </c>
      <c r="DF1758">
        <v>0</v>
      </c>
      <c r="DG1758">
        <v>0</v>
      </c>
      <c r="DH1758">
        <v>0</v>
      </c>
      <c r="DI1758">
        <v>0</v>
      </c>
    </row>
    <row r="1759" spans="1:113" x14ac:dyDescent="0.3">
      <c r="A1759" t="str">
        <f>"02/13/2022 18:48:22.147"</f>
        <v>02/13/2022 18:48:22.147</v>
      </c>
      <c r="C1759" t="str">
        <f t="shared" si="167"/>
        <v>FFDFD7C0</v>
      </c>
      <c r="D1759" t="s">
        <v>113</v>
      </c>
      <c r="E1759">
        <v>4</v>
      </c>
      <c r="F1759">
        <v>1004</v>
      </c>
      <c r="G1759" t="s">
        <v>120</v>
      </c>
      <c r="J1759" t="s">
        <v>115</v>
      </c>
      <c r="K1759">
        <v>0</v>
      </c>
      <c r="L1759">
        <v>3</v>
      </c>
      <c r="M1759">
        <v>0</v>
      </c>
      <c r="N1759">
        <v>2</v>
      </c>
      <c r="O1759">
        <v>1</v>
      </c>
      <c r="P1759">
        <v>0</v>
      </c>
      <c r="Q1759">
        <v>0</v>
      </c>
      <c r="S1759" t="str">
        <f>"18:48:21.898"</f>
        <v>18:48:21.898</v>
      </c>
      <c r="T1759" t="str">
        <f>"18:48:20.698"</f>
        <v>18:48:20.698</v>
      </c>
      <c r="U1759" t="str">
        <f t="shared" si="168"/>
        <v>AAB6EE</v>
      </c>
      <c r="V1759">
        <v>0</v>
      </c>
      <c r="W1759">
        <v>0</v>
      </c>
      <c r="X1759">
        <v>4</v>
      </c>
      <c r="Z1759">
        <v>0</v>
      </c>
      <c r="AA1759">
        <v>8</v>
      </c>
      <c r="AB1759">
        <v>3</v>
      </c>
      <c r="AC1759">
        <v>0</v>
      </c>
      <c r="AD1759">
        <v>10</v>
      </c>
      <c r="AE1759">
        <v>0</v>
      </c>
      <c r="AF1759">
        <v>0</v>
      </c>
      <c r="AG1759">
        <v>2</v>
      </c>
      <c r="AH1759">
        <v>1</v>
      </c>
      <c r="AI1759" t="s">
        <v>1289</v>
      </c>
      <c r="AJ1759">
        <v>35.158566999999998</v>
      </c>
      <c r="AK1759" t="s">
        <v>1290</v>
      </c>
      <c r="AL1759">
        <v>-76.002387999999996</v>
      </c>
      <c r="AM1759">
        <v>25</v>
      </c>
      <c r="AN1759">
        <v>2925</v>
      </c>
      <c r="AO1759" t="s">
        <v>118</v>
      </c>
      <c r="AP1759">
        <v>72</v>
      </c>
      <c r="AQ1759">
        <v>-138</v>
      </c>
      <c r="AR1759">
        <v>64</v>
      </c>
      <c r="AZ1759">
        <v>4516</v>
      </c>
      <c r="BA1759">
        <v>1</v>
      </c>
      <c r="BB1759" t="str">
        <f t="shared" si="169"/>
        <v xml:space="preserve">N79NX   </v>
      </c>
      <c r="BC1759">
        <v>1</v>
      </c>
      <c r="BE1759">
        <v>0</v>
      </c>
      <c r="BF1759">
        <v>0</v>
      </c>
      <c r="BG1759">
        <v>0</v>
      </c>
      <c r="BH1759">
        <v>2775</v>
      </c>
      <c r="BI1759">
        <v>0</v>
      </c>
      <c r="BJ1759">
        <v>0</v>
      </c>
      <c r="BK1759">
        <v>0</v>
      </c>
      <c r="BL1759">
        <v>0</v>
      </c>
      <c r="BO1759">
        <v>0</v>
      </c>
      <c r="BP1759">
        <v>0</v>
      </c>
      <c r="BW1759" t="str">
        <f>"18:48:21.903"</f>
        <v>18:48:21.903</v>
      </c>
      <c r="BZ1759">
        <v>0</v>
      </c>
      <c r="CA1759">
        <v>3008</v>
      </c>
      <c r="CB1759">
        <v>216</v>
      </c>
      <c r="CC1759">
        <v>518.90629999999999</v>
      </c>
      <c r="CD1759">
        <v>1</v>
      </c>
      <c r="CE1759">
        <v>1</v>
      </c>
      <c r="CF1759">
        <v>0</v>
      </c>
      <c r="CG1759">
        <v>1</v>
      </c>
      <c r="CH1759">
        <v>0</v>
      </c>
      <c r="CI1759">
        <v>1</v>
      </c>
      <c r="CJ1759">
        <v>0</v>
      </c>
      <c r="CK1759">
        <v>2</v>
      </c>
      <c r="CL1759">
        <v>0</v>
      </c>
      <c r="CM1759">
        <v>2</v>
      </c>
      <c r="CN1759">
        <v>0</v>
      </c>
      <c r="CO1759">
        <v>1</v>
      </c>
      <c r="CP1759" t="s">
        <v>119</v>
      </c>
      <c r="CQ1759">
        <v>145</v>
      </c>
      <c r="CR1759">
        <v>1</v>
      </c>
      <c r="CW1759">
        <v>9217668</v>
      </c>
      <c r="CY1759">
        <v>0</v>
      </c>
      <c r="CZ1759">
        <v>0</v>
      </c>
      <c r="DA1759">
        <v>1</v>
      </c>
      <c r="DB1759">
        <v>0</v>
      </c>
      <c r="DC1759">
        <v>0</v>
      </c>
      <c r="DD1759">
        <v>0</v>
      </c>
      <c r="DE1759">
        <v>0</v>
      </c>
      <c r="DF1759">
        <v>0</v>
      </c>
      <c r="DG1759">
        <v>0</v>
      </c>
      <c r="DH1759">
        <v>0</v>
      </c>
      <c r="DI1759">
        <v>0</v>
      </c>
    </row>
    <row r="1760" spans="1:113" x14ac:dyDescent="0.3">
      <c r="A1760" t="str">
        <f>"02/13/2022 18:48:23.131"</f>
        <v>02/13/2022 18:48:23.131</v>
      </c>
      <c r="C1760" t="str">
        <f t="shared" si="167"/>
        <v>FFDFD7C0</v>
      </c>
      <c r="D1760" t="s">
        <v>121</v>
      </c>
      <c r="E1760">
        <v>2</v>
      </c>
      <c r="H1760">
        <v>158</v>
      </c>
      <c r="I1760" t="s">
        <v>120</v>
      </c>
      <c r="J1760" t="s">
        <v>122</v>
      </c>
      <c r="K1760">
        <v>0</v>
      </c>
      <c r="L1760">
        <v>3</v>
      </c>
      <c r="M1760">
        <v>0</v>
      </c>
      <c r="N1760">
        <v>2</v>
      </c>
      <c r="O1760">
        <v>1</v>
      </c>
      <c r="P1760">
        <v>0</v>
      </c>
      <c r="Q1760">
        <v>0</v>
      </c>
      <c r="S1760" t="str">
        <f>"18:48:22.836"</f>
        <v>18:48:22.836</v>
      </c>
      <c r="T1760" t="str">
        <f>"18:48:20.736"</f>
        <v>18:48:20.736</v>
      </c>
      <c r="U1760" t="str">
        <f t="shared" si="168"/>
        <v>AAB6EE</v>
      </c>
      <c r="V1760">
        <v>0</v>
      </c>
      <c r="W1760">
        <v>0</v>
      </c>
      <c r="X1760">
        <v>4</v>
      </c>
      <c r="Z1760">
        <v>0</v>
      </c>
      <c r="AA1760">
        <v>8</v>
      </c>
      <c r="AB1760">
        <v>3</v>
      </c>
      <c r="AC1760">
        <v>0</v>
      </c>
      <c r="AD1760">
        <v>10</v>
      </c>
      <c r="AE1760">
        <v>0</v>
      </c>
      <c r="AF1760">
        <v>0</v>
      </c>
      <c r="AG1760">
        <v>2</v>
      </c>
      <c r="AH1760">
        <v>1</v>
      </c>
      <c r="AI1760" t="s">
        <v>1291</v>
      </c>
      <c r="AJ1760">
        <v>35.157966999999999</v>
      </c>
      <c r="AK1760" t="s">
        <v>1292</v>
      </c>
      <c r="AL1760">
        <v>-76.001980000000003</v>
      </c>
      <c r="AM1760">
        <v>25</v>
      </c>
      <c r="AN1760">
        <v>2925</v>
      </c>
      <c r="AO1760" t="s">
        <v>118</v>
      </c>
      <c r="AP1760">
        <v>72</v>
      </c>
      <c r="AQ1760">
        <v>-138</v>
      </c>
      <c r="AR1760">
        <v>64</v>
      </c>
      <c r="AZ1760">
        <v>4516</v>
      </c>
      <c r="BA1760">
        <v>1</v>
      </c>
      <c r="BB1760" t="str">
        <f t="shared" si="169"/>
        <v xml:space="preserve">N79NX   </v>
      </c>
      <c r="BC1760">
        <v>1</v>
      </c>
      <c r="BE1760">
        <v>0</v>
      </c>
      <c r="BF1760">
        <v>0</v>
      </c>
      <c r="BG1760">
        <v>0</v>
      </c>
      <c r="BH1760">
        <v>2775</v>
      </c>
      <c r="BI1760">
        <v>0</v>
      </c>
      <c r="BJ1760">
        <v>0</v>
      </c>
      <c r="BK1760">
        <v>0</v>
      </c>
      <c r="BL1760">
        <v>0</v>
      </c>
      <c r="BO1760">
        <v>0</v>
      </c>
      <c r="BP1760">
        <v>0</v>
      </c>
      <c r="BW1760" t="str">
        <f>"18:48:22.843"</f>
        <v>18:48:22.843</v>
      </c>
      <c r="BZ1760">
        <v>0</v>
      </c>
      <c r="CA1760">
        <v>3008</v>
      </c>
      <c r="CB1760">
        <v>216</v>
      </c>
      <c r="CC1760">
        <v>518.90629999999999</v>
      </c>
      <c r="CD1760">
        <v>1</v>
      </c>
      <c r="CE1760">
        <v>1</v>
      </c>
      <c r="CF1760">
        <v>0</v>
      </c>
      <c r="CG1760">
        <v>1</v>
      </c>
      <c r="CH1760">
        <v>0</v>
      </c>
      <c r="CI1760">
        <v>1</v>
      </c>
      <c r="CJ1760">
        <v>0</v>
      </c>
      <c r="CK1760">
        <v>2</v>
      </c>
      <c r="CL1760">
        <v>0</v>
      </c>
      <c r="CM1760">
        <v>2</v>
      </c>
      <c r="CN1760">
        <v>0</v>
      </c>
      <c r="CO1760">
        <v>1</v>
      </c>
      <c r="CP1760" t="s">
        <v>119</v>
      </c>
      <c r="CQ1760">
        <v>145</v>
      </c>
      <c r="CR1760">
        <v>1</v>
      </c>
      <c r="CW1760">
        <v>9218042</v>
      </c>
      <c r="CY1760">
        <v>0</v>
      </c>
      <c r="CZ1760">
        <v>0</v>
      </c>
      <c r="DA1760">
        <v>0</v>
      </c>
      <c r="DB1760">
        <v>0</v>
      </c>
      <c r="DC1760">
        <v>0</v>
      </c>
      <c r="DD1760">
        <v>0</v>
      </c>
      <c r="DE1760">
        <v>0</v>
      </c>
      <c r="DF1760">
        <v>0</v>
      </c>
      <c r="DG1760">
        <v>0</v>
      </c>
      <c r="DH1760">
        <v>0</v>
      </c>
      <c r="DI1760">
        <v>0</v>
      </c>
    </row>
    <row r="1761" spans="1:113" x14ac:dyDescent="0.3">
      <c r="A1761" t="str">
        <f>"02/13/2022 18:48:23.131"</f>
        <v>02/13/2022 18:48:23.131</v>
      </c>
      <c r="C1761" t="str">
        <f t="shared" si="167"/>
        <v>FFDFD7C0</v>
      </c>
      <c r="D1761" t="s">
        <v>113</v>
      </c>
      <c r="E1761">
        <v>4</v>
      </c>
      <c r="F1761">
        <v>1004</v>
      </c>
      <c r="G1761" t="s">
        <v>120</v>
      </c>
      <c r="J1761" t="s">
        <v>115</v>
      </c>
      <c r="K1761">
        <v>0</v>
      </c>
      <c r="L1761">
        <v>3</v>
      </c>
      <c r="M1761">
        <v>0</v>
      </c>
      <c r="N1761">
        <v>2</v>
      </c>
      <c r="O1761">
        <v>1</v>
      </c>
      <c r="P1761">
        <v>0</v>
      </c>
      <c r="Q1761">
        <v>0</v>
      </c>
      <c r="S1761" t="str">
        <f>"18:48:22.836"</f>
        <v>18:48:22.836</v>
      </c>
      <c r="T1761" t="str">
        <f>"18:48:20.736"</f>
        <v>18:48:20.736</v>
      </c>
      <c r="U1761" t="str">
        <f t="shared" si="168"/>
        <v>AAB6EE</v>
      </c>
      <c r="V1761">
        <v>0</v>
      </c>
      <c r="W1761">
        <v>0</v>
      </c>
      <c r="X1761">
        <v>4</v>
      </c>
      <c r="Z1761">
        <v>0</v>
      </c>
      <c r="AA1761">
        <v>8</v>
      </c>
      <c r="AB1761">
        <v>3</v>
      </c>
      <c r="AC1761">
        <v>0</v>
      </c>
      <c r="AD1761">
        <v>10</v>
      </c>
      <c r="AE1761">
        <v>0</v>
      </c>
      <c r="AF1761">
        <v>0</v>
      </c>
      <c r="AG1761">
        <v>2</v>
      </c>
      <c r="AH1761">
        <v>1</v>
      </c>
      <c r="AI1761" t="s">
        <v>1291</v>
      </c>
      <c r="AJ1761">
        <v>35.157966999999999</v>
      </c>
      <c r="AK1761" t="s">
        <v>1292</v>
      </c>
      <c r="AL1761">
        <v>-76.001980000000003</v>
      </c>
      <c r="AM1761">
        <v>25</v>
      </c>
      <c r="AN1761">
        <v>2925</v>
      </c>
      <c r="AO1761" t="s">
        <v>118</v>
      </c>
      <c r="AP1761">
        <v>72</v>
      </c>
      <c r="AQ1761">
        <v>-138</v>
      </c>
      <c r="AR1761">
        <v>64</v>
      </c>
      <c r="AZ1761">
        <v>4516</v>
      </c>
      <c r="BA1761">
        <v>1</v>
      </c>
      <c r="BB1761" t="str">
        <f t="shared" si="169"/>
        <v xml:space="preserve">N79NX   </v>
      </c>
      <c r="BC1761">
        <v>1</v>
      </c>
      <c r="BE1761">
        <v>0</v>
      </c>
      <c r="BF1761">
        <v>0</v>
      </c>
      <c r="BG1761">
        <v>0</v>
      </c>
      <c r="BH1761">
        <v>2775</v>
      </c>
      <c r="BI1761">
        <v>0</v>
      </c>
      <c r="BJ1761">
        <v>0</v>
      </c>
      <c r="BK1761">
        <v>0</v>
      </c>
      <c r="BL1761">
        <v>0</v>
      </c>
      <c r="BO1761">
        <v>0</v>
      </c>
      <c r="BP1761">
        <v>0</v>
      </c>
      <c r="BW1761" t="str">
        <f>"18:48:22.843"</f>
        <v>18:48:22.843</v>
      </c>
      <c r="BZ1761">
        <v>0</v>
      </c>
      <c r="CA1761">
        <v>3008</v>
      </c>
      <c r="CB1761">
        <v>216</v>
      </c>
      <c r="CC1761">
        <v>518.90629999999999</v>
      </c>
      <c r="CD1761">
        <v>1</v>
      </c>
      <c r="CE1761">
        <v>1</v>
      </c>
      <c r="CF1761">
        <v>0</v>
      </c>
      <c r="CG1761">
        <v>1</v>
      </c>
      <c r="CH1761">
        <v>0</v>
      </c>
      <c r="CI1761">
        <v>1</v>
      </c>
      <c r="CJ1761">
        <v>0</v>
      </c>
      <c r="CK1761">
        <v>2</v>
      </c>
      <c r="CL1761">
        <v>0</v>
      </c>
      <c r="CM1761">
        <v>2</v>
      </c>
      <c r="CN1761">
        <v>0</v>
      </c>
      <c r="CO1761">
        <v>1</v>
      </c>
      <c r="CP1761" t="s">
        <v>119</v>
      </c>
      <c r="CQ1761">
        <v>145</v>
      </c>
      <c r="CR1761">
        <v>1</v>
      </c>
      <c r="CW1761">
        <v>9218042</v>
      </c>
      <c r="CY1761">
        <v>0</v>
      </c>
      <c r="CZ1761">
        <v>0</v>
      </c>
      <c r="DA1761">
        <v>1</v>
      </c>
      <c r="DB1761">
        <v>0</v>
      </c>
      <c r="DC1761">
        <v>0</v>
      </c>
      <c r="DD1761">
        <v>0</v>
      </c>
      <c r="DE1761">
        <v>0</v>
      </c>
      <c r="DF1761">
        <v>0</v>
      </c>
      <c r="DG1761">
        <v>0</v>
      </c>
      <c r="DH1761">
        <v>0</v>
      </c>
      <c r="DI1761">
        <v>0</v>
      </c>
    </row>
    <row r="1762" spans="1:113" x14ac:dyDescent="0.3">
      <c r="A1762" t="str">
        <f>"02/13/2022 18:48:23.131"</f>
        <v>02/13/2022 18:48:23.131</v>
      </c>
      <c r="C1762" t="str">
        <f t="shared" si="167"/>
        <v>FFDFD7C0</v>
      </c>
      <c r="D1762" t="s">
        <v>113</v>
      </c>
      <c r="E1762">
        <v>3</v>
      </c>
      <c r="F1762">
        <v>1003</v>
      </c>
      <c r="G1762" t="s">
        <v>114</v>
      </c>
      <c r="J1762" t="s">
        <v>115</v>
      </c>
      <c r="K1762">
        <v>0</v>
      </c>
      <c r="L1762">
        <v>3</v>
      </c>
      <c r="M1762">
        <v>0</v>
      </c>
      <c r="N1762">
        <v>2</v>
      </c>
      <c r="O1762">
        <v>1</v>
      </c>
      <c r="P1762">
        <v>0</v>
      </c>
      <c r="Q1762">
        <v>0</v>
      </c>
      <c r="S1762" t="str">
        <f>"18:48:22.836"</f>
        <v>18:48:22.836</v>
      </c>
      <c r="T1762" t="str">
        <f>"18:48:20.736"</f>
        <v>18:48:20.736</v>
      </c>
      <c r="U1762" t="str">
        <f t="shared" si="168"/>
        <v>AAB6EE</v>
      </c>
      <c r="V1762">
        <v>0</v>
      </c>
      <c r="W1762">
        <v>0</v>
      </c>
      <c r="X1762">
        <v>4</v>
      </c>
      <c r="Z1762">
        <v>0</v>
      </c>
      <c r="AA1762">
        <v>8</v>
      </c>
      <c r="AB1762">
        <v>3</v>
      </c>
      <c r="AC1762">
        <v>0</v>
      </c>
      <c r="AD1762">
        <v>10</v>
      </c>
      <c r="AE1762">
        <v>0</v>
      </c>
      <c r="AF1762">
        <v>0</v>
      </c>
      <c r="AG1762">
        <v>2</v>
      </c>
      <c r="AH1762">
        <v>1</v>
      </c>
      <c r="AI1762" t="s">
        <v>1291</v>
      </c>
      <c r="AJ1762">
        <v>35.157966999999999</v>
      </c>
      <c r="AK1762" t="s">
        <v>1292</v>
      </c>
      <c r="AL1762">
        <v>-76.001980000000003</v>
      </c>
      <c r="AM1762">
        <v>25</v>
      </c>
      <c r="AN1762">
        <v>2925</v>
      </c>
      <c r="AO1762" t="s">
        <v>118</v>
      </c>
      <c r="AP1762">
        <v>72</v>
      </c>
      <c r="AQ1762">
        <v>-138</v>
      </c>
      <c r="AR1762">
        <v>64</v>
      </c>
      <c r="AZ1762">
        <v>4516</v>
      </c>
      <c r="BA1762">
        <v>1</v>
      </c>
      <c r="BB1762" t="str">
        <f t="shared" si="169"/>
        <v xml:space="preserve">N79NX   </v>
      </c>
      <c r="BC1762">
        <v>1</v>
      </c>
      <c r="BE1762">
        <v>0</v>
      </c>
      <c r="BF1762">
        <v>0</v>
      </c>
      <c r="BG1762">
        <v>0</v>
      </c>
      <c r="BH1762">
        <v>2775</v>
      </c>
      <c r="BI1762">
        <v>0</v>
      </c>
      <c r="BJ1762">
        <v>0</v>
      </c>
      <c r="BK1762">
        <v>0</v>
      </c>
      <c r="BL1762">
        <v>0</v>
      </c>
      <c r="BO1762">
        <v>0</v>
      </c>
      <c r="BP1762">
        <v>0</v>
      </c>
      <c r="BW1762" t="str">
        <f>"18:48:22.843"</f>
        <v>18:48:22.843</v>
      </c>
      <c r="BZ1762">
        <v>0</v>
      </c>
      <c r="CA1762">
        <v>3008</v>
      </c>
      <c r="CB1762">
        <v>216</v>
      </c>
      <c r="CC1762">
        <v>518.90629999999999</v>
      </c>
      <c r="CD1762">
        <v>1</v>
      </c>
      <c r="CE1762">
        <v>1</v>
      </c>
      <c r="CF1762">
        <v>0</v>
      </c>
      <c r="CG1762">
        <v>1</v>
      </c>
      <c r="CH1762">
        <v>0</v>
      </c>
      <c r="CI1762">
        <v>1</v>
      </c>
      <c r="CJ1762">
        <v>0</v>
      </c>
      <c r="CK1762">
        <v>2</v>
      </c>
      <c r="CL1762">
        <v>0</v>
      </c>
      <c r="CM1762">
        <v>2</v>
      </c>
      <c r="CN1762">
        <v>0</v>
      </c>
      <c r="CO1762">
        <v>1</v>
      </c>
      <c r="CP1762" t="s">
        <v>119</v>
      </c>
      <c r="CQ1762">
        <v>145</v>
      </c>
      <c r="CR1762">
        <v>1</v>
      </c>
      <c r="CW1762">
        <v>9218042</v>
      </c>
      <c r="CY1762">
        <v>0</v>
      </c>
      <c r="CZ1762">
        <v>0</v>
      </c>
      <c r="DA1762">
        <v>1</v>
      </c>
      <c r="DB1762">
        <v>0</v>
      </c>
      <c r="DC1762">
        <v>0</v>
      </c>
      <c r="DD1762">
        <v>0</v>
      </c>
      <c r="DE1762">
        <v>0</v>
      </c>
      <c r="DF1762">
        <v>0</v>
      </c>
      <c r="DG1762">
        <v>0</v>
      </c>
      <c r="DH1762">
        <v>0</v>
      </c>
      <c r="DI1762">
        <v>0</v>
      </c>
    </row>
    <row r="1763" spans="1:113" x14ac:dyDescent="0.3">
      <c r="A1763" t="str">
        <f>"02/13/2022 18:48:24.821"</f>
        <v>02/13/2022 18:48:24.821</v>
      </c>
      <c r="C1763" t="str">
        <f t="shared" si="167"/>
        <v>FFDFD7C0</v>
      </c>
      <c r="D1763" t="s">
        <v>121</v>
      </c>
      <c r="E1763">
        <v>2</v>
      </c>
      <c r="H1763">
        <v>158</v>
      </c>
      <c r="I1763" t="s">
        <v>120</v>
      </c>
      <c r="J1763" t="s">
        <v>122</v>
      </c>
      <c r="K1763">
        <v>0</v>
      </c>
      <c r="L1763">
        <v>3</v>
      </c>
      <c r="M1763">
        <v>0</v>
      </c>
      <c r="N1763">
        <v>2</v>
      </c>
      <c r="O1763">
        <v>1</v>
      </c>
      <c r="P1763">
        <v>0</v>
      </c>
      <c r="Q1763">
        <v>0</v>
      </c>
      <c r="S1763" t="str">
        <f>"18:48:24.641"</f>
        <v>18:48:24.641</v>
      </c>
      <c r="T1763" t="str">
        <f>"18:48:23.641"</f>
        <v>18:48:23.641</v>
      </c>
      <c r="U1763" t="str">
        <f t="shared" si="168"/>
        <v>AAB6EE</v>
      </c>
      <c r="V1763">
        <v>0</v>
      </c>
      <c r="W1763">
        <v>0</v>
      </c>
      <c r="X1763">
        <v>4</v>
      </c>
      <c r="Z1763">
        <v>0</v>
      </c>
      <c r="AA1763">
        <v>8</v>
      </c>
      <c r="AB1763">
        <v>3</v>
      </c>
      <c r="AC1763">
        <v>0</v>
      </c>
      <c r="AD1763">
        <v>10</v>
      </c>
      <c r="AE1763">
        <v>0</v>
      </c>
      <c r="AF1763">
        <v>0</v>
      </c>
      <c r="AG1763">
        <v>2</v>
      </c>
      <c r="AH1763">
        <v>1</v>
      </c>
      <c r="AI1763" t="s">
        <v>1293</v>
      </c>
      <c r="AJ1763">
        <v>35.156807999999998</v>
      </c>
      <c r="AK1763" t="s">
        <v>1294</v>
      </c>
      <c r="AL1763">
        <v>-76.001250999999996</v>
      </c>
      <c r="AM1763">
        <v>25</v>
      </c>
      <c r="AN1763">
        <v>2925</v>
      </c>
      <c r="AO1763" t="s">
        <v>118</v>
      </c>
      <c r="AP1763">
        <v>72</v>
      </c>
      <c r="AQ1763">
        <v>-138</v>
      </c>
      <c r="AR1763">
        <v>0</v>
      </c>
      <c r="AZ1763">
        <v>4516</v>
      </c>
      <c r="BA1763">
        <v>1</v>
      </c>
      <c r="BB1763" t="str">
        <f t="shared" si="169"/>
        <v xml:space="preserve">N79NX   </v>
      </c>
      <c r="BC1763">
        <v>1</v>
      </c>
      <c r="BE1763">
        <v>0</v>
      </c>
      <c r="BF1763">
        <v>0</v>
      </c>
      <c r="BG1763">
        <v>0</v>
      </c>
      <c r="BH1763">
        <v>2775</v>
      </c>
      <c r="BI1763">
        <v>0</v>
      </c>
      <c r="BJ1763">
        <v>0</v>
      </c>
      <c r="BK1763">
        <v>0</v>
      </c>
      <c r="BL1763">
        <v>0</v>
      </c>
      <c r="BO1763">
        <v>0</v>
      </c>
      <c r="BP1763">
        <v>0</v>
      </c>
      <c r="BW1763" t="str">
        <f>"18:48:24.643"</f>
        <v>18:48:24.643</v>
      </c>
      <c r="BZ1763">
        <v>0</v>
      </c>
      <c r="CA1763">
        <v>3008</v>
      </c>
      <c r="CB1763">
        <v>216</v>
      </c>
      <c r="CC1763">
        <v>518.90629999999999</v>
      </c>
      <c r="CD1763">
        <v>1</v>
      </c>
      <c r="CE1763">
        <v>1</v>
      </c>
      <c r="CF1763">
        <v>0</v>
      </c>
      <c r="CG1763">
        <v>1</v>
      </c>
      <c r="CH1763">
        <v>0</v>
      </c>
      <c r="CI1763">
        <v>1</v>
      </c>
      <c r="CJ1763">
        <v>0</v>
      </c>
      <c r="CK1763">
        <v>2</v>
      </c>
      <c r="CL1763">
        <v>0</v>
      </c>
      <c r="CM1763">
        <v>2</v>
      </c>
      <c r="CN1763">
        <v>0</v>
      </c>
      <c r="CO1763">
        <v>1</v>
      </c>
      <c r="CP1763" t="s">
        <v>119</v>
      </c>
      <c r="CQ1763">
        <v>145</v>
      </c>
      <c r="CR1763">
        <v>1</v>
      </c>
      <c r="CW1763">
        <v>9218883</v>
      </c>
      <c r="CY1763">
        <v>0</v>
      </c>
      <c r="CZ1763">
        <v>0</v>
      </c>
      <c r="DA1763">
        <v>0</v>
      </c>
      <c r="DB1763">
        <v>0</v>
      </c>
      <c r="DC1763">
        <v>0</v>
      </c>
      <c r="DD1763">
        <v>0</v>
      </c>
      <c r="DE1763">
        <v>0</v>
      </c>
      <c r="DF1763">
        <v>0</v>
      </c>
      <c r="DG1763">
        <v>0</v>
      </c>
      <c r="DH1763">
        <v>0</v>
      </c>
      <c r="DI1763">
        <v>0</v>
      </c>
    </row>
    <row r="1764" spans="1:113" x14ac:dyDescent="0.3">
      <c r="A1764" t="str">
        <f>"02/13/2022 18:48:24.837"</f>
        <v>02/13/2022 18:48:24.837</v>
      </c>
      <c r="C1764" t="str">
        <f t="shared" si="167"/>
        <v>FFDFD7C0</v>
      </c>
      <c r="D1764" t="s">
        <v>113</v>
      </c>
      <c r="E1764">
        <v>3</v>
      </c>
      <c r="F1764">
        <v>1003</v>
      </c>
      <c r="G1764" t="s">
        <v>114</v>
      </c>
      <c r="J1764" t="s">
        <v>115</v>
      </c>
      <c r="K1764">
        <v>0</v>
      </c>
      <c r="L1764">
        <v>3</v>
      </c>
      <c r="M1764">
        <v>0</v>
      </c>
      <c r="N1764">
        <v>2</v>
      </c>
      <c r="O1764">
        <v>1</v>
      </c>
      <c r="P1764">
        <v>0</v>
      </c>
      <c r="Q1764">
        <v>0</v>
      </c>
      <c r="S1764" t="str">
        <f>"18:48:24.641"</f>
        <v>18:48:24.641</v>
      </c>
      <c r="T1764" t="str">
        <f>"18:48:23.641"</f>
        <v>18:48:23.641</v>
      </c>
      <c r="U1764" t="str">
        <f t="shared" si="168"/>
        <v>AAB6EE</v>
      </c>
      <c r="V1764">
        <v>0</v>
      </c>
      <c r="W1764">
        <v>0</v>
      </c>
      <c r="X1764">
        <v>4</v>
      </c>
      <c r="Z1764">
        <v>0</v>
      </c>
      <c r="AA1764">
        <v>8</v>
      </c>
      <c r="AB1764">
        <v>3</v>
      </c>
      <c r="AC1764">
        <v>0</v>
      </c>
      <c r="AD1764">
        <v>10</v>
      </c>
      <c r="AE1764">
        <v>0</v>
      </c>
      <c r="AF1764">
        <v>0</v>
      </c>
      <c r="AG1764">
        <v>2</v>
      </c>
      <c r="AH1764">
        <v>1</v>
      </c>
      <c r="AI1764" t="s">
        <v>1293</v>
      </c>
      <c r="AJ1764">
        <v>35.156807999999998</v>
      </c>
      <c r="AK1764" t="s">
        <v>1294</v>
      </c>
      <c r="AL1764">
        <v>-76.001250999999996</v>
      </c>
      <c r="AM1764">
        <v>25</v>
      </c>
      <c r="AN1764">
        <v>2925</v>
      </c>
      <c r="AO1764" t="s">
        <v>118</v>
      </c>
      <c r="AP1764">
        <v>72</v>
      </c>
      <c r="AQ1764">
        <v>-138</v>
      </c>
      <c r="AR1764">
        <v>0</v>
      </c>
      <c r="AZ1764">
        <v>4516</v>
      </c>
      <c r="BA1764">
        <v>1</v>
      </c>
      <c r="BB1764" t="str">
        <f t="shared" si="169"/>
        <v xml:space="preserve">N79NX   </v>
      </c>
      <c r="BC1764">
        <v>1</v>
      </c>
      <c r="BE1764">
        <v>0</v>
      </c>
      <c r="BF1764">
        <v>0</v>
      </c>
      <c r="BG1764">
        <v>0</v>
      </c>
      <c r="BH1764">
        <v>2775</v>
      </c>
      <c r="BI1764">
        <v>0</v>
      </c>
      <c r="BJ1764">
        <v>0</v>
      </c>
      <c r="BK1764">
        <v>0</v>
      </c>
      <c r="BL1764">
        <v>0</v>
      </c>
      <c r="BO1764">
        <v>0</v>
      </c>
      <c r="BP1764">
        <v>0</v>
      </c>
      <c r="BW1764" t="str">
        <f>"18:48:24.643"</f>
        <v>18:48:24.643</v>
      </c>
      <c r="BZ1764">
        <v>0</v>
      </c>
      <c r="CA1764">
        <v>3008</v>
      </c>
      <c r="CB1764">
        <v>216</v>
      </c>
      <c r="CC1764">
        <v>518.90629999999999</v>
      </c>
      <c r="CD1764">
        <v>1</v>
      </c>
      <c r="CE1764">
        <v>1</v>
      </c>
      <c r="CF1764">
        <v>0</v>
      </c>
      <c r="CG1764">
        <v>1</v>
      </c>
      <c r="CH1764">
        <v>0</v>
      </c>
      <c r="CI1764">
        <v>1</v>
      </c>
      <c r="CJ1764">
        <v>0</v>
      </c>
      <c r="CK1764">
        <v>2</v>
      </c>
      <c r="CL1764">
        <v>0</v>
      </c>
      <c r="CM1764">
        <v>2</v>
      </c>
      <c r="CN1764">
        <v>0</v>
      </c>
      <c r="CO1764">
        <v>1</v>
      </c>
      <c r="CP1764" t="s">
        <v>119</v>
      </c>
      <c r="CQ1764">
        <v>145</v>
      </c>
      <c r="CR1764">
        <v>1</v>
      </c>
      <c r="CW1764">
        <v>9218883</v>
      </c>
      <c r="CY1764">
        <v>0</v>
      </c>
      <c r="CZ1764">
        <v>0</v>
      </c>
      <c r="DA1764">
        <v>1</v>
      </c>
      <c r="DB1764">
        <v>0</v>
      </c>
      <c r="DC1764">
        <v>0</v>
      </c>
      <c r="DD1764">
        <v>0</v>
      </c>
      <c r="DE1764">
        <v>0</v>
      </c>
      <c r="DF1764">
        <v>0</v>
      </c>
      <c r="DG1764">
        <v>0</v>
      </c>
      <c r="DH1764">
        <v>0</v>
      </c>
      <c r="DI1764">
        <v>0</v>
      </c>
    </row>
    <row r="1765" spans="1:113" x14ac:dyDescent="0.3">
      <c r="A1765" t="str">
        <f>"02/13/2022 18:48:24.837"</f>
        <v>02/13/2022 18:48:24.837</v>
      </c>
      <c r="C1765" t="str">
        <f t="shared" ref="C1765:C1780" si="170">"FFDFD7C0"</f>
        <v>FFDFD7C0</v>
      </c>
      <c r="D1765" t="s">
        <v>113</v>
      </c>
      <c r="E1765">
        <v>4</v>
      </c>
      <c r="F1765">
        <v>1004</v>
      </c>
      <c r="G1765" t="s">
        <v>120</v>
      </c>
      <c r="J1765" t="s">
        <v>115</v>
      </c>
      <c r="K1765">
        <v>0</v>
      </c>
      <c r="L1765">
        <v>3</v>
      </c>
      <c r="M1765">
        <v>0</v>
      </c>
      <c r="N1765">
        <v>2</v>
      </c>
      <c r="O1765">
        <v>1</v>
      </c>
      <c r="P1765">
        <v>0</v>
      </c>
      <c r="Q1765">
        <v>0</v>
      </c>
      <c r="S1765" t="str">
        <f>"18:48:24.641"</f>
        <v>18:48:24.641</v>
      </c>
      <c r="T1765" t="str">
        <f>"18:48:23.641"</f>
        <v>18:48:23.641</v>
      </c>
      <c r="U1765" t="str">
        <f t="shared" si="168"/>
        <v>AAB6EE</v>
      </c>
      <c r="V1765">
        <v>0</v>
      </c>
      <c r="W1765">
        <v>0</v>
      </c>
      <c r="X1765">
        <v>4</v>
      </c>
      <c r="Z1765">
        <v>0</v>
      </c>
      <c r="AA1765">
        <v>8</v>
      </c>
      <c r="AB1765">
        <v>3</v>
      </c>
      <c r="AC1765">
        <v>0</v>
      </c>
      <c r="AD1765">
        <v>10</v>
      </c>
      <c r="AE1765">
        <v>0</v>
      </c>
      <c r="AF1765">
        <v>0</v>
      </c>
      <c r="AG1765">
        <v>2</v>
      </c>
      <c r="AH1765">
        <v>1</v>
      </c>
      <c r="AI1765" t="s">
        <v>1293</v>
      </c>
      <c r="AJ1765">
        <v>35.156807999999998</v>
      </c>
      <c r="AK1765" t="s">
        <v>1294</v>
      </c>
      <c r="AL1765">
        <v>-76.001250999999996</v>
      </c>
      <c r="AM1765">
        <v>25</v>
      </c>
      <c r="AN1765">
        <v>2925</v>
      </c>
      <c r="AO1765" t="s">
        <v>118</v>
      </c>
      <c r="AP1765">
        <v>72</v>
      </c>
      <c r="AQ1765">
        <v>-138</v>
      </c>
      <c r="AR1765">
        <v>0</v>
      </c>
      <c r="AZ1765">
        <v>4516</v>
      </c>
      <c r="BA1765">
        <v>1</v>
      </c>
      <c r="BB1765" t="str">
        <f t="shared" si="169"/>
        <v xml:space="preserve">N79NX   </v>
      </c>
      <c r="BC1765">
        <v>1</v>
      </c>
      <c r="BE1765">
        <v>0</v>
      </c>
      <c r="BF1765">
        <v>0</v>
      </c>
      <c r="BG1765">
        <v>0</v>
      </c>
      <c r="BH1765">
        <v>2775</v>
      </c>
      <c r="BI1765">
        <v>0</v>
      </c>
      <c r="BJ1765">
        <v>0</v>
      </c>
      <c r="BK1765">
        <v>0</v>
      </c>
      <c r="BL1765">
        <v>0</v>
      </c>
      <c r="BO1765">
        <v>0</v>
      </c>
      <c r="BP1765">
        <v>0</v>
      </c>
      <c r="BW1765" t="str">
        <f>"18:48:24.643"</f>
        <v>18:48:24.643</v>
      </c>
      <c r="BZ1765">
        <v>0</v>
      </c>
      <c r="CA1765">
        <v>3008</v>
      </c>
      <c r="CB1765">
        <v>216</v>
      </c>
      <c r="CC1765">
        <v>518.90629999999999</v>
      </c>
      <c r="CD1765">
        <v>1</v>
      </c>
      <c r="CE1765">
        <v>1</v>
      </c>
      <c r="CF1765">
        <v>0</v>
      </c>
      <c r="CG1765">
        <v>1</v>
      </c>
      <c r="CH1765">
        <v>0</v>
      </c>
      <c r="CI1765">
        <v>1</v>
      </c>
      <c r="CJ1765">
        <v>0</v>
      </c>
      <c r="CK1765">
        <v>2</v>
      </c>
      <c r="CL1765">
        <v>0</v>
      </c>
      <c r="CM1765">
        <v>2</v>
      </c>
      <c r="CN1765">
        <v>0</v>
      </c>
      <c r="CO1765">
        <v>1</v>
      </c>
      <c r="CP1765" t="s">
        <v>119</v>
      </c>
      <c r="CQ1765">
        <v>145</v>
      </c>
      <c r="CR1765">
        <v>1</v>
      </c>
      <c r="CW1765">
        <v>9218883</v>
      </c>
      <c r="CY1765">
        <v>0</v>
      </c>
      <c r="CZ1765">
        <v>0</v>
      </c>
      <c r="DA1765">
        <v>1</v>
      </c>
      <c r="DB1765">
        <v>0</v>
      </c>
      <c r="DC1765">
        <v>0</v>
      </c>
      <c r="DD1765">
        <v>0</v>
      </c>
      <c r="DE1765">
        <v>0</v>
      </c>
      <c r="DF1765">
        <v>0</v>
      </c>
      <c r="DG1765">
        <v>0</v>
      </c>
      <c r="DH1765">
        <v>0</v>
      </c>
      <c r="DI1765">
        <v>0</v>
      </c>
    </row>
    <row r="1766" spans="1:113" x14ac:dyDescent="0.3">
      <c r="A1766" t="str">
        <f>"02/13/2022 18:48:26.822"</f>
        <v>02/13/2022 18:48:26.822</v>
      </c>
      <c r="C1766" t="str">
        <f t="shared" si="170"/>
        <v>FFDFD7C0</v>
      </c>
      <c r="D1766" t="s">
        <v>121</v>
      </c>
      <c r="E1766">
        <v>2</v>
      </c>
      <c r="H1766">
        <v>158</v>
      </c>
      <c r="I1766" t="s">
        <v>120</v>
      </c>
      <c r="J1766" t="s">
        <v>122</v>
      </c>
      <c r="K1766">
        <v>0</v>
      </c>
      <c r="L1766">
        <v>3</v>
      </c>
      <c r="M1766">
        <v>0</v>
      </c>
      <c r="N1766">
        <v>2</v>
      </c>
      <c r="O1766">
        <v>1</v>
      </c>
      <c r="P1766">
        <v>0</v>
      </c>
      <c r="Q1766">
        <v>0</v>
      </c>
      <c r="S1766" t="str">
        <f>"18:48:26.578"</f>
        <v>18:48:26.578</v>
      </c>
      <c r="T1766" t="str">
        <f>"18:48:25.578"</f>
        <v>18:48:25.578</v>
      </c>
      <c r="U1766" t="str">
        <f t="shared" si="168"/>
        <v>AAB6EE</v>
      </c>
      <c r="V1766">
        <v>0</v>
      </c>
      <c r="W1766">
        <v>0</v>
      </c>
      <c r="X1766">
        <v>4</v>
      </c>
      <c r="Z1766">
        <v>0</v>
      </c>
      <c r="AA1766">
        <v>8</v>
      </c>
      <c r="AB1766">
        <v>3</v>
      </c>
      <c r="AC1766">
        <v>0</v>
      </c>
      <c r="AD1766">
        <v>10</v>
      </c>
      <c r="AE1766">
        <v>0</v>
      </c>
      <c r="AF1766">
        <v>0</v>
      </c>
      <c r="AG1766">
        <v>2</v>
      </c>
      <c r="AH1766">
        <v>1</v>
      </c>
      <c r="AI1766" t="s">
        <v>1295</v>
      </c>
      <c r="AJ1766">
        <v>35.155563000000001</v>
      </c>
      <c r="AK1766" t="s">
        <v>1296</v>
      </c>
      <c r="AL1766">
        <v>-76.000500000000002</v>
      </c>
      <c r="AM1766">
        <v>25</v>
      </c>
      <c r="AN1766">
        <v>2925</v>
      </c>
      <c r="AO1766" t="s">
        <v>118</v>
      </c>
      <c r="AP1766">
        <v>72</v>
      </c>
      <c r="AQ1766">
        <v>-138</v>
      </c>
      <c r="AR1766">
        <v>0</v>
      </c>
      <c r="AZ1766">
        <v>4516</v>
      </c>
      <c r="BA1766">
        <v>1</v>
      </c>
      <c r="BB1766" t="str">
        <f t="shared" si="169"/>
        <v xml:space="preserve">N79NX   </v>
      </c>
      <c r="BC1766">
        <v>1</v>
      </c>
      <c r="BE1766">
        <v>0</v>
      </c>
      <c r="BF1766">
        <v>0</v>
      </c>
      <c r="BG1766">
        <v>0</v>
      </c>
      <c r="BH1766">
        <v>2775</v>
      </c>
      <c r="BI1766">
        <v>0</v>
      </c>
      <c r="BJ1766">
        <v>0</v>
      </c>
      <c r="BK1766">
        <v>0</v>
      </c>
      <c r="BL1766">
        <v>0</v>
      </c>
      <c r="BO1766">
        <v>0</v>
      </c>
      <c r="BP1766">
        <v>0</v>
      </c>
      <c r="BW1766" t="str">
        <f>"18:48:26.583"</f>
        <v>18:48:26.583</v>
      </c>
      <c r="BZ1766">
        <v>0</v>
      </c>
      <c r="CA1766">
        <v>3008</v>
      </c>
      <c r="CB1766">
        <v>216</v>
      </c>
      <c r="CC1766">
        <v>518.90629999999999</v>
      </c>
      <c r="CD1766">
        <v>1</v>
      </c>
      <c r="CE1766">
        <v>1</v>
      </c>
      <c r="CF1766">
        <v>0</v>
      </c>
      <c r="CG1766">
        <v>1</v>
      </c>
      <c r="CH1766">
        <v>0</v>
      </c>
      <c r="CI1766">
        <v>1</v>
      </c>
      <c r="CJ1766">
        <v>0</v>
      </c>
      <c r="CK1766">
        <v>2</v>
      </c>
      <c r="CL1766">
        <v>0</v>
      </c>
      <c r="CM1766">
        <v>2</v>
      </c>
      <c r="CN1766">
        <v>0</v>
      </c>
      <c r="CO1766">
        <v>1</v>
      </c>
      <c r="CP1766" t="s">
        <v>119</v>
      </c>
      <c r="CQ1766">
        <v>145</v>
      </c>
      <c r="CR1766">
        <v>1</v>
      </c>
      <c r="CW1766">
        <v>9219810</v>
      </c>
      <c r="CY1766">
        <v>0</v>
      </c>
      <c r="CZ1766">
        <v>0</v>
      </c>
      <c r="DA1766">
        <v>0</v>
      </c>
      <c r="DB1766">
        <v>0</v>
      </c>
      <c r="DC1766">
        <v>0</v>
      </c>
      <c r="DD1766">
        <v>0</v>
      </c>
      <c r="DE1766">
        <v>0</v>
      </c>
      <c r="DF1766">
        <v>0</v>
      </c>
      <c r="DG1766">
        <v>0</v>
      </c>
      <c r="DH1766">
        <v>0</v>
      </c>
      <c r="DI1766">
        <v>0</v>
      </c>
    </row>
    <row r="1767" spans="1:113" x14ac:dyDescent="0.3">
      <c r="A1767" t="str">
        <f>"02/13/2022 18:48:26.822"</f>
        <v>02/13/2022 18:48:26.822</v>
      </c>
      <c r="C1767" t="str">
        <f t="shared" si="170"/>
        <v>FFDFD7C0</v>
      </c>
      <c r="D1767" t="s">
        <v>113</v>
      </c>
      <c r="E1767">
        <v>3</v>
      </c>
      <c r="F1767">
        <v>1003</v>
      </c>
      <c r="G1767" t="s">
        <v>114</v>
      </c>
      <c r="J1767" t="s">
        <v>115</v>
      </c>
      <c r="K1767">
        <v>0</v>
      </c>
      <c r="L1767">
        <v>3</v>
      </c>
      <c r="M1767">
        <v>0</v>
      </c>
      <c r="N1767">
        <v>2</v>
      </c>
      <c r="O1767">
        <v>1</v>
      </c>
      <c r="P1767">
        <v>0</v>
      </c>
      <c r="Q1767">
        <v>0</v>
      </c>
      <c r="S1767" t="str">
        <f>"18:48:26.578"</f>
        <v>18:48:26.578</v>
      </c>
      <c r="T1767" t="str">
        <f>"18:48:25.578"</f>
        <v>18:48:25.578</v>
      </c>
      <c r="U1767" t="str">
        <f t="shared" si="168"/>
        <v>AAB6EE</v>
      </c>
      <c r="V1767">
        <v>0</v>
      </c>
      <c r="W1767">
        <v>0</v>
      </c>
      <c r="X1767">
        <v>4</v>
      </c>
      <c r="Z1767">
        <v>0</v>
      </c>
      <c r="AA1767">
        <v>8</v>
      </c>
      <c r="AB1767">
        <v>3</v>
      </c>
      <c r="AC1767">
        <v>0</v>
      </c>
      <c r="AD1767">
        <v>10</v>
      </c>
      <c r="AE1767">
        <v>0</v>
      </c>
      <c r="AF1767">
        <v>0</v>
      </c>
      <c r="AG1767">
        <v>2</v>
      </c>
      <c r="AH1767">
        <v>1</v>
      </c>
      <c r="AI1767" t="s">
        <v>1295</v>
      </c>
      <c r="AJ1767">
        <v>35.155563000000001</v>
      </c>
      <c r="AK1767" t="s">
        <v>1296</v>
      </c>
      <c r="AL1767">
        <v>-76.000500000000002</v>
      </c>
      <c r="AM1767">
        <v>25</v>
      </c>
      <c r="AN1767">
        <v>2925</v>
      </c>
      <c r="AO1767" t="s">
        <v>118</v>
      </c>
      <c r="AP1767">
        <v>72</v>
      </c>
      <c r="AQ1767">
        <v>-138</v>
      </c>
      <c r="AR1767">
        <v>0</v>
      </c>
      <c r="AZ1767">
        <v>4516</v>
      </c>
      <c r="BA1767">
        <v>1</v>
      </c>
      <c r="BB1767" t="str">
        <f t="shared" si="169"/>
        <v xml:space="preserve">N79NX   </v>
      </c>
      <c r="BC1767">
        <v>1</v>
      </c>
      <c r="BE1767">
        <v>0</v>
      </c>
      <c r="BF1767">
        <v>0</v>
      </c>
      <c r="BG1767">
        <v>0</v>
      </c>
      <c r="BH1767">
        <v>2775</v>
      </c>
      <c r="BI1767">
        <v>0</v>
      </c>
      <c r="BJ1767">
        <v>0</v>
      </c>
      <c r="BK1767">
        <v>0</v>
      </c>
      <c r="BL1767">
        <v>0</v>
      </c>
      <c r="BO1767">
        <v>0</v>
      </c>
      <c r="BP1767">
        <v>0</v>
      </c>
      <c r="BW1767" t="str">
        <f>"18:48:26.583"</f>
        <v>18:48:26.583</v>
      </c>
      <c r="BZ1767">
        <v>0</v>
      </c>
      <c r="CA1767">
        <v>3008</v>
      </c>
      <c r="CB1767">
        <v>216</v>
      </c>
      <c r="CC1767">
        <v>518.90629999999999</v>
      </c>
      <c r="CD1767">
        <v>1</v>
      </c>
      <c r="CE1767">
        <v>1</v>
      </c>
      <c r="CF1767">
        <v>0</v>
      </c>
      <c r="CG1767">
        <v>1</v>
      </c>
      <c r="CH1767">
        <v>0</v>
      </c>
      <c r="CI1767">
        <v>1</v>
      </c>
      <c r="CJ1767">
        <v>0</v>
      </c>
      <c r="CK1767">
        <v>2</v>
      </c>
      <c r="CL1767">
        <v>0</v>
      </c>
      <c r="CM1767">
        <v>2</v>
      </c>
      <c r="CN1767">
        <v>0</v>
      </c>
      <c r="CO1767">
        <v>1</v>
      </c>
      <c r="CP1767" t="s">
        <v>119</v>
      </c>
      <c r="CQ1767">
        <v>145</v>
      </c>
      <c r="CR1767">
        <v>1</v>
      </c>
      <c r="CW1767">
        <v>9219810</v>
      </c>
      <c r="CY1767">
        <v>0</v>
      </c>
      <c r="CZ1767">
        <v>0</v>
      </c>
      <c r="DA1767">
        <v>1</v>
      </c>
      <c r="DB1767">
        <v>0</v>
      </c>
      <c r="DC1767">
        <v>0</v>
      </c>
      <c r="DD1767">
        <v>0</v>
      </c>
      <c r="DE1767">
        <v>0</v>
      </c>
      <c r="DF1767">
        <v>0</v>
      </c>
      <c r="DG1767">
        <v>0</v>
      </c>
      <c r="DH1767">
        <v>0</v>
      </c>
      <c r="DI1767">
        <v>0</v>
      </c>
    </row>
    <row r="1768" spans="1:113" x14ac:dyDescent="0.3">
      <c r="A1768" t="str">
        <f>"02/13/2022 18:48:26.822"</f>
        <v>02/13/2022 18:48:26.822</v>
      </c>
      <c r="C1768" t="str">
        <f t="shared" si="170"/>
        <v>FFDFD7C0</v>
      </c>
      <c r="D1768" t="s">
        <v>113</v>
      </c>
      <c r="E1768">
        <v>4</v>
      </c>
      <c r="F1768">
        <v>1004</v>
      </c>
      <c r="G1768" t="s">
        <v>120</v>
      </c>
      <c r="J1768" t="s">
        <v>115</v>
      </c>
      <c r="K1768">
        <v>0</v>
      </c>
      <c r="L1768">
        <v>3</v>
      </c>
      <c r="M1768">
        <v>0</v>
      </c>
      <c r="N1768">
        <v>2</v>
      </c>
      <c r="O1768">
        <v>1</v>
      </c>
      <c r="P1768">
        <v>0</v>
      </c>
      <c r="Q1768">
        <v>0</v>
      </c>
      <c r="S1768" t="str">
        <f>"18:48:26.578"</f>
        <v>18:48:26.578</v>
      </c>
      <c r="T1768" t="str">
        <f>"18:48:25.578"</f>
        <v>18:48:25.578</v>
      </c>
      <c r="U1768" t="str">
        <f t="shared" si="168"/>
        <v>AAB6EE</v>
      </c>
      <c r="V1768">
        <v>0</v>
      </c>
      <c r="W1768">
        <v>0</v>
      </c>
      <c r="X1768">
        <v>4</v>
      </c>
      <c r="Z1768">
        <v>0</v>
      </c>
      <c r="AA1768">
        <v>8</v>
      </c>
      <c r="AB1768">
        <v>3</v>
      </c>
      <c r="AC1768">
        <v>0</v>
      </c>
      <c r="AD1768">
        <v>10</v>
      </c>
      <c r="AE1768">
        <v>0</v>
      </c>
      <c r="AF1768">
        <v>0</v>
      </c>
      <c r="AG1768">
        <v>2</v>
      </c>
      <c r="AH1768">
        <v>1</v>
      </c>
      <c r="AI1768" t="s">
        <v>1295</v>
      </c>
      <c r="AJ1768">
        <v>35.155563000000001</v>
      </c>
      <c r="AK1768" t="s">
        <v>1296</v>
      </c>
      <c r="AL1768">
        <v>-76.000500000000002</v>
      </c>
      <c r="AM1768">
        <v>25</v>
      </c>
      <c r="AN1768">
        <v>2925</v>
      </c>
      <c r="AO1768" t="s">
        <v>118</v>
      </c>
      <c r="AP1768">
        <v>72</v>
      </c>
      <c r="AQ1768">
        <v>-138</v>
      </c>
      <c r="AR1768">
        <v>0</v>
      </c>
      <c r="AZ1768">
        <v>4516</v>
      </c>
      <c r="BA1768">
        <v>1</v>
      </c>
      <c r="BB1768" t="str">
        <f t="shared" si="169"/>
        <v xml:space="preserve">N79NX   </v>
      </c>
      <c r="BC1768">
        <v>1</v>
      </c>
      <c r="BE1768">
        <v>0</v>
      </c>
      <c r="BF1768">
        <v>0</v>
      </c>
      <c r="BG1768">
        <v>0</v>
      </c>
      <c r="BH1768">
        <v>2775</v>
      </c>
      <c r="BI1768">
        <v>0</v>
      </c>
      <c r="BJ1768">
        <v>0</v>
      </c>
      <c r="BK1768">
        <v>0</v>
      </c>
      <c r="BL1768">
        <v>0</v>
      </c>
      <c r="BO1768">
        <v>0</v>
      </c>
      <c r="BP1768">
        <v>0</v>
      </c>
      <c r="BW1768" t="str">
        <f>"18:48:26.583"</f>
        <v>18:48:26.583</v>
      </c>
      <c r="BZ1768">
        <v>0</v>
      </c>
      <c r="CA1768">
        <v>3008</v>
      </c>
      <c r="CB1768">
        <v>216</v>
      </c>
      <c r="CC1768">
        <v>518.90629999999999</v>
      </c>
      <c r="CD1768">
        <v>1</v>
      </c>
      <c r="CE1768">
        <v>1</v>
      </c>
      <c r="CF1768">
        <v>0</v>
      </c>
      <c r="CG1768">
        <v>1</v>
      </c>
      <c r="CH1768">
        <v>0</v>
      </c>
      <c r="CI1768">
        <v>1</v>
      </c>
      <c r="CJ1768">
        <v>0</v>
      </c>
      <c r="CK1768">
        <v>2</v>
      </c>
      <c r="CL1768">
        <v>0</v>
      </c>
      <c r="CM1768">
        <v>2</v>
      </c>
      <c r="CN1768">
        <v>0</v>
      </c>
      <c r="CO1768">
        <v>1</v>
      </c>
      <c r="CP1768" t="s">
        <v>119</v>
      </c>
      <c r="CQ1768">
        <v>145</v>
      </c>
      <c r="CR1768">
        <v>1</v>
      </c>
      <c r="CW1768">
        <v>9219810</v>
      </c>
      <c r="CY1768">
        <v>0</v>
      </c>
      <c r="CZ1768">
        <v>0</v>
      </c>
      <c r="DA1768">
        <v>1</v>
      </c>
      <c r="DB1768">
        <v>0</v>
      </c>
      <c r="DC1768">
        <v>0</v>
      </c>
      <c r="DD1768">
        <v>0</v>
      </c>
      <c r="DE1768">
        <v>0</v>
      </c>
      <c r="DF1768">
        <v>0</v>
      </c>
      <c r="DG1768">
        <v>0</v>
      </c>
      <c r="DH1768">
        <v>0</v>
      </c>
      <c r="DI1768">
        <v>0</v>
      </c>
    </row>
    <row r="1769" spans="1:113" x14ac:dyDescent="0.3">
      <c r="A1769" t="str">
        <f>"02/13/2022 18:48:27.776"</f>
        <v>02/13/2022 18:48:27.776</v>
      </c>
      <c r="C1769" t="str">
        <f t="shared" si="170"/>
        <v>FFDFD7C0</v>
      </c>
      <c r="D1769" t="s">
        <v>113</v>
      </c>
      <c r="E1769">
        <v>3</v>
      </c>
      <c r="F1769">
        <v>1003</v>
      </c>
      <c r="G1769" t="s">
        <v>114</v>
      </c>
      <c r="J1769" t="s">
        <v>115</v>
      </c>
      <c r="K1769">
        <v>0</v>
      </c>
      <c r="L1769">
        <v>3</v>
      </c>
      <c r="M1769">
        <v>0</v>
      </c>
      <c r="N1769">
        <v>2</v>
      </c>
      <c r="O1769">
        <v>1</v>
      </c>
      <c r="P1769">
        <v>0</v>
      </c>
      <c r="Q1769">
        <v>0</v>
      </c>
      <c r="S1769" t="str">
        <f t="shared" ref="S1769:T1771" si="171">"18:48:27.508"</f>
        <v>18:48:27.508</v>
      </c>
      <c r="T1769" t="str">
        <f t="shared" si="171"/>
        <v>18:48:27.508</v>
      </c>
      <c r="U1769" t="str">
        <f t="shared" si="168"/>
        <v>AAB6EE</v>
      </c>
      <c r="V1769">
        <v>0</v>
      </c>
      <c r="W1769">
        <v>0</v>
      </c>
      <c r="X1769">
        <v>4</v>
      </c>
      <c r="Z1769">
        <v>0</v>
      </c>
      <c r="AA1769">
        <v>8</v>
      </c>
      <c r="AB1769">
        <v>3</v>
      </c>
      <c r="AC1769">
        <v>0</v>
      </c>
      <c r="AD1769">
        <v>10</v>
      </c>
      <c r="AE1769">
        <v>0</v>
      </c>
      <c r="AF1769">
        <v>0</v>
      </c>
      <c r="AG1769">
        <v>2</v>
      </c>
      <c r="AH1769">
        <v>1</v>
      </c>
      <c r="AI1769" t="s">
        <v>1297</v>
      </c>
      <c r="AJ1769">
        <v>35.154919999999997</v>
      </c>
      <c r="AK1769" t="s">
        <v>1298</v>
      </c>
      <c r="AL1769">
        <v>-76.000049000000004</v>
      </c>
      <c r="AM1769">
        <v>25</v>
      </c>
      <c r="AN1769">
        <v>2925</v>
      </c>
      <c r="AO1769" t="s">
        <v>118</v>
      </c>
      <c r="AP1769">
        <v>72</v>
      </c>
      <c r="AQ1769">
        <v>-138</v>
      </c>
      <c r="AR1769">
        <v>0</v>
      </c>
      <c r="AZ1769">
        <v>4516</v>
      </c>
      <c r="BA1769">
        <v>1</v>
      </c>
      <c r="BB1769" t="str">
        <f t="shared" si="169"/>
        <v xml:space="preserve">N79NX   </v>
      </c>
      <c r="BC1769">
        <v>1</v>
      </c>
      <c r="BE1769">
        <v>0</v>
      </c>
      <c r="BF1769">
        <v>0</v>
      </c>
      <c r="BG1769">
        <v>0</v>
      </c>
      <c r="BH1769">
        <v>2775</v>
      </c>
      <c r="BI1769">
        <v>0</v>
      </c>
      <c r="BJ1769">
        <v>0</v>
      </c>
      <c r="BK1769">
        <v>0</v>
      </c>
      <c r="BL1769">
        <v>0</v>
      </c>
      <c r="BO1769">
        <v>0</v>
      </c>
      <c r="BP1769">
        <v>0</v>
      </c>
      <c r="BW1769" t="str">
        <f>"18:48:27.513"</f>
        <v>18:48:27.513</v>
      </c>
      <c r="BZ1769">
        <v>0</v>
      </c>
      <c r="CA1769">
        <v>3008</v>
      </c>
      <c r="CB1769">
        <v>216</v>
      </c>
      <c r="CC1769">
        <v>518.90629999999999</v>
      </c>
      <c r="CD1769">
        <v>1</v>
      </c>
      <c r="CE1769">
        <v>1</v>
      </c>
      <c r="CF1769">
        <v>0</v>
      </c>
      <c r="CG1769">
        <v>1</v>
      </c>
      <c r="CH1769">
        <v>0</v>
      </c>
      <c r="CI1769">
        <v>1</v>
      </c>
      <c r="CJ1769">
        <v>0</v>
      </c>
      <c r="CK1769">
        <v>2</v>
      </c>
      <c r="CL1769">
        <v>0</v>
      </c>
      <c r="CM1769">
        <v>2</v>
      </c>
      <c r="CN1769">
        <v>0</v>
      </c>
      <c r="CO1769">
        <v>2</v>
      </c>
      <c r="CP1769" t="s">
        <v>119</v>
      </c>
      <c r="CQ1769">
        <v>145</v>
      </c>
      <c r="CR1769">
        <v>1</v>
      </c>
      <c r="CW1769">
        <v>9220171</v>
      </c>
      <c r="CY1769">
        <v>0</v>
      </c>
      <c r="CZ1769">
        <v>0</v>
      </c>
      <c r="DA1769">
        <v>0</v>
      </c>
      <c r="DB1769">
        <v>0</v>
      </c>
      <c r="DC1769">
        <v>0</v>
      </c>
      <c r="DD1769">
        <v>0</v>
      </c>
      <c r="DE1769">
        <v>0</v>
      </c>
      <c r="DF1769">
        <v>0</v>
      </c>
      <c r="DG1769">
        <v>0</v>
      </c>
      <c r="DH1769">
        <v>0</v>
      </c>
      <c r="DI1769">
        <v>0</v>
      </c>
    </row>
    <row r="1770" spans="1:113" x14ac:dyDescent="0.3">
      <c r="A1770" t="str">
        <f>"02/13/2022 18:48:27.776"</f>
        <v>02/13/2022 18:48:27.776</v>
      </c>
      <c r="C1770" t="str">
        <f t="shared" si="170"/>
        <v>FFDFD7C0</v>
      </c>
      <c r="D1770" t="s">
        <v>113</v>
      </c>
      <c r="E1770">
        <v>4</v>
      </c>
      <c r="F1770">
        <v>1004</v>
      </c>
      <c r="G1770" t="s">
        <v>120</v>
      </c>
      <c r="J1770" t="s">
        <v>115</v>
      </c>
      <c r="K1770">
        <v>0</v>
      </c>
      <c r="L1770">
        <v>3</v>
      </c>
      <c r="M1770">
        <v>0</v>
      </c>
      <c r="N1770">
        <v>2</v>
      </c>
      <c r="O1770">
        <v>1</v>
      </c>
      <c r="P1770">
        <v>0</v>
      </c>
      <c r="Q1770">
        <v>0</v>
      </c>
      <c r="S1770" t="str">
        <f t="shared" si="171"/>
        <v>18:48:27.508</v>
      </c>
      <c r="T1770" t="str">
        <f t="shared" si="171"/>
        <v>18:48:27.508</v>
      </c>
      <c r="U1770" t="str">
        <f t="shared" si="168"/>
        <v>AAB6EE</v>
      </c>
      <c r="V1770">
        <v>0</v>
      </c>
      <c r="W1770">
        <v>0</v>
      </c>
      <c r="X1770">
        <v>4</v>
      </c>
      <c r="Z1770">
        <v>0</v>
      </c>
      <c r="AA1770">
        <v>8</v>
      </c>
      <c r="AB1770">
        <v>3</v>
      </c>
      <c r="AC1770">
        <v>0</v>
      </c>
      <c r="AD1770">
        <v>10</v>
      </c>
      <c r="AE1770">
        <v>0</v>
      </c>
      <c r="AF1770">
        <v>0</v>
      </c>
      <c r="AG1770">
        <v>2</v>
      </c>
      <c r="AH1770">
        <v>1</v>
      </c>
      <c r="AI1770" t="s">
        <v>1297</v>
      </c>
      <c r="AJ1770">
        <v>35.154919999999997</v>
      </c>
      <c r="AK1770" t="s">
        <v>1298</v>
      </c>
      <c r="AL1770">
        <v>-76.000049000000004</v>
      </c>
      <c r="AM1770">
        <v>25</v>
      </c>
      <c r="AN1770">
        <v>2925</v>
      </c>
      <c r="AO1770" t="s">
        <v>118</v>
      </c>
      <c r="AP1770">
        <v>72</v>
      </c>
      <c r="AQ1770">
        <v>-138</v>
      </c>
      <c r="AR1770">
        <v>0</v>
      </c>
      <c r="AZ1770">
        <v>4516</v>
      </c>
      <c r="BA1770">
        <v>1</v>
      </c>
      <c r="BB1770" t="str">
        <f t="shared" si="169"/>
        <v xml:space="preserve">N79NX   </v>
      </c>
      <c r="BC1770">
        <v>1</v>
      </c>
      <c r="BE1770">
        <v>0</v>
      </c>
      <c r="BF1770">
        <v>0</v>
      </c>
      <c r="BG1770">
        <v>0</v>
      </c>
      <c r="BH1770">
        <v>2775</v>
      </c>
      <c r="BI1770">
        <v>0</v>
      </c>
      <c r="BJ1770">
        <v>0</v>
      </c>
      <c r="BK1770">
        <v>0</v>
      </c>
      <c r="BL1770">
        <v>0</v>
      </c>
      <c r="BO1770">
        <v>0</v>
      </c>
      <c r="BP1770">
        <v>0</v>
      </c>
      <c r="BW1770" t="str">
        <f>"18:48:27.513"</f>
        <v>18:48:27.513</v>
      </c>
      <c r="BZ1770">
        <v>0</v>
      </c>
      <c r="CA1770">
        <v>3008</v>
      </c>
      <c r="CB1770">
        <v>216</v>
      </c>
      <c r="CC1770">
        <v>518.90629999999999</v>
      </c>
      <c r="CD1770">
        <v>1</v>
      </c>
      <c r="CE1770">
        <v>1</v>
      </c>
      <c r="CF1770">
        <v>0</v>
      </c>
      <c r="CG1770">
        <v>1</v>
      </c>
      <c r="CH1770">
        <v>0</v>
      </c>
      <c r="CI1770">
        <v>1</v>
      </c>
      <c r="CJ1770">
        <v>0</v>
      </c>
      <c r="CK1770">
        <v>2</v>
      </c>
      <c r="CL1770">
        <v>0</v>
      </c>
      <c r="CM1770">
        <v>2</v>
      </c>
      <c r="CN1770">
        <v>0</v>
      </c>
      <c r="CO1770">
        <v>2</v>
      </c>
      <c r="CP1770" t="s">
        <v>119</v>
      </c>
      <c r="CQ1770">
        <v>145</v>
      </c>
      <c r="CR1770">
        <v>1</v>
      </c>
      <c r="CW1770">
        <v>9220171</v>
      </c>
      <c r="CY1770">
        <v>0</v>
      </c>
      <c r="CZ1770">
        <v>0</v>
      </c>
      <c r="DA1770">
        <v>1</v>
      </c>
      <c r="DB1770">
        <v>0</v>
      </c>
      <c r="DC1770">
        <v>0</v>
      </c>
      <c r="DD1770">
        <v>0</v>
      </c>
      <c r="DE1770">
        <v>0</v>
      </c>
      <c r="DF1770">
        <v>0</v>
      </c>
      <c r="DG1770">
        <v>0</v>
      </c>
      <c r="DH1770">
        <v>0</v>
      </c>
      <c r="DI1770">
        <v>0</v>
      </c>
    </row>
    <row r="1771" spans="1:113" x14ac:dyDescent="0.3">
      <c r="A1771" t="str">
        <f>"02/13/2022 18:48:27.776"</f>
        <v>02/13/2022 18:48:27.776</v>
      </c>
      <c r="C1771" t="str">
        <f t="shared" si="170"/>
        <v>FFDFD7C0</v>
      </c>
      <c r="D1771" t="s">
        <v>121</v>
      </c>
      <c r="E1771">
        <v>2</v>
      </c>
      <c r="H1771">
        <v>158</v>
      </c>
      <c r="I1771" t="s">
        <v>120</v>
      </c>
      <c r="J1771" t="s">
        <v>122</v>
      </c>
      <c r="K1771">
        <v>0</v>
      </c>
      <c r="L1771">
        <v>3</v>
      </c>
      <c r="M1771">
        <v>0</v>
      </c>
      <c r="N1771">
        <v>2</v>
      </c>
      <c r="O1771">
        <v>1</v>
      </c>
      <c r="P1771">
        <v>0</v>
      </c>
      <c r="Q1771">
        <v>0</v>
      </c>
      <c r="S1771" t="str">
        <f t="shared" si="171"/>
        <v>18:48:27.508</v>
      </c>
      <c r="T1771" t="str">
        <f t="shared" si="171"/>
        <v>18:48:27.508</v>
      </c>
      <c r="U1771" t="str">
        <f t="shared" si="168"/>
        <v>AAB6EE</v>
      </c>
      <c r="V1771">
        <v>0</v>
      </c>
      <c r="W1771">
        <v>0</v>
      </c>
      <c r="X1771">
        <v>4</v>
      </c>
      <c r="Z1771">
        <v>0</v>
      </c>
      <c r="AA1771">
        <v>8</v>
      </c>
      <c r="AB1771">
        <v>3</v>
      </c>
      <c r="AC1771">
        <v>0</v>
      </c>
      <c r="AD1771">
        <v>10</v>
      </c>
      <c r="AE1771">
        <v>0</v>
      </c>
      <c r="AF1771">
        <v>0</v>
      </c>
      <c r="AG1771">
        <v>2</v>
      </c>
      <c r="AH1771">
        <v>1</v>
      </c>
      <c r="AI1771" t="s">
        <v>1297</v>
      </c>
      <c r="AJ1771">
        <v>35.154919999999997</v>
      </c>
      <c r="AK1771" t="s">
        <v>1298</v>
      </c>
      <c r="AL1771">
        <v>-76.000049000000004</v>
      </c>
      <c r="AM1771">
        <v>25</v>
      </c>
      <c r="AN1771">
        <v>2925</v>
      </c>
      <c r="AO1771" t="s">
        <v>118</v>
      </c>
      <c r="AP1771">
        <v>72</v>
      </c>
      <c r="AQ1771">
        <v>-138</v>
      </c>
      <c r="AR1771">
        <v>0</v>
      </c>
      <c r="AZ1771">
        <v>4516</v>
      </c>
      <c r="BA1771">
        <v>1</v>
      </c>
      <c r="BB1771" t="str">
        <f t="shared" si="169"/>
        <v xml:space="preserve">N79NX   </v>
      </c>
      <c r="BC1771">
        <v>1</v>
      </c>
      <c r="BE1771">
        <v>0</v>
      </c>
      <c r="BF1771">
        <v>0</v>
      </c>
      <c r="BG1771">
        <v>0</v>
      </c>
      <c r="BH1771">
        <v>2775</v>
      </c>
      <c r="BI1771">
        <v>0</v>
      </c>
      <c r="BJ1771">
        <v>0</v>
      </c>
      <c r="BK1771">
        <v>0</v>
      </c>
      <c r="BL1771">
        <v>0</v>
      </c>
      <c r="BO1771">
        <v>0</v>
      </c>
      <c r="BP1771">
        <v>0</v>
      </c>
      <c r="BW1771" t="str">
        <f>"18:48:27.513"</f>
        <v>18:48:27.513</v>
      </c>
      <c r="BZ1771">
        <v>0</v>
      </c>
      <c r="CA1771">
        <v>3008</v>
      </c>
      <c r="CB1771">
        <v>216</v>
      </c>
      <c r="CC1771">
        <v>518.90629999999999</v>
      </c>
      <c r="CD1771">
        <v>1</v>
      </c>
      <c r="CE1771">
        <v>1</v>
      </c>
      <c r="CF1771">
        <v>0</v>
      </c>
      <c r="CG1771">
        <v>1</v>
      </c>
      <c r="CH1771">
        <v>0</v>
      </c>
      <c r="CI1771">
        <v>1</v>
      </c>
      <c r="CJ1771">
        <v>0</v>
      </c>
      <c r="CK1771">
        <v>2</v>
      </c>
      <c r="CL1771">
        <v>0</v>
      </c>
      <c r="CM1771">
        <v>2</v>
      </c>
      <c r="CN1771">
        <v>0</v>
      </c>
      <c r="CO1771">
        <v>2</v>
      </c>
      <c r="CP1771" t="s">
        <v>119</v>
      </c>
      <c r="CQ1771">
        <v>145</v>
      </c>
      <c r="CR1771">
        <v>1</v>
      </c>
      <c r="CW1771">
        <v>9220171</v>
      </c>
      <c r="CY1771">
        <v>0</v>
      </c>
      <c r="CZ1771">
        <v>0</v>
      </c>
      <c r="DA1771">
        <v>1</v>
      </c>
      <c r="DB1771">
        <v>0</v>
      </c>
      <c r="DC1771">
        <v>0</v>
      </c>
      <c r="DD1771">
        <v>0</v>
      </c>
      <c r="DE1771">
        <v>0</v>
      </c>
      <c r="DF1771">
        <v>0</v>
      </c>
      <c r="DG1771">
        <v>0</v>
      </c>
      <c r="DH1771">
        <v>0</v>
      </c>
      <c r="DI1771">
        <v>0</v>
      </c>
    </row>
    <row r="1772" spans="1:113" x14ac:dyDescent="0.3">
      <c r="A1772" t="str">
        <f>"02/13/2022 18:48:28.604"</f>
        <v>02/13/2022 18:48:28.604</v>
      </c>
      <c r="C1772" t="str">
        <f t="shared" si="170"/>
        <v>FFDFD7C0</v>
      </c>
      <c r="D1772" t="s">
        <v>113</v>
      </c>
      <c r="E1772">
        <v>3</v>
      </c>
      <c r="F1772">
        <v>1003</v>
      </c>
      <c r="G1772" t="s">
        <v>114</v>
      </c>
      <c r="J1772" t="s">
        <v>115</v>
      </c>
      <c r="K1772">
        <v>0</v>
      </c>
      <c r="L1772">
        <v>3</v>
      </c>
      <c r="M1772">
        <v>0</v>
      </c>
      <c r="N1772">
        <v>2</v>
      </c>
      <c r="O1772">
        <v>1</v>
      </c>
      <c r="P1772">
        <v>0</v>
      </c>
      <c r="Q1772">
        <v>0</v>
      </c>
      <c r="S1772" t="str">
        <f>"18:48:28.422"</f>
        <v>18:48:28.422</v>
      </c>
      <c r="T1772" t="str">
        <f>"18:48:27.522"</f>
        <v>18:48:27.522</v>
      </c>
      <c r="U1772" t="str">
        <f t="shared" si="168"/>
        <v>AAB6EE</v>
      </c>
      <c r="V1772">
        <v>0</v>
      </c>
      <c r="W1772">
        <v>0</v>
      </c>
      <c r="X1772">
        <v>4</v>
      </c>
      <c r="Z1772">
        <v>0</v>
      </c>
      <c r="AA1772">
        <v>8</v>
      </c>
      <c r="AB1772">
        <v>3</v>
      </c>
      <c r="AC1772">
        <v>0</v>
      </c>
      <c r="AD1772">
        <v>10</v>
      </c>
      <c r="AE1772">
        <v>0</v>
      </c>
      <c r="AF1772">
        <v>0</v>
      </c>
      <c r="AG1772">
        <v>2</v>
      </c>
      <c r="AH1772">
        <v>1</v>
      </c>
      <c r="AI1772" t="s">
        <v>1299</v>
      </c>
      <c r="AJ1772">
        <v>35.154383000000003</v>
      </c>
      <c r="AK1772" t="s">
        <v>1300</v>
      </c>
      <c r="AL1772">
        <v>-75.999706000000003</v>
      </c>
      <c r="AM1772">
        <v>25</v>
      </c>
      <c r="AN1772">
        <v>2925</v>
      </c>
      <c r="AO1772" t="s">
        <v>118</v>
      </c>
      <c r="AP1772">
        <v>72</v>
      </c>
      <c r="AQ1772">
        <v>-138</v>
      </c>
      <c r="AR1772">
        <v>0</v>
      </c>
      <c r="AZ1772">
        <v>4516</v>
      </c>
      <c r="BA1772">
        <v>1</v>
      </c>
      <c r="BB1772" t="str">
        <f t="shared" si="169"/>
        <v xml:space="preserve">N79NX   </v>
      </c>
      <c r="BC1772">
        <v>1</v>
      </c>
      <c r="BE1772">
        <v>0</v>
      </c>
      <c r="BF1772">
        <v>0</v>
      </c>
      <c r="BG1772">
        <v>0</v>
      </c>
      <c r="BH1772">
        <v>2775</v>
      </c>
      <c r="BI1772">
        <v>0</v>
      </c>
      <c r="BJ1772">
        <v>0</v>
      </c>
      <c r="BK1772">
        <v>0</v>
      </c>
      <c r="BL1772">
        <v>0</v>
      </c>
      <c r="BO1772">
        <v>0</v>
      </c>
      <c r="BP1772">
        <v>0</v>
      </c>
      <c r="BW1772" t="str">
        <f>"18:48:28.423"</f>
        <v>18:48:28.423</v>
      </c>
      <c r="BZ1772">
        <v>0</v>
      </c>
      <c r="CA1772">
        <v>3008</v>
      </c>
      <c r="CB1772">
        <v>216</v>
      </c>
      <c r="CC1772">
        <v>518.90629999999999</v>
      </c>
      <c r="CD1772">
        <v>1</v>
      </c>
      <c r="CE1772">
        <v>1</v>
      </c>
      <c r="CF1772">
        <v>0</v>
      </c>
      <c r="CG1772">
        <v>1</v>
      </c>
      <c r="CH1772">
        <v>0</v>
      </c>
      <c r="CI1772">
        <v>1</v>
      </c>
      <c r="CJ1772">
        <v>0</v>
      </c>
      <c r="CK1772">
        <v>2</v>
      </c>
      <c r="CL1772">
        <v>0</v>
      </c>
      <c r="CM1772">
        <v>2</v>
      </c>
      <c r="CN1772">
        <v>0</v>
      </c>
      <c r="CO1772">
        <v>1</v>
      </c>
      <c r="CP1772" t="s">
        <v>119</v>
      </c>
      <c r="CQ1772">
        <v>145</v>
      </c>
      <c r="CR1772">
        <v>1</v>
      </c>
      <c r="CW1772">
        <v>9220612</v>
      </c>
      <c r="CY1772">
        <v>0</v>
      </c>
      <c r="CZ1772">
        <v>0</v>
      </c>
      <c r="DA1772">
        <v>0</v>
      </c>
      <c r="DB1772">
        <v>0</v>
      </c>
      <c r="DC1772">
        <v>0</v>
      </c>
      <c r="DD1772">
        <v>0</v>
      </c>
      <c r="DE1772">
        <v>0</v>
      </c>
      <c r="DF1772">
        <v>0</v>
      </c>
      <c r="DG1772">
        <v>0</v>
      </c>
      <c r="DH1772">
        <v>0</v>
      </c>
      <c r="DI1772">
        <v>0</v>
      </c>
    </row>
    <row r="1773" spans="1:113" x14ac:dyDescent="0.3">
      <c r="A1773" t="str">
        <f>"02/13/2022 18:48:28.604"</f>
        <v>02/13/2022 18:48:28.604</v>
      </c>
      <c r="C1773" t="str">
        <f t="shared" si="170"/>
        <v>FFDFD7C0</v>
      </c>
      <c r="D1773" t="s">
        <v>113</v>
      </c>
      <c r="E1773">
        <v>4</v>
      </c>
      <c r="F1773">
        <v>1004</v>
      </c>
      <c r="G1773" t="s">
        <v>120</v>
      </c>
      <c r="J1773" t="s">
        <v>115</v>
      </c>
      <c r="K1773">
        <v>0</v>
      </c>
      <c r="L1773">
        <v>3</v>
      </c>
      <c r="M1773">
        <v>0</v>
      </c>
      <c r="N1773">
        <v>2</v>
      </c>
      <c r="O1773">
        <v>1</v>
      </c>
      <c r="P1773">
        <v>0</v>
      </c>
      <c r="Q1773">
        <v>0</v>
      </c>
      <c r="S1773" t="str">
        <f>"18:48:28.422"</f>
        <v>18:48:28.422</v>
      </c>
      <c r="T1773" t="str">
        <f>"18:48:27.522"</f>
        <v>18:48:27.522</v>
      </c>
      <c r="U1773" t="str">
        <f t="shared" si="168"/>
        <v>AAB6EE</v>
      </c>
      <c r="V1773">
        <v>0</v>
      </c>
      <c r="W1773">
        <v>0</v>
      </c>
      <c r="X1773">
        <v>4</v>
      </c>
      <c r="Z1773">
        <v>0</v>
      </c>
      <c r="AA1773">
        <v>8</v>
      </c>
      <c r="AB1773">
        <v>3</v>
      </c>
      <c r="AC1773">
        <v>0</v>
      </c>
      <c r="AD1773">
        <v>10</v>
      </c>
      <c r="AE1773">
        <v>0</v>
      </c>
      <c r="AF1773">
        <v>0</v>
      </c>
      <c r="AG1773">
        <v>2</v>
      </c>
      <c r="AH1773">
        <v>1</v>
      </c>
      <c r="AI1773" t="s">
        <v>1299</v>
      </c>
      <c r="AJ1773">
        <v>35.154383000000003</v>
      </c>
      <c r="AK1773" t="s">
        <v>1300</v>
      </c>
      <c r="AL1773">
        <v>-75.999706000000003</v>
      </c>
      <c r="AM1773">
        <v>25</v>
      </c>
      <c r="AN1773">
        <v>2925</v>
      </c>
      <c r="AO1773" t="s">
        <v>118</v>
      </c>
      <c r="AP1773">
        <v>72</v>
      </c>
      <c r="AQ1773">
        <v>-138</v>
      </c>
      <c r="AR1773">
        <v>0</v>
      </c>
      <c r="AZ1773">
        <v>4516</v>
      </c>
      <c r="BA1773">
        <v>1</v>
      </c>
      <c r="BB1773" t="str">
        <f t="shared" si="169"/>
        <v xml:space="preserve">N79NX   </v>
      </c>
      <c r="BC1773">
        <v>1</v>
      </c>
      <c r="BE1773">
        <v>0</v>
      </c>
      <c r="BF1773">
        <v>0</v>
      </c>
      <c r="BG1773">
        <v>0</v>
      </c>
      <c r="BH1773">
        <v>2775</v>
      </c>
      <c r="BI1773">
        <v>0</v>
      </c>
      <c r="BJ1773">
        <v>0</v>
      </c>
      <c r="BK1773">
        <v>0</v>
      </c>
      <c r="BL1773">
        <v>0</v>
      </c>
      <c r="BO1773">
        <v>0</v>
      </c>
      <c r="BP1773">
        <v>0</v>
      </c>
      <c r="BW1773" t="str">
        <f>"18:48:28.423"</f>
        <v>18:48:28.423</v>
      </c>
      <c r="BZ1773">
        <v>0</v>
      </c>
      <c r="CA1773">
        <v>3008</v>
      </c>
      <c r="CB1773">
        <v>216</v>
      </c>
      <c r="CC1773">
        <v>518.90629999999999</v>
      </c>
      <c r="CD1773">
        <v>1</v>
      </c>
      <c r="CE1773">
        <v>1</v>
      </c>
      <c r="CF1773">
        <v>0</v>
      </c>
      <c r="CG1773">
        <v>1</v>
      </c>
      <c r="CH1773">
        <v>0</v>
      </c>
      <c r="CI1773">
        <v>1</v>
      </c>
      <c r="CJ1773">
        <v>0</v>
      </c>
      <c r="CK1773">
        <v>2</v>
      </c>
      <c r="CL1773">
        <v>0</v>
      </c>
      <c r="CM1773">
        <v>2</v>
      </c>
      <c r="CN1773">
        <v>0</v>
      </c>
      <c r="CO1773">
        <v>1</v>
      </c>
      <c r="CP1773" t="s">
        <v>119</v>
      </c>
      <c r="CQ1773">
        <v>145</v>
      </c>
      <c r="CR1773">
        <v>1</v>
      </c>
      <c r="CW1773">
        <v>9220612</v>
      </c>
      <c r="CY1773">
        <v>0</v>
      </c>
      <c r="CZ1773">
        <v>0</v>
      </c>
      <c r="DA1773">
        <v>1</v>
      </c>
      <c r="DB1773">
        <v>0</v>
      </c>
      <c r="DC1773">
        <v>0</v>
      </c>
      <c r="DD1773">
        <v>0</v>
      </c>
      <c r="DE1773">
        <v>0</v>
      </c>
      <c r="DF1773">
        <v>0</v>
      </c>
      <c r="DG1773">
        <v>0</v>
      </c>
      <c r="DH1773">
        <v>0</v>
      </c>
      <c r="DI1773">
        <v>0</v>
      </c>
    </row>
    <row r="1774" spans="1:113" x14ac:dyDescent="0.3">
      <c r="A1774" t="str">
        <f>"02/13/2022 18:48:28.604"</f>
        <v>02/13/2022 18:48:28.604</v>
      </c>
      <c r="C1774" t="str">
        <f t="shared" si="170"/>
        <v>FFDFD7C0</v>
      </c>
      <c r="D1774" t="s">
        <v>121</v>
      </c>
      <c r="E1774">
        <v>2</v>
      </c>
      <c r="H1774">
        <v>158</v>
      </c>
      <c r="I1774" t="s">
        <v>120</v>
      </c>
      <c r="J1774" t="s">
        <v>122</v>
      </c>
      <c r="K1774">
        <v>0</v>
      </c>
      <c r="L1774">
        <v>3</v>
      </c>
      <c r="M1774">
        <v>0</v>
      </c>
      <c r="N1774">
        <v>2</v>
      </c>
      <c r="O1774">
        <v>1</v>
      </c>
      <c r="P1774">
        <v>0</v>
      </c>
      <c r="Q1774">
        <v>0</v>
      </c>
      <c r="S1774" t="str">
        <f>"18:48:28.422"</f>
        <v>18:48:28.422</v>
      </c>
      <c r="T1774" t="str">
        <f>"18:48:27.522"</f>
        <v>18:48:27.522</v>
      </c>
      <c r="U1774" t="str">
        <f t="shared" si="168"/>
        <v>AAB6EE</v>
      </c>
      <c r="V1774">
        <v>0</v>
      </c>
      <c r="W1774">
        <v>0</v>
      </c>
      <c r="X1774">
        <v>4</v>
      </c>
      <c r="Z1774">
        <v>0</v>
      </c>
      <c r="AA1774">
        <v>8</v>
      </c>
      <c r="AB1774">
        <v>3</v>
      </c>
      <c r="AC1774">
        <v>0</v>
      </c>
      <c r="AD1774">
        <v>10</v>
      </c>
      <c r="AE1774">
        <v>0</v>
      </c>
      <c r="AF1774">
        <v>0</v>
      </c>
      <c r="AG1774">
        <v>2</v>
      </c>
      <c r="AH1774">
        <v>1</v>
      </c>
      <c r="AI1774" t="s">
        <v>1299</v>
      </c>
      <c r="AJ1774">
        <v>35.154383000000003</v>
      </c>
      <c r="AK1774" t="s">
        <v>1300</v>
      </c>
      <c r="AL1774">
        <v>-75.999706000000003</v>
      </c>
      <c r="AM1774">
        <v>25</v>
      </c>
      <c r="AN1774">
        <v>2925</v>
      </c>
      <c r="AO1774" t="s">
        <v>118</v>
      </c>
      <c r="AP1774">
        <v>72</v>
      </c>
      <c r="AQ1774">
        <v>-138</v>
      </c>
      <c r="AR1774">
        <v>0</v>
      </c>
      <c r="AZ1774">
        <v>4516</v>
      </c>
      <c r="BA1774">
        <v>1</v>
      </c>
      <c r="BB1774" t="str">
        <f t="shared" si="169"/>
        <v xml:space="preserve">N79NX   </v>
      </c>
      <c r="BC1774">
        <v>1</v>
      </c>
      <c r="BE1774">
        <v>0</v>
      </c>
      <c r="BF1774">
        <v>0</v>
      </c>
      <c r="BG1774">
        <v>0</v>
      </c>
      <c r="BH1774">
        <v>2775</v>
      </c>
      <c r="BI1774">
        <v>0</v>
      </c>
      <c r="BJ1774">
        <v>0</v>
      </c>
      <c r="BK1774">
        <v>0</v>
      </c>
      <c r="BL1774">
        <v>0</v>
      </c>
      <c r="BO1774">
        <v>0</v>
      </c>
      <c r="BP1774">
        <v>0</v>
      </c>
      <c r="BW1774" t="str">
        <f>"18:48:28.423"</f>
        <v>18:48:28.423</v>
      </c>
      <c r="BZ1774">
        <v>0</v>
      </c>
      <c r="CA1774">
        <v>3008</v>
      </c>
      <c r="CB1774">
        <v>216</v>
      </c>
      <c r="CC1774">
        <v>518.90629999999999</v>
      </c>
      <c r="CD1774">
        <v>1</v>
      </c>
      <c r="CE1774">
        <v>1</v>
      </c>
      <c r="CF1774">
        <v>0</v>
      </c>
      <c r="CG1774">
        <v>1</v>
      </c>
      <c r="CH1774">
        <v>0</v>
      </c>
      <c r="CI1774">
        <v>1</v>
      </c>
      <c r="CJ1774">
        <v>0</v>
      </c>
      <c r="CK1774">
        <v>2</v>
      </c>
      <c r="CL1774">
        <v>0</v>
      </c>
      <c r="CM1774">
        <v>2</v>
      </c>
      <c r="CN1774">
        <v>0</v>
      </c>
      <c r="CO1774">
        <v>1</v>
      </c>
      <c r="CP1774" t="s">
        <v>119</v>
      </c>
      <c r="CQ1774">
        <v>145</v>
      </c>
      <c r="CR1774">
        <v>1</v>
      </c>
      <c r="CW1774">
        <v>9220612</v>
      </c>
      <c r="CY1774">
        <v>0</v>
      </c>
      <c r="CZ1774">
        <v>0</v>
      </c>
      <c r="DA1774">
        <v>1</v>
      </c>
      <c r="DB1774">
        <v>0</v>
      </c>
      <c r="DC1774">
        <v>0</v>
      </c>
      <c r="DD1774">
        <v>0</v>
      </c>
      <c r="DE1774">
        <v>0</v>
      </c>
      <c r="DF1774">
        <v>0</v>
      </c>
      <c r="DG1774">
        <v>0</v>
      </c>
      <c r="DH1774">
        <v>0</v>
      </c>
      <c r="DI1774">
        <v>0</v>
      </c>
    </row>
    <row r="1775" spans="1:113" x14ac:dyDescent="0.3">
      <c r="A1775" t="str">
        <f>"02/13/2022 18:48:29.793"</f>
        <v>02/13/2022 18:48:29.793</v>
      </c>
      <c r="C1775" t="str">
        <f t="shared" si="170"/>
        <v>FFDFD7C0</v>
      </c>
      <c r="D1775" t="s">
        <v>113</v>
      </c>
      <c r="E1775">
        <v>3</v>
      </c>
      <c r="F1775">
        <v>1003</v>
      </c>
      <c r="G1775" t="s">
        <v>114</v>
      </c>
      <c r="J1775" t="s">
        <v>115</v>
      </c>
      <c r="K1775">
        <v>0</v>
      </c>
      <c r="L1775">
        <v>3</v>
      </c>
      <c r="M1775">
        <v>0</v>
      </c>
      <c r="N1775">
        <v>2</v>
      </c>
      <c r="O1775">
        <v>1</v>
      </c>
      <c r="P1775">
        <v>0</v>
      </c>
      <c r="Q1775">
        <v>0</v>
      </c>
      <c r="S1775" t="str">
        <f>"18:48:29.570"</f>
        <v>18:48:29.570</v>
      </c>
      <c r="T1775" t="str">
        <f>"18:48:27.570"</f>
        <v>18:48:27.570</v>
      </c>
      <c r="U1775" t="str">
        <f t="shared" si="168"/>
        <v>AAB6EE</v>
      </c>
      <c r="V1775">
        <v>0</v>
      </c>
      <c r="W1775">
        <v>0</v>
      </c>
      <c r="X1775">
        <v>4</v>
      </c>
      <c r="Z1775">
        <v>0</v>
      </c>
      <c r="AA1775">
        <v>8</v>
      </c>
      <c r="AB1775">
        <v>3</v>
      </c>
      <c r="AC1775">
        <v>0</v>
      </c>
      <c r="AD1775">
        <v>10</v>
      </c>
      <c r="AE1775">
        <v>0</v>
      </c>
      <c r="AF1775">
        <v>0</v>
      </c>
      <c r="AG1775">
        <v>2</v>
      </c>
      <c r="AH1775">
        <v>1</v>
      </c>
      <c r="AI1775" t="s">
        <v>1301</v>
      </c>
      <c r="AJ1775">
        <v>35.153697000000001</v>
      </c>
      <c r="AK1775" t="s">
        <v>1302</v>
      </c>
      <c r="AL1775">
        <v>-75.999277000000006</v>
      </c>
      <c r="AM1775">
        <v>25</v>
      </c>
      <c r="AN1775">
        <v>2925</v>
      </c>
      <c r="AO1775" t="s">
        <v>118</v>
      </c>
      <c r="AP1775">
        <v>72</v>
      </c>
      <c r="AQ1775">
        <v>-138</v>
      </c>
      <c r="AR1775">
        <v>0</v>
      </c>
      <c r="AZ1775">
        <v>4516</v>
      </c>
      <c r="BA1775">
        <v>1</v>
      </c>
      <c r="BB1775" t="str">
        <f t="shared" si="169"/>
        <v xml:space="preserve">N79NX   </v>
      </c>
      <c r="BC1775">
        <v>1</v>
      </c>
      <c r="BE1775">
        <v>0</v>
      </c>
      <c r="BF1775">
        <v>0</v>
      </c>
      <c r="BG1775">
        <v>0</v>
      </c>
      <c r="BH1775">
        <v>2775</v>
      </c>
      <c r="BI1775">
        <v>0</v>
      </c>
      <c r="BJ1775">
        <v>0</v>
      </c>
      <c r="BK1775">
        <v>0</v>
      </c>
      <c r="BL1775">
        <v>0</v>
      </c>
      <c r="BO1775">
        <v>0</v>
      </c>
      <c r="BP1775">
        <v>0</v>
      </c>
      <c r="BW1775" t="str">
        <f>"18:48:29.573"</f>
        <v>18:48:29.573</v>
      </c>
      <c r="BZ1775">
        <v>0</v>
      </c>
      <c r="CA1775">
        <v>3008</v>
      </c>
      <c r="CB1775">
        <v>216</v>
      </c>
      <c r="CC1775">
        <v>518.90629999999999</v>
      </c>
      <c r="CD1775">
        <v>1</v>
      </c>
      <c r="CE1775">
        <v>1</v>
      </c>
      <c r="CF1775">
        <v>0</v>
      </c>
      <c r="CG1775">
        <v>1</v>
      </c>
      <c r="CH1775">
        <v>0</v>
      </c>
      <c r="CI1775">
        <v>1</v>
      </c>
      <c r="CJ1775">
        <v>0</v>
      </c>
      <c r="CK1775">
        <v>2</v>
      </c>
      <c r="CL1775">
        <v>0</v>
      </c>
      <c r="CM1775">
        <v>2</v>
      </c>
      <c r="CN1775">
        <v>0</v>
      </c>
      <c r="CO1775">
        <v>1</v>
      </c>
      <c r="CP1775" t="s">
        <v>119</v>
      </c>
      <c r="CQ1775">
        <v>145</v>
      </c>
      <c r="CR1775">
        <v>1</v>
      </c>
      <c r="CW1775">
        <v>9221191</v>
      </c>
      <c r="CY1775">
        <v>0</v>
      </c>
      <c r="CZ1775">
        <v>0</v>
      </c>
      <c r="DA1775">
        <v>0</v>
      </c>
      <c r="DB1775">
        <v>0</v>
      </c>
      <c r="DC1775">
        <v>0</v>
      </c>
      <c r="DD1775">
        <v>0</v>
      </c>
      <c r="DE1775">
        <v>0</v>
      </c>
      <c r="DF1775">
        <v>0</v>
      </c>
      <c r="DG1775">
        <v>0</v>
      </c>
      <c r="DH1775">
        <v>0</v>
      </c>
      <c r="DI1775">
        <v>0</v>
      </c>
    </row>
    <row r="1776" spans="1:113" x14ac:dyDescent="0.3">
      <c r="A1776" t="str">
        <f>"02/13/2022 18:48:29.793"</f>
        <v>02/13/2022 18:48:29.793</v>
      </c>
      <c r="C1776" t="str">
        <f t="shared" si="170"/>
        <v>FFDFD7C0</v>
      </c>
      <c r="D1776" t="s">
        <v>113</v>
      </c>
      <c r="E1776">
        <v>4</v>
      </c>
      <c r="F1776">
        <v>1004</v>
      </c>
      <c r="G1776" t="s">
        <v>120</v>
      </c>
      <c r="J1776" t="s">
        <v>115</v>
      </c>
      <c r="K1776">
        <v>0</v>
      </c>
      <c r="L1776">
        <v>3</v>
      </c>
      <c r="M1776">
        <v>0</v>
      </c>
      <c r="N1776">
        <v>2</v>
      </c>
      <c r="O1776">
        <v>1</v>
      </c>
      <c r="P1776">
        <v>0</v>
      </c>
      <c r="Q1776">
        <v>0</v>
      </c>
      <c r="S1776" t="str">
        <f>"18:48:29.570"</f>
        <v>18:48:29.570</v>
      </c>
      <c r="T1776" t="str">
        <f>"18:48:27.570"</f>
        <v>18:48:27.570</v>
      </c>
      <c r="U1776" t="str">
        <f t="shared" si="168"/>
        <v>AAB6EE</v>
      </c>
      <c r="V1776">
        <v>0</v>
      </c>
      <c r="W1776">
        <v>0</v>
      </c>
      <c r="X1776">
        <v>4</v>
      </c>
      <c r="Z1776">
        <v>0</v>
      </c>
      <c r="AA1776">
        <v>8</v>
      </c>
      <c r="AB1776">
        <v>3</v>
      </c>
      <c r="AC1776">
        <v>0</v>
      </c>
      <c r="AD1776">
        <v>10</v>
      </c>
      <c r="AE1776">
        <v>0</v>
      </c>
      <c r="AF1776">
        <v>0</v>
      </c>
      <c r="AG1776">
        <v>2</v>
      </c>
      <c r="AH1776">
        <v>1</v>
      </c>
      <c r="AI1776" t="s">
        <v>1301</v>
      </c>
      <c r="AJ1776">
        <v>35.153697000000001</v>
      </c>
      <c r="AK1776" t="s">
        <v>1302</v>
      </c>
      <c r="AL1776">
        <v>-75.999277000000006</v>
      </c>
      <c r="AM1776">
        <v>25</v>
      </c>
      <c r="AN1776">
        <v>2925</v>
      </c>
      <c r="AO1776" t="s">
        <v>118</v>
      </c>
      <c r="AP1776">
        <v>72</v>
      </c>
      <c r="AQ1776">
        <v>-138</v>
      </c>
      <c r="AR1776">
        <v>0</v>
      </c>
      <c r="AZ1776">
        <v>4516</v>
      </c>
      <c r="BA1776">
        <v>1</v>
      </c>
      <c r="BB1776" t="str">
        <f t="shared" si="169"/>
        <v xml:space="preserve">N79NX   </v>
      </c>
      <c r="BC1776">
        <v>1</v>
      </c>
      <c r="BE1776">
        <v>0</v>
      </c>
      <c r="BF1776">
        <v>0</v>
      </c>
      <c r="BG1776">
        <v>0</v>
      </c>
      <c r="BH1776">
        <v>2775</v>
      </c>
      <c r="BI1776">
        <v>0</v>
      </c>
      <c r="BJ1776">
        <v>0</v>
      </c>
      <c r="BK1776">
        <v>0</v>
      </c>
      <c r="BL1776">
        <v>0</v>
      </c>
      <c r="BO1776">
        <v>0</v>
      </c>
      <c r="BP1776">
        <v>0</v>
      </c>
      <c r="BW1776" t="str">
        <f>"18:48:29.573"</f>
        <v>18:48:29.573</v>
      </c>
      <c r="BZ1776">
        <v>0</v>
      </c>
      <c r="CA1776">
        <v>3008</v>
      </c>
      <c r="CB1776">
        <v>216</v>
      </c>
      <c r="CC1776">
        <v>518.90629999999999</v>
      </c>
      <c r="CD1776">
        <v>1</v>
      </c>
      <c r="CE1776">
        <v>1</v>
      </c>
      <c r="CF1776">
        <v>0</v>
      </c>
      <c r="CG1776">
        <v>1</v>
      </c>
      <c r="CH1776">
        <v>0</v>
      </c>
      <c r="CI1776">
        <v>1</v>
      </c>
      <c r="CJ1776">
        <v>0</v>
      </c>
      <c r="CK1776">
        <v>2</v>
      </c>
      <c r="CL1776">
        <v>0</v>
      </c>
      <c r="CM1776">
        <v>2</v>
      </c>
      <c r="CN1776">
        <v>0</v>
      </c>
      <c r="CO1776">
        <v>1</v>
      </c>
      <c r="CP1776" t="s">
        <v>119</v>
      </c>
      <c r="CQ1776">
        <v>145</v>
      </c>
      <c r="CR1776">
        <v>1</v>
      </c>
      <c r="CW1776">
        <v>9221191</v>
      </c>
      <c r="CY1776">
        <v>0</v>
      </c>
      <c r="CZ1776">
        <v>0</v>
      </c>
      <c r="DA1776">
        <v>1</v>
      </c>
      <c r="DB1776">
        <v>0</v>
      </c>
      <c r="DC1776">
        <v>0</v>
      </c>
      <c r="DD1776">
        <v>0</v>
      </c>
      <c r="DE1776">
        <v>0</v>
      </c>
      <c r="DF1776">
        <v>0</v>
      </c>
      <c r="DG1776">
        <v>0</v>
      </c>
      <c r="DH1776">
        <v>0</v>
      </c>
      <c r="DI1776">
        <v>0</v>
      </c>
    </row>
    <row r="1777" spans="1:113" x14ac:dyDescent="0.3">
      <c r="A1777" t="str">
        <f>"02/13/2022 18:48:29.793"</f>
        <v>02/13/2022 18:48:29.793</v>
      </c>
      <c r="C1777" t="str">
        <f t="shared" si="170"/>
        <v>FFDFD7C0</v>
      </c>
      <c r="D1777" t="s">
        <v>121</v>
      </c>
      <c r="E1777">
        <v>2</v>
      </c>
      <c r="H1777">
        <v>158</v>
      </c>
      <c r="I1777" t="s">
        <v>120</v>
      </c>
      <c r="J1777" t="s">
        <v>122</v>
      </c>
      <c r="K1777">
        <v>0</v>
      </c>
      <c r="L1777">
        <v>3</v>
      </c>
      <c r="M1777">
        <v>0</v>
      </c>
      <c r="N1777">
        <v>2</v>
      </c>
      <c r="O1777">
        <v>1</v>
      </c>
      <c r="P1777">
        <v>0</v>
      </c>
      <c r="Q1777">
        <v>0</v>
      </c>
      <c r="S1777" t="str">
        <f>"18:48:29.570"</f>
        <v>18:48:29.570</v>
      </c>
      <c r="T1777" t="str">
        <f>"18:48:27.570"</f>
        <v>18:48:27.570</v>
      </c>
      <c r="U1777" t="str">
        <f t="shared" si="168"/>
        <v>AAB6EE</v>
      </c>
      <c r="V1777">
        <v>0</v>
      </c>
      <c r="W1777">
        <v>0</v>
      </c>
      <c r="X1777">
        <v>4</v>
      </c>
      <c r="Z1777">
        <v>0</v>
      </c>
      <c r="AA1777">
        <v>8</v>
      </c>
      <c r="AB1777">
        <v>3</v>
      </c>
      <c r="AC1777">
        <v>0</v>
      </c>
      <c r="AD1777">
        <v>10</v>
      </c>
      <c r="AE1777">
        <v>0</v>
      </c>
      <c r="AF1777">
        <v>0</v>
      </c>
      <c r="AG1777">
        <v>2</v>
      </c>
      <c r="AH1777">
        <v>1</v>
      </c>
      <c r="AI1777" t="s">
        <v>1301</v>
      </c>
      <c r="AJ1777">
        <v>35.153697000000001</v>
      </c>
      <c r="AK1777" t="s">
        <v>1302</v>
      </c>
      <c r="AL1777">
        <v>-75.999277000000006</v>
      </c>
      <c r="AM1777">
        <v>25</v>
      </c>
      <c r="AN1777">
        <v>2925</v>
      </c>
      <c r="AO1777" t="s">
        <v>118</v>
      </c>
      <c r="AP1777">
        <v>72</v>
      </c>
      <c r="AQ1777">
        <v>-138</v>
      </c>
      <c r="AR1777">
        <v>0</v>
      </c>
      <c r="AZ1777">
        <v>4516</v>
      </c>
      <c r="BA1777">
        <v>1</v>
      </c>
      <c r="BB1777" t="str">
        <f t="shared" si="169"/>
        <v xml:space="preserve">N79NX   </v>
      </c>
      <c r="BC1777">
        <v>1</v>
      </c>
      <c r="BE1777">
        <v>0</v>
      </c>
      <c r="BF1777">
        <v>0</v>
      </c>
      <c r="BG1777">
        <v>0</v>
      </c>
      <c r="BH1777">
        <v>2775</v>
      </c>
      <c r="BI1777">
        <v>0</v>
      </c>
      <c r="BJ1777">
        <v>0</v>
      </c>
      <c r="BK1777">
        <v>0</v>
      </c>
      <c r="BL1777">
        <v>0</v>
      </c>
      <c r="BO1777">
        <v>0</v>
      </c>
      <c r="BP1777">
        <v>0</v>
      </c>
      <c r="BW1777" t="str">
        <f>"18:48:29.573"</f>
        <v>18:48:29.573</v>
      </c>
      <c r="BZ1777">
        <v>0</v>
      </c>
      <c r="CA1777">
        <v>3008</v>
      </c>
      <c r="CB1777">
        <v>216</v>
      </c>
      <c r="CC1777">
        <v>518.90629999999999</v>
      </c>
      <c r="CD1777">
        <v>1</v>
      </c>
      <c r="CE1777">
        <v>1</v>
      </c>
      <c r="CF1777">
        <v>0</v>
      </c>
      <c r="CG1777">
        <v>1</v>
      </c>
      <c r="CH1777">
        <v>0</v>
      </c>
      <c r="CI1777">
        <v>1</v>
      </c>
      <c r="CJ1777">
        <v>0</v>
      </c>
      <c r="CK1777">
        <v>2</v>
      </c>
      <c r="CL1777">
        <v>0</v>
      </c>
      <c r="CM1777">
        <v>2</v>
      </c>
      <c r="CN1777">
        <v>0</v>
      </c>
      <c r="CO1777">
        <v>1</v>
      </c>
      <c r="CP1777" t="s">
        <v>119</v>
      </c>
      <c r="CQ1777">
        <v>145</v>
      </c>
      <c r="CR1777">
        <v>1</v>
      </c>
      <c r="CW1777">
        <v>9221191</v>
      </c>
      <c r="CY1777">
        <v>0</v>
      </c>
      <c r="CZ1777">
        <v>0</v>
      </c>
      <c r="DA1777">
        <v>1</v>
      </c>
      <c r="DB1777">
        <v>0</v>
      </c>
      <c r="DC1777">
        <v>0</v>
      </c>
      <c r="DD1777">
        <v>0</v>
      </c>
      <c r="DE1777">
        <v>0</v>
      </c>
      <c r="DF1777">
        <v>0</v>
      </c>
      <c r="DG1777">
        <v>0</v>
      </c>
      <c r="DH1777">
        <v>0</v>
      </c>
      <c r="DI1777">
        <v>0</v>
      </c>
    </row>
    <row r="1778" spans="1:113" x14ac:dyDescent="0.3">
      <c r="A1778" t="str">
        <f>"02/13/2022 18:48:34.885"</f>
        <v>02/13/2022 18:48:34.885</v>
      </c>
      <c r="C1778" t="str">
        <f t="shared" si="170"/>
        <v>FFDFD7C0</v>
      </c>
      <c r="D1778" t="s">
        <v>121</v>
      </c>
      <c r="E1778">
        <v>2</v>
      </c>
      <c r="H1778">
        <v>158</v>
      </c>
      <c r="I1778" t="s">
        <v>120</v>
      </c>
      <c r="J1778" t="s">
        <v>122</v>
      </c>
      <c r="K1778">
        <v>0</v>
      </c>
      <c r="L1778">
        <v>3</v>
      </c>
      <c r="M1778">
        <v>0</v>
      </c>
      <c r="N1778">
        <v>2</v>
      </c>
      <c r="O1778">
        <v>1</v>
      </c>
      <c r="P1778">
        <v>0</v>
      </c>
      <c r="Q1778">
        <v>0</v>
      </c>
      <c r="S1778" t="str">
        <f t="shared" ref="S1778:T1780" si="172">"18:48:34.672"</f>
        <v>18:48:34.672</v>
      </c>
      <c r="T1778" t="str">
        <f t="shared" si="172"/>
        <v>18:48:34.672</v>
      </c>
      <c r="U1778" t="str">
        <f t="shared" si="168"/>
        <v>AAB6EE</v>
      </c>
      <c r="V1778">
        <v>0</v>
      </c>
      <c r="W1778">
        <v>0</v>
      </c>
      <c r="X1778">
        <v>4</v>
      </c>
      <c r="Z1778">
        <v>0</v>
      </c>
      <c r="AA1778">
        <v>8</v>
      </c>
      <c r="AB1778">
        <v>3</v>
      </c>
      <c r="AC1778">
        <v>0</v>
      </c>
      <c r="AD1778">
        <v>10</v>
      </c>
      <c r="AE1778">
        <v>0</v>
      </c>
      <c r="AF1778">
        <v>0</v>
      </c>
      <c r="AG1778">
        <v>2</v>
      </c>
      <c r="AH1778">
        <v>1</v>
      </c>
      <c r="AI1778" t="s">
        <v>1303</v>
      </c>
      <c r="AJ1778">
        <v>35.150391999999997</v>
      </c>
      <c r="AK1778" t="s">
        <v>1304</v>
      </c>
      <c r="AL1778">
        <v>-75.997174000000001</v>
      </c>
      <c r="AM1778">
        <v>25</v>
      </c>
      <c r="AN1778">
        <v>2925</v>
      </c>
      <c r="AO1778" t="s">
        <v>118</v>
      </c>
      <c r="AP1778">
        <v>72</v>
      </c>
      <c r="AQ1778">
        <v>-138</v>
      </c>
      <c r="AR1778">
        <v>0</v>
      </c>
      <c r="AZ1778">
        <v>4516</v>
      </c>
      <c r="BA1778">
        <v>1</v>
      </c>
      <c r="BB1778" t="str">
        <f t="shared" si="169"/>
        <v xml:space="preserve">N79NX   </v>
      </c>
      <c r="BC1778">
        <v>1</v>
      </c>
      <c r="BE1778">
        <v>0</v>
      </c>
      <c r="BF1778">
        <v>0</v>
      </c>
      <c r="BG1778">
        <v>0</v>
      </c>
      <c r="BH1778">
        <v>2775</v>
      </c>
      <c r="BI1778">
        <v>0</v>
      </c>
      <c r="BJ1778">
        <v>0</v>
      </c>
      <c r="BK1778">
        <v>0</v>
      </c>
      <c r="BL1778">
        <v>0</v>
      </c>
      <c r="BO1778">
        <v>0</v>
      </c>
      <c r="BP1778">
        <v>0</v>
      </c>
      <c r="BW1778" t="str">
        <f>"18:48:34.673"</f>
        <v>18:48:34.673</v>
      </c>
      <c r="BZ1778">
        <v>0</v>
      </c>
      <c r="CA1778">
        <v>3008</v>
      </c>
      <c r="CB1778">
        <v>216</v>
      </c>
      <c r="CC1778">
        <v>518.90629999999999</v>
      </c>
      <c r="CD1778">
        <v>1</v>
      </c>
      <c r="CE1778">
        <v>1</v>
      </c>
      <c r="CF1778">
        <v>0</v>
      </c>
      <c r="CG1778">
        <v>1</v>
      </c>
      <c r="CH1778">
        <v>0</v>
      </c>
      <c r="CI1778">
        <v>1</v>
      </c>
      <c r="CJ1778">
        <v>0</v>
      </c>
      <c r="CK1778">
        <v>0</v>
      </c>
      <c r="CL1778">
        <v>0</v>
      </c>
      <c r="CM1778">
        <v>0</v>
      </c>
      <c r="CN1778">
        <v>0</v>
      </c>
      <c r="CO1778">
        <v>1</v>
      </c>
      <c r="CP1778" t="s">
        <v>119</v>
      </c>
      <c r="CQ1778">
        <v>145</v>
      </c>
      <c r="CR1778">
        <v>1</v>
      </c>
      <c r="CW1778">
        <v>9223598</v>
      </c>
      <c r="CY1778">
        <v>0</v>
      </c>
      <c r="CZ1778">
        <v>0</v>
      </c>
      <c r="DA1778">
        <v>0</v>
      </c>
      <c r="DB1778">
        <v>0</v>
      </c>
      <c r="DC1778">
        <v>0</v>
      </c>
      <c r="DD1778">
        <v>0</v>
      </c>
      <c r="DE1778">
        <v>0</v>
      </c>
      <c r="DF1778">
        <v>0</v>
      </c>
      <c r="DG1778">
        <v>1</v>
      </c>
      <c r="DH1778">
        <v>0</v>
      </c>
      <c r="DI1778">
        <v>0</v>
      </c>
    </row>
    <row r="1779" spans="1:113" x14ac:dyDescent="0.3">
      <c r="A1779" t="str">
        <f>"02/13/2022 18:48:34.916"</f>
        <v>02/13/2022 18:48:34.916</v>
      </c>
      <c r="C1779" t="str">
        <f t="shared" si="170"/>
        <v>FFDFD7C0</v>
      </c>
      <c r="D1779" t="s">
        <v>113</v>
      </c>
      <c r="E1779">
        <v>3</v>
      </c>
      <c r="F1779">
        <v>1003</v>
      </c>
      <c r="G1779" t="s">
        <v>114</v>
      </c>
      <c r="J1779" t="s">
        <v>115</v>
      </c>
      <c r="K1779">
        <v>0</v>
      </c>
      <c r="L1779">
        <v>3</v>
      </c>
      <c r="M1779">
        <v>0</v>
      </c>
      <c r="N1779">
        <v>2</v>
      </c>
      <c r="O1779">
        <v>1</v>
      </c>
      <c r="P1779">
        <v>0</v>
      </c>
      <c r="Q1779">
        <v>0</v>
      </c>
      <c r="S1779" t="str">
        <f t="shared" si="172"/>
        <v>18:48:34.672</v>
      </c>
      <c r="T1779" t="str">
        <f t="shared" si="172"/>
        <v>18:48:34.672</v>
      </c>
      <c r="U1779" t="str">
        <f t="shared" si="168"/>
        <v>AAB6EE</v>
      </c>
      <c r="V1779">
        <v>0</v>
      </c>
      <c r="W1779">
        <v>0</v>
      </c>
      <c r="X1779">
        <v>4</v>
      </c>
      <c r="Z1779">
        <v>0</v>
      </c>
      <c r="AA1779">
        <v>8</v>
      </c>
      <c r="AB1779">
        <v>3</v>
      </c>
      <c r="AC1779">
        <v>0</v>
      </c>
      <c r="AD1779">
        <v>10</v>
      </c>
      <c r="AE1779">
        <v>0</v>
      </c>
      <c r="AF1779">
        <v>0</v>
      </c>
      <c r="AG1779">
        <v>2</v>
      </c>
      <c r="AH1779">
        <v>1</v>
      </c>
      <c r="AI1779" t="s">
        <v>1303</v>
      </c>
      <c r="AJ1779">
        <v>35.150391999999997</v>
      </c>
      <c r="AK1779" t="s">
        <v>1304</v>
      </c>
      <c r="AL1779">
        <v>-75.997174000000001</v>
      </c>
      <c r="AM1779">
        <v>25</v>
      </c>
      <c r="AN1779">
        <v>2925</v>
      </c>
      <c r="AO1779" t="s">
        <v>118</v>
      </c>
      <c r="AP1779">
        <v>72</v>
      </c>
      <c r="AQ1779">
        <v>-138</v>
      </c>
      <c r="AR1779">
        <v>0</v>
      </c>
      <c r="AZ1779">
        <v>4516</v>
      </c>
      <c r="BA1779">
        <v>1</v>
      </c>
      <c r="BB1779" t="str">
        <f t="shared" si="169"/>
        <v xml:space="preserve">N79NX   </v>
      </c>
      <c r="BC1779">
        <v>1</v>
      </c>
      <c r="BE1779">
        <v>0</v>
      </c>
      <c r="BF1779">
        <v>0</v>
      </c>
      <c r="BG1779">
        <v>0</v>
      </c>
      <c r="BH1779">
        <v>2775</v>
      </c>
      <c r="BI1779">
        <v>0</v>
      </c>
      <c r="BJ1779">
        <v>0</v>
      </c>
      <c r="BK1779">
        <v>0</v>
      </c>
      <c r="BL1779">
        <v>0</v>
      </c>
      <c r="BO1779">
        <v>0</v>
      </c>
      <c r="BP1779">
        <v>0</v>
      </c>
      <c r="BW1779" t="str">
        <f>"18:48:34.673"</f>
        <v>18:48:34.673</v>
      </c>
      <c r="BZ1779">
        <v>0</v>
      </c>
      <c r="CA1779">
        <v>3008</v>
      </c>
      <c r="CB1779">
        <v>216</v>
      </c>
      <c r="CC1779">
        <v>518.90629999999999</v>
      </c>
      <c r="CD1779">
        <v>1</v>
      </c>
      <c r="CE1779">
        <v>1</v>
      </c>
      <c r="CF1779">
        <v>0</v>
      </c>
      <c r="CG1779">
        <v>1</v>
      </c>
      <c r="CH1779">
        <v>0</v>
      </c>
      <c r="CI1779">
        <v>1</v>
      </c>
      <c r="CJ1779">
        <v>0</v>
      </c>
      <c r="CK1779">
        <v>0</v>
      </c>
      <c r="CL1779">
        <v>0</v>
      </c>
      <c r="CM1779">
        <v>0</v>
      </c>
      <c r="CN1779">
        <v>0</v>
      </c>
      <c r="CO1779">
        <v>1</v>
      </c>
      <c r="CP1779" t="s">
        <v>119</v>
      </c>
      <c r="CQ1779">
        <v>145</v>
      </c>
      <c r="CR1779">
        <v>1</v>
      </c>
      <c r="CW1779">
        <v>9223598</v>
      </c>
      <c r="CY1779">
        <v>0</v>
      </c>
      <c r="CZ1779">
        <v>0</v>
      </c>
      <c r="DA1779">
        <v>1</v>
      </c>
      <c r="DB1779">
        <v>0</v>
      </c>
      <c r="DC1779">
        <v>0</v>
      </c>
      <c r="DD1779">
        <v>0</v>
      </c>
      <c r="DE1779">
        <v>0</v>
      </c>
      <c r="DF1779">
        <v>0</v>
      </c>
      <c r="DG1779">
        <v>1</v>
      </c>
      <c r="DH1779">
        <v>0</v>
      </c>
      <c r="DI1779">
        <v>0</v>
      </c>
    </row>
    <row r="1780" spans="1:113" x14ac:dyDescent="0.3">
      <c r="A1780" t="str">
        <f>"02/13/2022 18:48:34.916"</f>
        <v>02/13/2022 18:48:34.916</v>
      </c>
      <c r="C1780" t="str">
        <f t="shared" si="170"/>
        <v>FFDFD7C0</v>
      </c>
      <c r="D1780" t="s">
        <v>113</v>
      </c>
      <c r="E1780">
        <v>4</v>
      </c>
      <c r="F1780">
        <v>1004</v>
      </c>
      <c r="G1780" t="s">
        <v>120</v>
      </c>
      <c r="J1780" t="s">
        <v>115</v>
      </c>
      <c r="K1780">
        <v>0</v>
      </c>
      <c r="L1780">
        <v>3</v>
      </c>
      <c r="M1780">
        <v>0</v>
      </c>
      <c r="N1780">
        <v>2</v>
      </c>
      <c r="O1780">
        <v>1</v>
      </c>
      <c r="P1780">
        <v>0</v>
      </c>
      <c r="Q1780">
        <v>0</v>
      </c>
      <c r="S1780" t="str">
        <f t="shared" si="172"/>
        <v>18:48:34.672</v>
      </c>
      <c r="T1780" t="str">
        <f t="shared" si="172"/>
        <v>18:48:34.672</v>
      </c>
      <c r="U1780" t="str">
        <f t="shared" si="168"/>
        <v>AAB6EE</v>
      </c>
      <c r="V1780">
        <v>0</v>
      </c>
      <c r="W1780">
        <v>0</v>
      </c>
      <c r="X1780">
        <v>4</v>
      </c>
      <c r="Z1780">
        <v>0</v>
      </c>
      <c r="AA1780">
        <v>8</v>
      </c>
      <c r="AB1780">
        <v>3</v>
      </c>
      <c r="AC1780">
        <v>0</v>
      </c>
      <c r="AD1780">
        <v>10</v>
      </c>
      <c r="AE1780">
        <v>0</v>
      </c>
      <c r="AF1780">
        <v>0</v>
      </c>
      <c r="AG1780">
        <v>2</v>
      </c>
      <c r="AH1780">
        <v>1</v>
      </c>
      <c r="AI1780" t="s">
        <v>1303</v>
      </c>
      <c r="AJ1780">
        <v>35.150391999999997</v>
      </c>
      <c r="AK1780" t="s">
        <v>1304</v>
      </c>
      <c r="AL1780">
        <v>-75.997174000000001</v>
      </c>
      <c r="AM1780">
        <v>25</v>
      </c>
      <c r="AN1780">
        <v>2925</v>
      </c>
      <c r="AO1780" t="s">
        <v>118</v>
      </c>
      <c r="AP1780">
        <v>72</v>
      </c>
      <c r="AQ1780">
        <v>-138</v>
      </c>
      <c r="AR1780">
        <v>0</v>
      </c>
      <c r="AZ1780">
        <v>4516</v>
      </c>
      <c r="BA1780">
        <v>1</v>
      </c>
      <c r="BB1780" t="str">
        <f t="shared" si="169"/>
        <v xml:space="preserve">N79NX   </v>
      </c>
      <c r="BC1780">
        <v>1</v>
      </c>
      <c r="BE1780">
        <v>0</v>
      </c>
      <c r="BF1780">
        <v>0</v>
      </c>
      <c r="BG1780">
        <v>0</v>
      </c>
      <c r="BH1780">
        <v>2775</v>
      </c>
      <c r="BI1780">
        <v>0</v>
      </c>
      <c r="BJ1780">
        <v>0</v>
      </c>
      <c r="BK1780">
        <v>0</v>
      </c>
      <c r="BL1780">
        <v>0</v>
      </c>
      <c r="BO1780">
        <v>0</v>
      </c>
      <c r="BP1780">
        <v>0</v>
      </c>
      <c r="BW1780" t="str">
        <f>"18:48:34.673"</f>
        <v>18:48:34.673</v>
      </c>
      <c r="BZ1780">
        <v>0</v>
      </c>
      <c r="CA1780">
        <v>3008</v>
      </c>
      <c r="CB1780">
        <v>216</v>
      </c>
      <c r="CC1780">
        <v>518.90629999999999</v>
      </c>
      <c r="CD1780">
        <v>1</v>
      </c>
      <c r="CE1780">
        <v>1</v>
      </c>
      <c r="CF1780">
        <v>0</v>
      </c>
      <c r="CG1780">
        <v>1</v>
      </c>
      <c r="CH1780">
        <v>0</v>
      </c>
      <c r="CI1780">
        <v>1</v>
      </c>
      <c r="CJ1780">
        <v>0</v>
      </c>
      <c r="CK1780">
        <v>0</v>
      </c>
      <c r="CL1780">
        <v>0</v>
      </c>
      <c r="CM1780">
        <v>0</v>
      </c>
      <c r="CN1780">
        <v>0</v>
      </c>
      <c r="CO1780">
        <v>1</v>
      </c>
      <c r="CP1780" t="s">
        <v>119</v>
      </c>
      <c r="CQ1780">
        <v>145</v>
      </c>
      <c r="CR1780">
        <v>1</v>
      </c>
      <c r="CW1780">
        <v>9223598</v>
      </c>
      <c r="CY1780">
        <v>0</v>
      </c>
      <c r="CZ1780">
        <v>0</v>
      </c>
      <c r="DA1780">
        <v>1</v>
      </c>
      <c r="DB1780">
        <v>0</v>
      </c>
      <c r="DC1780">
        <v>0</v>
      </c>
      <c r="DD1780">
        <v>0</v>
      </c>
      <c r="DE1780">
        <v>0</v>
      </c>
      <c r="DF1780">
        <v>0</v>
      </c>
      <c r="DG1780">
        <v>1</v>
      </c>
      <c r="DH1780">
        <v>0</v>
      </c>
      <c r="DI1780">
        <v>0</v>
      </c>
    </row>
    <row r="1781" spans="1:113" x14ac:dyDescent="0.3">
      <c r="A1781" t="str">
        <f>"02/13/2022 18:48:54.181"</f>
        <v>02/13/2022 18:48:54.181</v>
      </c>
      <c r="C1781" t="str">
        <f>"FFDF57C0"</f>
        <v>FFDF57C0</v>
      </c>
      <c r="D1781" t="s">
        <v>113</v>
      </c>
      <c r="E1781">
        <v>4</v>
      </c>
      <c r="F1781">
        <v>1004</v>
      </c>
      <c r="G1781" t="s">
        <v>120</v>
      </c>
      <c r="J1781" t="s">
        <v>115</v>
      </c>
      <c r="K1781">
        <v>0</v>
      </c>
      <c r="L1781">
        <v>3</v>
      </c>
      <c r="M1781">
        <v>0</v>
      </c>
      <c r="N1781">
        <v>2</v>
      </c>
      <c r="O1781">
        <v>1</v>
      </c>
      <c r="P1781">
        <v>0</v>
      </c>
      <c r="Q1781">
        <v>0</v>
      </c>
      <c r="S1781" t="str">
        <f>"18:48:53.695"</f>
        <v>18:48:53.695</v>
      </c>
      <c r="U1781" t="str">
        <f t="shared" si="168"/>
        <v>AAB6EE</v>
      </c>
      <c r="V1781">
        <v>0</v>
      </c>
      <c r="W1781">
        <v>0</v>
      </c>
      <c r="X1781">
        <v>4</v>
      </c>
      <c r="Z1781">
        <v>0</v>
      </c>
      <c r="AA1781">
        <v>8</v>
      </c>
      <c r="AB1781">
        <v>3</v>
      </c>
      <c r="AC1781">
        <v>0</v>
      </c>
      <c r="AD1781">
        <v>10</v>
      </c>
      <c r="AE1781">
        <v>0</v>
      </c>
      <c r="AF1781">
        <v>0</v>
      </c>
      <c r="AG1781">
        <v>2</v>
      </c>
      <c r="AH1781">
        <v>1</v>
      </c>
      <c r="AI1781" t="s">
        <v>1305</v>
      </c>
      <c r="AJ1781">
        <v>35.138289999999998</v>
      </c>
      <c r="AK1781" t="s">
        <v>1306</v>
      </c>
      <c r="AL1781">
        <v>-75.989513000000002</v>
      </c>
      <c r="AM1781">
        <v>25</v>
      </c>
      <c r="AN1781">
        <v>2925</v>
      </c>
      <c r="AO1781" t="s">
        <v>118</v>
      </c>
      <c r="AR1781">
        <v>0</v>
      </c>
      <c r="AZ1781">
        <v>4516</v>
      </c>
      <c r="BA1781">
        <v>1</v>
      </c>
      <c r="BB1781" t="str">
        <f t="shared" si="169"/>
        <v xml:space="preserve">N79NX   </v>
      </c>
      <c r="BC1781">
        <v>1</v>
      </c>
      <c r="BE1781">
        <v>0</v>
      </c>
      <c r="BF1781">
        <v>0</v>
      </c>
      <c r="BG1781">
        <v>0</v>
      </c>
      <c r="BI1781">
        <v>0</v>
      </c>
      <c r="BJ1781">
        <v>0</v>
      </c>
      <c r="BK1781">
        <v>0</v>
      </c>
      <c r="BL1781">
        <v>0</v>
      </c>
      <c r="BO1781">
        <v>0</v>
      </c>
      <c r="BP1781">
        <v>0</v>
      </c>
      <c r="BW1781" t="str">
        <f>"18:48:53.703"</f>
        <v>18:48:53.703</v>
      </c>
      <c r="BZ1781">
        <v>0</v>
      </c>
      <c r="CA1781">
        <v>3008</v>
      </c>
      <c r="CB1781">
        <v>216</v>
      </c>
      <c r="CC1781">
        <v>518.90629999999999</v>
      </c>
      <c r="CD1781">
        <v>1</v>
      </c>
      <c r="CE1781">
        <v>1</v>
      </c>
      <c r="CF1781">
        <v>0</v>
      </c>
      <c r="CG1781">
        <v>1</v>
      </c>
      <c r="CH1781">
        <v>0</v>
      </c>
      <c r="CI1781">
        <v>1</v>
      </c>
      <c r="CJ1781">
        <v>0</v>
      </c>
      <c r="CK1781">
        <v>2</v>
      </c>
      <c r="CL1781">
        <v>0</v>
      </c>
      <c r="CM1781">
        <v>2</v>
      </c>
      <c r="CN1781">
        <v>0</v>
      </c>
      <c r="CO1781">
        <v>1</v>
      </c>
      <c r="CP1781" t="s">
        <v>119</v>
      </c>
      <c r="CQ1781">
        <v>145</v>
      </c>
      <c r="CR1781">
        <v>1</v>
      </c>
      <c r="CW1781">
        <v>9232325</v>
      </c>
      <c r="CY1781">
        <v>0</v>
      </c>
      <c r="CZ1781">
        <v>0</v>
      </c>
      <c r="DA1781">
        <v>0</v>
      </c>
      <c r="DB1781">
        <v>0</v>
      </c>
      <c r="DC1781">
        <v>0</v>
      </c>
      <c r="DD1781">
        <v>0</v>
      </c>
      <c r="DE1781">
        <v>0</v>
      </c>
      <c r="DF1781">
        <v>1</v>
      </c>
      <c r="DG1781">
        <v>0</v>
      </c>
      <c r="DH1781">
        <v>0</v>
      </c>
      <c r="DI1781">
        <v>0</v>
      </c>
    </row>
    <row r="1782" spans="1:113" x14ac:dyDescent="0.3">
      <c r="A1782" t="str">
        <f>"02/13/2022 18:48:54.181"</f>
        <v>02/13/2022 18:48:54.181</v>
      </c>
      <c r="C1782" t="str">
        <f>"FFDF57C0"</f>
        <v>FFDF57C0</v>
      </c>
      <c r="D1782" t="s">
        <v>113</v>
      </c>
      <c r="E1782">
        <v>3</v>
      </c>
      <c r="F1782">
        <v>1003</v>
      </c>
      <c r="G1782" t="s">
        <v>114</v>
      </c>
      <c r="J1782" t="s">
        <v>115</v>
      </c>
      <c r="K1782">
        <v>0</v>
      </c>
      <c r="L1782">
        <v>3</v>
      </c>
      <c r="M1782">
        <v>0</v>
      </c>
      <c r="N1782">
        <v>2</v>
      </c>
      <c r="O1782">
        <v>1</v>
      </c>
      <c r="P1782">
        <v>0</v>
      </c>
      <c r="Q1782">
        <v>0</v>
      </c>
      <c r="S1782" t="str">
        <f>"18:48:53.695"</f>
        <v>18:48:53.695</v>
      </c>
      <c r="U1782" t="str">
        <f t="shared" si="168"/>
        <v>AAB6EE</v>
      </c>
      <c r="V1782">
        <v>0</v>
      </c>
      <c r="W1782">
        <v>0</v>
      </c>
      <c r="X1782">
        <v>4</v>
      </c>
      <c r="Z1782">
        <v>0</v>
      </c>
      <c r="AA1782">
        <v>8</v>
      </c>
      <c r="AB1782">
        <v>3</v>
      </c>
      <c r="AC1782">
        <v>0</v>
      </c>
      <c r="AD1782">
        <v>10</v>
      </c>
      <c r="AE1782">
        <v>0</v>
      </c>
      <c r="AF1782">
        <v>0</v>
      </c>
      <c r="AG1782">
        <v>2</v>
      </c>
      <c r="AH1782">
        <v>1</v>
      </c>
      <c r="AI1782" t="s">
        <v>1305</v>
      </c>
      <c r="AJ1782">
        <v>35.138289999999998</v>
      </c>
      <c r="AK1782" t="s">
        <v>1306</v>
      </c>
      <c r="AL1782">
        <v>-75.989513000000002</v>
      </c>
      <c r="AM1782">
        <v>25</v>
      </c>
      <c r="AN1782">
        <v>2925</v>
      </c>
      <c r="AO1782" t="s">
        <v>118</v>
      </c>
      <c r="AR1782">
        <v>0</v>
      </c>
      <c r="AZ1782">
        <v>4516</v>
      </c>
      <c r="BA1782">
        <v>1</v>
      </c>
      <c r="BB1782" t="str">
        <f t="shared" si="169"/>
        <v xml:space="preserve">N79NX   </v>
      </c>
      <c r="BC1782">
        <v>1</v>
      </c>
      <c r="BE1782">
        <v>0</v>
      </c>
      <c r="BF1782">
        <v>0</v>
      </c>
      <c r="BG1782">
        <v>0</v>
      </c>
      <c r="BI1782">
        <v>0</v>
      </c>
      <c r="BJ1782">
        <v>0</v>
      </c>
      <c r="BK1782">
        <v>0</v>
      </c>
      <c r="BL1782">
        <v>0</v>
      </c>
      <c r="BO1782">
        <v>0</v>
      </c>
      <c r="BP1782">
        <v>0</v>
      </c>
      <c r="BW1782" t="str">
        <f>"18:48:53.703"</f>
        <v>18:48:53.703</v>
      </c>
      <c r="BZ1782">
        <v>0</v>
      </c>
      <c r="CA1782">
        <v>3008</v>
      </c>
      <c r="CB1782">
        <v>216</v>
      </c>
      <c r="CC1782">
        <v>518.90629999999999</v>
      </c>
      <c r="CD1782">
        <v>1</v>
      </c>
      <c r="CE1782">
        <v>1</v>
      </c>
      <c r="CF1782">
        <v>0</v>
      </c>
      <c r="CG1782">
        <v>1</v>
      </c>
      <c r="CH1782">
        <v>0</v>
      </c>
      <c r="CI1782">
        <v>1</v>
      </c>
      <c r="CJ1782">
        <v>0</v>
      </c>
      <c r="CK1782">
        <v>2</v>
      </c>
      <c r="CL1782">
        <v>0</v>
      </c>
      <c r="CM1782">
        <v>2</v>
      </c>
      <c r="CN1782">
        <v>0</v>
      </c>
      <c r="CO1782">
        <v>1</v>
      </c>
      <c r="CP1782" t="s">
        <v>119</v>
      </c>
      <c r="CQ1782">
        <v>145</v>
      </c>
      <c r="CR1782">
        <v>1</v>
      </c>
      <c r="CW1782">
        <v>9232325</v>
      </c>
      <c r="CY1782">
        <v>0</v>
      </c>
      <c r="CZ1782">
        <v>0</v>
      </c>
      <c r="DA1782">
        <v>1</v>
      </c>
      <c r="DB1782">
        <v>0</v>
      </c>
      <c r="DC1782">
        <v>0</v>
      </c>
      <c r="DD1782">
        <v>0</v>
      </c>
      <c r="DE1782">
        <v>0</v>
      </c>
      <c r="DF1782">
        <v>1</v>
      </c>
      <c r="DG1782">
        <v>0</v>
      </c>
      <c r="DH1782">
        <v>0</v>
      </c>
      <c r="DI1782">
        <v>0</v>
      </c>
    </row>
    <row r="1783" spans="1:113" x14ac:dyDescent="0.3">
      <c r="A1783" t="str">
        <f>"02/13/2022 18:48:54.213"</f>
        <v>02/13/2022 18:48:54.213</v>
      </c>
      <c r="C1783" t="str">
        <f>"FFDF57C0"</f>
        <v>FFDF57C0</v>
      </c>
      <c r="D1783" t="s">
        <v>121</v>
      </c>
      <c r="E1783">
        <v>2</v>
      </c>
      <c r="H1783">
        <v>158</v>
      </c>
      <c r="I1783" t="s">
        <v>120</v>
      </c>
      <c r="J1783" t="s">
        <v>122</v>
      </c>
      <c r="K1783">
        <v>0</v>
      </c>
      <c r="L1783">
        <v>3</v>
      </c>
      <c r="M1783">
        <v>0</v>
      </c>
      <c r="N1783">
        <v>2</v>
      </c>
      <c r="O1783">
        <v>1</v>
      </c>
      <c r="P1783">
        <v>0</v>
      </c>
      <c r="Q1783">
        <v>0</v>
      </c>
      <c r="S1783" t="str">
        <f>"18:48:53.695"</f>
        <v>18:48:53.695</v>
      </c>
      <c r="U1783" t="str">
        <f t="shared" si="168"/>
        <v>AAB6EE</v>
      </c>
      <c r="V1783">
        <v>0</v>
      </c>
      <c r="W1783">
        <v>0</v>
      </c>
      <c r="X1783">
        <v>4</v>
      </c>
      <c r="Z1783">
        <v>0</v>
      </c>
      <c r="AA1783">
        <v>8</v>
      </c>
      <c r="AB1783">
        <v>3</v>
      </c>
      <c r="AC1783">
        <v>0</v>
      </c>
      <c r="AD1783">
        <v>10</v>
      </c>
      <c r="AE1783">
        <v>0</v>
      </c>
      <c r="AF1783">
        <v>0</v>
      </c>
      <c r="AG1783">
        <v>2</v>
      </c>
      <c r="AH1783">
        <v>1</v>
      </c>
      <c r="AI1783" t="s">
        <v>1305</v>
      </c>
      <c r="AJ1783">
        <v>35.138289999999998</v>
      </c>
      <c r="AK1783" t="s">
        <v>1306</v>
      </c>
      <c r="AL1783">
        <v>-75.989513000000002</v>
      </c>
      <c r="AM1783">
        <v>25</v>
      </c>
      <c r="AN1783">
        <v>2925</v>
      </c>
      <c r="AO1783" t="s">
        <v>118</v>
      </c>
      <c r="AR1783">
        <v>0</v>
      </c>
      <c r="AZ1783">
        <v>4516</v>
      </c>
      <c r="BA1783">
        <v>1</v>
      </c>
      <c r="BB1783" t="str">
        <f t="shared" si="169"/>
        <v xml:space="preserve">N79NX   </v>
      </c>
      <c r="BC1783">
        <v>1</v>
      </c>
      <c r="BE1783">
        <v>0</v>
      </c>
      <c r="BF1783">
        <v>0</v>
      </c>
      <c r="BG1783">
        <v>0</v>
      </c>
      <c r="BI1783">
        <v>0</v>
      </c>
      <c r="BJ1783">
        <v>0</v>
      </c>
      <c r="BK1783">
        <v>0</v>
      </c>
      <c r="BL1783">
        <v>0</v>
      </c>
      <c r="BO1783">
        <v>0</v>
      </c>
      <c r="BP1783">
        <v>0</v>
      </c>
      <c r="BW1783" t="str">
        <f>"18:48:53.703"</f>
        <v>18:48:53.703</v>
      </c>
      <c r="BZ1783">
        <v>0</v>
      </c>
      <c r="CA1783">
        <v>3008</v>
      </c>
      <c r="CB1783">
        <v>216</v>
      </c>
      <c r="CC1783">
        <v>518.90629999999999</v>
      </c>
      <c r="CD1783">
        <v>1</v>
      </c>
      <c r="CE1783">
        <v>1</v>
      </c>
      <c r="CF1783">
        <v>0</v>
      </c>
      <c r="CG1783">
        <v>1</v>
      </c>
      <c r="CH1783">
        <v>0</v>
      </c>
      <c r="CI1783">
        <v>1</v>
      </c>
      <c r="CJ1783">
        <v>0</v>
      </c>
      <c r="CK1783">
        <v>2</v>
      </c>
      <c r="CL1783">
        <v>0</v>
      </c>
      <c r="CM1783">
        <v>2</v>
      </c>
      <c r="CN1783">
        <v>0</v>
      </c>
      <c r="CO1783">
        <v>1</v>
      </c>
      <c r="CP1783" t="s">
        <v>119</v>
      </c>
      <c r="CQ1783">
        <v>145</v>
      </c>
      <c r="CR1783">
        <v>1</v>
      </c>
      <c r="CW1783">
        <v>9232325</v>
      </c>
      <c r="CY1783">
        <v>0</v>
      </c>
      <c r="CZ1783">
        <v>0</v>
      </c>
      <c r="DA1783">
        <v>0</v>
      </c>
      <c r="DB1783">
        <v>0</v>
      </c>
      <c r="DC1783">
        <v>0</v>
      </c>
      <c r="DD1783">
        <v>0</v>
      </c>
      <c r="DE1783">
        <v>0</v>
      </c>
      <c r="DF1783">
        <v>1</v>
      </c>
      <c r="DG1783">
        <v>0</v>
      </c>
      <c r="DH1783">
        <v>0</v>
      </c>
      <c r="DI1783">
        <v>0</v>
      </c>
    </row>
    <row r="1784" spans="1:113" x14ac:dyDescent="0.3">
      <c r="A1784" t="str">
        <f>"02/13/2022 18:48:56.263"</f>
        <v>02/13/2022 18:48:56.263</v>
      </c>
      <c r="C1784" t="str">
        <f t="shared" ref="C1784:C1789" si="173">"FFDFD7C0"</f>
        <v>FFDFD7C0</v>
      </c>
      <c r="D1784" t="s">
        <v>121</v>
      </c>
      <c r="E1784">
        <v>2</v>
      </c>
      <c r="H1784">
        <v>158</v>
      </c>
      <c r="I1784" t="s">
        <v>120</v>
      </c>
      <c r="J1784" t="s">
        <v>122</v>
      </c>
      <c r="K1784">
        <v>0</v>
      </c>
      <c r="L1784">
        <v>3</v>
      </c>
      <c r="M1784">
        <v>0</v>
      </c>
      <c r="N1784">
        <v>2</v>
      </c>
      <c r="O1784">
        <v>1</v>
      </c>
      <c r="P1784">
        <v>0</v>
      </c>
      <c r="Q1784">
        <v>0</v>
      </c>
      <c r="S1784" t="str">
        <f>"18:48:55.695"</f>
        <v>18:48:55.695</v>
      </c>
      <c r="T1784" t="str">
        <f>"18:48:55.595"</f>
        <v>18:48:55.595</v>
      </c>
      <c r="U1784" t="str">
        <f t="shared" si="168"/>
        <v>AAB6EE</v>
      </c>
      <c r="V1784">
        <v>0</v>
      </c>
      <c r="W1784">
        <v>0</v>
      </c>
      <c r="X1784">
        <v>4</v>
      </c>
      <c r="Z1784">
        <v>0</v>
      </c>
      <c r="AA1784">
        <v>8</v>
      </c>
      <c r="AB1784">
        <v>3</v>
      </c>
      <c r="AC1784">
        <v>0</v>
      </c>
      <c r="AD1784">
        <v>10</v>
      </c>
      <c r="AE1784">
        <v>0</v>
      </c>
      <c r="AF1784">
        <v>0</v>
      </c>
      <c r="AG1784">
        <v>2</v>
      </c>
      <c r="AH1784">
        <v>1</v>
      </c>
      <c r="AI1784" t="s">
        <v>1307</v>
      </c>
      <c r="AJ1784">
        <v>35.136980999999999</v>
      </c>
      <c r="AK1784" t="s">
        <v>1308</v>
      </c>
      <c r="AL1784">
        <v>-75.988719000000003</v>
      </c>
      <c r="AM1784">
        <v>25</v>
      </c>
      <c r="AN1784">
        <v>2925</v>
      </c>
      <c r="AO1784" t="s">
        <v>118</v>
      </c>
      <c r="AP1784">
        <v>72</v>
      </c>
      <c r="AQ1784">
        <v>-138</v>
      </c>
      <c r="AR1784">
        <v>-64</v>
      </c>
      <c r="AZ1784">
        <v>4516</v>
      </c>
      <c r="BA1784">
        <v>1</v>
      </c>
      <c r="BB1784" t="str">
        <f t="shared" si="169"/>
        <v xml:space="preserve">N79NX   </v>
      </c>
      <c r="BC1784">
        <v>1</v>
      </c>
      <c r="BE1784">
        <v>0</v>
      </c>
      <c r="BF1784">
        <v>0</v>
      </c>
      <c r="BG1784">
        <v>0</v>
      </c>
      <c r="BH1784">
        <v>2775</v>
      </c>
      <c r="BI1784">
        <v>0</v>
      </c>
      <c r="BJ1784">
        <v>0</v>
      </c>
      <c r="BK1784">
        <v>0</v>
      </c>
      <c r="BL1784">
        <v>0</v>
      </c>
      <c r="BO1784">
        <v>0</v>
      </c>
      <c r="BP1784">
        <v>0</v>
      </c>
      <c r="BW1784" t="str">
        <f>"18:48:55.703"</f>
        <v>18:48:55.703</v>
      </c>
      <c r="BZ1784">
        <v>0</v>
      </c>
      <c r="CA1784">
        <v>3008</v>
      </c>
      <c r="CB1784">
        <v>216</v>
      </c>
      <c r="CC1784">
        <v>518.90629999999999</v>
      </c>
      <c r="CD1784">
        <v>1</v>
      </c>
      <c r="CE1784">
        <v>1</v>
      </c>
      <c r="CF1784">
        <v>0</v>
      </c>
      <c r="CG1784">
        <v>1</v>
      </c>
      <c r="CH1784">
        <v>0</v>
      </c>
      <c r="CI1784">
        <v>1</v>
      </c>
      <c r="CJ1784">
        <v>0</v>
      </c>
      <c r="CK1784">
        <v>2</v>
      </c>
      <c r="CL1784">
        <v>0</v>
      </c>
      <c r="CM1784">
        <v>2</v>
      </c>
      <c r="CN1784">
        <v>0</v>
      </c>
      <c r="CO1784">
        <v>1</v>
      </c>
      <c r="CP1784" t="s">
        <v>119</v>
      </c>
      <c r="CQ1784">
        <v>145</v>
      </c>
      <c r="CR1784">
        <v>1</v>
      </c>
      <c r="CW1784">
        <v>9233165</v>
      </c>
      <c r="CY1784">
        <v>0</v>
      </c>
      <c r="CZ1784">
        <v>0</v>
      </c>
      <c r="DA1784">
        <v>0</v>
      </c>
      <c r="DB1784">
        <v>0</v>
      </c>
      <c r="DC1784">
        <v>0</v>
      </c>
      <c r="DD1784">
        <v>0</v>
      </c>
      <c r="DE1784">
        <v>0</v>
      </c>
      <c r="DF1784">
        <v>0</v>
      </c>
      <c r="DG1784">
        <v>0</v>
      </c>
      <c r="DH1784">
        <v>0</v>
      </c>
      <c r="DI1784">
        <v>0</v>
      </c>
    </row>
    <row r="1785" spans="1:113" x14ac:dyDescent="0.3">
      <c r="A1785" t="str">
        <f>"02/13/2022 18:48:56.263"</f>
        <v>02/13/2022 18:48:56.263</v>
      </c>
      <c r="C1785" t="str">
        <f t="shared" si="173"/>
        <v>FFDFD7C0</v>
      </c>
      <c r="D1785" t="s">
        <v>113</v>
      </c>
      <c r="E1785">
        <v>3</v>
      </c>
      <c r="F1785">
        <v>1003</v>
      </c>
      <c r="G1785" t="s">
        <v>114</v>
      </c>
      <c r="J1785" t="s">
        <v>115</v>
      </c>
      <c r="K1785">
        <v>0</v>
      </c>
      <c r="L1785">
        <v>3</v>
      </c>
      <c r="M1785">
        <v>0</v>
      </c>
      <c r="N1785">
        <v>2</v>
      </c>
      <c r="O1785">
        <v>1</v>
      </c>
      <c r="P1785">
        <v>0</v>
      </c>
      <c r="Q1785">
        <v>0</v>
      </c>
      <c r="S1785" t="str">
        <f>"18:48:55.695"</f>
        <v>18:48:55.695</v>
      </c>
      <c r="T1785" t="str">
        <f>"18:48:55.595"</f>
        <v>18:48:55.595</v>
      </c>
      <c r="U1785" t="str">
        <f t="shared" si="168"/>
        <v>AAB6EE</v>
      </c>
      <c r="V1785">
        <v>0</v>
      </c>
      <c r="W1785">
        <v>0</v>
      </c>
      <c r="X1785">
        <v>4</v>
      </c>
      <c r="Z1785">
        <v>0</v>
      </c>
      <c r="AA1785">
        <v>8</v>
      </c>
      <c r="AB1785">
        <v>3</v>
      </c>
      <c r="AC1785">
        <v>0</v>
      </c>
      <c r="AD1785">
        <v>10</v>
      </c>
      <c r="AE1785">
        <v>0</v>
      </c>
      <c r="AF1785">
        <v>0</v>
      </c>
      <c r="AG1785">
        <v>2</v>
      </c>
      <c r="AH1785">
        <v>1</v>
      </c>
      <c r="AI1785" t="s">
        <v>1307</v>
      </c>
      <c r="AJ1785">
        <v>35.136980999999999</v>
      </c>
      <c r="AK1785" t="s">
        <v>1308</v>
      </c>
      <c r="AL1785">
        <v>-75.988719000000003</v>
      </c>
      <c r="AM1785">
        <v>25</v>
      </c>
      <c r="AN1785">
        <v>2925</v>
      </c>
      <c r="AO1785" t="s">
        <v>118</v>
      </c>
      <c r="AP1785">
        <v>72</v>
      </c>
      <c r="AQ1785">
        <v>-138</v>
      </c>
      <c r="AR1785">
        <v>-64</v>
      </c>
      <c r="AZ1785">
        <v>4516</v>
      </c>
      <c r="BA1785">
        <v>1</v>
      </c>
      <c r="BB1785" t="str">
        <f t="shared" si="169"/>
        <v xml:space="preserve">N79NX   </v>
      </c>
      <c r="BC1785">
        <v>1</v>
      </c>
      <c r="BE1785">
        <v>0</v>
      </c>
      <c r="BF1785">
        <v>0</v>
      </c>
      <c r="BG1785">
        <v>0</v>
      </c>
      <c r="BH1785">
        <v>2775</v>
      </c>
      <c r="BI1785">
        <v>0</v>
      </c>
      <c r="BJ1785">
        <v>0</v>
      </c>
      <c r="BK1785">
        <v>0</v>
      </c>
      <c r="BL1785">
        <v>0</v>
      </c>
      <c r="BO1785">
        <v>0</v>
      </c>
      <c r="BP1785">
        <v>0</v>
      </c>
      <c r="BW1785" t="str">
        <f>"18:48:55.703"</f>
        <v>18:48:55.703</v>
      </c>
      <c r="BZ1785">
        <v>0</v>
      </c>
      <c r="CA1785">
        <v>3008</v>
      </c>
      <c r="CB1785">
        <v>216</v>
      </c>
      <c r="CC1785">
        <v>518.90629999999999</v>
      </c>
      <c r="CD1785">
        <v>1</v>
      </c>
      <c r="CE1785">
        <v>1</v>
      </c>
      <c r="CF1785">
        <v>0</v>
      </c>
      <c r="CG1785">
        <v>1</v>
      </c>
      <c r="CH1785">
        <v>0</v>
      </c>
      <c r="CI1785">
        <v>1</v>
      </c>
      <c r="CJ1785">
        <v>0</v>
      </c>
      <c r="CK1785">
        <v>2</v>
      </c>
      <c r="CL1785">
        <v>0</v>
      </c>
      <c r="CM1785">
        <v>2</v>
      </c>
      <c r="CN1785">
        <v>0</v>
      </c>
      <c r="CO1785">
        <v>1</v>
      </c>
      <c r="CP1785" t="s">
        <v>119</v>
      </c>
      <c r="CQ1785">
        <v>145</v>
      </c>
      <c r="CR1785">
        <v>1</v>
      </c>
      <c r="CW1785">
        <v>9233165</v>
      </c>
      <c r="CY1785">
        <v>0</v>
      </c>
      <c r="CZ1785">
        <v>0</v>
      </c>
      <c r="DA1785">
        <v>1</v>
      </c>
      <c r="DB1785">
        <v>0</v>
      </c>
      <c r="DC1785">
        <v>0</v>
      </c>
      <c r="DD1785">
        <v>0</v>
      </c>
      <c r="DE1785">
        <v>0</v>
      </c>
      <c r="DF1785">
        <v>0</v>
      </c>
      <c r="DG1785">
        <v>0</v>
      </c>
      <c r="DH1785">
        <v>0</v>
      </c>
      <c r="DI1785">
        <v>0</v>
      </c>
    </row>
    <row r="1786" spans="1:113" x14ac:dyDescent="0.3">
      <c r="A1786" t="str">
        <f>"02/13/2022 18:48:56.263"</f>
        <v>02/13/2022 18:48:56.263</v>
      </c>
      <c r="C1786" t="str">
        <f t="shared" si="173"/>
        <v>FFDFD7C0</v>
      </c>
      <c r="D1786" t="s">
        <v>113</v>
      </c>
      <c r="E1786">
        <v>4</v>
      </c>
      <c r="F1786">
        <v>1004</v>
      </c>
      <c r="G1786" t="s">
        <v>120</v>
      </c>
      <c r="J1786" t="s">
        <v>115</v>
      </c>
      <c r="K1786">
        <v>0</v>
      </c>
      <c r="L1786">
        <v>3</v>
      </c>
      <c r="M1786">
        <v>0</v>
      </c>
      <c r="N1786">
        <v>2</v>
      </c>
      <c r="O1786">
        <v>1</v>
      </c>
      <c r="P1786">
        <v>0</v>
      </c>
      <c r="Q1786">
        <v>0</v>
      </c>
      <c r="S1786" t="str">
        <f>"18:48:55.695"</f>
        <v>18:48:55.695</v>
      </c>
      <c r="T1786" t="str">
        <f>"18:48:55.595"</f>
        <v>18:48:55.595</v>
      </c>
      <c r="U1786" t="str">
        <f t="shared" si="168"/>
        <v>AAB6EE</v>
      </c>
      <c r="V1786">
        <v>0</v>
      </c>
      <c r="W1786">
        <v>0</v>
      </c>
      <c r="X1786">
        <v>4</v>
      </c>
      <c r="Z1786">
        <v>0</v>
      </c>
      <c r="AA1786">
        <v>8</v>
      </c>
      <c r="AB1786">
        <v>3</v>
      </c>
      <c r="AC1786">
        <v>0</v>
      </c>
      <c r="AD1786">
        <v>10</v>
      </c>
      <c r="AE1786">
        <v>0</v>
      </c>
      <c r="AF1786">
        <v>0</v>
      </c>
      <c r="AG1786">
        <v>2</v>
      </c>
      <c r="AH1786">
        <v>1</v>
      </c>
      <c r="AI1786" t="s">
        <v>1307</v>
      </c>
      <c r="AJ1786">
        <v>35.136980999999999</v>
      </c>
      <c r="AK1786" t="s">
        <v>1308</v>
      </c>
      <c r="AL1786">
        <v>-75.988719000000003</v>
      </c>
      <c r="AM1786">
        <v>25</v>
      </c>
      <c r="AN1786">
        <v>2925</v>
      </c>
      <c r="AO1786" t="s">
        <v>118</v>
      </c>
      <c r="AP1786">
        <v>72</v>
      </c>
      <c r="AQ1786">
        <v>-138</v>
      </c>
      <c r="AR1786">
        <v>-64</v>
      </c>
      <c r="AZ1786">
        <v>4516</v>
      </c>
      <c r="BA1786">
        <v>1</v>
      </c>
      <c r="BB1786" t="str">
        <f t="shared" si="169"/>
        <v xml:space="preserve">N79NX   </v>
      </c>
      <c r="BC1786">
        <v>1</v>
      </c>
      <c r="BE1786">
        <v>0</v>
      </c>
      <c r="BF1786">
        <v>0</v>
      </c>
      <c r="BG1786">
        <v>0</v>
      </c>
      <c r="BH1786">
        <v>2775</v>
      </c>
      <c r="BI1786">
        <v>0</v>
      </c>
      <c r="BJ1786">
        <v>0</v>
      </c>
      <c r="BK1786">
        <v>0</v>
      </c>
      <c r="BL1786">
        <v>0</v>
      </c>
      <c r="BO1786">
        <v>0</v>
      </c>
      <c r="BP1786">
        <v>0</v>
      </c>
      <c r="BW1786" t="str">
        <f>"18:48:55.703"</f>
        <v>18:48:55.703</v>
      </c>
      <c r="BZ1786">
        <v>0</v>
      </c>
      <c r="CA1786">
        <v>3008</v>
      </c>
      <c r="CB1786">
        <v>216</v>
      </c>
      <c r="CC1786">
        <v>518.90629999999999</v>
      </c>
      <c r="CD1786">
        <v>1</v>
      </c>
      <c r="CE1786">
        <v>1</v>
      </c>
      <c r="CF1786">
        <v>0</v>
      </c>
      <c r="CG1786">
        <v>1</v>
      </c>
      <c r="CH1786">
        <v>0</v>
      </c>
      <c r="CI1786">
        <v>1</v>
      </c>
      <c r="CJ1786">
        <v>0</v>
      </c>
      <c r="CK1786">
        <v>2</v>
      </c>
      <c r="CL1786">
        <v>0</v>
      </c>
      <c r="CM1786">
        <v>2</v>
      </c>
      <c r="CN1786">
        <v>0</v>
      </c>
      <c r="CO1786">
        <v>1</v>
      </c>
      <c r="CP1786" t="s">
        <v>119</v>
      </c>
      <c r="CQ1786">
        <v>145</v>
      </c>
      <c r="CR1786">
        <v>1</v>
      </c>
      <c r="CW1786">
        <v>9233165</v>
      </c>
      <c r="CY1786">
        <v>0</v>
      </c>
      <c r="CZ1786">
        <v>0</v>
      </c>
      <c r="DA1786">
        <v>1</v>
      </c>
      <c r="DB1786">
        <v>0</v>
      </c>
      <c r="DC1786">
        <v>0</v>
      </c>
      <c r="DD1786">
        <v>0</v>
      </c>
      <c r="DE1786">
        <v>0</v>
      </c>
      <c r="DF1786">
        <v>0</v>
      </c>
      <c r="DG1786">
        <v>0</v>
      </c>
      <c r="DH1786">
        <v>0</v>
      </c>
      <c r="DI1786">
        <v>0</v>
      </c>
    </row>
    <row r="1787" spans="1:113" x14ac:dyDescent="0.3">
      <c r="A1787" t="str">
        <f>"02/13/2022 18:49:00.563"</f>
        <v>02/13/2022 18:49:00.563</v>
      </c>
      <c r="C1787" t="str">
        <f t="shared" si="173"/>
        <v>FFDFD7C0</v>
      </c>
      <c r="D1787" t="s">
        <v>113</v>
      </c>
      <c r="E1787">
        <v>3</v>
      </c>
      <c r="F1787">
        <v>1003</v>
      </c>
      <c r="G1787" t="s">
        <v>114</v>
      </c>
      <c r="J1787" t="s">
        <v>115</v>
      </c>
      <c r="K1787">
        <v>0</v>
      </c>
      <c r="L1787">
        <v>3</v>
      </c>
      <c r="M1787">
        <v>0</v>
      </c>
      <c r="N1787">
        <v>2</v>
      </c>
      <c r="O1787">
        <v>1</v>
      </c>
      <c r="P1787">
        <v>0</v>
      </c>
      <c r="Q1787">
        <v>0</v>
      </c>
      <c r="S1787" t="str">
        <f>"18:48:59.930"</f>
        <v>18:48:59.930</v>
      </c>
      <c r="T1787" t="str">
        <f>"18:48:57.530"</f>
        <v>18:48:57.530</v>
      </c>
      <c r="U1787" t="str">
        <f t="shared" si="168"/>
        <v>AAB6EE</v>
      </c>
      <c r="V1787">
        <v>0</v>
      </c>
      <c r="W1787">
        <v>0</v>
      </c>
      <c r="X1787">
        <v>4</v>
      </c>
      <c r="Z1787">
        <v>0</v>
      </c>
      <c r="AA1787">
        <v>8</v>
      </c>
      <c r="AB1787">
        <v>3</v>
      </c>
      <c r="AC1787">
        <v>0</v>
      </c>
      <c r="AD1787">
        <v>10</v>
      </c>
      <c r="AE1787">
        <v>0</v>
      </c>
      <c r="AF1787">
        <v>0</v>
      </c>
      <c r="AG1787">
        <v>2</v>
      </c>
      <c r="AH1787">
        <v>1</v>
      </c>
      <c r="AI1787" t="s">
        <v>1309</v>
      </c>
      <c r="AJ1787">
        <v>35.134233999999999</v>
      </c>
      <c r="AK1787" t="s">
        <v>1310</v>
      </c>
      <c r="AL1787">
        <v>-75.986937999999995</v>
      </c>
      <c r="AM1787">
        <v>25</v>
      </c>
      <c r="AN1787">
        <v>2925</v>
      </c>
      <c r="AO1787" t="s">
        <v>118</v>
      </c>
      <c r="AP1787">
        <v>72</v>
      </c>
      <c r="AQ1787">
        <v>-138</v>
      </c>
      <c r="AR1787">
        <v>-64</v>
      </c>
      <c r="AZ1787">
        <v>4516</v>
      </c>
      <c r="BA1787">
        <v>1</v>
      </c>
      <c r="BB1787" t="str">
        <f t="shared" si="169"/>
        <v xml:space="preserve">N79NX   </v>
      </c>
      <c r="BC1787">
        <v>1</v>
      </c>
      <c r="BE1787">
        <v>0</v>
      </c>
      <c r="BF1787">
        <v>0</v>
      </c>
      <c r="BG1787">
        <v>0</v>
      </c>
      <c r="BH1787">
        <v>2775</v>
      </c>
      <c r="BI1787">
        <v>0</v>
      </c>
      <c r="BJ1787">
        <v>0</v>
      </c>
      <c r="BK1787">
        <v>0</v>
      </c>
      <c r="BL1787">
        <v>0</v>
      </c>
      <c r="BO1787">
        <v>0</v>
      </c>
      <c r="BP1787">
        <v>0</v>
      </c>
      <c r="BW1787" t="str">
        <f>"18:48:59.933"</f>
        <v>18:48:59.933</v>
      </c>
      <c r="BZ1787">
        <v>0</v>
      </c>
      <c r="CA1787">
        <v>3008</v>
      </c>
      <c r="CB1787">
        <v>216</v>
      </c>
      <c r="CC1787">
        <v>518.90629999999999</v>
      </c>
      <c r="CD1787">
        <v>1</v>
      </c>
      <c r="CE1787">
        <v>1</v>
      </c>
      <c r="CF1787">
        <v>0</v>
      </c>
      <c r="CG1787">
        <v>1</v>
      </c>
      <c r="CH1787">
        <v>0</v>
      </c>
      <c r="CI1787">
        <v>1</v>
      </c>
      <c r="CJ1787">
        <v>0</v>
      </c>
      <c r="CK1787">
        <v>2</v>
      </c>
      <c r="CL1787">
        <v>0</v>
      </c>
      <c r="CM1787">
        <v>2</v>
      </c>
      <c r="CN1787">
        <v>0</v>
      </c>
      <c r="CO1787">
        <v>1</v>
      </c>
      <c r="CP1787" t="s">
        <v>119</v>
      </c>
      <c r="CQ1787">
        <v>145</v>
      </c>
      <c r="CR1787">
        <v>1</v>
      </c>
      <c r="CW1787">
        <v>9235134</v>
      </c>
      <c r="CY1787">
        <v>0</v>
      </c>
      <c r="CZ1787">
        <v>0</v>
      </c>
      <c r="DA1787">
        <v>0</v>
      </c>
      <c r="DB1787">
        <v>0</v>
      </c>
      <c r="DC1787">
        <v>0</v>
      </c>
      <c r="DD1787">
        <v>0</v>
      </c>
      <c r="DE1787">
        <v>0</v>
      </c>
      <c r="DF1787">
        <v>0</v>
      </c>
      <c r="DG1787">
        <v>0</v>
      </c>
      <c r="DH1787">
        <v>0</v>
      </c>
      <c r="DI1787">
        <v>0</v>
      </c>
    </row>
    <row r="1788" spans="1:113" x14ac:dyDescent="0.3">
      <c r="A1788" t="str">
        <f>"02/13/2022 18:49:00.563"</f>
        <v>02/13/2022 18:49:00.563</v>
      </c>
      <c r="C1788" t="str">
        <f t="shared" si="173"/>
        <v>FFDFD7C0</v>
      </c>
      <c r="D1788" t="s">
        <v>113</v>
      </c>
      <c r="E1788">
        <v>4</v>
      </c>
      <c r="F1788">
        <v>1004</v>
      </c>
      <c r="G1788" t="s">
        <v>120</v>
      </c>
      <c r="J1788" t="s">
        <v>115</v>
      </c>
      <c r="K1788">
        <v>0</v>
      </c>
      <c r="L1788">
        <v>3</v>
      </c>
      <c r="M1788">
        <v>0</v>
      </c>
      <c r="N1788">
        <v>2</v>
      </c>
      <c r="O1788">
        <v>1</v>
      </c>
      <c r="P1788">
        <v>0</v>
      </c>
      <c r="Q1788">
        <v>0</v>
      </c>
      <c r="S1788" t="str">
        <f>"18:48:59.930"</f>
        <v>18:48:59.930</v>
      </c>
      <c r="T1788" t="str">
        <f>"18:48:57.530"</f>
        <v>18:48:57.530</v>
      </c>
      <c r="U1788" t="str">
        <f t="shared" si="168"/>
        <v>AAB6EE</v>
      </c>
      <c r="V1788">
        <v>0</v>
      </c>
      <c r="W1788">
        <v>0</v>
      </c>
      <c r="X1788">
        <v>4</v>
      </c>
      <c r="Z1788">
        <v>0</v>
      </c>
      <c r="AA1788">
        <v>8</v>
      </c>
      <c r="AB1788">
        <v>3</v>
      </c>
      <c r="AC1788">
        <v>0</v>
      </c>
      <c r="AD1788">
        <v>10</v>
      </c>
      <c r="AE1788">
        <v>0</v>
      </c>
      <c r="AF1788">
        <v>0</v>
      </c>
      <c r="AG1788">
        <v>2</v>
      </c>
      <c r="AH1788">
        <v>1</v>
      </c>
      <c r="AI1788" t="s">
        <v>1309</v>
      </c>
      <c r="AJ1788">
        <v>35.134233999999999</v>
      </c>
      <c r="AK1788" t="s">
        <v>1310</v>
      </c>
      <c r="AL1788">
        <v>-75.986937999999995</v>
      </c>
      <c r="AM1788">
        <v>25</v>
      </c>
      <c r="AN1788">
        <v>2925</v>
      </c>
      <c r="AO1788" t="s">
        <v>118</v>
      </c>
      <c r="AP1788">
        <v>72</v>
      </c>
      <c r="AQ1788">
        <v>-138</v>
      </c>
      <c r="AR1788">
        <v>-64</v>
      </c>
      <c r="AZ1788">
        <v>4516</v>
      </c>
      <c r="BA1788">
        <v>1</v>
      </c>
      <c r="BB1788" t="str">
        <f t="shared" si="169"/>
        <v xml:space="preserve">N79NX   </v>
      </c>
      <c r="BC1788">
        <v>1</v>
      </c>
      <c r="BE1788">
        <v>0</v>
      </c>
      <c r="BF1788">
        <v>0</v>
      </c>
      <c r="BG1788">
        <v>0</v>
      </c>
      <c r="BH1788">
        <v>2775</v>
      </c>
      <c r="BI1788">
        <v>0</v>
      </c>
      <c r="BJ1788">
        <v>0</v>
      </c>
      <c r="BK1788">
        <v>0</v>
      </c>
      <c r="BL1788">
        <v>0</v>
      </c>
      <c r="BO1788">
        <v>0</v>
      </c>
      <c r="BP1788">
        <v>0</v>
      </c>
      <c r="BW1788" t="str">
        <f>"18:48:59.933"</f>
        <v>18:48:59.933</v>
      </c>
      <c r="BZ1788">
        <v>0</v>
      </c>
      <c r="CA1788">
        <v>3008</v>
      </c>
      <c r="CB1788">
        <v>216</v>
      </c>
      <c r="CC1788">
        <v>518.90629999999999</v>
      </c>
      <c r="CD1788">
        <v>1</v>
      </c>
      <c r="CE1788">
        <v>1</v>
      </c>
      <c r="CF1788">
        <v>0</v>
      </c>
      <c r="CG1788">
        <v>1</v>
      </c>
      <c r="CH1788">
        <v>0</v>
      </c>
      <c r="CI1788">
        <v>1</v>
      </c>
      <c r="CJ1788">
        <v>0</v>
      </c>
      <c r="CK1788">
        <v>2</v>
      </c>
      <c r="CL1788">
        <v>0</v>
      </c>
      <c r="CM1788">
        <v>2</v>
      </c>
      <c r="CN1788">
        <v>0</v>
      </c>
      <c r="CO1788">
        <v>1</v>
      </c>
      <c r="CP1788" t="s">
        <v>119</v>
      </c>
      <c r="CQ1788">
        <v>145</v>
      </c>
      <c r="CR1788">
        <v>1</v>
      </c>
      <c r="CW1788">
        <v>9235134</v>
      </c>
      <c r="CY1788">
        <v>0</v>
      </c>
      <c r="CZ1788">
        <v>0</v>
      </c>
      <c r="DA1788">
        <v>1</v>
      </c>
      <c r="DB1788">
        <v>0</v>
      </c>
      <c r="DC1788">
        <v>0</v>
      </c>
      <c r="DD1788">
        <v>0</v>
      </c>
      <c r="DE1788">
        <v>0</v>
      </c>
      <c r="DF1788">
        <v>0</v>
      </c>
      <c r="DG1788">
        <v>0</v>
      </c>
      <c r="DH1788">
        <v>0</v>
      </c>
      <c r="DI1788">
        <v>0</v>
      </c>
    </row>
    <row r="1789" spans="1:113" x14ac:dyDescent="0.3">
      <c r="A1789" t="str">
        <f>"02/13/2022 18:49:00.563"</f>
        <v>02/13/2022 18:49:00.563</v>
      </c>
      <c r="C1789" t="str">
        <f t="shared" si="173"/>
        <v>FFDFD7C0</v>
      </c>
      <c r="D1789" t="s">
        <v>121</v>
      </c>
      <c r="E1789">
        <v>2</v>
      </c>
      <c r="H1789">
        <v>158</v>
      </c>
      <c r="I1789" t="s">
        <v>120</v>
      </c>
      <c r="J1789" t="s">
        <v>122</v>
      </c>
      <c r="K1789">
        <v>0</v>
      </c>
      <c r="L1789">
        <v>3</v>
      </c>
      <c r="M1789">
        <v>0</v>
      </c>
      <c r="N1789">
        <v>2</v>
      </c>
      <c r="O1789">
        <v>1</v>
      </c>
      <c r="P1789">
        <v>0</v>
      </c>
      <c r="Q1789">
        <v>0</v>
      </c>
      <c r="S1789" t="str">
        <f>"18:48:59.930"</f>
        <v>18:48:59.930</v>
      </c>
      <c r="T1789" t="str">
        <f>"18:48:57.530"</f>
        <v>18:48:57.530</v>
      </c>
      <c r="U1789" t="str">
        <f t="shared" si="168"/>
        <v>AAB6EE</v>
      </c>
      <c r="V1789">
        <v>0</v>
      </c>
      <c r="W1789">
        <v>0</v>
      </c>
      <c r="X1789">
        <v>4</v>
      </c>
      <c r="Z1789">
        <v>0</v>
      </c>
      <c r="AA1789">
        <v>8</v>
      </c>
      <c r="AB1789">
        <v>3</v>
      </c>
      <c r="AC1789">
        <v>0</v>
      </c>
      <c r="AD1789">
        <v>10</v>
      </c>
      <c r="AE1789">
        <v>0</v>
      </c>
      <c r="AF1789">
        <v>0</v>
      </c>
      <c r="AG1789">
        <v>2</v>
      </c>
      <c r="AH1789">
        <v>1</v>
      </c>
      <c r="AI1789" t="s">
        <v>1309</v>
      </c>
      <c r="AJ1789">
        <v>35.134233999999999</v>
      </c>
      <c r="AK1789" t="s">
        <v>1310</v>
      </c>
      <c r="AL1789">
        <v>-75.986937999999995</v>
      </c>
      <c r="AM1789">
        <v>25</v>
      </c>
      <c r="AN1789">
        <v>2925</v>
      </c>
      <c r="AO1789" t="s">
        <v>118</v>
      </c>
      <c r="AP1789">
        <v>72</v>
      </c>
      <c r="AQ1789">
        <v>-138</v>
      </c>
      <c r="AR1789">
        <v>-64</v>
      </c>
      <c r="AZ1789">
        <v>4516</v>
      </c>
      <c r="BA1789">
        <v>1</v>
      </c>
      <c r="BB1789" t="str">
        <f t="shared" si="169"/>
        <v xml:space="preserve">N79NX   </v>
      </c>
      <c r="BC1789">
        <v>1</v>
      </c>
      <c r="BE1789">
        <v>0</v>
      </c>
      <c r="BF1789">
        <v>0</v>
      </c>
      <c r="BG1789">
        <v>0</v>
      </c>
      <c r="BH1789">
        <v>2775</v>
      </c>
      <c r="BI1789">
        <v>0</v>
      </c>
      <c r="BJ1789">
        <v>0</v>
      </c>
      <c r="BK1789">
        <v>0</v>
      </c>
      <c r="BL1789">
        <v>0</v>
      </c>
      <c r="BO1789">
        <v>0</v>
      </c>
      <c r="BP1789">
        <v>0</v>
      </c>
      <c r="BW1789" t="str">
        <f>"18:48:59.933"</f>
        <v>18:48:59.933</v>
      </c>
      <c r="BZ1789">
        <v>0</v>
      </c>
      <c r="CA1789">
        <v>3008</v>
      </c>
      <c r="CB1789">
        <v>216</v>
      </c>
      <c r="CC1789">
        <v>518.90629999999999</v>
      </c>
      <c r="CD1789">
        <v>1</v>
      </c>
      <c r="CE1789">
        <v>1</v>
      </c>
      <c r="CF1789">
        <v>0</v>
      </c>
      <c r="CG1789">
        <v>1</v>
      </c>
      <c r="CH1789">
        <v>0</v>
      </c>
      <c r="CI1789">
        <v>1</v>
      </c>
      <c r="CJ1789">
        <v>0</v>
      </c>
      <c r="CK1789">
        <v>2</v>
      </c>
      <c r="CL1789">
        <v>0</v>
      </c>
      <c r="CM1789">
        <v>2</v>
      </c>
      <c r="CN1789">
        <v>0</v>
      </c>
      <c r="CO1789">
        <v>1</v>
      </c>
      <c r="CP1789" t="s">
        <v>119</v>
      </c>
      <c r="CQ1789">
        <v>145</v>
      </c>
      <c r="CR1789">
        <v>1</v>
      </c>
      <c r="CW1789">
        <v>9235134</v>
      </c>
      <c r="CY1789">
        <v>0</v>
      </c>
      <c r="CZ1789">
        <v>0</v>
      </c>
      <c r="DA1789">
        <v>1</v>
      </c>
      <c r="DB1789">
        <v>0</v>
      </c>
      <c r="DC1789">
        <v>0</v>
      </c>
      <c r="DD1789">
        <v>0</v>
      </c>
      <c r="DE1789">
        <v>0</v>
      </c>
      <c r="DF1789">
        <v>0</v>
      </c>
      <c r="DG1789">
        <v>0</v>
      </c>
      <c r="DH1789">
        <v>0</v>
      </c>
      <c r="DI1789">
        <v>0</v>
      </c>
    </row>
    <row r="1790" spans="1:113" x14ac:dyDescent="0.3">
      <c r="A1790" t="str">
        <f>"02/13/2022 18:55:14.960"</f>
        <v>02/13/2022 18:55:14.960</v>
      </c>
      <c r="C1790" t="str">
        <f>"FFD353C0"</f>
        <v>FFD353C0</v>
      </c>
      <c r="D1790" t="s">
        <v>121</v>
      </c>
      <c r="E1790">
        <v>2</v>
      </c>
      <c r="H1790">
        <v>158</v>
      </c>
      <c r="I1790" t="s">
        <v>120</v>
      </c>
      <c r="J1790" t="s">
        <v>122</v>
      </c>
      <c r="K1790">
        <v>0</v>
      </c>
      <c r="L1790">
        <v>3</v>
      </c>
      <c r="M1790">
        <v>0</v>
      </c>
      <c r="N1790">
        <v>2</v>
      </c>
      <c r="O1790">
        <v>1</v>
      </c>
      <c r="P1790">
        <v>0</v>
      </c>
      <c r="Q1790">
        <v>0</v>
      </c>
      <c r="S1790" t="str">
        <f>"18:55:14.328"</f>
        <v>18:55:14.328</v>
      </c>
      <c r="T1790" t="str">
        <f>"18:55:03.328"</f>
        <v>18:55:03.328</v>
      </c>
      <c r="U1790" t="str">
        <f t="shared" si="168"/>
        <v>AAB6EE</v>
      </c>
      <c r="V1790">
        <v>0</v>
      </c>
      <c r="W1790">
        <v>0</v>
      </c>
      <c r="X1790">
        <v>4</v>
      </c>
      <c r="Z1790">
        <v>0</v>
      </c>
      <c r="AA1790">
        <v>8</v>
      </c>
      <c r="AB1790">
        <v>3</v>
      </c>
      <c r="AC1790">
        <v>0</v>
      </c>
      <c r="AD1790">
        <v>10</v>
      </c>
      <c r="AE1790">
        <v>0</v>
      </c>
      <c r="AF1790">
        <v>0</v>
      </c>
      <c r="AH1790">
        <v>1</v>
      </c>
      <c r="AI1790" t="s">
        <v>1311</v>
      </c>
      <c r="AJ1790">
        <v>34.913499000000002</v>
      </c>
      <c r="AK1790" t="s">
        <v>1312</v>
      </c>
      <c r="AL1790">
        <v>-76.100729000000001</v>
      </c>
      <c r="AM1790">
        <v>25</v>
      </c>
      <c r="AN1790">
        <v>2925</v>
      </c>
      <c r="AO1790" t="s">
        <v>118</v>
      </c>
      <c r="AP1790">
        <v>-62</v>
      </c>
      <c r="AQ1790">
        <v>-130</v>
      </c>
      <c r="AR1790">
        <v>0</v>
      </c>
      <c r="AZ1790">
        <v>1200</v>
      </c>
      <c r="BA1790">
        <v>0</v>
      </c>
      <c r="BE1790">
        <v>0</v>
      </c>
      <c r="BF1790">
        <v>0</v>
      </c>
      <c r="BG1790">
        <v>0</v>
      </c>
      <c r="BI1790">
        <v>0</v>
      </c>
      <c r="BJ1790">
        <v>0</v>
      </c>
      <c r="BK1790">
        <v>0</v>
      </c>
      <c r="BL1790">
        <v>0</v>
      </c>
      <c r="BO1790">
        <v>0</v>
      </c>
      <c r="BP1790">
        <v>0</v>
      </c>
      <c r="BW1790" t="str">
        <f>"18:55:14.335"</f>
        <v>18:55:14.335</v>
      </c>
      <c r="CJ1790">
        <v>0</v>
      </c>
      <c r="CK1790">
        <v>2</v>
      </c>
      <c r="CL1790">
        <v>0</v>
      </c>
      <c r="CM1790">
        <v>2</v>
      </c>
      <c r="CN1790">
        <v>0</v>
      </c>
      <c r="CO1790">
        <v>1</v>
      </c>
      <c r="CP1790" t="s">
        <v>119</v>
      </c>
      <c r="CQ1790">
        <v>70</v>
      </c>
      <c r="CR1790">
        <v>1</v>
      </c>
      <c r="CW1790">
        <v>3643731</v>
      </c>
      <c r="CY1790">
        <v>0</v>
      </c>
      <c r="CZ1790">
        <v>0</v>
      </c>
      <c r="DA1790">
        <v>0</v>
      </c>
      <c r="DB1790">
        <v>0</v>
      </c>
      <c r="DC1790">
        <v>0</v>
      </c>
      <c r="DD1790">
        <v>0</v>
      </c>
      <c r="DE1790">
        <v>0</v>
      </c>
      <c r="DF1790">
        <v>1</v>
      </c>
      <c r="DG1790">
        <v>0</v>
      </c>
      <c r="DH1790">
        <v>0</v>
      </c>
      <c r="DI1790">
        <v>1</v>
      </c>
    </row>
    <row r="1791" spans="1:113" x14ac:dyDescent="0.3">
      <c r="A1791" t="str">
        <f>"02/13/2022 18:55:15.866"</f>
        <v>02/13/2022 18:55:15.866</v>
      </c>
      <c r="C1791" t="str">
        <f>"FFD353C0"</f>
        <v>FFD353C0</v>
      </c>
      <c r="D1791" t="s">
        <v>121</v>
      </c>
      <c r="E1791">
        <v>2</v>
      </c>
      <c r="H1791">
        <v>158</v>
      </c>
      <c r="I1791" t="s">
        <v>120</v>
      </c>
      <c r="J1791" t="s">
        <v>122</v>
      </c>
      <c r="K1791">
        <v>0</v>
      </c>
      <c r="L1791">
        <v>3</v>
      </c>
      <c r="M1791">
        <v>0</v>
      </c>
      <c r="N1791">
        <v>2</v>
      </c>
      <c r="O1791">
        <v>1</v>
      </c>
      <c r="P1791">
        <v>0</v>
      </c>
      <c r="Q1791">
        <v>0</v>
      </c>
      <c r="S1791" t="str">
        <f>"18:55:15.383"</f>
        <v>18:55:15.383</v>
      </c>
      <c r="U1791" t="str">
        <f t="shared" si="168"/>
        <v>AAB6EE</v>
      </c>
      <c r="V1791">
        <v>0</v>
      </c>
      <c r="W1791">
        <v>0</v>
      </c>
      <c r="X1791">
        <v>4</v>
      </c>
      <c r="Z1791">
        <v>0</v>
      </c>
      <c r="AA1791">
        <v>8</v>
      </c>
      <c r="AB1791">
        <v>3</v>
      </c>
      <c r="AC1791">
        <v>0</v>
      </c>
      <c r="AD1791">
        <v>10</v>
      </c>
      <c r="AE1791">
        <v>0</v>
      </c>
      <c r="AF1791">
        <v>0</v>
      </c>
      <c r="AH1791">
        <v>1</v>
      </c>
      <c r="AI1791" t="s">
        <v>1313</v>
      </c>
      <c r="AJ1791">
        <v>34.912899000000003</v>
      </c>
      <c r="AK1791" t="s">
        <v>1314</v>
      </c>
      <c r="AL1791">
        <v>-76.101072000000002</v>
      </c>
      <c r="AM1791">
        <v>25</v>
      </c>
      <c r="AN1791">
        <v>2925</v>
      </c>
      <c r="AO1791" t="s">
        <v>118</v>
      </c>
      <c r="AR1791">
        <v>0</v>
      </c>
      <c r="AZ1791">
        <v>1200</v>
      </c>
      <c r="BA1791">
        <v>0</v>
      </c>
      <c r="BE1791">
        <v>0</v>
      </c>
      <c r="BF1791">
        <v>0</v>
      </c>
      <c r="BG1791">
        <v>0</v>
      </c>
      <c r="BI1791">
        <v>0</v>
      </c>
      <c r="BJ1791">
        <v>0</v>
      </c>
      <c r="BK1791">
        <v>0</v>
      </c>
      <c r="BL1791">
        <v>0</v>
      </c>
      <c r="BO1791">
        <v>0</v>
      </c>
      <c r="BP1791">
        <v>0</v>
      </c>
      <c r="BW1791" t="str">
        <f>"18:55:15.385"</f>
        <v>18:55:15.385</v>
      </c>
      <c r="CJ1791">
        <v>0</v>
      </c>
      <c r="CK1791">
        <v>2</v>
      </c>
      <c r="CL1791">
        <v>0</v>
      </c>
      <c r="CM1791">
        <v>2</v>
      </c>
      <c r="CN1791">
        <v>0</v>
      </c>
      <c r="CO1791">
        <v>1</v>
      </c>
      <c r="CP1791" t="s">
        <v>119</v>
      </c>
      <c r="CQ1791">
        <v>70</v>
      </c>
      <c r="CR1791">
        <v>1</v>
      </c>
      <c r="CW1791">
        <v>3644615</v>
      </c>
      <c r="CY1791">
        <v>0</v>
      </c>
      <c r="CZ1791">
        <v>0</v>
      </c>
      <c r="DA1791">
        <v>0</v>
      </c>
      <c r="DB1791">
        <v>0</v>
      </c>
      <c r="DC1791">
        <v>0</v>
      </c>
      <c r="DD1791">
        <v>0</v>
      </c>
      <c r="DE1791">
        <v>0</v>
      </c>
      <c r="DF1791">
        <v>1</v>
      </c>
      <c r="DG1791">
        <v>0</v>
      </c>
      <c r="DH1791">
        <v>0</v>
      </c>
      <c r="DI1791">
        <v>1</v>
      </c>
    </row>
    <row r="1792" spans="1:113" x14ac:dyDescent="0.3">
      <c r="A1792" t="str">
        <f>"02/13/2022 18:55:21.808"</f>
        <v>02/13/2022 18:55:21.808</v>
      </c>
      <c r="C1792" t="str">
        <f>"FFD3D7C0"</f>
        <v>FFD3D7C0</v>
      </c>
      <c r="D1792" t="s">
        <v>121</v>
      </c>
      <c r="E1792">
        <v>2</v>
      </c>
      <c r="H1792">
        <v>158</v>
      </c>
      <c r="I1792" t="s">
        <v>120</v>
      </c>
      <c r="J1792" t="s">
        <v>122</v>
      </c>
      <c r="K1792">
        <v>0</v>
      </c>
      <c r="L1792">
        <v>3</v>
      </c>
      <c r="M1792">
        <v>0</v>
      </c>
      <c r="N1792">
        <v>2</v>
      </c>
      <c r="O1792">
        <v>1</v>
      </c>
      <c r="P1792">
        <v>0</v>
      </c>
      <c r="Q1792">
        <v>0</v>
      </c>
      <c r="S1792" t="str">
        <f>"18:55:21.328"</f>
        <v>18:55:21.328</v>
      </c>
      <c r="T1792" t="str">
        <f>"18:55:21.328"</f>
        <v>18:55:21.328</v>
      </c>
      <c r="U1792" t="str">
        <f t="shared" si="168"/>
        <v>AAB6EE</v>
      </c>
      <c r="V1792">
        <v>0</v>
      </c>
      <c r="W1792">
        <v>0</v>
      </c>
      <c r="X1792">
        <v>4</v>
      </c>
      <c r="Z1792">
        <v>0</v>
      </c>
      <c r="AA1792">
        <v>8</v>
      </c>
      <c r="AB1792">
        <v>3</v>
      </c>
      <c r="AC1792">
        <v>0</v>
      </c>
      <c r="AD1792">
        <v>10</v>
      </c>
      <c r="AE1792">
        <v>0</v>
      </c>
      <c r="AF1792">
        <v>0</v>
      </c>
      <c r="AG1792">
        <v>2</v>
      </c>
      <c r="AH1792">
        <v>1</v>
      </c>
      <c r="AI1792" t="s">
        <v>1315</v>
      </c>
      <c r="AJ1792">
        <v>34.909294000000003</v>
      </c>
      <c r="AK1792" t="s">
        <v>1316</v>
      </c>
      <c r="AL1792">
        <v>-76.103195999999997</v>
      </c>
      <c r="AM1792">
        <v>25</v>
      </c>
      <c r="AN1792">
        <v>2925</v>
      </c>
      <c r="AO1792" t="s">
        <v>118</v>
      </c>
      <c r="AP1792">
        <v>-62</v>
      </c>
      <c r="AQ1792">
        <v>-130</v>
      </c>
      <c r="AR1792">
        <v>0</v>
      </c>
      <c r="AZ1792">
        <v>1200</v>
      </c>
      <c r="BA1792">
        <v>0</v>
      </c>
      <c r="BE1792">
        <v>0</v>
      </c>
      <c r="BF1792">
        <v>0</v>
      </c>
      <c r="BG1792">
        <v>0</v>
      </c>
      <c r="BH1792">
        <v>2800</v>
      </c>
      <c r="BI1792">
        <v>0</v>
      </c>
      <c r="BJ1792">
        <v>0</v>
      </c>
      <c r="BK1792">
        <v>0</v>
      </c>
      <c r="BL1792">
        <v>0</v>
      </c>
      <c r="BO1792">
        <v>0</v>
      </c>
      <c r="BP1792">
        <v>0</v>
      </c>
      <c r="BW1792" t="str">
        <f>"18:55:21.335"</f>
        <v>18:55:21.335</v>
      </c>
      <c r="BZ1792">
        <v>0</v>
      </c>
      <c r="CA1792">
        <v>3008</v>
      </c>
      <c r="CB1792">
        <v>216</v>
      </c>
      <c r="CC1792">
        <v>585</v>
      </c>
      <c r="CD1792">
        <v>1</v>
      </c>
      <c r="CE1792">
        <v>1</v>
      </c>
      <c r="CF1792">
        <v>0</v>
      </c>
      <c r="CG1792">
        <v>1</v>
      </c>
      <c r="CH1792">
        <v>0</v>
      </c>
      <c r="CI1792">
        <v>0</v>
      </c>
      <c r="CJ1792">
        <v>0</v>
      </c>
      <c r="CK1792">
        <v>2</v>
      </c>
      <c r="CL1792">
        <v>0</v>
      </c>
      <c r="CM1792">
        <v>2</v>
      </c>
      <c r="CN1792">
        <v>0</v>
      </c>
      <c r="CO1792">
        <v>1</v>
      </c>
      <c r="CP1792" t="s">
        <v>119</v>
      </c>
      <c r="CQ1792">
        <v>70</v>
      </c>
      <c r="CR1792">
        <v>1</v>
      </c>
      <c r="CW1792">
        <v>3649277</v>
      </c>
      <c r="CY1792">
        <v>0</v>
      </c>
      <c r="CZ1792">
        <v>0</v>
      </c>
      <c r="DA1792">
        <v>0</v>
      </c>
      <c r="DB1792">
        <v>0</v>
      </c>
      <c r="DC1792">
        <v>0</v>
      </c>
      <c r="DD1792">
        <v>0</v>
      </c>
      <c r="DE1792">
        <v>0</v>
      </c>
      <c r="DF1792">
        <v>1</v>
      </c>
      <c r="DG1792">
        <v>0</v>
      </c>
      <c r="DH1792">
        <v>0</v>
      </c>
      <c r="DI1792">
        <v>1</v>
      </c>
    </row>
    <row r="1793" spans="1:113" x14ac:dyDescent="0.3">
      <c r="A1793" t="str">
        <f>"02/13/2022 18:55:23.027"</f>
        <v>02/13/2022 18:55:23.027</v>
      </c>
      <c r="C1793" t="str">
        <f t="shared" ref="C1793:C1856" si="174">"FFDFD7C0"</f>
        <v>FFDFD7C0</v>
      </c>
      <c r="D1793" t="s">
        <v>121</v>
      </c>
      <c r="E1793">
        <v>2</v>
      </c>
      <c r="H1793">
        <v>158</v>
      </c>
      <c r="I1793" t="s">
        <v>120</v>
      </c>
      <c r="J1793" t="s">
        <v>122</v>
      </c>
      <c r="K1793">
        <v>0</v>
      </c>
      <c r="L1793">
        <v>3</v>
      </c>
      <c r="M1793">
        <v>0</v>
      </c>
      <c r="N1793">
        <v>2</v>
      </c>
      <c r="O1793">
        <v>1</v>
      </c>
      <c r="P1793">
        <v>0</v>
      </c>
      <c r="Q1793">
        <v>0</v>
      </c>
      <c r="S1793" t="str">
        <f>"18:55:22.414"</f>
        <v>18:55:22.414</v>
      </c>
      <c r="T1793" t="str">
        <f>"18:55:22.414"</f>
        <v>18:55:22.414</v>
      </c>
      <c r="U1793" t="str">
        <f t="shared" si="168"/>
        <v>AAB6EE</v>
      </c>
      <c r="V1793">
        <v>0</v>
      </c>
      <c r="W1793">
        <v>0</v>
      </c>
      <c r="X1793">
        <v>4</v>
      </c>
      <c r="Z1793">
        <v>0</v>
      </c>
      <c r="AA1793">
        <v>8</v>
      </c>
      <c r="AB1793">
        <v>3</v>
      </c>
      <c r="AC1793">
        <v>0</v>
      </c>
      <c r="AD1793">
        <v>10</v>
      </c>
      <c r="AE1793">
        <v>0</v>
      </c>
      <c r="AF1793">
        <v>0</v>
      </c>
      <c r="AG1793">
        <v>2</v>
      </c>
      <c r="AH1793">
        <v>1</v>
      </c>
      <c r="AI1793" t="s">
        <v>1317</v>
      </c>
      <c r="AJ1793">
        <v>34.908586</v>
      </c>
      <c r="AK1793" t="s">
        <v>1318</v>
      </c>
      <c r="AL1793">
        <v>-76.103560999999999</v>
      </c>
      <c r="AM1793">
        <v>25</v>
      </c>
      <c r="AN1793">
        <v>2925</v>
      </c>
      <c r="AO1793" t="s">
        <v>118</v>
      </c>
      <c r="AP1793">
        <v>-62</v>
      </c>
      <c r="AQ1793">
        <v>-130</v>
      </c>
      <c r="AR1793">
        <v>0</v>
      </c>
      <c r="AZ1793">
        <v>1200</v>
      </c>
      <c r="BA1793">
        <v>0</v>
      </c>
      <c r="BB1793" t="str">
        <f t="shared" ref="BB1793:BB1856" si="175">"N79NX   "</f>
        <v xml:space="preserve">N79NX   </v>
      </c>
      <c r="BC1793">
        <v>1</v>
      </c>
      <c r="BE1793">
        <v>0</v>
      </c>
      <c r="BF1793">
        <v>0</v>
      </c>
      <c r="BG1793">
        <v>0</v>
      </c>
      <c r="BH1793">
        <v>2800</v>
      </c>
      <c r="BI1793">
        <v>0</v>
      </c>
      <c r="BJ1793">
        <v>0</v>
      </c>
      <c r="BK1793">
        <v>0</v>
      </c>
      <c r="BL1793">
        <v>0</v>
      </c>
      <c r="BO1793">
        <v>0</v>
      </c>
      <c r="BP1793">
        <v>0</v>
      </c>
      <c r="BW1793" t="str">
        <f>"18:55:22.415"</f>
        <v>18:55:22.415</v>
      </c>
      <c r="BZ1793">
        <v>0</v>
      </c>
      <c r="CA1793">
        <v>3008</v>
      </c>
      <c r="CB1793">
        <v>216</v>
      </c>
      <c r="CC1793">
        <v>585</v>
      </c>
      <c r="CD1793">
        <v>1</v>
      </c>
      <c r="CE1793">
        <v>1</v>
      </c>
      <c r="CF1793">
        <v>0</v>
      </c>
      <c r="CG1793">
        <v>1</v>
      </c>
      <c r="CH1793">
        <v>0</v>
      </c>
      <c r="CI1793">
        <v>0</v>
      </c>
      <c r="CJ1793">
        <v>0</v>
      </c>
      <c r="CK1793">
        <v>2</v>
      </c>
      <c r="CL1793">
        <v>0</v>
      </c>
      <c r="CM1793">
        <v>2</v>
      </c>
      <c r="CN1793">
        <v>0</v>
      </c>
      <c r="CO1793">
        <v>1</v>
      </c>
      <c r="CP1793" t="s">
        <v>119</v>
      </c>
      <c r="CQ1793">
        <v>70</v>
      </c>
      <c r="CR1793">
        <v>1</v>
      </c>
      <c r="CW1793">
        <v>3650043</v>
      </c>
      <c r="CY1793">
        <v>0</v>
      </c>
      <c r="CZ1793">
        <v>0</v>
      </c>
      <c r="DA1793">
        <v>0</v>
      </c>
      <c r="DB1793">
        <v>0</v>
      </c>
      <c r="DC1793">
        <v>0</v>
      </c>
      <c r="DD1793">
        <v>0</v>
      </c>
      <c r="DE1793">
        <v>0</v>
      </c>
      <c r="DF1793">
        <v>0</v>
      </c>
      <c r="DG1793">
        <v>0</v>
      </c>
      <c r="DH1793">
        <v>0</v>
      </c>
      <c r="DI1793">
        <v>1</v>
      </c>
    </row>
    <row r="1794" spans="1:113" x14ac:dyDescent="0.3">
      <c r="A1794" t="str">
        <f>"02/13/2022 18:55:25.858"</f>
        <v>02/13/2022 18:55:25.858</v>
      </c>
      <c r="C1794" t="str">
        <f t="shared" si="174"/>
        <v>FFDFD7C0</v>
      </c>
      <c r="D1794" t="s">
        <v>121</v>
      </c>
      <c r="E1794">
        <v>2</v>
      </c>
      <c r="H1794">
        <v>158</v>
      </c>
      <c r="I1794" t="s">
        <v>120</v>
      </c>
      <c r="J1794" t="s">
        <v>122</v>
      </c>
      <c r="K1794">
        <v>0</v>
      </c>
      <c r="L1794">
        <v>3</v>
      </c>
      <c r="M1794">
        <v>0</v>
      </c>
      <c r="N1794">
        <v>2</v>
      </c>
      <c r="O1794">
        <v>1</v>
      </c>
      <c r="P1794">
        <v>0</v>
      </c>
      <c r="Q1794">
        <v>0</v>
      </c>
      <c r="S1794" t="str">
        <f>"18:55:25.367"</f>
        <v>18:55:25.367</v>
      </c>
      <c r="T1794" t="str">
        <f>"18:55:24.367"</f>
        <v>18:55:24.367</v>
      </c>
      <c r="U1794" t="str">
        <f t="shared" ref="U1794:U1857" si="176">"AAB6EE"</f>
        <v>AAB6EE</v>
      </c>
      <c r="V1794">
        <v>0</v>
      </c>
      <c r="W1794">
        <v>0</v>
      </c>
      <c r="X1794">
        <v>4</v>
      </c>
      <c r="Z1794">
        <v>0</v>
      </c>
      <c r="AA1794">
        <v>8</v>
      </c>
      <c r="AB1794">
        <v>3</v>
      </c>
      <c r="AC1794">
        <v>0</v>
      </c>
      <c r="AD1794">
        <v>10</v>
      </c>
      <c r="AE1794">
        <v>0</v>
      </c>
      <c r="AF1794">
        <v>0</v>
      </c>
      <c r="AG1794">
        <v>2</v>
      </c>
      <c r="AH1794">
        <v>1</v>
      </c>
      <c r="AI1794" t="s">
        <v>1319</v>
      </c>
      <c r="AJ1794">
        <v>34.906869</v>
      </c>
      <c r="AK1794" t="s">
        <v>1320</v>
      </c>
      <c r="AL1794">
        <v>-76.104590999999999</v>
      </c>
      <c r="AM1794">
        <v>25</v>
      </c>
      <c r="AN1794">
        <v>2925</v>
      </c>
      <c r="AO1794" t="s">
        <v>118</v>
      </c>
      <c r="AP1794">
        <v>-63</v>
      </c>
      <c r="AQ1794">
        <v>-130</v>
      </c>
      <c r="AR1794">
        <v>0</v>
      </c>
      <c r="AZ1794">
        <v>1200</v>
      </c>
      <c r="BA1794">
        <v>0</v>
      </c>
      <c r="BB1794" t="str">
        <f t="shared" si="175"/>
        <v xml:space="preserve">N79NX   </v>
      </c>
      <c r="BC1794">
        <v>1</v>
      </c>
      <c r="BE1794">
        <v>0</v>
      </c>
      <c r="BF1794">
        <v>0</v>
      </c>
      <c r="BG1794">
        <v>0</v>
      </c>
      <c r="BH1794">
        <v>2800</v>
      </c>
      <c r="BI1794">
        <v>0</v>
      </c>
      <c r="BJ1794">
        <v>0</v>
      </c>
      <c r="BK1794">
        <v>0</v>
      </c>
      <c r="BL1794">
        <v>0</v>
      </c>
      <c r="BO1794">
        <v>0</v>
      </c>
      <c r="BP1794">
        <v>0</v>
      </c>
      <c r="BW1794" t="str">
        <f>"18:55:25.375"</f>
        <v>18:55:25.375</v>
      </c>
      <c r="BZ1794">
        <v>0</v>
      </c>
      <c r="CA1794">
        <v>3008</v>
      </c>
      <c r="CB1794">
        <v>216</v>
      </c>
      <c r="CC1794">
        <v>585</v>
      </c>
      <c r="CD1794">
        <v>1</v>
      </c>
      <c r="CE1794">
        <v>1</v>
      </c>
      <c r="CF1794">
        <v>0</v>
      </c>
      <c r="CG1794">
        <v>1</v>
      </c>
      <c r="CH1794">
        <v>0</v>
      </c>
      <c r="CI1794">
        <v>0</v>
      </c>
      <c r="CJ1794">
        <v>0</v>
      </c>
      <c r="CK1794">
        <v>2</v>
      </c>
      <c r="CL1794">
        <v>0</v>
      </c>
      <c r="CM1794">
        <v>2</v>
      </c>
      <c r="CN1794">
        <v>0</v>
      </c>
      <c r="CO1794">
        <v>1</v>
      </c>
      <c r="CP1794" t="s">
        <v>119</v>
      </c>
      <c r="CQ1794">
        <v>70</v>
      </c>
      <c r="CR1794">
        <v>1</v>
      </c>
      <c r="CW1794">
        <v>3652375</v>
      </c>
      <c r="CY1794">
        <v>0</v>
      </c>
      <c r="CZ1794">
        <v>0</v>
      </c>
      <c r="DA1794">
        <v>0</v>
      </c>
      <c r="DB1794">
        <v>0</v>
      </c>
      <c r="DC1794">
        <v>0</v>
      </c>
      <c r="DD1794">
        <v>0</v>
      </c>
      <c r="DE1794">
        <v>0</v>
      </c>
      <c r="DF1794">
        <v>0</v>
      </c>
      <c r="DG1794">
        <v>0</v>
      </c>
      <c r="DH1794">
        <v>0</v>
      </c>
      <c r="DI1794">
        <v>1</v>
      </c>
    </row>
    <row r="1795" spans="1:113" x14ac:dyDescent="0.3">
      <c r="A1795" t="str">
        <f>"02/13/2022 18:55:28.156"</f>
        <v>02/13/2022 18:55:28.156</v>
      </c>
      <c r="C1795" t="str">
        <f t="shared" si="174"/>
        <v>FFDFD7C0</v>
      </c>
      <c r="D1795" t="s">
        <v>121</v>
      </c>
      <c r="E1795">
        <v>2</v>
      </c>
      <c r="H1795">
        <v>158</v>
      </c>
      <c r="I1795" t="s">
        <v>120</v>
      </c>
      <c r="J1795" t="s">
        <v>122</v>
      </c>
      <c r="K1795">
        <v>0</v>
      </c>
      <c r="L1795">
        <v>3</v>
      </c>
      <c r="M1795">
        <v>0</v>
      </c>
      <c r="N1795">
        <v>2</v>
      </c>
      <c r="O1795">
        <v>1</v>
      </c>
      <c r="P1795">
        <v>0</v>
      </c>
      <c r="Q1795">
        <v>0</v>
      </c>
      <c r="S1795" t="str">
        <f>"18:55:27.617"</f>
        <v>18:55:27.617</v>
      </c>
      <c r="T1795" t="str">
        <f>"18:55:27.217"</f>
        <v>18:55:27.217</v>
      </c>
      <c r="U1795" t="str">
        <f t="shared" si="176"/>
        <v>AAB6EE</v>
      </c>
      <c r="V1795">
        <v>0</v>
      </c>
      <c r="W1795">
        <v>0</v>
      </c>
      <c r="X1795">
        <v>4</v>
      </c>
      <c r="Z1795">
        <v>0</v>
      </c>
      <c r="AA1795">
        <v>8</v>
      </c>
      <c r="AB1795">
        <v>3</v>
      </c>
      <c r="AC1795">
        <v>0</v>
      </c>
      <c r="AD1795">
        <v>10</v>
      </c>
      <c r="AE1795">
        <v>0</v>
      </c>
      <c r="AF1795">
        <v>0</v>
      </c>
      <c r="AG1795">
        <v>2</v>
      </c>
      <c r="AH1795">
        <v>1</v>
      </c>
      <c r="AI1795" t="s">
        <v>1321</v>
      </c>
      <c r="AJ1795">
        <v>34.905473999999998</v>
      </c>
      <c r="AK1795" t="s">
        <v>554</v>
      </c>
      <c r="AL1795">
        <v>-76.105384999999998</v>
      </c>
      <c r="AM1795">
        <v>25</v>
      </c>
      <c r="AN1795">
        <v>2925</v>
      </c>
      <c r="AO1795" t="s">
        <v>118</v>
      </c>
      <c r="AP1795">
        <v>-63</v>
      </c>
      <c r="AQ1795">
        <v>-130</v>
      </c>
      <c r="AR1795">
        <v>0</v>
      </c>
      <c r="AZ1795">
        <v>1200</v>
      </c>
      <c r="BA1795">
        <v>0</v>
      </c>
      <c r="BB1795" t="str">
        <f t="shared" si="175"/>
        <v xml:space="preserve">N79NX   </v>
      </c>
      <c r="BC1795">
        <v>1</v>
      </c>
      <c r="BE1795">
        <v>0</v>
      </c>
      <c r="BF1795">
        <v>0</v>
      </c>
      <c r="BG1795">
        <v>0</v>
      </c>
      <c r="BH1795">
        <v>2800</v>
      </c>
      <c r="BI1795">
        <v>0</v>
      </c>
      <c r="BJ1795">
        <v>0</v>
      </c>
      <c r="BK1795">
        <v>0</v>
      </c>
      <c r="BL1795">
        <v>0</v>
      </c>
      <c r="BO1795">
        <v>0</v>
      </c>
      <c r="BP1795">
        <v>0</v>
      </c>
      <c r="BW1795" t="str">
        <f>"18:55:27.625"</f>
        <v>18:55:27.625</v>
      </c>
      <c r="BZ1795">
        <v>0</v>
      </c>
      <c r="CA1795">
        <v>3008</v>
      </c>
      <c r="CB1795">
        <v>216</v>
      </c>
      <c r="CC1795">
        <v>585</v>
      </c>
      <c r="CD1795">
        <v>1</v>
      </c>
      <c r="CE1795">
        <v>1</v>
      </c>
      <c r="CF1795">
        <v>0</v>
      </c>
      <c r="CG1795">
        <v>1</v>
      </c>
      <c r="CH1795">
        <v>0</v>
      </c>
      <c r="CI1795">
        <v>0</v>
      </c>
      <c r="CJ1795">
        <v>0</v>
      </c>
      <c r="CK1795">
        <v>2</v>
      </c>
      <c r="CL1795">
        <v>0</v>
      </c>
      <c r="CM1795">
        <v>2</v>
      </c>
      <c r="CN1795">
        <v>0</v>
      </c>
      <c r="CO1795">
        <v>1</v>
      </c>
      <c r="CP1795" t="s">
        <v>119</v>
      </c>
      <c r="CQ1795">
        <v>70</v>
      </c>
      <c r="CR1795">
        <v>1</v>
      </c>
      <c r="CW1795">
        <v>3654045</v>
      </c>
      <c r="CY1795">
        <v>0</v>
      </c>
      <c r="CZ1795">
        <v>0</v>
      </c>
      <c r="DA1795">
        <v>0</v>
      </c>
      <c r="DB1795">
        <v>0</v>
      </c>
      <c r="DC1795">
        <v>0</v>
      </c>
      <c r="DD1795">
        <v>0</v>
      </c>
      <c r="DE1795">
        <v>0</v>
      </c>
      <c r="DF1795">
        <v>0</v>
      </c>
      <c r="DG1795">
        <v>0</v>
      </c>
      <c r="DH1795">
        <v>0</v>
      </c>
      <c r="DI1795">
        <v>1</v>
      </c>
    </row>
    <row r="1796" spans="1:113" x14ac:dyDescent="0.3">
      <c r="A1796" t="str">
        <f>"02/13/2022 18:55:29.047"</f>
        <v>02/13/2022 18:55:29.047</v>
      </c>
      <c r="C1796" t="str">
        <f t="shared" si="174"/>
        <v>FFDFD7C0</v>
      </c>
      <c r="D1796" t="s">
        <v>121</v>
      </c>
      <c r="E1796">
        <v>2</v>
      </c>
      <c r="H1796">
        <v>158</v>
      </c>
      <c r="I1796" t="s">
        <v>120</v>
      </c>
      <c r="J1796" t="s">
        <v>122</v>
      </c>
      <c r="K1796">
        <v>0</v>
      </c>
      <c r="L1796">
        <v>3</v>
      </c>
      <c r="M1796">
        <v>0</v>
      </c>
      <c r="N1796">
        <v>2</v>
      </c>
      <c r="O1796">
        <v>1</v>
      </c>
      <c r="P1796">
        <v>0</v>
      </c>
      <c r="Q1796">
        <v>0</v>
      </c>
      <c r="S1796" t="str">
        <f>"18:55:28.539"</f>
        <v>18:55:28.539</v>
      </c>
      <c r="T1796" t="str">
        <f>"18:55:28.239"</f>
        <v>18:55:28.239</v>
      </c>
      <c r="U1796" t="str">
        <f t="shared" si="176"/>
        <v>AAB6EE</v>
      </c>
      <c r="V1796">
        <v>0</v>
      </c>
      <c r="W1796">
        <v>0</v>
      </c>
      <c r="X1796">
        <v>4</v>
      </c>
      <c r="Z1796">
        <v>0</v>
      </c>
      <c r="AA1796">
        <v>8</v>
      </c>
      <c r="AB1796">
        <v>3</v>
      </c>
      <c r="AC1796">
        <v>0</v>
      </c>
      <c r="AD1796">
        <v>10</v>
      </c>
      <c r="AE1796">
        <v>0</v>
      </c>
      <c r="AF1796">
        <v>0</v>
      </c>
      <c r="AG1796">
        <v>2</v>
      </c>
      <c r="AH1796">
        <v>1</v>
      </c>
      <c r="AI1796" t="s">
        <v>1322</v>
      </c>
      <c r="AJ1796">
        <v>34.904938000000001</v>
      </c>
      <c r="AK1796" t="s">
        <v>1323</v>
      </c>
      <c r="AL1796">
        <v>-76.105706999999995</v>
      </c>
      <c r="AM1796">
        <v>25</v>
      </c>
      <c r="AN1796">
        <v>2925</v>
      </c>
      <c r="AO1796" t="s">
        <v>118</v>
      </c>
      <c r="AP1796">
        <v>-63</v>
      </c>
      <c r="AQ1796">
        <v>-130</v>
      </c>
      <c r="AR1796">
        <v>0</v>
      </c>
      <c r="AZ1796">
        <v>1200</v>
      </c>
      <c r="BA1796">
        <v>0</v>
      </c>
      <c r="BB1796" t="str">
        <f t="shared" si="175"/>
        <v xml:space="preserve">N79NX   </v>
      </c>
      <c r="BC1796">
        <v>1</v>
      </c>
      <c r="BE1796">
        <v>0</v>
      </c>
      <c r="BF1796">
        <v>0</v>
      </c>
      <c r="BG1796">
        <v>0</v>
      </c>
      <c r="BH1796">
        <v>2800</v>
      </c>
      <c r="BI1796">
        <v>0</v>
      </c>
      <c r="BJ1796">
        <v>0</v>
      </c>
      <c r="BK1796">
        <v>0</v>
      </c>
      <c r="BL1796">
        <v>0</v>
      </c>
      <c r="BO1796">
        <v>0</v>
      </c>
      <c r="BP1796">
        <v>0</v>
      </c>
      <c r="BW1796" t="str">
        <f>"18:55:28.545"</f>
        <v>18:55:28.545</v>
      </c>
      <c r="BZ1796">
        <v>0</v>
      </c>
      <c r="CA1796">
        <v>3008</v>
      </c>
      <c r="CB1796">
        <v>216</v>
      </c>
      <c r="CC1796">
        <v>585</v>
      </c>
      <c r="CD1796">
        <v>1</v>
      </c>
      <c r="CE1796">
        <v>1</v>
      </c>
      <c r="CF1796">
        <v>0</v>
      </c>
      <c r="CG1796">
        <v>1</v>
      </c>
      <c r="CH1796">
        <v>0</v>
      </c>
      <c r="CI1796">
        <v>0</v>
      </c>
      <c r="CJ1796">
        <v>0</v>
      </c>
      <c r="CK1796">
        <v>2</v>
      </c>
      <c r="CL1796">
        <v>0</v>
      </c>
      <c r="CM1796">
        <v>2</v>
      </c>
      <c r="CN1796">
        <v>0</v>
      </c>
      <c r="CO1796">
        <v>1</v>
      </c>
      <c r="CP1796" t="s">
        <v>119</v>
      </c>
      <c r="CQ1796">
        <v>70</v>
      </c>
      <c r="CR1796">
        <v>1</v>
      </c>
      <c r="CW1796">
        <v>3654764</v>
      </c>
      <c r="CY1796">
        <v>0</v>
      </c>
      <c r="CZ1796">
        <v>0</v>
      </c>
      <c r="DA1796">
        <v>0</v>
      </c>
      <c r="DB1796">
        <v>0</v>
      </c>
      <c r="DC1796">
        <v>0</v>
      </c>
      <c r="DD1796">
        <v>0</v>
      </c>
      <c r="DE1796">
        <v>0</v>
      </c>
      <c r="DF1796">
        <v>0</v>
      </c>
      <c r="DG1796">
        <v>0</v>
      </c>
      <c r="DH1796">
        <v>0</v>
      </c>
      <c r="DI1796">
        <v>1</v>
      </c>
    </row>
    <row r="1797" spans="1:113" x14ac:dyDescent="0.3">
      <c r="A1797" t="str">
        <f>"02/13/2022 18:55:29.752"</f>
        <v>02/13/2022 18:55:29.752</v>
      </c>
      <c r="C1797" t="str">
        <f t="shared" si="174"/>
        <v>FFDFD7C0</v>
      </c>
      <c r="D1797" t="s">
        <v>121</v>
      </c>
      <c r="E1797">
        <v>2</v>
      </c>
      <c r="H1797">
        <v>158</v>
      </c>
      <c r="I1797" t="s">
        <v>120</v>
      </c>
      <c r="J1797" t="s">
        <v>122</v>
      </c>
      <c r="K1797">
        <v>0</v>
      </c>
      <c r="L1797">
        <v>3</v>
      </c>
      <c r="M1797">
        <v>0</v>
      </c>
      <c r="N1797">
        <v>2</v>
      </c>
      <c r="O1797">
        <v>1</v>
      </c>
      <c r="P1797">
        <v>0</v>
      </c>
      <c r="Q1797">
        <v>0</v>
      </c>
      <c r="S1797" t="str">
        <f>"18:55:29.531"</f>
        <v>18:55:29.531</v>
      </c>
      <c r="T1797" t="str">
        <f>"18:55:28.231"</f>
        <v>18:55:28.231</v>
      </c>
      <c r="U1797" t="str">
        <f t="shared" si="176"/>
        <v>AAB6EE</v>
      </c>
      <c r="V1797">
        <v>0</v>
      </c>
      <c r="W1797">
        <v>0</v>
      </c>
      <c r="X1797">
        <v>4</v>
      </c>
      <c r="Z1797">
        <v>0</v>
      </c>
      <c r="AA1797">
        <v>8</v>
      </c>
      <c r="AB1797">
        <v>3</v>
      </c>
      <c r="AC1797">
        <v>0</v>
      </c>
      <c r="AD1797">
        <v>10</v>
      </c>
      <c r="AE1797">
        <v>0</v>
      </c>
      <c r="AF1797">
        <v>0</v>
      </c>
      <c r="AG1797">
        <v>2</v>
      </c>
      <c r="AH1797">
        <v>1</v>
      </c>
      <c r="AI1797" t="s">
        <v>1324</v>
      </c>
      <c r="AJ1797">
        <v>34.904336999999998</v>
      </c>
      <c r="AK1797" t="s">
        <v>1325</v>
      </c>
      <c r="AL1797">
        <v>-76.106049999999996</v>
      </c>
      <c r="AM1797">
        <v>25</v>
      </c>
      <c r="AN1797">
        <v>2925</v>
      </c>
      <c r="AO1797" t="s">
        <v>118</v>
      </c>
      <c r="AP1797">
        <v>-63</v>
      </c>
      <c r="AQ1797">
        <v>-130</v>
      </c>
      <c r="AR1797">
        <v>0</v>
      </c>
      <c r="AZ1797">
        <v>4516</v>
      </c>
      <c r="BA1797">
        <v>1</v>
      </c>
      <c r="BB1797" t="str">
        <f t="shared" si="175"/>
        <v xml:space="preserve">N79NX   </v>
      </c>
      <c r="BC1797">
        <v>1</v>
      </c>
      <c r="BE1797">
        <v>0</v>
      </c>
      <c r="BF1797">
        <v>0</v>
      </c>
      <c r="BG1797">
        <v>0</v>
      </c>
      <c r="BH1797">
        <v>2800</v>
      </c>
      <c r="BI1797">
        <v>0</v>
      </c>
      <c r="BJ1797">
        <v>0</v>
      </c>
      <c r="BK1797">
        <v>0</v>
      </c>
      <c r="BL1797">
        <v>0</v>
      </c>
      <c r="BO1797">
        <v>0</v>
      </c>
      <c r="BP1797">
        <v>0</v>
      </c>
      <c r="BW1797" t="str">
        <f>"18:55:29.535"</f>
        <v>18:55:29.535</v>
      </c>
      <c r="BZ1797">
        <v>0</v>
      </c>
      <c r="CA1797">
        <v>3008</v>
      </c>
      <c r="CB1797">
        <v>216</v>
      </c>
      <c r="CC1797">
        <v>585</v>
      </c>
      <c r="CD1797">
        <v>1</v>
      </c>
      <c r="CE1797">
        <v>1</v>
      </c>
      <c r="CF1797">
        <v>0</v>
      </c>
      <c r="CG1797">
        <v>1</v>
      </c>
      <c r="CH1797">
        <v>0</v>
      </c>
      <c r="CI1797">
        <v>0</v>
      </c>
      <c r="CJ1797">
        <v>0</v>
      </c>
      <c r="CK1797">
        <v>2</v>
      </c>
      <c r="CL1797">
        <v>0</v>
      </c>
      <c r="CM1797">
        <v>2</v>
      </c>
      <c r="CN1797">
        <v>0</v>
      </c>
      <c r="CO1797">
        <v>2</v>
      </c>
      <c r="CP1797" t="s">
        <v>119</v>
      </c>
      <c r="CQ1797">
        <v>70</v>
      </c>
      <c r="CR1797">
        <v>1</v>
      </c>
      <c r="CW1797">
        <v>3655617</v>
      </c>
      <c r="CY1797">
        <v>0</v>
      </c>
      <c r="CZ1797">
        <v>0</v>
      </c>
      <c r="DA1797">
        <v>0</v>
      </c>
      <c r="DB1797">
        <v>0</v>
      </c>
      <c r="DC1797">
        <v>0</v>
      </c>
      <c r="DD1797">
        <v>0</v>
      </c>
      <c r="DE1797">
        <v>0</v>
      </c>
      <c r="DF1797">
        <v>0</v>
      </c>
      <c r="DG1797">
        <v>0</v>
      </c>
      <c r="DH1797">
        <v>0</v>
      </c>
      <c r="DI1797">
        <v>0</v>
      </c>
    </row>
    <row r="1798" spans="1:113" x14ac:dyDescent="0.3">
      <c r="A1798" t="str">
        <f>"02/13/2022 18:55:29.830"</f>
        <v>02/13/2022 18:55:29.830</v>
      </c>
      <c r="C1798" t="str">
        <f t="shared" si="174"/>
        <v>FFDFD7C0</v>
      </c>
      <c r="D1798" t="s">
        <v>113</v>
      </c>
      <c r="E1798">
        <v>3</v>
      </c>
      <c r="F1798">
        <v>1003</v>
      </c>
      <c r="G1798" t="s">
        <v>114</v>
      </c>
      <c r="J1798" t="s">
        <v>115</v>
      </c>
      <c r="K1798">
        <v>0</v>
      </c>
      <c r="L1798">
        <v>3</v>
      </c>
      <c r="M1798">
        <v>0</v>
      </c>
      <c r="N1798">
        <v>2</v>
      </c>
      <c r="O1798">
        <v>1</v>
      </c>
      <c r="P1798">
        <v>0</v>
      </c>
      <c r="Q1798">
        <v>0</v>
      </c>
      <c r="S1798" t="str">
        <f>"18:55:29.531"</f>
        <v>18:55:29.531</v>
      </c>
      <c r="T1798" t="str">
        <f>"18:55:28.231"</f>
        <v>18:55:28.231</v>
      </c>
      <c r="U1798" t="str">
        <f t="shared" si="176"/>
        <v>AAB6EE</v>
      </c>
      <c r="V1798">
        <v>0</v>
      </c>
      <c r="W1798">
        <v>0</v>
      </c>
      <c r="X1798">
        <v>4</v>
      </c>
      <c r="Z1798">
        <v>0</v>
      </c>
      <c r="AA1798">
        <v>8</v>
      </c>
      <c r="AB1798">
        <v>3</v>
      </c>
      <c r="AC1798">
        <v>0</v>
      </c>
      <c r="AD1798">
        <v>10</v>
      </c>
      <c r="AE1798">
        <v>0</v>
      </c>
      <c r="AF1798">
        <v>0</v>
      </c>
      <c r="AG1798">
        <v>2</v>
      </c>
      <c r="AH1798">
        <v>1</v>
      </c>
      <c r="AI1798" t="s">
        <v>1324</v>
      </c>
      <c r="AJ1798">
        <v>34.904336999999998</v>
      </c>
      <c r="AK1798" t="s">
        <v>1325</v>
      </c>
      <c r="AL1798">
        <v>-76.106049999999996</v>
      </c>
      <c r="AM1798">
        <v>25</v>
      </c>
      <c r="AN1798">
        <v>2925</v>
      </c>
      <c r="AO1798" t="s">
        <v>118</v>
      </c>
      <c r="AP1798">
        <v>-63</v>
      </c>
      <c r="AQ1798">
        <v>-130</v>
      </c>
      <c r="AR1798">
        <v>0</v>
      </c>
      <c r="AZ1798">
        <v>4516</v>
      </c>
      <c r="BA1798">
        <v>1</v>
      </c>
      <c r="BB1798" t="str">
        <f t="shared" si="175"/>
        <v xml:space="preserve">N79NX   </v>
      </c>
      <c r="BC1798">
        <v>1</v>
      </c>
      <c r="BE1798">
        <v>0</v>
      </c>
      <c r="BF1798">
        <v>0</v>
      </c>
      <c r="BG1798">
        <v>0</v>
      </c>
      <c r="BH1798">
        <v>2800</v>
      </c>
      <c r="BI1798">
        <v>0</v>
      </c>
      <c r="BJ1798">
        <v>0</v>
      </c>
      <c r="BK1798">
        <v>0</v>
      </c>
      <c r="BL1798">
        <v>0</v>
      </c>
      <c r="BO1798">
        <v>0</v>
      </c>
      <c r="BP1798">
        <v>0</v>
      </c>
      <c r="BW1798" t="str">
        <f>"18:55:29.535"</f>
        <v>18:55:29.535</v>
      </c>
      <c r="BZ1798">
        <v>0</v>
      </c>
      <c r="CA1798">
        <v>3008</v>
      </c>
      <c r="CB1798">
        <v>216</v>
      </c>
      <c r="CC1798">
        <v>585</v>
      </c>
      <c r="CD1798">
        <v>1</v>
      </c>
      <c r="CE1798">
        <v>1</v>
      </c>
      <c r="CF1798">
        <v>0</v>
      </c>
      <c r="CG1798">
        <v>1</v>
      </c>
      <c r="CH1798">
        <v>0</v>
      </c>
      <c r="CI1798">
        <v>0</v>
      </c>
      <c r="CJ1798">
        <v>0</v>
      </c>
      <c r="CK1798">
        <v>2</v>
      </c>
      <c r="CL1798">
        <v>0</v>
      </c>
      <c r="CM1798">
        <v>2</v>
      </c>
      <c r="CN1798">
        <v>0</v>
      </c>
      <c r="CO1798">
        <v>2</v>
      </c>
      <c r="CP1798" t="s">
        <v>119</v>
      </c>
      <c r="CQ1798">
        <v>70</v>
      </c>
      <c r="CR1798">
        <v>1</v>
      </c>
      <c r="CW1798">
        <v>3655617</v>
      </c>
      <c r="CY1798">
        <v>0</v>
      </c>
      <c r="CZ1798">
        <v>0</v>
      </c>
      <c r="DA1798">
        <v>1</v>
      </c>
      <c r="DB1798">
        <v>0</v>
      </c>
      <c r="DC1798">
        <v>0</v>
      </c>
      <c r="DD1798">
        <v>0</v>
      </c>
      <c r="DE1798">
        <v>0</v>
      </c>
      <c r="DF1798">
        <v>0</v>
      </c>
      <c r="DG1798">
        <v>0</v>
      </c>
      <c r="DH1798">
        <v>0</v>
      </c>
      <c r="DI1798">
        <v>0</v>
      </c>
    </row>
    <row r="1799" spans="1:113" x14ac:dyDescent="0.3">
      <c r="A1799" t="str">
        <f>"02/13/2022 18:55:29.830"</f>
        <v>02/13/2022 18:55:29.830</v>
      </c>
      <c r="C1799" t="str">
        <f t="shared" si="174"/>
        <v>FFDFD7C0</v>
      </c>
      <c r="D1799" t="s">
        <v>113</v>
      </c>
      <c r="E1799">
        <v>4</v>
      </c>
      <c r="F1799">
        <v>1004</v>
      </c>
      <c r="G1799" t="s">
        <v>120</v>
      </c>
      <c r="J1799" t="s">
        <v>115</v>
      </c>
      <c r="K1799">
        <v>0</v>
      </c>
      <c r="L1799">
        <v>3</v>
      </c>
      <c r="M1799">
        <v>0</v>
      </c>
      <c r="N1799">
        <v>2</v>
      </c>
      <c r="O1799">
        <v>1</v>
      </c>
      <c r="P1799">
        <v>0</v>
      </c>
      <c r="Q1799">
        <v>0</v>
      </c>
      <c r="S1799" t="str">
        <f>"18:55:29.531"</f>
        <v>18:55:29.531</v>
      </c>
      <c r="T1799" t="str">
        <f>"18:55:28.231"</f>
        <v>18:55:28.231</v>
      </c>
      <c r="U1799" t="str">
        <f t="shared" si="176"/>
        <v>AAB6EE</v>
      </c>
      <c r="V1799">
        <v>0</v>
      </c>
      <c r="W1799">
        <v>0</v>
      </c>
      <c r="X1799">
        <v>4</v>
      </c>
      <c r="Z1799">
        <v>0</v>
      </c>
      <c r="AA1799">
        <v>8</v>
      </c>
      <c r="AB1799">
        <v>3</v>
      </c>
      <c r="AC1799">
        <v>0</v>
      </c>
      <c r="AD1799">
        <v>10</v>
      </c>
      <c r="AE1799">
        <v>0</v>
      </c>
      <c r="AF1799">
        <v>0</v>
      </c>
      <c r="AG1799">
        <v>2</v>
      </c>
      <c r="AH1799">
        <v>1</v>
      </c>
      <c r="AI1799" t="s">
        <v>1324</v>
      </c>
      <c r="AJ1799">
        <v>34.904336999999998</v>
      </c>
      <c r="AK1799" t="s">
        <v>1325</v>
      </c>
      <c r="AL1799">
        <v>-76.106049999999996</v>
      </c>
      <c r="AM1799">
        <v>25</v>
      </c>
      <c r="AN1799">
        <v>2925</v>
      </c>
      <c r="AO1799" t="s">
        <v>118</v>
      </c>
      <c r="AP1799">
        <v>-63</v>
      </c>
      <c r="AQ1799">
        <v>-130</v>
      </c>
      <c r="AR1799">
        <v>0</v>
      </c>
      <c r="AZ1799">
        <v>4516</v>
      </c>
      <c r="BA1799">
        <v>1</v>
      </c>
      <c r="BB1799" t="str">
        <f t="shared" si="175"/>
        <v xml:space="preserve">N79NX   </v>
      </c>
      <c r="BC1799">
        <v>1</v>
      </c>
      <c r="BE1799">
        <v>0</v>
      </c>
      <c r="BF1799">
        <v>0</v>
      </c>
      <c r="BG1799">
        <v>0</v>
      </c>
      <c r="BH1799">
        <v>2800</v>
      </c>
      <c r="BI1799">
        <v>0</v>
      </c>
      <c r="BJ1799">
        <v>0</v>
      </c>
      <c r="BK1799">
        <v>0</v>
      </c>
      <c r="BL1799">
        <v>0</v>
      </c>
      <c r="BO1799">
        <v>0</v>
      </c>
      <c r="BP1799">
        <v>0</v>
      </c>
      <c r="BW1799" t="str">
        <f>"18:55:29.535"</f>
        <v>18:55:29.535</v>
      </c>
      <c r="BZ1799">
        <v>0</v>
      </c>
      <c r="CA1799">
        <v>3008</v>
      </c>
      <c r="CB1799">
        <v>216</v>
      </c>
      <c r="CC1799">
        <v>585</v>
      </c>
      <c r="CD1799">
        <v>1</v>
      </c>
      <c r="CE1799">
        <v>1</v>
      </c>
      <c r="CF1799">
        <v>0</v>
      </c>
      <c r="CG1799">
        <v>1</v>
      </c>
      <c r="CH1799">
        <v>0</v>
      </c>
      <c r="CI1799">
        <v>0</v>
      </c>
      <c r="CJ1799">
        <v>0</v>
      </c>
      <c r="CK1799">
        <v>2</v>
      </c>
      <c r="CL1799">
        <v>0</v>
      </c>
      <c r="CM1799">
        <v>2</v>
      </c>
      <c r="CN1799">
        <v>0</v>
      </c>
      <c r="CO1799">
        <v>2</v>
      </c>
      <c r="CP1799" t="s">
        <v>119</v>
      </c>
      <c r="CQ1799">
        <v>70</v>
      </c>
      <c r="CR1799">
        <v>1</v>
      </c>
      <c r="CW1799">
        <v>3655617</v>
      </c>
      <c r="CY1799">
        <v>0</v>
      </c>
      <c r="CZ1799">
        <v>0</v>
      </c>
      <c r="DA1799">
        <v>1</v>
      </c>
      <c r="DB1799">
        <v>0</v>
      </c>
      <c r="DC1799">
        <v>0</v>
      </c>
      <c r="DD1799">
        <v>0</v>
      </c>
      <c r="DE1799">
        <v>0</v>
      </c>
      <c r="DF1799">
        <v>0</v>
      </c>
      <c r="DG1799">
        <v>0</v>
      </c>
      <c r="DH1799">
        <v>0</v>
      </c>
      <c r="DI1799">
        <v>0</v>
      </c>
    </row>
    <row r="1800" spans="1:113" x14ac:dyDescent="0.3">
      <c r="A1800" t="str">
        <f>"02/13/2022 18:55:30.791"</f>
        <v>02/13/2022 18:55:30.791</v>
      </c>
      <c r="C1800" t="str">
        <f t="shared" si="174"/>
        <v>FFDFD7C0</v>
      </c>
      <c r="D1800" t="s">
        <v>121</v>
      </c>
      <c r="E1800">
        <v>2</v>
      </c>
      <c r="H1800">
        <v>158</v>
      </c>
      <c r="I1800" t="s">
        <v>120</v>
      </c>
      <c r="J1800" t="s">
        <v>122</v>
      </c>
      <c r="K1800">
        <v>0</v>
      </c>
      <c r="L1800">
        <v>3</v>
      </c>
      <c r="M1800">
        <v>0</v>
      </c>
      <c r="N1800">
        <v>2</v>
      </c>
      <c r="O1800">
        <v>1</v>
      </c>
      <c r="P1800">
        <v>0</v>
      </c>
      <c r="Q1800">
        <v>0</v>
      </c>
      <c r="S1800" t="str">
        <f>"18:55:30.461"</f>
        <v>18:55:30.461</v>
      </c>
      <c r="T1800" t="str">
        <f>"18:55:29.961"</f>
        <v>18:55:29.961</v>
      </c>
      <c r="U1800" t="str">
        <f t="shared" si="176"/>
        <v>AAB6EE</v>
      </c>
      <c r="V1800">
        <v>0</v>
      </c>
      <c r="W1800">
        <v>0</v>
      </c>
      <c r="X1800">
        <v>4</v>
      </c>
      <c r="Z1800">
        <v>0</v>
      </c>
      <c r="AA1800">
        <v>8</v>
      </c>
      <c r="AB1800">
        <v>3</v>
      </c>
      <c r="AC1800">
        <v>0</v>
      </c>
      <c r="AD1800">
        <v>10</v>
      </c>
      <c r="AE1800">
        <v>0</v>
      </c>
      <c r="AF1800">
        <v>0</v>
      </c>
      <c r="AG1800">
        <v>2</v>
      </c>
      <c r="AH1800">
        <v>1</v>
      </c>
      <c r="AI1800" t="s">
        <v>1326</v>
      </c>
      <c r="AJ1800">
        <v>34.903799999999997</v>
      </c>
      <c r="AK1800" t="s">
        <v>1327</v>
      </c>
      <c r="AL1800">
        <v>-76.106350000000006</v>
      </c>
      <c r="AM1800">
        <v>25</v>
      </c>
      <c r="AN1800">
        <v>2925</v>
      </c>
      <c r="AO1800" t="s">
        <v>118</v>
      </c>
      <c r="AP1800">
        <v>-63</v>
      </c>
      <c r="AQ1800">
        <v>-130</v>
      </c>
      <c r="AR1800">
        <v>0</v>
      </c>
      <c r="AZ1800">
        <v>4516</v>
      </c>
      <c r="BA1800">
        <v>1</v>
      </c>
      <c r="BB1800" t="str">
        <f t="shared" si="175"/>
        <v xml:space="preserve">N79NX   </v>
      </c>
      <c r="BC1800">
        <v>1</v>
      </c>
      <c r="BE1800">
        <v>0</v>
      </c>
      <c r="BF1800">
        <v>0</v>
      </c>
      <c r="BG1800">
        <v>0</v>
      </c>
      <c r="BH1800">
        <v>2800</v>
      </c>
      <c r="BI1800">
        <v>0</v>
      </c>
      <c r="BJ1800">
        <v>0</v>
      </c>
      <c r="BK1800">
        <v>0</v>
      </c>
      <c r="BL1800">
        <v>0</v>
      </c>
      <c r="BO1800">
        <v>0</v>
      </c>
      <c r="BP1800">
        <v>0</v>
      </c>
      <c r="BW1800" t="str">
        <f>"18:55:30.465"</f>
        <v>18:55:30.465</v>
      </c>
      <c r="BZ1800">
        <v>0</v>
      </c>
      <c r="CA1800">
        <v>3008</v>
      </c>
      <c r="CB1800">
        <v>216</v>
      </c>
      <c r="CC1800">
        <v>585</v>
      </c>
      <c r="CD1800">
        <v>1</v>
      </c>
      <c r="CE1800">
        <v>1</v>
      </c>
      <c r="CF1800">
        <v>0</v>
      </c>
      <c r="CG1800">
        <v>1</v>
      </c>
      <c r="CH1800">
        <v>0</v>
      </c>
      <c r="CI1800">
        <v>0</v>
      </c>
      <c r="CJ1800">
        <v>0</v>
      </c>
      <c r="CK1800">
        <v>2</v>
      </c>
      <c r="CL1800">
        <v>0</v>
      </c>
      <c r="CM1800">
        <v>2</v>
      </c>
      <c r="CN1800">
        <v>0</v>
      </c>
      <c r="CO1800">
        <v>1</v>
      </c>
      <c r="CP1800" t="s">
        <v>119</v>
      </c>
      <c r="CQ1800">
        <v>70</v>
      </c>
      <c r="CR1800">
        <v>1</v>
      </c>
      <c r="CW1800">
        <v>3656343</v>
      </c>
      <c r="CY1800">
        <v>0</v>
      </c>
      <c r="CZ1800">
        <v>0</v>
      </c>
      <c r="DA1800">
        <v>0</v>
      </c>
      <c r="DB1800">
        <v>0</v>
      </c>
      <c r="DC1800">
        <v>0</v>
      </c>
      <c r="DD1800">
        <v>0</v>
      </c>
      <c r="DE1800">
        <v>0</v>
      </c>
      <c r="DF1800">
        <v>0</v>
      </c>
      <c r="DG1800">
        <v>0</v>
      </c>
      <c r="DH1800">
        <v>0</v>
      </c>
      <c r="DI1800">
        <v>0</v>
      </c>
    </row>
    <row r="1801" spans="1:113" x14ac:dyDescent="0.3">
      <c r="A1801" t="str">
        <f>"02/13/2022 18:55:30.791"</f>
        <v>02/13/2022 18:55:30.791</v>
      </c>
      <c r="C1801" t="str">
        <f t="shared" si="174"/>
        <v>FFDFD7C0</v>
      </c>
      <c r="D1801" t="s">
        <v>113</v>
      </c>
      <c r="E1801">
        <v>3</v>
      </c>
      <c r="F1801">
        <v>1003</v>
      </c>
      <c r="G1801" t="s">
        <v>114</v>
      </c>
      <c r="J1801" t="s">
        <v>115</v>
      </c>
      <c r="K1801">
        <v>0</v>
      </c>
      <c r="L1801">
        <v>3</v>
      </c>
      <c r="M1801">
        <v>0</v>
      </c>
      <c r="N1801">
        <v>2</v>
      </c>
      <c r="O1801">
        <v>1</v>
      </c>
      <c r="P1801">
        <v>0</v>
      </c>
      <c r="Q1801">
        <v>0</v>
      </c>
      <c r="S1801" t="str">
        <f>"18:55:30.461"</f>
        <v>18:55:30.461</v>
      </c>
      <c r="T1801" t="str">
        <f>"18:55:29.961"</f>
        <v>18:55:29.961</v>
      </c>
      <c r="U1801" t="str">
        <f t="shared" si="176"/>
        <v>AAB6EE</v>
      </c>
      <c r="V1801">
        <v>0</v>
      </c>
      <c r="W1801">
        <v>0</v>
      </c>
      <c r="X1801">
        <v>4</v>
      </c>
      <c r="Z1801">
        <v>0</v>
      </c>
      <c r="AA1801">
        <v>8</v>
      </c>
      <c r="AB1801">
        <v>3</v>
      </c>
      <c r="AC1801">
        <v>0</v>
      </c>
      <c r="AD1801">
        <v>10</v>
      </c>
      <c r="AE1801">
        <v>0</v>
      </c>
      <c r="AF1801">
        <v>0</v>
      </c>
      <c r="AG1801">
        <v>2</v>
      </c>
      <c r="AH1801">
        <v>1</v>
      </c>
      <c r="AI1801" t="s">
        <v>1326</v>
      </c>
      <c r="AJ1801">
        <v>34.903799999999997</v>
      </c>
      <c r="AK1801" t="s">
        <v>1327</v>
      </c>
      <c r="AL1801">
        <v>-76.106350000000006</v>
      </c>
      <c r="AM1801">
        <v>25</v>
      </c>
      <c r="AN1801">
        <v>2925</v>
      </c>
      <c r="AO1801" t="s">
        <v>118</v>
      </c>
      <c r="AP1801">
        <v>-63</v>
      </c>
      <c r="AQ1801">
        <v>-130</v>
      </c>
      <c r="AR1801">
        <v>0</v>
      </c>
      <c r="AZ1801">
        <v>4516</v>
      </c>
      <c r="BA1801">
        <v>1</v>
      </c>
      <c r="BB1801" t="str">
        <f t="shared" si="175"/>
        <v xml:space="preserve">N79NX   </v>
      </c>
      <c r="BC1801">
        <v>1</v>
      </c>
      <c r="BE1801">
        <v>0</v>
      </c>
      <c r="BF1801">
        <v>0</v>
      </c>
      <c r="BG1801">
        <v>0</v>
      </c>
      <c r="BH1801">
        <v>2800</v>
      </c>
      <c r="BI1801">
        <v>0</v>
      </c>
      <c r="BJ1801">
        <v>0</v>
      </c>
      <c r="BK1801">
        <v>0</v>
      </c>
      <c r="BL1801">
        <v>0</v>
      </c>
      <c r="BO1801">
        <v>0</v>
      </c>
      <c r="BP1801">
        <v>0</v>
      </c>
      <c r="BW1801" t="str">
        <f>"18:55:30.465"</f>
        <v>18:55:30.465</v>
      </c>
      <c r="BZ1801">
        <v>0</v>
      </c>
      <c r="CA1801">
        <v>3008</v>
      </c>
      <c r="CB1801">
        <v>216</v>
      </c>
      <c r="CC1801">
        <v>585</v>
      </c>
      <c r="CD1801">
        <v>1</v>
      </c>
      <c r="CE1801">
        <v>1</v>
      </c>
      <c r="CF1801">
        <v>0</v>
      </c>
      <c r="CG1801">
        <v>1</v>
      </c>
      <c r="CH1801">
        <v>0</v>
      </c>
      <c r="CI1801">
        <v>0</v>
      </c>
      <c r="CJ1801">
        <v>0</v>
      </c>
      <c r="CK1801">
        <v>2</v>
      </c>
      <c r="CL1801">
        <v>0</v>
      </c>
      <c r="CM1801">
        <v>2</v>
      </c>
      <c r="CN1801">
        <v>0</v>
      </c>
      <c r="CO1801">
        <v>1</v>
      </c>
      <c r="CP1801" t="s">
        <v>119</v>
      </c>
      <c r="CQ1801">
        <v>70</v>
      </c>
      <c r="CR1801">
        <v>1</v>
      </c>
      <c r="CW1801">
        <v>3656343</v>
      </c>
      <c r="CY1801">
        <v>0</v>
      </c>
      <c r="CZ1801">
        <v>0</v>
      </c>
      <c r="DA1801">
        <v>1</v>
      </c>
      <c r="DB1801">
        <v>0</v>
      </c>
      <c r="DC1801">
        <v>0</v>
      </c>
      <c r="DD1801">
        <v>0</v>
      </c>
      <c r="DE1801">
        <v>0</v>
      </c>
      <c r="DF1801">
        <v>0</v>
      </c>
      <c r="DG1801">
        <v>0</v>
      </c>
      <c r="DH1801">
        <v>0</v>
      </c>
      <c r="DI1801">
        <v>0</v>
      </c>
    </row>
    <row r="1802" spans="1:113" x14ac:dyDescent="0.3">
      <c r="A1802" t="str">
        <f>"02/13/2022 18:55:30.791"</f>
        <v>02/13/2022 18:55:30.791</v>
      </c>
      <c r="C1802" t="str">
        <f t="shared" si="174"/>
        <v>FFDFD7C0</v>
      </c>
      <c r="D1802" t="s">
        <v>113</v>
      </c>
      <c r="E1802">
        <v>4</v>
      </c>
      <c r="F1802">
        <v>1004</v>
      </c>
      <c r="G1802" t="s">
        <v>120</v>
      </c>
      <c r="J1802" t="s">
        <v>115</v>
      </c>
      <c r="K1802">
        <v>0</v>
      </c>
      <c r="L1802">
        <v>3</v>
      </c>
      <c r="M1802">
        <v>0</v>
      </c>
      <c r="N1802">
        <v>2</v>
      </c>
      <c r="O1802">
        <v>1</v>
      </c>
      <c r="P1802">
        <v>0</v>
      </c>
      <c r="Q1802">
        <v>0</v>
      </c>
      <c r="S1802" t="str">
        <f>"18:55:30.461"</f>
        <v>18:55:30.461</v>
      </c>
      <c r="T1802" t="str">
        <f>"18:55:29.961"</f>
        <v>18:55:29.961</v>
      </c>
      <c r="U1802" t="str">
        <f t="shared" si="176"/>
        <v>AAB6EE</v>
      </c>
      <c r="V1802">
        <v>0</v>
      </c>
      <c r="W1802">
        <v>0</v>
      </c>
      <c r="X1802">
        <v>4</v>
      </c>
      <c r="Z1802">
        <v>0</v>
      </c>
      <c r="AA1802">
        <v>8</v>
      </c>
      <c r="AB1802">
        <v>3</v>
      </c>
      <c r="AC1802">
        <v>0</v>
      </c>
      <c r="AD1802">
        <v>10</v>
      </c>
      <c r="AE1802">
        <v>0</v>
      </c>
      <c r="AF1802">
        <v>0</v>
      </c>
      <c r="AG1802">
        <v>2</v>
      </c>
      <c r="AH1802">
        <v>1</v>
      </c>
      <c r="AI1802" t="s">
        <v>1326</v>
      </c>
      <c r="AJ1802">
        <v>34.903799999999997</v>
      </c>
      <c r="AK1802" t="s">
        <v>1327</v>
      </c>
      <c r="AL1802">
        <v>-76.106350000000006</v>
      </c>
      <c r="AM1802">
        <v>25</v>
      </c>
      <c r="AN1802">
        <v>2925</v>
      </c>
      <c r="AO1802" t="s">
        <v>118</v>
      </c>
      <c r="AP1802">
        <v>-63</v>
      </c>
      <c r="AQ1802">
        <v>-130</v>
      </c>
      <c r="AR1802">
        <v>0</v>
      </c>
      <c r="AZ1802">
        <v>4516</v>
      </c>
      <c r="BA1802">
        <v>1</v>
      </c>
      <c r="BB1802" t="str">
        <f t="shared" si="175"/>
        <v xml:space="preserve">N79NX   </v>
      </c>
      <c r="BC1802">
        <v>1</v>
      </c>
      <c r="BE1802">
        <v>0</v>
      </c>
      <c r="BF1802">
        <v>0</v>
      </c>
      <c r="BG1802">
        <v>0</v>
      </c>
      <c r="BH1802">
        <v>2800</v>
      </c>
      <c r="BI1802">
        <v>0</v>
      </c>
      <c r="BJ1802">
        <v>0</v>
      </c>
      <c r="BK1802">
        <v>0</v>
      </c>
      <c r="BL1802">
        <v>0</v>
      </c>
      <c r="BO1802">
        <v>0</v>
      </c>
      <c r="BP1802">
        <v>0</v>
      </c>
      <c r="BW1802" t="str">
        <f>"18:55:30.465"</f>
        <v>18:55:30.465</v>
      </c>
      <c r="BZ1802">
        <v>0</v>
      </c>
      <c r="CA1802">
        <v>3008</v>
      </c>
      <c r="CB1802">
        <v>216</v>
      </c>
      <c r="CC1802">
        <v>585</v>
      </c>
      <c r="CD1802">
        <v>1</v>
      </c>
      <c r="CE1802">
        <v>1</v>
      </c>
      <c r="CF1802">
        <v>0</v>
      </c>
      <c r="CG1802">
        <v>1</v>
      </c>
      <c r="CH1802">
        <v>0</v>
      </c>
      <c r="CI1802">
        <v>0</v>
      </c>
      <c r="CJ1802">
        <v>0</v>
      </c>
      <c r="CK1802">
        <v>2</v>
      </c>
      <c r="CL1802">
        <v>0</v>
      </c>
      <c r="CM1802">
        <v>2</v>
      </c>
      <c r="CN1802">
        <v>0</v>
      </c>
      <c r="CO1802">
        <v>1</v>
      </c>
      <c r="CP1802" t="s">
        <v>119</v>
      </c>
      <c r="CQ1802">
        <v>70</v>
      </c>
      <c r="CR1802">
        <v>1</v>
      </c>
      <c r="CW1802">
        <v>3656343</v>
      </c>
      <c r="CY1802">
        <v>0</v>
      </c>
      <c r="CZ1802">
        <v>0</v>
      </c>
      <c r="DA1802">
        <v>1</v>
      </c>
      <c r="DB1802">
        <v>0</v>
      </c>
      <c r="DC1802">
        <v>0</v>
      </c>
      <c r="DD1802">
        <v>0</v>
      </c>
      <c r="DE1802">
        <v>0</v>
      </c>
      <c r="DF1802">
        <v>0</v>
      </c>
      <c r="DG1802">
        <v>0</v>
      </c>
      <c r="DH1802">
        <v>0</v>
      </c>
      <c r="DI1802">
        <v>0</v>
      </c>
    </row>
    <row r="1803" spans="1:113" x14ac:dyDescent="0.3">
      <c r="A1803" t="str">
        <f>"02/13/2022 18:55:31.730"</f>
        <v>02/13/2022 18:55:31.730</v>
      </c>
      <c r="C1803" t="str">
        <f t="shared" si="174"/>
        <v>FFDFD7C0</v>
      </c>
      <c r="D1803" t="s">
        <v>113</v>
      </c>
      <c r="E1803">
        <v>3</v>
      </c>
      <c r="F1803">
        <v>1003</v>
      </c>
      <c r="G1803" t="s">
        <v>114</v>
      </c>
      <c r="J1803" t="s">
        <v>115</v>
      </c>
      <c r="K1803">
        <v>0</v>
      </c>
      <c r="L1803">
        <v>3</v>
      </c>
      <c r="M1803">
        <v>0</v>
      </c>
      <c r="N1803">
        <v>2</v>
      </c>
      <c r="O1803">
        <v>1</v>
      </c>
      <c r="P1803">
        <v>0</v>
      </c>
      <c r="Q1803">
        <v>0</v>
      </c>
      <c r="S1803" t="str">
        <f>"18:55:31.531"</f>
        <v>18:55:31.531</v>
      </c>
      <c r="T1803" t="str">
        <f>"18:55:31.431"</f>
        <v>18:55:31.431</v>
      </c>
      <c r="U1803" t="str">
        <f t="shared" si="176"/>
        <v>AAB6EE</v>
      </c>
      <c r="V1803">
        <v>0</v>
      </c>
      <c r="W1803">
        <v>0</v>
      </c>
      <c r="X1803">
        <v>4</v>
      </c>
      <c r="Z1803">
        <v>0</v>
      </c>
      <c r="AA1803">
        <v>8</v>
      </c>
      <c r="AB1803">
        <v>3</v>
      </c>
      <c r="AC1803">
        <v>0</v>
      </c>
      <c r="AD1803">
        <v>10</v>
      </c>
      <c r="AE1803">
        <v>0</v>
      </c>
      <c r="AF1803">
        <v>0</v>
      </c>
      <c r="AG1803">
        <v>2</v>
      </c>
      <c r="AH1803">
        <v>1</v>
      </c>
      <c r="AI1803" t="s">
        <v>1328</v>
      </c>
      <c r="AJ1803">
        <v>34.903114000000002</v>
      </c>
      <c r="AK1803" t="s">
        <v>1329</v>
      </c>
      <c r="AL1803">
        <v>-76.106780000000001</v>
      </c>
      <c r="AM1803">
        <v>25</v>
      </c>
      <c r="AN1803">
        <v>2925</v>
      </c>
      <c r="AO1803" t="s">
        <v>118</v>
      </c>
      <c r="AP1803">
        <v>-63</v>
      </c>
      <c r="AQ1803">
        <v>-130</v>
      </c>
      <c r="AR1803">
        <v>0</v>
      </c>
      <c r="AZ1803">
        <v>4516</v>
      </c>
      <c r="BA1803">
        <v>1</v>
      </c>
      <c r="BB1803" t="str">
        <f t="shared" si="175"/>
        <v xml:space="preserve">N79NX   </v>
      </c>
      <c r="BC1803">
        <v>1</v>
      </c>
      <c r="BE1803">
        <v>0</v>
      </c>
      <c r="BF1803">
        <v>0</v>
      </c>
      <c r="BG1803">
        <v>0</v>
      </c>
      <c r="BH1803">
        <v>2800</v>
      </c>
      <c r="BI1803">
        <v>0</v>
      </c>
      <c r="BJ1803">
        <v>0</v>
      </c>
      <c r="BK1803">
        <v>0</v>
      </c>
      <c r="BL1803">
        <v>0</v>
      </c>
      <c r="BO1803">
        <v>0</v>
      </c>
      <c r="BP1803">
        <v>0</v>
      </c>
      <c r="BW1803" t="str">
        <f>"18:55:31.535"</f>
        <v>18:55:31.535</v>
      </c>
      <c r="BZ1803">
        <v>0</v>
      </c>
      <c r="CA1803">
        <v>3008</v>
      </c>
      <c r="CB1803">
        <v>216</v>
      </c>
      <c r="CC1803">
        <v>585</v>
      </c>
      <c r="CD1803">
        <v>1</v>
      </c>
      <c r="CE1803">
        <v>1</v>
      </c>
      <c r="CF1803">
        <v>0</v>
      </c>
      <c r="CG1803">
        <v>1</v>
      </c>
      <c r="CH1803">
        <v>0</v>
      </c>
      <c r="CI1803">
        <v>0</v>
      </c>
      <c r="CJ1803">
        <v>0</v>
      </c>
      <c r="CK1803">
        <v>2</v>
      </c>
      <c r="CL1803">
        <v>0</v>
      </c>
      <c r="CM1803">
        <v>2</v>
      </c>
      <c r="CN1803">
        <v>0</v>
      </c>
      <c r="CO1803">
        <v>1</v>
      </c>
      <c r="CP1803" t="s">
        <v>119</v>
      </c>
      <c r="CQ1803">
        <v>70</v>
      </c>
      <c r="CR1803">
        <v>1</v>
      </c>
      <c r="CW1803">
        <v>3657119</v>
      </c>
      <c r="CY1803">
        <v>0</v>
      </c>
      <c r="CZ1803">
        <v>0</v>
      </c>
      <c r="DA1803">
        <v>0</v>
      </c>
      <c r="DB1803">
        <v>0</v>
      </c>
      <c r="DC1803">
        <v>0</v>
      </c>
      <c r="DD1803">
        <v>0</v>
      </c>
      <c r="DE1803">
        <v>0</v>
      </c>
      <c r="DF1803">
        <v>0</v>
      </c>
      <c r="DG1803">
        <v>0</v>
      </c>
      <c r="DH1803">
        <v>0</v>
      </c>
      <c r="DI1803">
        <v>0</v>
      </c>
    </row>
    <row r="1804" spans="1:113" x14ac:dyDescent="0.3">
      <c r="A1804" t="str">
        <f>"02/13/2022 18:55:31.730"</f>
        <v>02/13/2022 18:55:31.730</v>
      </c>
      <c r="C1804" t="str">
        <f t="shared" si="174"/>
        <v>FFDFD7C0</v>
      </c>
      <c r="D1804" t="s">
        <v>113</v>
      </c>
      <c r="E1804">
        <v>4</v>
      </c>
      <c r="F1804">
        <v>1004</v>
      </c>
      <c r="G1804" t="s">
        <v>120</v>
      </c>
      <c r="J1804" t="s">
        <v>115</v>
      </c>
      <c r="K1804">
        <v>0</v>
      </c>
      <c r="L1804">
        <v>3</v>
      </c>
      <c r="M1804">
        <v>0</v>
      </c>
      <c r="N1804">
        <v>2</v>
      </c>
      <c r="O1804">
        <v>1</v>
      </c>
      <c r="P1804">
        <v>0</v>
      </c>
      <c r="Q1804">
        <v>0</v>
      </c>
      <c r="S1804" t="str">
        <f>"18:55:31.531"</f>
        <v>18:55:31.531</v>
      </c>
      <c r="T1804" t="str">
        <f>"18:55:31.431"</f>
        <v>18:55:31.431</v>
      </c>
      <c r="U1804" t="str">
        <f t="shared" si="176"/>
        <v>AAB6EE</v>
      </c>
      <c r="V1804">
        <v>0</v>
      </c>
      <c r="W1804">
        <v>0</v>
      </c>
      <c r="X1804">
        <v>4</v>
      </c>
      <c r="Z1804">
        <v>0</v>
      </c>
      <c r="AA1804">
        <v>8</v>
      </c>
      <c r="AB1804">
        <v>3</v>
      </c>
      <c r="AC1804">
        <v>0</v>
      </c>
      <c r="AD1804">
        <v>10</v>
      </c>
      <c r="AE1804">
        <v>0</v>
      </c>
      <c r="AF1804">
        <v>0</v>
      </c>
      <c r="AG1804">
        <v>2</v>
      </c>
      <c r="AH1804">
        <v>1</v>
      </c>
      <c r="AI1804" t="s">
        <v>1328</v>
      </c>
      <c r="AJ1804">
        <v>34.903114000000002</v>
      </c>
      <c r="AK1804" t="s">
        <v>1329</v>
      </c>
      <c r="AL1804">
        <v>-76.106780000000001</v>
      </c>
      <c r="AM1804">
        <v>25</v>
      </c>
      <c r="AN1804">
        <v>2925</v>
      </c>
      <c r="AO1804" t="s">
        <v>118</v>
      </c>
      <c r="AP1804">
        <v>-63</v>
      </c>
      <c r="AQ1804">
        <v>-130</v>
      </c>
      <c r="AR1804">
        <v>0</v>
      </c>
      <c r="AZ1804">
        <v>4516</v>
      </c>
      <c r="BA1804">
        <v>1</v>
      </c>
      <c r="BB1804" t="str">
        <f t="shared" si="175"/>
        <v xml:space="preserve">N79NX   </v>
      </c>
      <c r="BC1804">
        <v>1</v>
      </c>
      <c r="BE1804">
        <v>0</v>
      </c>
      <c r="BF1804">
        <v>0</v>
      </c>
      <c r="BG1804">
        <v>0</v>
      </c>
      <c r="BH1804">
        <v>2800</v>
      </c>
      <c r="BI1804">
        <v>0</v>
      </c>
      <c r="BJ1804">
        <v>0</v>
      </c>
      <c r="BK1804">
        <v>0</v>
      </c>
      <c r="BL1804">
        <v>0</v>
      </c>
      <c r="BO1804">
        <v>0</v>
      </c>
      <c r="BP1804">
        <v>0</v>
      </c>
      <c r="BW1804" t="str">
        <f>"18:55:31.535"</f>
        <v>18:55:31.535</v>
      </c>
      <c r="BZ1804">
        <v>0</v>
      </c>
      <c r="CA1804">
        <v>3008</v>
      </c>
      <c r="CB1804">
        <v>216</v>
      </c>
      <c r="CC1804">
        <v>585</v>
      </c>
      <c r="CD1804">
        <v>1</v>
      </c>
      <c r="CE1804">
        <v>1</v>
      </c>
      <c r="CF1804">
        <v>0</v>
      </c>
      <c r="CG1804">
        <v>1</v>
      </c>
      <c r="CH1804">
        <v>0</v>
      </c>
      <c r="CI1804">
        <v>0</v>
      </c>
      <c r="CJ1804">
        <v>0</v>
      </c>
      <c r="CK1804">
        <v>2</v>
      </c>
      <c r="CL1804">
        <v>0</v>
      </c>
      <c r="CM1804">
        <v>2</v>
      </c>
      <c r="CN1804">
        <v>0</v>
      </c>
      <c r="CO1804">
        <v>1</v>
      </c>
      <c r="CP1804" t="s">
        <v>119</v>
      </c>
      <c r="CQ1804">
        <v>70</v>
      </c>
      <c r="CR1804">
        <v>1</v>
      </c>
      <c r="CW1804">
        <v>3657119</v>
      </c>
      <c r="CY1804">
        <v>0</v>
      </c>
      <c r="CZ1804">
        <v>0</v>
      </c>
      <c r="DA1804">
        <v>1</v>
      </c>
      <c r="DB1804">
        <v>0</v>
      </c>
      <c r="DC1804">
        <v>0</v>
      </c>
      <c r="DD1804">
        <v>0</v>
      </c>
      <c r="DE1804">
        <v>0</v>
      </c>
      <c r="DF1804">
        <v>0</v>
      </c>
      <c r="DG1804">
        <v>0</v>
      </c>
      <c r="DH1804">
        <v>0</v>
      </c>
      <c r="DI1804">
        <v>0</v>
      </c>
    </row>
    <row r="1805" spans="1:113" x14ac:dyDescent="0.3">
      <c r="A1805" t="str">
        <f>"02/13/2022 18:55:31.777"</f>
        <v>02/13/2022 18:55:31.777</v>
      </c>
      <c r="C1805" t="str">
        <f t="shared" si="174"/>
        <v>FFDFD7C0</v>
      </c>
      <c r="D1805" t="s">
        <v>121</v>
      </c>
      <c r="E1805">
        <v>2</v>
      </c>
      <c r="H1805">
        <v>158</v>
      </c>
      <c r="I1805" t="s">
        <v>120</v>
      </c>
      <c r="J1805" t="s">
        <v>122</v>
      </c>
      <c r="K1805">
        <v>0</v>
      </c>
      <c r="L1805">
        <v>3</v>
      </c>
      <c r="M1805">
        <v>0</v>
      </c>
      <c r="N1805">
        <v>2</v>
      </c>
      <c r="O1805">
        <v>1</v>
      </c>
      <c r="P1805">
        <v>0</v>
      </c>
      <c r="Q1805">
        <v>0</v>
      </c>
      <c r="S1805" t="str">
        <f>"18:55:31.531"</f>
        <v>18:55:31.531</v>
      </c>
      <c r="T1805" t="str">
        <f>"18:55:31.431"</f>
        <v>18:55:31.431</v>
      </c>
      <c r="U1805" t="str">
        <f t="shared" si="176"/>
        <v>AAB6EE</v>
      </c>
      <c r="V1805">
        <v>0</v>
      </c>
      <c r="W1805">
        <v>0</v>
      </c>
      <c r="X1805">
        <v>4</v>
      </c>
      <c r="Z1805">
        <v>0</v>
      </c>
      <c r="AA1805">
        <v>8</v>
      </c>
      <c r="AB1805">
        <v>3</v>
      </c>
      <c r="AC1805">
        <v>0</v>
      </c>
      <c r="AD1805">
        <v>10</v>
      </c>
      <c r="AE1805">
        <v>0</v>
      </c>
      <c r="AF1805">
        <v>0</v>
      </c>
      <c r="AG1805">
        <v>2</v>
      </c>
      <c r="AH1805">
        <v>1</v>
      </c>
      <c r="AI1805" t="s">
        <v>1328</v>
      </c>
      <c r="AJ1805">
        <v>34.903114000000002</v>
      </c>
      <c r="AK1805" t="s">
        <v>1329</v>
      </c>
      <c r="AL1805">
        <v>-76.106780000000001</v>
      </c>
      <c r="AM1805">
        <v>25</v>
      </c>
      <c r="AN1805">
        <v>2925</v>
      </c>
      <c r="AO1805" t="s">
        <v>118</v>
      </c>
      <c r="AP1805">
        <v>-63</v>
      </c>
      <c r="AQ1805">
        <v>-130</v>
      </c>
      <c r="AR1805">
        <v>0</v>
      </c>
      <c r="AZ1805">
        <v>4516</v>
      </c>
      <c r="BA1805">
        <v>1</v>
      </c>
      <c r="BB1805" t="str">
        <f t="shared" si="175"/>
        <v xml:space="preserve">N79NX   </v>
      </c>
      <c r="BC1805">
        <v>1</v>
      </c>
      <c r="BE1805">
        <v>0</v>
      </c>
      <c r="BF1805">
        <v>0</v>
      </c>
      <c r="BG1805">
        <v>0</v>
      </c>
      <c r="BH1805">
        <v>2800</v>
      </c>
      <c r="BI1805">
        <v>0</v>
      </c>
      <c r="BJ1805">
        <v>0</v>
      </c>
      <c r="BK1805">
        <v>0</v>
      </c>
      <c r="BL1805">
        <v>0</v>
      </c>
      <c r="BO1805">
        <v>0</v>
      </c>
      <c r="BP1805">
        <v>0</v>
      </c>
      <c r="BW1805" t="str">
        <f>"18:55:31.535"</f>
        <v>18:55:31.535</v>
      </c>
      <c r="BZ1805">
        <v>0</v>
      </c>
      <c r="CA1805">
        <v>3008</v>
      </c>
      <c r="CB1805">
        <v>216</v>
      </c>
      <c r="CC1805">
        <v>585</v>
      </c>
      <c r="CD1805">
        <v>1</v>
      </c>
      <c r="CE1805">
        <v>1</v>
      </c>
      <c r="CF1805">
        <v>0</v>
      </c>
      <c r="CG1805">
        <v>1</v>
      </c>
      <c r="CH1805">
        <v>0</v>
      </c>
      <c r="CI1805">
        <v>0</v>
      </c>
      <c r="CJ1805">
        <v>0</v>
      </c>
      <c r="CK1805">
        <v>2</v>
      </c>
      <c r="CL1805">
        <v>0</v>
      </c>
      <c r="CM1805">
        <v>2</v>
      </c>
      <c r="CN1805">
        <v>0</v>
      </c>
      <c r="CO1805">
        <v>1</v>
      </c>
      <c r="CP1805" t="s">
        <v>119</v>
      </c>
      <c r="CQ1805">
        <v>70</v>
      </c>
      <c r="CR1805">
        <v>1</v>
      </c>
      <c r="CW1805">
        <v>3657119</v>
      </c>
      <c r="CY1805">
        <v>0</v>
      </c>
      <c r="CZ1805">
        <v>0</v>
      </c>
      <c r="DA1805">
        <v>1</v>
      </c>
      <c r="DB1805">
        <v>0</v>
      </c>
      <c r="DC1805">
        <v>0</v>
      </c>
      <c r="DD1805">
        <v>0</v>
      </c>
      <c r="DE1805">
        <v>0</v>
      </c>
      <c r="DF1805">
        <v>0</v>
      </c>
      <c r="DG1805">
        <v>0</v>
      </c>
      <c r="DH1805">
        <v>0</v>
      </c>
      <c r="DI1805">
        <v>0</v>
      </c>
    </row>
    <row r="1806" spans="1:113" x14ac:dyDescent="0.3">
      <c r="A1806" t="str">
        <f>"02/13/2022 18:55:32.589"</f>
        <v>02/13/2022 18:55:32.589</v>
      </c>
      <c r="C1806" t="str">
        <f t="shared" si="174"/>
        <v>FFDFD7C0</v>
      </c>
      <c r="D1806" t="s">
        <v>113</v>
      </c>
      <c r="E1806">
        <v>3</v>
      </c>
      <c r="F1806">
        <v>1003</v>
      </c>
      <c r="G1806" t="s">
        <v>114</v>
      </c>
      <c r="J1806" t="s">
        <v>115</v>
      </c>
      <c r="K1806">
        <v>0</v>
      </c>
      <c r="L1806">
        <v>3</v>
      </c>
      <c r="M1806">
        <v>0</v>
      </c>
      <c r="N1806">
        <v>2</v>
      </c>
      <c r="O1806">
        <v>1</v>
      </c>
      <c r="P1806">
        <v>0</v>
      </c>
      <c r="Q1806">
        <v>0</v>
      </c>
      <c r="S1806" t="str">
        <f t="shared" ref="S1806:T1808" si="177">"18:55:32.398"</f>
        <v>18:55:32.398</v>
      </c>
      <c r="T1806" t="str">
        <f t="shared" si="177"/>
        <v>18:55:32.398</v>
      </c>
      <c r="U1806" t="str">
        <f t="shared" si="176"/>
        <v>AAB6EE</v>
      </c>
      <c r="V1806">
        <v>0</v>
      </c>
      <c r="W1806">
        <v>0</v>
      </c>
      <c r="X1806">
        <v>4</v>
      </c>
      <c r="Z1806">
        <v>0</v>
      </c>
      <c r="AA1806">
        <v>8</v>
      </c>
      <c r="AB1806">
        <v>3</v>
      </c>
      <c r="AC1806">
        <v>0</v>
      </c>
      <c r="AD1806">
        <v>10</v>
      </c>
      <c r="AE1806">
        <v>0</v>
      </c>
      <c r="AF1806">
        <v>0</v>
      </c>
      <c r="AG1806">
        <v>2</v>
      </c>
      <c r="AH1806">
        <v>1</v>
      </c>
      <c r="AI1806" t="s">
        <v>1330</v>
      </c>
      <c r="AJ1806">
        <v>34.902642</v>
      </c>
      <c r="AK1806" t="s">
        <v>1331</v>
      </c>
      <c r="AL1806">
        <v>-76.107059000000007</v>
      </c>
      <c r="AM1806">
        <v>25</v>
      </c>
      <c r="AN1806">
        <v>2925</v>
      </c>
      <c r="AO1806" t="s">
        <v>118</v>
      </c>
      <c r="AP1806">
        <v>-63</v>
      </c>
      <c r="AQ1806">
        <v>-130</v>
      </c>
      <c r="AR1806">
        <v>0</v>
      </c>
      <c r="AZ1806">
        <v>4516</v>
      </c>
      <c r="BA1806">
        <v>1</v>
      </c>
      <c r="BB1806" t="str">
        <f t="shared" si="175"/>
        <v xml:space="preserve">N79NX   </v>
      </c>
      <c r="BC1806">
        <v>1</v>
      </c>
      <c r="BE1806">
        <v>0</v>
      </c>
      <c r="BF1806">
        <v>0</v>
      </c>
      <c r="BG1806">
        <v>0</v>
      </c>
      <c r="BH1806">
        <v>2800</v>
      </c>
      <c r="BI1806">
        <v>0</v>
      </c>
      <c r="BJ1806">
        <v>0</v>
      </c>
      <c r="BK1806">
        <v>0</v>
      </c>
      <c r="BL1806">
        <v>0</v>
      </c>
      <c r="BO1806">
        <v>0</v>
      </c>
      <c r="BP1806">
        <v>0</v>
      </c>
      <c r="BW1806" t="str">
        <f>"18:55:32.405"</f>
        <v>18:55:32.405</v>
      </c>
      <c r="BZ1806">
        <v>0</v>
      </c>
      <c r="CA1806">
        <v>3008</v>
      </c>
      <c r="CB1806">
        <v>216</v>
      </c>
      <c r="CC1806">
        <v>585</v>
      </c>
      <c r="CD1806">
        <v>1</v>
      </c>
      <c r="CE1806">
        <v>1</v>
      </c>
      <c r="CF1806">
        <v>0</v>
      </c>
      <c r="CG1806">
        <v>1</v>
      </c>
      <c r="CH1806">
        <v>0</v>
      </c>
      <c r="CI1806">
        <v>0</v>
      </c>
      <c r="CJ1806">
        <v>0</v>
      </c>
      <c r="CK1806">
        <v>2</v>
      </c>
      <c r="CL1806">
        <v>0</v>
      </c>
      <c r="CM1806">
        <v>2</v>
      </c>
      <c r="CN1806">
        <v>0</v>
      </c>
      <c r="CO1806">
        <v>1</v>
      </c>
      <c r="CP1806" t="s">
        <v>119</v>
      </c>
      <c r="CQ1806">
        <v>70</v>
      </c>
      <c r="CR1806">
        <v>1</v>
      </c>
      <c r="CW1806">
        <v>3657749</v>
      </c>
      <c r="CY1806">
        <v>0</v>
      </c>
      <c r="CZ1806">
        <v>0</v>
      </c>
      <c r="DA1806">
        <v>0</v>
      </c>
      <c r="DB1806">
        <v>0</v>
      </c>
      <c r="DC1806">
        <v>0</v>
      </c>
      <c r="DD1806">
        <v>0</v>
      </c>
      <c r="DE1806">
        <v>0</v>
      </c>
      <c r="DF1806">
        <v>0</v>
      </c>
      <c r="DG1806">
        <v>0</v>
      </c>
      <c r="DH1806">
        <v>0</v>
      </c>
      <c r="DI1806">
        <v>0</v>
      </c>
    </row>
    <row r="1807" spans="1:113" x14ac:dyDescent="0.3">
      <c r="A1807" t="str">
        <f>"02/13/2022 18:55:32.589"</f>
        <v>02/13/2022 18:55:32.589</v>
      </c>
      <c r="C1807" t="str">
        <f t="shared" si="174"/>
        <v>FFDFD7C0</v>
      </c>
      <c r="D1807" t="s">
        <v>121</v>
      </c>
      <c r="E1807">
        <v>2</v>
      </c>
      <c r="H1807">
        <v>158</v>
      </c>
      <c r="I1807" t="s">
        <v>120</v>
      </c>
      <c r="J1807" t="s">
        <v>122</v>
      </c>
      <c r="K1807">
        <v>0</v>
      </c>
      <c r="L1807">
        <v>3</v>
      </c>
      <c r="M1807">
        <v>0</v>
      </c>
      <c r="N1807">
        <v>2</v>
      </c>
      <c r="O1807">
        <v>1</v>
      </c>
      <c r="P1807">
        <v>0</v>
      </c>
      <c r="Q1807">
        <v>0</v>
      </c>
      <c r="S1807" t="str">
        <f t="shared" si="177"/>
        <v>18:55:32.398</v>
      </c>
      <c r="T1807" t="str">
        <f t="shared" si="177"/>
        <v>18:55:32.398</v>
      </c>
      <c r="U1807" t="str">
        <f t="shared" si="176"/>
        <v>AAB6EE</v>
      </c>
      <c r="V1807">
        <v>0</v>
      </c>
      <c r="W1807">
        <v>0</v>
      </c>
      <c r="X1807">
        <v>4</v>
      </c>
      <c r="Z1807">
        <v>0</v>
      </c>
      <c r="AA1807">
        <v>8</v>
      </c>
      <c r="AB1807">
        <v>3</v>
      </c>
      <c r="AC1807">
        <v>0</v>
      </c>
      <c r="AD1807">
        <v>10</v>
      </c>
      <c r="AE1807">
        <v>0</v>
      </c>
      <c r="AF1807">
        <v>0</v>
      </c>
      <c r="AG1807">
        <v>2</v>
      </c>
      <c r="AH1807">
        <v>1</v>
      </c>
      <c r="AI1807" t="s">
        <v>1330</v>
      </c>
      <c r="AJ1807">
        <v>34.902642</v>
      </c>
      <c r="AK1807" t="s">
        <v>1331</v>
      </c>
      <c r="AL1807">
        <v>-76.107059000000007</v>
      </c>
      <c r="AM1807">
        <v>25</v>
      </c>
      <c r="AN1807">
        <v>2925</v>
      </c>
      <c r="AO1807" t="s">
        <v>118</v>
      </c>
      <c r="AP1807">
        <v>-63</v>
      </c>
      <c r="AQ1807">
        <v>-130</v>
      </c>
      <c r="AR1807">
        <v>0</v>
      </c>
      <c r="AZ1807">
        <v>4516</v>
      </c>
      <c r="BA1807">
        <v>1</v>
      </c>
      <c r="BB1807" t="str">
        <f t="shared" si="175"/>
        <v xml:space="preserve">N79NX   </v>
      </c>
      <c r="BC1807">
        <v>1</v>
      </c>
      <c r="BE1807">
        <v>0</v>
      </c>
      <c r="BF1807">
        <v>0</v>
      </c>
      <c r="BG1807">
        <v>0</v>
      </c>
      <c r="BH1807">
        <v>2800</v>
      </c>
      <c r="BI1807">
        <v>0</v>
      </c>
      <c r="BJ1807">
        <v>0</v>
      </c>
      <c r="BK1807">
        <v>0</v>
      </c>
      <c r="BL1807">
        <v>0</v>
      </c>
      <c r="BO1807">
        <v>0</v>
      </c>
      <c r="BP1807">
        <v>0</v>
      </c>
      <c r="BW1807" t="str">
        <f>"18:55:32.405"</f>
        <v>18:55:32.405</v>
      </c>
      <c r="BZ1807">
        <v>0</v>
      </c>
      <c r="CA1807">
        <v>3008</v>
      </c>
      <c r="CB1807">
        <v>216</v>
      </c>
      <c r="CC1807">
        <v>585</v>
      </c>
      <c r="CD1807">
        <v>1</v>
      </c>
      <c r="CE1807">
        <v>1</v>
      </c>
      <c r="CF1807">
        <v>0</v>
      </c>
      <c r="CG1807">
        <v>1</v>
      </c>
      <c r="CH1807">
        <v>0</v>
      </c>
      <c r="CI1807">
        <v>0</v>
      </c>
      <c r="CJ1807">
        <v>0</v>
      </c>
      <c r="CK1807">
        <v>2</v>
      </c>
      <c r="CL1807">
        <v>0</v>
      </c>
      <c r="CM1807">
        <v>2</v>
      </c>
      <c r="CN1807">
        <v>0</v>
      </c>
      <c r="CO1807">
        <v>1</v>
      </c>
      <c r="CP1807" t="s">
        <v>119</v>
      </c>
      <c r="CQ1807">
        <v>70</v>
      </c>
      <c r="CR1807">
        <v>1</v>
      </c>
      <c r="CW1807">
        <v>3657749</v>
      </c>
      <c r="CY1807">
        <v>0</v>
      </c>
      <c r="CZ1807">
        <v>0</v>
      </c>
      <c r="DA1807">
        <v>1</v>
      </c>
      <c r="DB1807">
        <v>0</v>
      </c>
      <c r="DC1807">
        <v>0</v>
      </c>
      <c r="DD1807">
        <v>0</v>
      </c>
      <c r="DE1807">
        <v>0</v>
      </c>
      <c r="DF1807">
        <v>0</v>
      </c>
      <c r="DG1807">
        <v>0</v>
      </c>
      <c r="DH1807">
        <v>0</v>
      </c>
      <c r="DI1807">
        <v>0</v>
      </c>
    </row>
    <row r="1808" spans="1:113" x14ac:dyDescent="0.3">
      <c r="A1808" t="str">
        <f>"02/13/2022 18:55:32.589"</f>
        <v>02/13/2022 18:55:32.589</v>
      </c>
      <c r="C1808" t="str">
        <f t="shared" si="174"/>
        <v>FFDFD7C0</v>
      </c>
      <c r="D1808" t="s">
        <v>113</v>
      </c>
      <c r="E1808">
        <v>4</v>
      </c>
      <c r="F1808">
        <v>1004</v>
      </c>
      <c r="G1808" t="s">
        <v>120</v>
      </c>
      <c r="J1808" t="s">
        <v>115</v>
      </c>
      <c r="K1808">
        <v>0</v>
      </c>
      <c r="L1808">
        <v>3</v>
      </c>
      <c r="M1808">
        <v>0</v>
      </c>
      <c r="N1808">
        <v>2</v>
      </c>
      <c r="O1808">
        <v>1</v>
      </c>
      <c r="P1808">
        <v>0</v>
      </c>
      <c r="Q1808">
        <v>0</v>
      </c>
      <c r="S1808" t="str">
        <f t="shared" si="177"/>
        <v>18:55:32.398</v>
      </c>
      <c r="T1808" t="str">
        <f t="shared" si="177"/>
        <v>18:55:32.398</v>
      </c>
      <c r="U1808" t="str">
        <f t="shared" si="176"/>
        <v>AAB6EE</v>
      </c>
      <c r="V1808">
        <v>0</v>
      </c>
      <c r="W1808">
        <v>0</v>
      </c>
      <c r="X1808">
        <v>4</v>
      </c>
      <c r="Z1808">
        <v>0</v>
      </c>
      <c r="AA1808">
        <v>8</v>
      </c>
      <c r="AB1808">
        <v>3</v>
      </c>
      <c r="AC1808">
        <v>0</v>
      </c>
      <c r="AD1808">
        <v>10</v>
      </c>
      <c r="AE1808">
        <v>0</v>
      </c>
      <c r="AF1808">
        <v>0</v>
      </c>
      <c r="AG1808">
        <v>2</v>
      </c>
      <c r="AH1808">
        <v>1</v>
      </c>
      <c r="AI1808" t="s">
        <v>1330</v>
      </c>
      <c r="AJ1808">
        <v>34.902642</v>
      </c>
      <c r="AK1808" t="s">
        <v>1331</v>
      </c>
      <c r="AL1808">
        <v>-76.107059000000007</v>
      </c>
      <c r="AM1808">
        <v>25</v>
      </c>
      <c r="AN1808">
        <v>2925</v>
      </c>
      <c r="AO1808" t="s">
        <v>118</v>
      </c>
      <c r="AP1808">
        <v>-63</v>
      </c>
      <c r="AQ1808">
        <v>-130</v>
      </c>
      <c r="AR1808">
        <v>0</v>
      </c>
      <c r="AZ1808">
        <v>4516</v>
      </c>
      <c r="BA1808">
        <v>1</v>
      </c>
      <c r="BB1808" t="str">
        <f t="shared" si="175"/>
        <v xml:space="preserve">N79NX   </v>
      </c>
      <c r="BC1808">
        <v>1</v>
      </c>
      <c r="BE1808">
        <v>0</v>
      </c>
      <c r="BF1808">
        <v>0</v>
      </c>
      <c r="BG1808">
        <v>0</v>
      </c>
      <c r="BH1808">
        <v>2800</v>
      </c>
      <c r="BI1808">
        <v>0</v>
      </c>
      <c r="BJ1808">
        <v>0</v>
      </c>
      <c r="BK1808">
        <v>0</v>
      </c>
      <c r="BL1808">
        <v>0</v>
      </c>
      <c r="BO1808">
        <v>0</v>
      </c>
      <c r="BP1808">
        <v>0</v>
      </c>
      <c r="BW1808" t="str">
        <f>"18:55:32.405"</f>
        <v>18:55:32.405</v>
      </c>
      <c r="BZ1808">
        <v>0</v>
      </c>
      <c r="CA1808">
        <v>3008</v>
      </c>
      <c r="CB1808">
        <v>216</v>
      </c>
      <c r="CC1808">
        <v>585</v>
      </c>
      <c r="CD1808">
        <v>1</v>
      </c>
      <c r="CE1808">
        <v>1</v>
      </c>
      <c r="CF1808">
        <v>0</v>
      </c>
      <c r="CG1808">
        <v>1</v>
      </c>
      <c r="CH1808">
        <v>0</v>
      </c>
      <c r="CI1808">
        <v>0</v>
      </c>
      <c r="CJ1808">
        <v>0</v>
      </c>
      <c r="CK1808">
        <v>2</v>
      </c>
      <c r="CL1808">
        <v>0</v>
      </c>
      <c r="CM1808">
        <v>2</v>
      </c>
      <c r="CN1808">
        <v>0</v>
      </c>
      <c r="CO1808">
        <v>1</v>
      </c>
      <c r="CP1808" t="s">
        <v>119</v>
      </c>
      <c r="CQ1808">
        <v>70</v>
      </c>
      <c r="CR1808">
        <v>1</v>
      </c>
      <c r="CW1808">
        <v>3657749</v>
      </c>
      <c r="CY1808">
        <v>0</v>
      </c>
      <c r="CZ1808">
        <v>0</v>
      </c>
      <c r="DA1808">
        <v>1</v>
      </c>
      <c r="DB1808">
        <v>0</v>
      </c>
      <c r="DC1808">
        <v>0</v>
      </c>
      <c r="DD1808">
        <v>0</v>
      </c>
      <c r="DE1808">
        <v>0</v>
      </c>
      <c r="DF1808">
        <v>0</v>
      </c>
      <c r="DG1808">
        <v>0</v>
      </c>
      <c r="DH1808">
        <v>0</v>
      </c>
      <c r="DI1808">
        <v>0</v>
      </c>
    </row>
    <row r="1809" spans="1:113" x14ac:dyDescent="0.3">
      <c r="A1809" t="str">
        <f>"02/13/2022 18:55:34.121"</f>
        <v>02/13/2022 18:55:34.121</v>
      </c>
      <c r="C1809" t="str">
        <f t="shared" si="174"/>
        <v>FFDFD7C0</v>
      </c>
      <c r="D1809" t="s">
        <v>121</v>
      </c>
      <c r="E1809">
        <v>2</v>
      </c>
      <c r="H1809">
        <v>158</v>
      </c>
      <c r="I1809" t="s">
        <v>120</v>
      </c>
      <c r="J1809" t="s">
        <v>122</v>
      </c>
      <c r="K1809">
        <v>0</v>
      </c>
      <c r="L1809">
        <v>3</v>
      </c>
      <c r="M1809">
        <v>0</v>
      </c>
      <c r="N1809">
        <v>2</v>
      </c>
      <c r="O1809">
        <v>1</v>
      </c>
      <c r="P1809">
        <v>0</v>
      </c>
      <c r="Q1809">
        <v>0</v>
      </c>
      <c r="S1809" t="str">
        <f>"18:55:33.883"</f>
        <v>18:55:33.883</v>
      </c>
      <c r="T1809" t="str">
        <f>"18:55:33.383"</f>
        <v>18:55:33.383</v>
      </c>
      <c r="U1809" t="str">
        <f t="shared" si="176"/>
        <v>AAB6EE</v>
      </c>
      <c r="V1809">
        <v>0</v>
      </c>
      <c r="W1809">
        <v>0</v>
      </c>
      <c r="X1809">
        <v>4</v>
      </c>
      <c r="Z1809">
        <v>0</v>
      </c>
      <c r="AA1809">
        <v>8</v>
      </c>
      <c r="AB1809">
        <v>3</v>
      </c>
      <c r="AC1809">
        <v>0</v>
      </c>
      <c r="AD1809">
        <v>10</v>
      </c>
      <c r="AE1809">
        <v>0</v>
      </c>
      <c r="AF1809">
        <v>0</v>
      </c>
      <c r="AG1809">
        <v>2</v>
      </c>
      <c r="AH1809">
        <v>1</v>
      </c>
      <c r="AI1809" t="s">
        <v>1332</v>
      </c>
      <c r="AJ1809">
        <v>34.901741000000001</v>
      </c>
      <c r="AK1809" t="s">
        <v>1333</v>
      </c>
      <c r="AL1809">
        <v>-76.107551999999998</v>
      </c>
      <c r="AM1809">
        <v>25</v>
      </c>
      <c r="AN1809">
        <v>2925</v>
      </c>
      <c r="AO1809" t="s">
        <v>118</v>
      </c>
      <c r="AP1809">
        <v>-63</v>
      </c>
      <c r="AQ1809">
        <v>-130</v>
      </c>
      <c r="AR1809">
        <v>0</v>
      </c>
      <c r="AZ1809">
        <v>4516</v>
      </c>
      <c r="BA1809">
        <v>1</v>
      </c>
      <c r="BB1809" t="str">
        <f t="shared" si="175"/>
        <v xml:space="preserve">N79NX   </v>
      </c>
      <c r="BC1809">
        <v>1</v>
      </c>
      <c r="BE1809">
        <v>0</v>
      </c>
      <c r="BF1809">
        <v>0</v>
      </c>
      <c r="BG1809">
        <v>0</v>
      </c>
      <c r="BH1809">
        <v>2800</v>
      </c>
      <c r="BI1809">
        <v>0</v>
      </c>
      <c r="BJ1809">
        <v>0</v>
      </c>
      <c r="BK1809">
        <v>0</v>
      </c>
      <c r="BL1809">
        <v>0</v>
      </c>
      <c r="BO1809">
        <v>0</v>
      </c>
      <c r="BP1809">
        <v>0</v>
      </c>
      <c r="BW1809" t="str">
        <f>"18:55:33.885"</f>
        <v>18:55:33.885</v>
      </c>
      <c r="BZ1809">
        <v>0</v>
      </c>
      <c r="CA1809">
        <v>3008</v>
      </c>
      <c r="CB1809">
        <v>216</v>
      </c>
      <c r="CC1809">
        <v>592.03129999999999</v>
      </c>
      <c r="CD1809">
        <v>1</v>
      </c>
      <c r="CE1809">
        <v>1</v>
      </c>
      <c r="CF1809">
        <v>0</v>
      </c>
      <c r="CG1809">
        <v>1</v>
      </c>
      <c r="CH1809">
        <v>0</v>
      </c>
      <c r="CI1809">
        <v>0</v>
      </c>
      <c r="CJ1809">
        <v>0</v>
      </c>
      <c r="CK1809">
        <v>2</v>
      </c>
      <c r="CL1809">
        <v>0</v>
      </c>
      <c r="CM1809">
        <v>2</v>
      </c>
      <c r="CN1809">
        <v>0</v>
      </c>
      <c r="CO1809">
        <v>2</v>
      </c>
      <c r="CP1809" t="s">
        <v>119</v>
      </c>
      <c r="CQ1809">
        <v>70</v>
      </c>
      <c r="CR1809">
        <v>1</v>
      </c>
      <c r="CW1809">
        <v>3658893</v>
      </c>
      <c r="CY1809">
        <v>0</v>
      </c>
      <c r="CZ1809">
        <v>0</v>
      </c>
      <c r="DA1809">
        <v>0</v>
      </c>
      <c r="DB1809">
        <v>0</v>
      </c>
      <c r="DC1809">
        <v>0</v>
      </c>
      <c r="DD1809">
        <v>0</v>
      </c>
      <c r="DE1809">
        <v>0</v>
      </c>
      <c r="DF1809">
        <v>0</v>
      </c>
      <c r="DG1809">
        <v>0</v>
      </c>
      <c r="DH1809">
        <v>0</v>
      </c>
      <c r="DI1809">
        <v>0</v>
      </c>
    </row>
    <row r="1810" spans="1:113" x14ac:dyDescent="0.3">
      <c r="A1810" t="str">
        <f>"02/13/2022 18:55:34.121"</f>
        <v>02/13/2022 18:55:34.121</v>
      </c>
      <c r="C1810" t="str">
        <f t="shared" si="174"/>
        <v>FFDFD7C0</v>
      </c>
      <c r="D1810" t="s">
        <v>113</v>
      </c>
      <c r="E1810">
        <v>4</v>
      </c>
      <c r="F1810">
        <v>1004</v>
      </c>
      <c r="G1810" t="s">
        <v>120</v>
      </c>
      <c r="J1810" t="s">
        <v>115</v>
      </c>
      <c r="K1810">
        <v>0</v>
      </c>
      <c r="L1810">
        <v>3</v>
      </c>
      <c r="M1810">
        <v>0</v>
      </c>
      <c r="N1810">
        <v>2</v>
      </c>
      <c r="O1810">
        <v>1</v>
      </c>
      <c r="P1810">
        <v>0</v>
      </c>
      <c r="Q1810">
        <v>0</v>
      </c>
      <c r="S1810" t="str">
        <f>"18:55:33.883"</f>
        <v>18:55:33.883</v>
      </c>
      <c r="T1810" t="str">
        <f>"18:55:33.383"</f>
        <v>18:55:33.383</v>
      </c>
      <c r="U1810" t="str">
        <f t="shared" si="176"/>
        <v>AAB6EE</v>
      </c>
      <c r="V1810">
        <v>0</v>
      </c>
      <c r="W1810">
        <v>0</v>
      </c>
      <c r="X1810">
        <v>4</v>
      </c>
      <c r="Z1810">
        <v>0</v>
      </c>
      <c r="AA1810">
        <v>8</v>
      </c>
      <c r="AB1810">
        <v>3</v>
      </c>
      <c r="AC1810">
        <v>0</v>
      </c>
      <c r="AD1810">
        <v>10</v>
      </c>
      <c r="AE1810">
        <v>0</v>
      </c>
      <c r="AF1810">
        <v>0</v>
      </c>
      <c r="AG1810">
        <v>2</v>
      </c>
      <c r="AH1810">
        <v>1</v>
      </c>
      <c r="AI1810" t="s">
        <v>1332</v>
      </c>
      <c r="AJ1810">
        <v>34.901741000000001</v>
      </c>
      <c r="AK1810" t="s">
        <v>1333</v>
      </c>
      <c r="AL1810">
        <v>-76.107551999999998</v>
      </c>
      <c r="AM1810">
        <v>25</v>
      </c>
      <c r="AN1810">
        <v>2925</v>
      </c>
      <c r="AO1810" t="s">
        <v>118</v>
      </c>
      <c r="AP1810">
        <v>-63</v>
      </c>
      <c r="AQ1810">
        <v>-130</v>
      </c>
      <c r="AR1810">
        <v>0</v>
      </c>
      <c r="AZ1810">
        <v>4516</v>
      </c>
      <c r="BA1810">
        <v>1</v>
      </c>
      <c r="BB1810" t="str">
        <f t="shared" si="175"/>
        <v xml:space="preserve">N79NX   </v>
      </c>
      <c r="BC1810">
        <v>1</v>
      </c>
      <c r="BE1810">
        <v>0</v>
      </c>
      <c r="BF1810">
        <v>0</v>
      </c>
      <c r="BG1810">
        <v>0</v>
      </c>
      <c r="BH1810">
        <v>2800</v>
      </c>
      <c r="BI1810">
        <v>0</v>
      </c>
      <c r="BJ1810">
        <v>0</v>
      </c>
      <c r="BK1810">
        <v>0</v>
      </c>
      <c r="BL1810">
        <v>0</v>
      </c>
      <c r="BO1810">
        <v>0</v>
      </c>
      <c r="BP1810">
        <v>0</v>
      </c>
      <c r="BW1810" t="str">
        <f>"18:55:33.885"</f>
        <v>18:55:33.885</v>
      </c>
      <c r="BZ1810">
        <v>0</v>
      </c>
      <c r="CA1810">
        <v>3008</v>
      </c>
      <c r="CB1810">
        <v>216</v>
      </c>
      <c r="CC1810">
        <v>592.03129999999999</v>
      </c>
      <c r="CD1810">
        <v>1</v>
      </c>
      <c r="CE1810">
        <v>1</v>
      </c>
      <c r="CF1810">
        <v>0</v>
      </c>
      <c r="CG1810">
        <v>1</v>
      </c>
      <c r="CH1810">
        <v>0</v>
      </c>
      <c r="CI1810">
        <v>0</v>
      </c>
      <c r="CJ1810">
        <v>0</v>
      </c>
      <c r="CK1810">
        <v>2</v>
      </c>
      <c r="CL1810">
        <v>0</v>
      </c>
      <c r="CM1810">
        <v>2</v>
      </c>
      <c r="CN1810">
        <v>0</v>
      </c>
      <c r="CO1810">
        <v>2</v>
      </c>
      <c r="CP1810" t="s">
        <v>119</v>
      </c>
      <c r="CQ1810">
        <v>70</v>
      </c>
      <c r="CR1810">
        <v>1</v>
      </c>
      <c r="CW1810">
        <v>3658893</v>
      </c>
      <c r="CY1810">
        <v>0</v>
      </c>
      <c r="CZ1810">
        <v>0</v>
      </c>
      <c r="DA1810">
        <v>1</v>
      </c>
      <c r="DB1810">
        <v>0</v>
      </c>
      <c r="DC1810">
        <v>0</v>
      </c>
      <c r="DD1810">
        <v>0</v>
      </c>
      <c r="DE1810">
        <v>0</v>
      </c>
      <c r="DF1810">
        <v>0</v>
      </c>
      <c r="DG1810">
        <v>0</v>
      </c>
      <c r="DH1810">
        <v>0</v>
      </c>
      <c r="DI1810">
        <v>0</v>
      </c>
    </row>
    <row r="1811" spans="1:113" x14ac:dyDescent="0.3">
      <c r="A1811" t="str">
        <f>"02/13/2022 18:55:34.121"</f>
        <v>02/13/2022 18:55:34.121</v>
      </c>
      <c r="C1811" t="str">
        <f t="shared" si="174"/>
        <v>FFDFD7C0</v>
      </c>
      <c r="D1811" t="s">
        <v>113</v>
      </c>
      <c r="E1811">
        <v>3</v>
      </c>
      <c r="F1811">
        <v>1003</v>
      </c>
      <c r="G1811" t="s">
        <v>114</v>
      </c>
      <c r="J1811" t="s">
        <v>115</v>
      </c>
      <c r="K1811">
        <v>0</v>
      </c>
      <c r="L1811">
        <v>3</v>
      </c>
      <c r="M1811">
        <v>0</v>
      </c>
      <c r="N1811">
        <v>2</v>
      </c>
      <c r="O1811">
        <v>1</v>
      </c>
      <c r="P1811">
        <v>0</v>
      </c>
      <c r="Q1811">
        <v>0</v>
      </c>
      <c r="S1811" t="str">
        <f>"18:55:33.883"</f>
        <v>18:55:33.883</v>
      </c>
      <c r="T1811" t="str">
        <f>"18:55:33.383"</f>
        <v>18:55:33.383</v>
      </c>
      <c r="U1811" t="str">
        <f t="shared" si="176"/>
        <v>AAB6EE</v>
      </c>
      <c r="V1811">
        <v>0</v>
      </c>
      <c r="W1811">
        <v>0</v>
      </c>
      <c r="X1811">
        <v>4</v>
      </c>
      <c r="Z1811">
        <v>0</v>
      </c>
      <c r="AA1811">
        <v>8</v>
      </c>
      <c r="AB1811">
        <v>3</v>
      </c>
      <c r="AC1811">
        <v>0</v>
      </c>
      <c r="AD1811">
        <v>10</v>
      </c>
      <c r="AE1811">
        <v>0</v>
      </c>
      <c r="AF1811">
        <v>0</v>
      </c>
      <c r="AG1811">
        <v>2</v>
      </c>
      <c r="AH1811">
        <v>1</v>
      </c>
      <c r="AI1811" t="s">
        <v>1332</v>
      </c>
      <c r="AJ1811">
        <v>34.901741000000001</v>
      </c>
      <c r="AK1811" t="s">
        <v>1333</v>
      </c>
      <c r="AL1811">
        <v>-76.107551999999998</v>
      </c>
      <c r="AM1811">
        <v>25</v>
      </c>
      <c r="AN1811">
        <v>2925</v>
      </c>
      <c r="AO1811" t="s">
        <v>118</v>
      </c>
      <c r="AP1811">
        <v>-63</v>
      </c>
      <c r="AQ1811">
        <v>-130</v>
      </c>
      <c r="AR1811">
        <v>0</v>
      </c>
      <c r="AZ1811">
        <v>4516</v>
      </c>
      <c r="BA1811">
        <v>1</v>
      </c>
      <c r="BB1811" t="str">
        <f t="shared" si="175"/>
        <v xml:space="preserve">N79NX   </v>
      </c>
      <c r="BC1811">
        <v>1</v>
      </c>
      <c r="BE1811">
        <v>0</v>
      </c>
      <c r="BF1811">
        <v>0</v>
      </c>
      <c r="BG1811">
        <v>0</v>
      </c>
      <c r="BH1811">
        <v>2800</v>
      </c>
      <c r="BI1811">
        <v>0</v>
      </c>
      <c r="BJ1811">
        <v>0</v>
      </c>
      <c r="BK1811">
        <v>0</v>
      </c>
      <c r="BL1811">
        <v>0</v>
      </c>
      <c r="BO1811">
        <v>0</v>
      </c>
      <c r="BP1811">
        <v>0</v>
      </c>
      <c r="BW1811" t="str">
        <f>"18:55:33.885"</f>
        <v>18:55:33.885</v>
      </c>
      <c r="BZ1811">
        <v>0</v>
      </c>
      <c r="CA1811">
        <v>3008</v>
      </c>
      <c r="CB1811">
        <v>216</v>
      </c>
      <c r="CC1811">
        <v>592.03129999999999</v>
      </c>
      <c r="CD1811">
        <v>1</v>
      </c>
      <c r="CE1811">
        <v>1</v>
      </c>
      <c r="CF1811">
        <v>0</v>
      </c>
      <c r="CG1811">
        <v>1</v>
      </c>
      <c r="CH1811">
        <v>0</v>
      </c>
      <c r="CI1811">
        <v>0</v>
      </c>
      <c r="CJ1811">
        <v>0</v>
      </c>
      <c r="CK1811">
        <v>2</v>
      </c>
      <c r="CL1811">
        <v>0</v>
      </c>
      <c r="CM1811">
        <v>2</v>
      </c>
      <c r="CN1811">
        <v>0</v>
      </c>
      <c r="CO1811">
        <v>2</v>
      </c>
      <c r="CP1811" t="s">
        <v>119</v>
      </c>
      <c r="CQ1811">
        <v>70</v>
      </c>
      <c r="CR1811">
        <v>1</v>
      </c>
      <c r="CW1811">
        <v>3658893</v>
      </c>
      <c r="CY1811">
        <v>0</v>
      </c>
      <c r="CZ1811">
        <v>0</v>
      </c>
      <c r="DA1811">
        <v>1</v>
      </c>
      <c r="DB1811">
        <v>0</v>
      </c>
      <c r="DC1811">
        <v>0</v>
      </c>
      <c r="DD1811">
        <v>0</v>
      </c>
      <c r="DE1811">
        <v>0</v>
      </c>
      <c r="DF1811">
        <v>0</v>
      </c>
      <c r="DG1811">
        <v>0</v>
      </c>
      <c r="DH1811">
        <v>0</v>
      </c>
      <c r="DI1811">
        <v>0</v>
      </c>
    </row>
    <row r="1812" spans="1:113" x14ac:dyDescent="0.3">
      <c r="A1812" t="str">
        <f>"02/13/2022 18:55:35.576"</f>
        <v>02/13/2022 18:55:35.576</v>
      </c>
      <c r="C1812" t="str">
        <f t="shared" si="174"/>
        <v>FFDFD7C0</v>
      </c>
      <c r="D1812" t="s">
        <v>113</v>
      </c>
      <c r="E1812">
        <v>3</v>
      </c>
      <c r="F1812">
        <v>1003</v>
      </c>
      <c r="G1812" t="s">
        <v>114</v>
      </c>
      <c r="J1812" t="s">
        <v>115</v>
      </c>
      <c r="K1812">
        <v>0</v>
      </c>
      <c r="L1812">
        <v>3</v>
      </c>
      <c r="M1812">
        <v>0</v>
      </c>
      <c r="N1812">
        <v>2</v>
      </c>
      <c r="O1812">
        <v>1</v>
      </c>
      <c r="P1812">
        <v>0</v>
      </c>
      <c r="Q1812">
        <v>0</v>
      </c>
      <c r="S1812" t="str">
        <f>"18:55:35.328"</f>
        <v>18:55:35.328</v>
      </c>
      <c r="T1812" t="str">
        <f>"18:55:35.028"</f>
        <v>18:55:35.028</v>
      </c>
      <c r="U1812" t="str">
        <f t="shared" si="176"/>
        <v>AAB6EE</v>
      </c>
      <c r="V1812">
        <v>0</v>
      </c>
      <c r="W1812">
        <v>0</v>
      </c>
      <c r="X1812">
        <v>4</v>
      </c>
      <c r="Z1812">
        <v>0</v>
      </c>
      <c r="AA1812">
        <v>8</v>
      </c>
      <c r="AB1812">
        <v>3</v>
      </c>
      <c r="AC1812">
        <v>0</v>
      </c>
      <c r="AD1812">
        <v>10</v>
      </c>
      <c r="AE1812">
        <v>0</v>
      </c>
      <c r="AF1812">
        <v>0</v>
      </c>
      <c r="AG1812">
        <v>2</v>
      </c>
      <c r="AH1812">
        <v>1</v>
      </c>
      <c r="AI1812" t="s">
        <v>1334</v>
      </c>
      <c r="AJ1812">
        <v>34.900818000000001</v>
      </c>
      <c r="AK1812" t="s">
        <v>1335</v>
      </c>
      <c r="AL1812">
        <v>-76.108131</v>
      </c>
      <c r="AM1812">
        <v>25</v>
      </c>
      <c r="AN1812">
        <v>2925</v>
      </c>
      <c r="AO1812" t="s">
        <v>118</v>
      </c>
      <c r="AP1812">
        <v>-64</v>
      </c>
      <c r="AQ1812">
        <v>-130</v>
      </c>
      <c r="AR1812">
        <v>0</v>
      </c>
      <c r="AZ1812">
        <v>4516</v>
      </c>
      <c r="BA1812">
        <v>1</v>
      </c>
      <c r="BB1812" t="str">
        <f t="shared" si="175"/>
        <v xml:space="preserve">N79NX   </v>
      </c>
      <c r="BC1812">
        <v>1</v>
      </c>
      <c r="BE1812">
        <v>0</v>
      </c>
      <c r="BF1812">
        <v>0</v>
      </c>
      <c r="BG1812">
        <v>0</v>
      </c>
      <c r="BH1812">
        <v>2800</v>
      </c>
      <c r="BI1812">
        <v>0</v>
      </c>
      <c r="BJ1812">
        <v>0</v>
      </c>
      <c r="BK1812">
        <v>0</v>
      </c>
      <c r="BL1812">
        <v>0</v>
      </c>
      <c r="BO1812">
        <v>0</v>
      </c>
      <c r="BP1812">
        <v>0</v>
      </c>
      <c r="BW1812" t="str">
        <f>"18:55:35.335"</f>
        <v>18:55:35.335</v>
      </c>
      <c r="BZ1812">
        <v>0</v>
      </c>
      <c r="CA1812">
        <v>3008</v>
      </c>
      <c r="CB1812">
        <v>216</v>
      </c>
      <c r="CC1812">
        <v>592.03129999999999</v>
      </c>
      <c r="CD1812">
        <v>1</v>
      </c>
      <c r="CE1812">
        <v>1</v>
      </c>
      <c r="CF1812">
        <v>0</v>
      </c>
      <c r="CG1812">
        <v>1</v>
      </c>
      <c r="CH1812">
        <v>0</v>
      </c>
      <c r="CI1812">
        <v>0</v>
      </c>
      <c r="CJ1812">
        <v>0</v>
      </c>
      <c r="CK1812">
        <v>2</v>
      </c>
      <c r="CL1812">
        <v>0</v>
      </c>
      <c r="CM1812">
        <v>2</v>
      </c>
      <c r="CN1812">
        <v>0</v>
      </c>
      <c r="CO1812">
        <v>1</v>
      </c>
      <c r="CP1812" t="s">
        <v>119</v>
      </c>
      <c r="CQ1812">
        <v>70</v>
      </c>
      <c r="CR1812">
        <v>1</v>
      </c>
      <c r="CW1812">
        <v>3660071</v>
      </c>
      <c r="CY1812">
        <v>0</v>
      </c>
      <c r="CZ1812">
        <v>0</v>
      </c>
      <c r="DA1812">
        <v>0</v>
      </c>
      <c r="DB1812">
        <v>0</v>
      </c>
      <c r="DC1812">
        <v>0</v>
      </c>
      <c r="DD1812">
        <v>0</v>
      </c>
      <c r="DE1812">
        <v>0</v>
      </c>
      <c r="DF1812">
        <v>0</v>
      </c>
      <c r="DG1812">
        <v>0</v>
      </c>
      <c r="DH1812">
        <v>0</v>
      </c>
      <c r="DI1812">
        <v>0</v>
      </c>
    </row>
    <row r="1813" spans="1:113" x14ac:dyDescent="0.3">
      <c r="A1813" t="str">
        <f>"02/13/2022 18:55:35.576"</f>
        <v>02/13/2022 18:55:35.576</v>
      </c>
      <c r="C1813" t="str">
        <f t="shared" si="174"/>
        <v>FFDFD7C0</v>
      </c>
      <c r="D1813" t="s">
        <v>121</v>
      </c>
      <c r="E1813">
        <v>2</v>
      </c>
      <c r="H1813">
        <v>158</v>
      </c>
      <c r="I1813" t="s">
        <v>120</v>
      </c>
      <c r="J1813" t="s">
        <v>122</v>
      </c>
      <c r="K1813">
        <v>0</v>
      </c>
      <c r="L1813">
        <v>3</v>
      </c>
      <c r="M1813">
        <v>0</v>
      </c>
      <c r="N1813">
        <v>2</v>
      </c>
      <c r="O1813">
        <v>1</v>
      </c>
      <c r="P1813">
        <v>0</v>
      </c>
      <c r="Q1813">
        <v>0</v>
      </c>
      <c r="S1813" t="str">
        <f>"18:55:35.328"</f>
        <v>18:55:35.328</v>
      </c>
      <c r="T1813" t="str">
        <f>"18:55:35.028"</f>
        <v>18:55:35.028</v>
      </c>
      <c r="U1813" t="str">
        <f t="shared" si="176"/>
        <v>AAB6EE</v>
      </c>
      <c r="V1813">
        <v>0</v>
      </c>
      <c r="W1813">
        <v>0</v>
      </c>
      <c r="X1813">
        <v>4</v>
      </c>
      <c r="Z1813">
        <v>0</v>
      </c>
      <c r="AA1813">
        <v>8</v>
      </c>
      <c r="AB1813">
        <v>3</v>
      </c>
      <c r="AC1813">
        <v>0</v>
      </c>
      <c r="AD1813">
        <v>10</v>
      </c>
      <c r="AE1813">
        <v>0</v>
      </c>
      <c r="AF1813">
        <v>0</v>
      </c>
      <c r="AG1813">
        <v>2</v>
      </c>
      <c r="AH1813">
        <v>1</v>
      </c>
      <c r="AI1813" t="s">
        <v>1334</v>
      </c>
      <c r="AJ1813">
        <v>34.900818000000001</v>
      </c>
      <c r="AK1813" t="s">
        <v>1335</v>
      </c>
      <c r="AL1813">
        <v>-76.108131</v>
      </c>
      <c r="AM1813">
        <v>25</v>
      </c>
      <c r="AN1813">
        <v>2925</v>
      </c>
      <c r="AO1813" t="s">
        <v>118</v>
      </c>
      <c r="AP1813">
        <v>-64</v>
      </c>
      <c r="AQ1813">
        <v>-130</v>
      </c>
      <c r="AR1813">
        <v>0</v>
      </c>
      <c r="AZ1813">
        <v>4516</v>
      </c>
      <c r="BA1813">
        <v>1</v>
      </c>
      <c r="BB1813" t="str">
        <f t="shared" si="175"/>
        <v xml:space="preserve">N79NX   </v>
      </c>
      <c r="BC1813">
        <v>1</v>
      </c>
      <c r="BE1813">
        <v>0</v>
      </c>
      <c r="BF1813">
        <v>0</v>
      </c>
      <c r="BG1813">
        <v>0</v>
      </c>
      <c r="BH1813">
        <v>2800</v>
      </c>
      <c r="BI1813">
        <v>0</v>
      </c>
      <c r="BJ1813">
        <v>0</v>
      </c>
      <c r="BK1813">
        <v>0</v>
      </c>
      <c r="BL1813">
        <v>0</v>
      </c>
      <c r="BO1813">
        <v>0</v>
      </c>
      <c r="BP1813">
        <v>0</v>
      </c>
      <c r="BW1813" t="str">
        <f>"18:55:35.335"</f>
        <v>18:55:35.335</v>
      </c>
      <c r="BZ1813">
        <v>0</v>
      </c>
      <c r="CA1813">
        <v>3008</v>
      </c>
      <c r="CB1813">
        <v>216</v>
      </c>
      <c r="CC1813">
        <v>592.03129999999999</v>
      </c>
      <c r="CD1813">
        <v>1</v>
      </c>
      <c r="CE1813">
        <v>1</v>
      </c>
      <c r="CF1813">
        <v>0</v>
      </c>
      <c r="CG1813">
        <v>1</v>
      </c>
      <c r="CH1813">
        <v>0</v>
      </c>
      <c r="CI1813">
        <v>0</v>
      </c>
      <c r="CJ1813">
        <v>0</v>
      </c>
      <c r="CK1813">
        <v>2</v>
      </c>
      <c r="CL1813">
        <v>0</v>
      </c>
      <c r="CM1813">
        <v>2</v>
      </c>
      <c r="CN1813">
        <v>0</v>
      </c>
      <c r="CO1813">
        <v>1</v>
      </c>
      <c r="CP1813" t="s">
        <v>119</v>
      </c>
      <c r="CQ1813">
        <v>70</v>
      </c>
      <c r="CR1813">
        <v>1</v>
      </c>
      <c r="CW1813">
        <v>3660071</v>
      </c>
      <c r="CY1813">
        <v>0</v>
      </c>
      <c r="CZ1813">
        <v>0</v>
      </c>
      <c r="DA1813">
        <v>1</v>
      </c>
      <c r="DB1813">
        <v>0</v>
      </c>
      <c r="DC1813">
        <v>0</v>
      </c>
      <c r="DD1813">
        <v>0</v>
      </c>
      <c r="DE1813">
        <v>0</v>
      </c>
      <c r="DF1813">
        <v>0</v>
      </c>
      <c r="DG1813">
        <v>0</v>
      </c>
      <c r="DH1813">
        <v>0</v>
      </c>
      <c r="DI1813">
        <v>0</v>
      </c>
    </row>
    <row r="1814" spans="1:113" x14ac:dyDescent="0.3">
      <c r="A1814" t="str">
        <f>"02/13/2022 18:55:35.576"</f>
        <v>02/13/2022 18:55:35.576</v>
      </c>
      <c r="C1814" t="str">
        <f t="shared" si="174"/>
        <v>FFDFD7C0</v>
      </c>
      <c r="D1814" t="s">
        <v>113</v>
      </c>
      <c r="E1814">
        <v>4</v>
      </c>
      <c r="F1814">
        <v>1004</v>
      </c>
      <c r="G1814" t="s">
        <v>120</v>
      </c>
      <c r="J1814" t="s">
        <v>115</v>
      </c>
      <c r="K1814">
        <v>0</v>
      </c>
      <c r="L1814">
        <v>3</v>
      </c>
      <c r="M1814">
        <v>0</v>
      </c>
      <c r="N1814">
        <v>2</v>
      </c>
      <c r="O1814">
        <v>1</v>
      </c>
      <c r="P1814">
        <v>0</v>
      </c>
      <c r="Q1814">
        <v>0</v>
      </c>
      <c r="S1814" t="str">
        <f>"18:55:35.328"</f>
        <v>18:55:35.328</v>
      </c>
      <c r="T1814" t="str">
        <f>"18:55:35.028"</f>
        <v>18:55:35.028</v>
      </c>
      <c r="U1814" t="str">
        <f t="shared" si="176"/>
        <v>AAB6EE</v>
      </c>
      <c r="V1814">
        <v>0</v>
      </c>
      <c r="W1814">
        <v>0</v>
      </c>
      <c r="X1814">
        <v>4</v>
      </c>
      <c r="Z1814">
        <v>0</v>
      </c>
      <c r="AA1814">
        <v>8</v>
      </c>
      <c r="AB1814">
        <v>3</v>
      </c>
      <c r="AC1814">
        <v>0</v>
      </c>
      <c r="AD1814">
        <v>10</v>
      </c>
      <c r="AE1814">
        <v>0</v>
      </c>
      <c r="AF1814">
        <v>0</v>
      </c>
      <c r="AG1814">
        <v>2</v>
      </c>
      <c r="AH1814">
        <v>1</v>
      </c>
      <c r="AI1814" t="s">
        <v>1334</v>
      </c>
      <c r="AJ1814">
        <v>34.900818000000001</v>
      </c>
      <c r="AK1814" t="s">
        <v>1335</v>
      </c>
      <c r="AL1814">
        <v>-76.108131</v>
      </c>
      <c r="AM1814">
        <v>25</v>
      </c>
      <c r="AN1814">
        <v>2925</v>
      </c>
      <c r="AO1814" t="s">
        <v>118</v>
      </c>
      <c r="AP1814">
        <v>-64</v>
      </c>
      <c r="AQ1814">
        <v>-130</v>
      </c>
      <c r="AR1814">
        <v>0</v>
      </c>
      <c r="AZ1814">
        <v>4516</v>
      </c>
      <c r="BA1814">
        <v>1</v>
      </c>
      <c r="BB1814" t="str">
        <f t="shared" si="175"/>
        <v xml:space="preserve">N79NX   </v>
      </c>
      <c r="BC1814">
        <v>1</v>
      </c>
      <c r="BE1814">
        <v>0</v>
      </c>
      <c r="BF1814">
        <v>0</v>
      </c>
      <c r="BG1814">
        <v>0</v>
      </c>
      <c r="BH1814">
        <v>2800</v>
      </c>
      <c r="BI1814">
        <v>0</v>
      </c>
      <c r="BJ1814">
        <v>0</v>
      </c>
      <c r="BK1814">
        <v>0</v>
      </c>
      <c r="BL1814">
        <v>0</v>
      </c>
      <c r="BO1814">
        <v>0</v>
      </c>
      <c r="BP1814">
        <v>0</v>
      </c>
      <c r="BW1814" t="str">
        <f>"18:55:35.335"</f>
        <v>18:55:35.335</v>
      </c>
      <c r="BZ1814">
        <v>0</v>
      </c>
      <c r="CA1814">
        <v>3008</v>
      </c>
      <c r="CB1814">
        <v>216</v>
      </c>
      <c r="CC1814">
        <v>592.03129999999999</v>
      </c>
      <c r="CD1814">
        <v>1</v>
      </c>
      <c r="CE1814">
        <v>1</v>
      </c>
      <c r="CF1814">
        <v>0</v>
      </c>
      <c r="CG1814">
        <v>1</v>
      </c>
      <c r="CH1814">
        <v>0</v>
      </c>
      <c r="CI1814">
        <v>0</v>
      </c>
      <c r="CJ1814">
        <v>0</v>
      </c>
      <c r="CK1814">
        <v>2</v>
      </c>
      <c r="CL1814">
        <v>0</v>
      </c>
      <c r="CM1814">
        <v>2</v>
      </c>
      <c r="CN1814">
        <v>0</v>
      </c>
      <c r="CO1814">
        <v>1</v>
      </c>
      <c r="CP1814" t="s">
        <v>119</v>
      </c>
      <c r="CQ1814">
        <v>70</v>
      </c>
      <c r="CR1814">
        <v>1</v>
      </c>
      <c r="CW1814">
        <v>3660071</v>
      </c>
      <c r="CY1814">
        <v>0</v>
      </c>
      <c r="CZ1814">
        <v>0</v>
      </c>
      <c r="DA1814">
        <v>1</v>
      </c>
      <c r="DB1814">
        <v>0</v>
      </c>
      <c r="DC1814">
        <v>0</v>
      </c>
      <c r="DD1814">
        <v>0</v>
      </c>
      <c r="DE1814">
        <v>0</v>
      </c>
      <c r="DF1814">
        <v>0</v>
      </c>
      <c r="DG1814">
        <v>0</v>
      </c>
      <c r="DH1814">
        <v>0</v>
      </c>
      <c r="DI1814">
        <v>0</v>
      </c>
    </row>
    <row r="1815" spans="1:113" x14ac:dyDescent="0.3">
      <c r="A1815" t="str">
        <f>"02/13/2022 18:55:36.581"</f>
        <v>02/13/2022 18:55:36.581</v>
      </c>
      <c r="C1815" t="str">
        <f t="shared" si="174"/>
        <v>FFDFD7C0</v>
      </c>
      <c r="D1815" t="s">
        <v>113</v>
      </c>
      <c r="E1815">
        <v>4</v>
      </c>
      <c r="F1815">
        <v>1004</v>
      </c>
      <c r="G1815" t="s">
        <v>120</v>
      </c>
      <c r="J1815" t="s">
        <v>115</v>
      </c>
      <c r="K1815">
        <v>0</v>
      </c>
      <c r="L1815">
        <v>3</v>
      </c>
      <c r="M1815">
        <v>0</v>
      </c>
      <c r="N1815">
        <v>2</v>
      </c>
      <c r="O1815">
        <v>1</v>
      </c>
      <c r="P1815">
        <v>0</v>
      </c>
      <c r="Q1815">
        <v>0</v>
      </c>
      <c r="S1815" t="str">
        <f>"18:55:36.383"</f>
        <v>18:55:36.383</v>
      </c>
      <c r="T1815" t="str">
        <f>"18:55:34.983"</f>
        <v>18:55:34.983</v>
      </c>
      <c r="U1815" t="str">
        <f t="shared" si="176"/>
        <v>AAB6EE</v>
      </c>
      <c r="V1815">
        <v>0</v>
      </c>
      <c r="W1815">
        <v>0</v>
      </c>
      <c r="X1815">
        <v>4</v>
      </c>
      <c r="Z1815">
        <v>0</v>
      </c>
      <c r="AA1815">
        <v>8</v>
      </c>
      <c r="AB1815">
        <v>3</v>
      </c>
      <c r="AC1815">
        <v>0</v>
      </c>
      <c r="AD1815">
        <v>10</v>
      </c>
      <c r="AE1815">
        <v>0</v>
      </c>
      <c r="AF1815">
        <v>0</v>
      </c>
      <c r="AG1815">
        <v>2</v>
      </c>
      <c r="AH1815">
        <v>1</v>
      </c>
      <c r="AI1815" t="s">
        <v>1336</v>
      </c>
      <c r="AJ1815">
        <v>34.900216999999998</v>
      </c>
      <c r="AK1815" t="s">
        <v>1337</v>
      </c>
      <c r="AL1815">
        <v>-76.108452999999997</v>
      </c>
      <c r="AM1815">
        <v>25</v>
      </c>
      <c r="AN1815">
        <v>2925</v>
      </c>
      <c r="AO1815" t="s">
        <v>118</v>
      </c>
      <c r="AP1815">
        <v>-64</v>
      </c>
      <c r="AQ1815">
        <v>-130</v>
      </c>
      <c r="AR1815">
        <v>0</v>
      </c>
      <c r="AZ1815">
        <v>4516</v>
      </c>
      <c r="BA1815">
        <v>1</v>
      </c>
      <c r="BB1815" t="str">
        <f t="shared" si="175"/>
        <v xml:space="preserve">N79NX   </v>
      </c>
      <c r="BC1815">
        <v>1</v>
      </c>
      <c r="BE1815">
        <v>0</v>
      </c>
      <c r="BF1815">
        <v>0</v>
      </c>
      <c r="BG1815">
        <v>0</v>
      </c>
      <c r="BH1815">
        <v>2800</v>
      </c>
      <c r="BI1815">
        <v>0</v>
      </c>
      <c r="BJ1815">
        <v>0</v>
      </c>
      <c r="BK1815">
        <v>0</v>
      </c>
      <c r="BL1815">
        <v>0</v>
      </c>
      <c r="BO1815">
        <v>0</v>
      </c>
      <c r="BP1815">
        <v>0</v>
      </c>
      <c r="BW1815" t="str">
        <f>"18:55:36.385"</f>
        <v>18:55:36.385</v>
      </c>
      <c r="BZ1815">
        <v>0</v>
      </c>
      <c r="CA1815">
        <v>3008</v>
      </c>
      <c r="CB1815">
        <v>216</v>
      </c>
      <c r="CC1815">
        <v>592.03129999999999</v>
      </c>
      <c r="CD1815">
        <v>1</v>
      </c>
      <c r="CE1815">
        <v>1</v>
      </c>
      <c r="CF1815">
        <v>0</v>
      </c>
      <c r="CG1815">
        <v>1</v>
      </c>
      <c r="CH1815">
        <v>0</v>
      </c>
      <c r="CI1815">
        <v>0</v>
      </c>
      <c r="CJ1815">
        <v>0</v>
      </c>
      <c r="CK1815">
        <v>2</v>
      </c>
      <c r="CL1815">
        <v>0</v>
      </c>
      <c r="CM1815">
        <v>2</v>
      </c>
      <c r="CN1815">
        <v>0</v>
      </c>
      <c r="CO1815">
        <v>2</v>
      </c>
      <c r="CP1815" t="s">
        <v>119</v>
      </c>
      <c r="CQ1815">
        <v>70</v>
      </c>
      <c r="CR1815">
        <v>1</v>
      </c>
      <c r="CW1815">
        <v>3660855</v>
      </c>
      <c r="CY1815">
        <v>0</v>
      </c>
      <c r="CZ1815">
        <v>0</v>
      </c>
      <c r="DA1815">
        <v>0</v>
      </c>
      <c r="DB1815">
        <v>0</v>
      </c>
      <c r="DC1815">
        <v>0</v>
      </c>
      <c r="DD1815">
        <v>0</v>
      </c>
      <c r="DE1815">
        <v>0</v>
      </c>
      <c r="DF1815">
        <v>0</v>
      </c>
      <c r="DG1815">
        <v>0</v>
      </c>
      <c r="DH1815">
        <v>0</v>
      </c>
      <c r="DI1815">
        <v>0</v>
      </c>
    </row>
    <row r="1816" spans="1:113" x14ac:dyDescent="0.3">
      <c r="A1816" t="str">
        <f>"02/13/2022 18:55:36.581"</f>
        <v>02/13/2022 18:55:36.581</v>
      </c>
      <c r="C1816" t="str">
        <f t="shared" si="174"/>
        <v>FFDFD7C0</v>
      </c>
      <c r="D1816" t="s">
        <v>121</v>
      </c>
      <c r="E1816">
        <v>2</v>
      </c>
      <c r="H1816">
        <v>158</v>
      </c>
      <c r="I1816" t="s">
        <v>120</v>
      </c>
      <c r="J1816" t="s">
        <v>122</v>
      </c>
      <c r="K1816">
        <v>0</v>
      </c>
      <c r="L1816">
        <v>3</v>
      </c>
      <c r="M1816">
        <v>0</v>
      </c>
      <c r="N1816">
        <v>2</v>
      </c>
      <c r="O1816">
        <v>1</v>
      </c>
      <c r="P1816">
        <v>0</v>
      </c>
      <c r="Q1816">
        <v>0</v>
      </c>
      <c r="S1816" t="str">
        <f>"18:55:36.383"</f>
        <v>18:55:36.383</v>
      </c>
      <c r="T1816" t="str">
        <f>"18:55:34.983"</f>
        <v>18:55:34.983</v>
      </c>
      <c r="U1816" t="str">
        <f t="shared" si="176"/>
        <v>AAB6EE</v>
      </c>
      <c r="V1816">
        <v>0</v>
      </c>
      <c r="W1816">
        <v>0</v>
      </c>
      <c r="X1816">
        <v>4</v>
      </c>
      <c r="Z1816">
        <v>0</v>
      </c>
      <c r="AA1816">
        <v>8</v>
      </c>
      <c r="AB1816">
        <v>3</v>
      </c>
      <c r="AC1816">
        <v>0</v>
      </c>
      <c r="AD1816">
        <v>10</v>
      </c>
      <c r="AE1816">
        <v>0</v>
      </c>
      <c r="AF1816">
        <v>0</v>
      </c>
      <c r="AG1816">
        <v>2</v>
      </c>
      <c r="AH1816">
        <v>1</v>
      </c>
      <c r="AI1816" t="s">
        <v>1336</v>
      </c>
      <c r="AJ1816">
        <v>34.900216999999998</v>
      </c>
      <c r="AK1816" t="s">
        <v>1337</v>
      </c>
      <c r="AL1816">
        <v>-76.108452999999997</v>
      </c>
      <c r="AM1816">
        <v>25</v>
      </c>
      <c r="AN1816">
        <v>2925</v>
      </c>
      <c r="AO1816" t="s">
        <v>118</v>
      </c>
      <c r="AP1816">
        <v>-64</v>
      </c>
      <c r="AQ1816">
        <v>-130</v>
      </c>
      <c r="AR1816">
        <v>0</v>
      </c>
      <c r="AZ1816">
        <v>4516</v>
      </c>
      <c r="BA1816">
        <v>1</v>
      </c>
      <c r="BB1816" t="str">
        <f t="shared" si="175"/>
        <v xml:space="preserve">N79NX   </v>
      </c>
      <c r="BC1816">
        <v>1</v>
      </c>
      <c r="BE1816">
        <v>0</v>
      </c>
      <c r="BF1816">
        <v>0</v>
      </c>
      <c r="BG1816">
        <v>0</v>
      </c>
      <c r="BH1816">
        <v>2800</v>
      </c>
      <c r="BI1816">
        <v>0</v>
      </c>
      <c r="BJ1816">
        <v>0</v>
      </c>
      <c r="BK1816">
        <v>0</v>
      </c>
      <c r="BL1816">
        <v>0</v>
      </c>
      <c r="BO1816">
        <v>0</v>
      </c>
      <c r="BP1816">
        <v>0</v>
      </c>
      <c r="BW1816" t="str">
        <f>"18:55:36.385"</f>
        <v>18:55:36.385</v>
      </c>
      <c r="BZ1816">
        <v>0</v>
      </c>
      <c r="CA1816">
        <v>3008</v>
      </c>
      <c r="CB1816">
        <v>216</v>
      </c>
      <c r="CC1816">
        <v>592.03129999999999</v>
      </c>
      <c r="CD1816">
        <v>1</v>
      </c>
      <c r="CE1816">
        <v>1</v>
      </c>
      <c r="CF1816">
        <v>0</v>
      </c>
      <c r="CG1816">
        <v>1</v>
      </c>
      <c r="CH1816">
        <v>0</v>
      </c>
      <c r="CI1816">
        <v>0</v>
      </c>
      <c r="CJ1816">
        <v>0</v>
      </c>
      <c r="CK1816">
        <v>2</v>
      </c>
      <c r="CL1816">
        <v>0</v>
      </c>
      <c r="CM1816">
        <v>2</v>
      </c>
      <c r="CN1816">
        <v>0</v>
      </c>
      <c r="CO1816">
        <v>2</v>
      </c>
      <c r="CP1816" t="s">
        <v>119</v>
      </c>
      <c r="CQ1816">
        <v>70</v>
      </c>
      <c r="CR1816">
        <v>1</v>
      </c>
      <c r="CW1816">
        <v>3660855</v>
      </c>
      <c r="CY1816">
        <v>0</v>
      </c>
      <c r="CZ1816">
        <v>0</v>
      </c>
      <c r="DA1816">
        <v>1</v>
      </c>
      <c r="DB1816">
        <v>0</v>
      </c>
      <c r="DC1816">
        <v>0</v>
      </c>
      <c r="DD1816">
        <v>0</v>
      </c>
      <c r="DE1816">
        <v>0</v>
      </c>
      <c r="DF1816">
        <v>0</v>
      </c>
      <c r="DG1816">
        <v>0</v>
      </c>
      <c r="DH1816">
        <v>0</v>
      </c>
      <c r="DI1816">
        <v>0</v>
      </c>
    </row>
    <row r="1817" spans="1:113" x14ac:dyDescent="0.3">
      <c r="A1817" t="str">
        <f>"02/13/2022 18:55:36.628"</f>
        <v>02/13/2022 18:55:36.628</v>
      </c>
      <c r="C1817" t="str">
        <f t="shared" si="174"/>
        <v>FFDFD7C0</v>
      </c>
      <c r="D1817" t="s">
        <v>113</v>
      </c>
      <c r="E1817">
        <v>3</v>
      </c>
      <c r="F1817">
        <v>1003</v>
      </c>
      <c r="G1817" t="s">
        <v>114</v>
      </c>
      <c r="J1817" t="s">
        <v>115</v>
      </c>
      <c r="K1817">
        <v>0</v>
      </c>
      <c r="L1817">
        <v>3</v>
      </c>
      <c r="M1817">
        <v>0</v>
      </c>
      <c r="N1817">
        <v>2</v>
      </c>
      <c r="O1817">
        <v>1</v>
      </c>
      <c r="P1817">
        <v>0</v>
      </c>
      <c r="Q1817">
        <v>0</v>
      </c>
      <c r="S1817" t="str">
        <f>"18:55:36.383"</f>
        <v>18:55:36.383</v>
      </c>
      <c r="T1817" t="str">
        <f>"18:55:34.983"</f>
        <v>18:55:34.983</v>
      </c>
      <c r="U1817" t="str">
        <f t="shared" si="176"/>
        <v>AAB6EE</v>
      </c>
      <c r="V1817">
        <v>0</v>
      </c>
      <c r="W1817">
        <v>0</v>
      </c>
      <c r="X1817">
        <v>4</v>
      </c>
      <c r="Z1817">
        <v>0</v>
      </c>
      <c r="AA1817">
        <v>8</v>
      </c>
      <c r="AB1817">
        <v>3</v>
      </c>
      <c r="AC1817">
        <v>0</v>
      </c>
      <c r="AD1817">
        <v>10</v>
      </c>
      <c r="AE1817">
        <v>0</v>
      </c>
      <c r="AF1817">
        <v>0</v>
      </c>
      <c r="AG1817">
        <v>2</v>
      </c>
      <c r="AH1817">
        <v>1</v>
      </c>
      <c r="AI1817" t="s">
        <v>1336</v>
      </c>
      <c r="AJ1817">
        <v>34.900216999999998</v>
      </c>
      <c r="AK1817" t="s">
        <v>1337</v>
      </c>
      <c r="AL1817">
        <v>-76.108452999999997</v>
      </c>
      <c r="AM1817">
        <v>25</v>
      </c>
      <c r="AN1817">
        <v>2925</v>
      </c>
      <c r="AO1817" t="s">
        <v>118</v>
      </c>
      <c r="AP1817">
        <v>-64</v>
      </c>
      <c r="AQ1817">
        <v>-130</v>
      </c>
      <c r="AR1817">
        <v>0</v>
      </c>
      <c r="AZ1817">
        <v>4516</v>
      </c>
      <c r="BA1817">
        <v>1</v>
      </c>
      <c r="BB1817" t="str">
        <f t="shared" si="175"/>
        <v xml:space="preserve">N79NX   </v>
      </c>
      <c r="BC1817">
        <v>1</v>
      </c>
      <c r="BE1817">
        <v>0</v>
      </c>
      <c r="BF1817">
        <v>0</v>
      </c>
      <c r="BG1817">
        <v>0</v>
      </c>
      <c r="BH1817">
        <v>2800</v>
      </c>
      <c r="BI1817">
        <v>0</v>
      </c>
      <c r="BJ1817">
        <v>0</v>
      </c>
      <c r="BK1817">
        <v>0</v>
      </c>
      <c r="BL1817">
        <v>0</v>
      </c>
      <c r="BO1817">
        <v>0</v>
      </c>
      <c r="BP1817">
        <v>0</v>
      </c>
      <c r="BW1817" t="str">
        <f>"18:55:36.385"</f>
        <v>18:55:36.385</v>
      </c>
      <c r="BZ1817">
        <v>0</v>
      </c>
      <c r="CA1817">
        <v>3008</v>
      </c>
      <c r="CB1817">
        <v>216</v>
      </c>
      <c r="CC1817">
        <v>592.03129999999999</v>
      </c>
      <c r="CD1817">
        <v>1</v>
      </c>
      <c r="CE1817">
        <v>1</v>
      </c>
      <c r="CF1817">
        <v>0</v>
      </c>
      <c r="CG1817">
        <v>1</v>
      </c>
      <c r="CH1817">
        <v>0</v>
      </c>
      <c r="CI1817">
        <v>0</v>
      </c>
      <c r="CJ1817">
        <v>0</v>
      </c>
      <c r="CK1817">
        <v>2</v>
      </c>
      <c r="CL1817">
        <v>0</v>
      </c>
      <c r="CM1817">
        <v>2</v>
      </c>
      <c r="CN1817">
        <v>0</v>
      </c>
      <c r="CO1817">
        <v>2</v>
      </c>
      <c r="CP1817" t="s">
        <v>119</v>
      </c>
      <c r="CQ1817">
        <v>70</v>
      </c>
      <c r="CR1817">
        <v>1</v>
      </c>
      <c r="CW1817">
        <v>3660855</v>
      </c>
      <c r="CY1817">
        <v>0</v>
      </c>
      <c r="CZ1817">
        <v>0</v>
      </c>
      <c r="DA1817">
        <v>1</v>
      </c>
      <c r="DB1817">
        <v>0</v>
      </c>
      <c r="DC1817">
        <v>0</v>
      </c>
      <c r="DD1817">
        <v>0</v>
      </c>
      <c r="DE1817">
        <v>0</v>
      </c>
      <c r="DF1817">
        <v>0</v>
      </c>
      <c r="DG1817">
        <v>0</v>
      </c>
      <c r="DH1817">
        <v>0</v>
      </c>
      <c r="DI1817">
        <v>0</v>
      </c>
    </row>
    <row r="1818" spans="1:113" x14ac:dyDescent="0.3">
      <c r="A1818" t="str">
        <f>"02/13/2022 18:55:38.081"</f>
        <v>02/13/2022 18:55:38.081</v>
      </c>
      <c r="C1818" t="str">
        <f t="shared" si="174"/>
        <v>FFDFD7C0</v>
      </c>
      <c r="D1818" t="s">
        <v>113</v>
      </c>
      <c r="E1818">
        <v>3</v>
      </c>
      <c r="F1818">
        <v>1003</v>
      </c>
      <c r="G1818" t="s">
        <v>114</v>
      </c>
      <c r="J1818" t="s">
        <v>115</v>
      </c>
      <c r="K1818">
        <v>0</v>
      </c>
      <c r="L1818">
        <v>3</v>
      </c>
      <c r="M1818">
        <v>0</v>
      </c>
      <c r="N1818">
        <v>2</v>
      </c>
      <c r="O1818">
        <v>1</v>
      </c>
      <c r="P1818">
        <v>0</v>
      </c>
      <c r="Q1818">
        <v>0</v>
      </c>
      <c r="S1818" t="str">
        <f>"18:55:37.742"</f>
        <v>18:55:37.742</v>
      </c>
      <c r="T1818" t="str">
        <f>"18:55:37.642"</f>
        <v>18:55:37.642</v>
      </c>
      <c r="U1818" t="str">
        <f t="shared" si="176"/>
        <v>AAB6EE</v>
      </c>
      <c r="V1818">
        <v>0</v>
      </c>
      <c r="W1818">
        <v>0</v>
      </c>
      <c r="X1818">
        <v>4</v>
      </c>
      <c r="Z1818">
        <v>0</v>
      </c>
      <c r="AA1818">
        <v>8</v>
      </c>
      <c r="AB1818">
        <v>3</v>
      </c>
      <c r="AC1818">
        <v>0</v>
      </c>
      <c r="AD1818">
        <v>10</v>
      </c>
      <c r="AE1818">
        <v>0</v>
      </c>
      <c r="AF1818">
        <v>0</v>
      </c>
      <c r="AG1818">
        <v>2</v>
      </c>
      <c r="AH1818">
        <v>1</v>
      </c>
      <c r="AI1818" t="s">
        <v>1338</v>
      </c>
      <c r="AJ1818">
        <v>34.899402000000002</v>
      </c>
      <c r="AK1818" t="s">
        <v>1339</v>
      </c>
      <c r="AL1818">
        <v>-76.108968000000004</v>
      </c>
      <c r="AM1818">
        <v>25</v>
      </c>
      <c r="AN1818">
        <v>2925</v>
      </c>
      <c r="AO1818" t="s">
        <v>118</v>
      </c>
      <c r="AP1818">
        <v>-65</v>
      </c>
      <c r="AQ1818">
        <v>-129</v>
      </c>
      <c r="AR1818">
        <v>0</v>
      </c>
      <c r="AZ1818">
        <v>4516</v>
      </c>
      <c r="BA1818">
        <v>1</v>
      </c>
      <c r="BB1818" t="str">
        <f t="shared" si="175"/>
        <v xml:space="preserve">N79NX   </v>
      </c>
      <c r="BC1818">
        <v>1</v>
      </c>
      <c r="BE1818">
        <v>0</v>
      </c>
      <c r="BF1818">
        <v>0</v>
      </c>
      <c r="BG1818">
        <v>0</v>
      </c>
      <c r="BH1818">
        <v>2800</v>
      </c>
      <c r="BI1818">
        <v>0</v>
      </c>
      <c r="BJ1818">
        <v>0</v>
      </c>
      <c r="BK1818">
        <v>0</v>
      </c>
      <c r="BL1818">
        <v>0</v>
      </c>
      <c r="BO1818">
        <v>0</v>
      </c>
      <c r="BP1818">
        <v>0</v>
      </c>
      <c r="BW1818" t="str">
        <f>"18:55:37.745"</f>
        <v>18:55:37.745</v>
      </c>
      <c r="BZ1818">
        <v>0</v>
      </c>
      <c r="CA1818">
        <v>3008</v>
      </c>
      <c r="CB1818">
        <v>216</v>
      </c>
      <c r="CC1818">
        <v>586.40629999999999</v>
      </c>
      <c r="CD1818">
        <v>1</v>
      </c>
      <c r="CE1818">
        <v>1</v>
      </c>
      <c r="CF1818">
        <v>0</v>
      </c>
      <c r="CG1818">
        <v>1</v>
      </c>
      <c r="CH1818">
        <v>0</v>
      </c>
      <c r="CI1818">
        <v>0</v>
      </c>
      <c r="CJ1818">
        <v>0</v>
      </c>
      <c r="CK1818">
        <v>2</v>
      </c>
      <c r="CL1818">
        <v>0</v>
      </c>
      <c r="CM1818">
        <v>2</v>
      </c>
      <c r="CN1818">
        <v>0</v>
      </c>
      <c r="CO1818">
        <v>1</v>
      </c>
      <c r="CP1818" t="s">
        <v>119</v>
      </c>
      <c r="CQ1818">
        <v>70</v>
      </c>
      <c r="CR1818">
        <v>1</v>
      </c>
      <c r="CW1818">
        <v>3661873</v>
      </c>
      <c r="CY1818">
        <v>0</v>
      </c>
      <c r="CZ1818">
        <v>0</v>
      </c>
      <c r="DA1818">
        <v>0</v>
      </c>
      <c r="DB1818">
        <v>0</v>
      </c>
      <c r="DC1818">
        <v>0</v>
      </c>
      <c r="DD1818">
        <v>0</v>
      </c>
      <c r="DE1818">
        <v>0</v>
      </c>
      <c r="DF1818">
        <v>0</v>
      </c>
      <c r="DG1818">
        <v>0</v>
      </c>
      <c r="DH1818">
        <v>0</v>
      </c>
      <c r="DI1818">
        <v>0</v>
      </c>
    </row>
    <row r="1819" spans="1:113" x14ac:dyDescent="0.3">
      <c r="A1819" t="str">
        <f>"02/13/2022 18:55:38.081"</f>
        <v>02/13/2022 18:55:38.081</v>
      </c>
      <c r="C1819" t="str">
        <f t="shared" si="174"/>
        <v>FFDFD7C0</v>
      </c>
      <c r="D1819" t="s">
        <v>113</v>
      </c>
      <c r="E1819">
        <v>4</v>
      </c>
      <c r="F1819">
        <v>1004</v>
      </c>
      <c r="G1819" t="s">
        <v>120</v>
      </c>
      <c r="J1819" t="s">
        <v>115</v>
      </c>
      <c r="K1819">
        <v>0</v>
      </c>
      <c r="L1819">
        <v>3</v>
      </c>
      <c r="M1819">
        <v>0</v>
      </c>
      <c r="N1819">
        <v>2</v>
      </c>
      <c r="O1819">
        <v>1</v>
      </c>
      <c r="P1819">
        <v>0</v>
      </c>
      <c r="Q1819">
        <v>0</v>
      </c>
      <c r="S1819" t="str">
        <f>"18:55:37.742"</f>
        <v>18:55:37.742</v>
      </c>
      <c r="T1819" t="str">
        <f>"18:55:37.642"</f>
        <v>18:55:37.642</v>
      </c>
      <c r="U1819" t="str">
        <f t="shared" si="176"/>
        <v>AAB6EE</v>
      </c>
      <c r="V1819">
        <v>0</v>
      </c>
      <c r="W1819">
        <v>0</v>
      </c>
      <c r="X1819">
        <v>4</v>
      </c>
      <c r="Z1819">
        <v>0</v>
      </c>
      <c r="AA1819">
        <v>8</v>
      </c>
      <c r="AB1819">
        <v>3</v>
      </c>
      <c r="AC1819">
        <v>0</v>
      </c>
      <c r="AD1819">
        <v>10</v>
      </c>
      <c r="AE1819">
        <v>0</v>
      </c>
      <c r="AF1819">
        <v>0</v>
      </c>
      <c r="AG1819">
        <v>2</v>
      </c>
      <c r="AH1819">
        <v>1</v>
      </c>
      <c r="AI1819" t="s">
        <v>1338</v>
      </c>
      <c r="AJ1819">
        <v>34.899402000000002</v>
      </c>
      <c r="AK1819" t="s">
        <v>1339</v>
      </c>
      <c r="AL1819">
        <v>-76.108968000000004</v>
      </c>
      <c r="AM1819">
        <v>25</v>
      </c>
      <c r="AN1819">
        <v>2925</v>
      </c>
      <c r="AO1819" t="s">
        <v>118</v>
      </c>
      <c r="AP1819">
        <v>-65</v>
      </c>
      <c r="AQ1819">
        <v>-129</v>
      </c>
      <c r="AR1819">
        <v>0</v>
      </c>
      <c r="AZ1819">
        <v>4516</v>
      </c>
      <c r="BA1819">
        <v>1</v>
      </c>
      <c r="BB1819" t="str">
        <f t="shared" si="175"/>
        <v xml:space="preserve">N79NX   </v>
      </c>
      <c r="BC1819">
        <v>1</v>
      </c>
      <c r="BE1819">
        <v>0</v>
      </c>
      <c r="BF1819">
        <v>0</v>
      </c>
      <c r="BG1819">
        <v>0</v>
      </c>
      <c r="BH1819">
        <v>2800</v>
      </c>
      <c r="BI1819">
        <v>0</v>
      </c>
      <c r="BJ1819">
        <v>0</v>
      </c>
      <c r="BK1819">
        <v>0</v>
      </c>
      <c r="BL1819">
        <v>0</v>
      </c>
      <c r="BO1819">
        <v>0</v>
      </c>
      <c r="BP1819">
        <v>0</v>
      </c>
      <c r="BW1819" t="str">
        <f>"18:55:37.745"</f>
        <v>18:55:37.745</v>
      </c>
      <c r="BZ1819">
        <v>0</v>
      </c>
      <c r="CA1819">
        <v>3008</v>
      </c>
      <c r="CB1819">
        <v>216</v>
      </c>
      <c r="CC1819">
        <v>586.40629999999999</v>
      </c>
      <c r="CD1819">
        <v>1</v>
      </c>
      <c r="CE1819">
        <v>1</v>
      </c>
      <c r="CF1819">
        <v>0</v>
      </c>
      <c r="CG1819">
        <v>1</v>
      </c>
      <c r="CH1819">
        <v>0</v>
      </c>
      <c r="CI1819">
        <v>0</v>
      </c>
      <c r="CJ1819">
        <v>0</v>
      </c>
      <c r="CK1819">
        <v>2</v>
      </c>
      <c r="CL1819">
        <v>0</v>
      </c>
      <c r="CM1819">
        <v>2</v>
      </c>
      <c r="CN1819">
        <v>0</v>
      </c>
      <c r="CO1819">
        <v>1</v>
      </c>
      <c r="CP1819" t="s">
        <v>119</v>
      </c>
      <c r="CQ1819">
        <v>70</v>
      </c>
      <c r="CR1819">
        <v>1</v>
      </c>
      <c r="CW1819">
        <v>3661873</v>
      </c>
      <c r="CY1819">
        <v>0</v>
      </c>
      <c r="CZ1819">
        <v>0</v>
      </c>
      <c r="DA1819">
        <v>1</v>
      </c>
      <c r="DB1819">
        <v>0</v>
      </c>
      <c r="DC1819">
        <v>0</v>
      </c>
      <c r="DD1819">
        <v>0</v>
      </c>
      <c r="DE1819">
        <v>0</v>
      </c>
      <c r="DF1819">
        <v>0</v>
      </c>
      <c r="DG1819">
        <v>0</v>
      </c>
      <c r="DH1819">
        <v>0</v>
      </c>
      <c r="DI1819">
        <v>0</v>
      </c>
    </row>
    <row r="1820" spans="1:113" x14ac:dyDescent="0.3">
      <c r="A1820" t="str">
        <f>"02/13/2022 18:55:38.081"</f>
        <v>02/13/2022 18:55:38.081</v>
      </c>
      <c r="C1820" t="str">
        <f t="shared" si="174"/>
        <v>FFDFD7C0</v>
      </c>
      <c r="D1820" t="s">
        <v>121</v>
      </c>
      <c r="E1820">
        <v>2</v>
      </c>
      <c r="H1820">
        <v>158</v>
      </c>
      <c r="I1820" t="s">
        <v>120</v>
      </c>
      <c r="J1820" t="s">
        <v>122</v>
      </c>
      <c r="K1820">
        <v>0</v>
      </c>
      <c r="L1820">
        <v>3</v>
      </c>
      <c r="M1820">
        <v>0</v>
      </c>
      <c r="N1820">
        <v>2</v>
      </c>
      <c r="O1820">
        <v>1</v>
      </c>
      <c r="P1820">
        <v>0</v>
      </c>
      <c r="Q1820">
        <v>0</v>
      </c>
      <c r="S1820" t="str">
        <f>"18:55:37.742"</f>
        <v>18:55:37.742</v>
      </c>
      <c r="T1820" t="str">
        <f>"18:55:37.642"</f>
        <v>18:55:37.642</v>
      </c>
      <c r="U1820" t="str">
        <f t="shared" si="176"/>
        <v>AAB6EE</v>
      </c>
      <c r="V1820">
        <v>0</v>
      </c>
      <c r="W1820">
        <v>0</v>
      </c>
      <c r="X1820">
        <v>4</v>
      </c>
      <c r="Z1820">
        <v>0</v>
      </c>
      <c r="AA1820">
        <v>8</v>
      </c>
      <c r="AB1820">
        <v>3</v>
      </c>
      <c r="AC1820">
        <v>0</v>
      </c>
      <c r="AD1820">
        <v>10</v>
      </c>
      <c r="AE1820">
        <v>0</v>
      </c>
      <c r="AF1820">
        <v>0</v>
      </c>
      <c r="AG1820">
        <v>2</v>
      </c>
      <c r="AH1820">
        <v>1</v>
      </c>
      <c r="AI1820" t="s">
        <v>1338</v>
      </c>
      <c r="AJ1820">
        <v>34.899402000000002</v>
      </c>
      <c r="AK1820" t="s">
        <v>1339</v>
      </c>
      <c r="AL1820">
        <v>-76.108968000000004</v>
      </c>
      <c r="AM1820">
        <v>25</v>
      </c>
      <c r="AN1820">
        <v>2925</v>
      </c>
      <c r="AO1820" t="s">
        <v>118</v>
      </c>
      <c r="AP1820">
        <v>-65</v>
      </c>
      <c r="AQ1820">
        <v>-129</v>
      </c>
      <c r="AR1820">
        <v>0</v>
      </c>
      <c r="AZ1820">
        <v>4516</v>
      </c>
      <c r="BA1820">
        <v>1</v>
      </c>
      <c r="BB1820" t="str">
        <f t="shared" si="175"/>
        <v xml:space="preserve">N79NX   </v>
      </c>
      <c r="BC1820">
        <v>1</v>
      </c>
      <c r="BE1820">
        <v>0</v>
      </c>
      <c r="BF1820">
        <v>0</v>
      </c>
      <c r="BG1820">
        <v>0</v>
      </c>
      <c r="BH1820">
        <v>2800</v>
      </c>
      <c r="BI1820">
        <v>0</v>
      </c>
      <c r="BJ1820">
        <v>0</v>
      </c>
      <c r="BK1820">
        <v>0</v>
      </c>
      <c r="BL1820">
        <v>0</v>
      </c>
      <c r="BO1820">
        <v>0</v>
      </c>
      <c r="BP1820">
        <v>0</v>
      </c>
      <c r="BW1820" t="str">
        <f>"18:55:37.745"</f>
        <v>18:55:37.745</v>
      </c>
      <c r="BZ1820">
        <v>0</v>
      </c>
      <c r="CA1820">
        <v>3008</v>
      </c>
      <c r="CB1820">
        <v>216</v>
      </c>
      <c r="CC1820">
        <v>586.40629999999999</v>
      </c>
      <c r="CD1820">
        <v>1</v>
      </c>
      <c r="CE1820">
        <v>1</v>
      </c>
      <c r="CF1820">
        <v>0</v>
      </c>
      <c r="CG1820">
        <v>1</v>
      </c>
      <c r="CH1820">
        <v>0</v>
      </c>
      <c r="CI1820">
        <v>0</v>
      </c>
      <c r="CJ1820">
        <v>0</v>
      </c>
      <c r="CK1820">
        <v>2</v>
      </c>
      <c r="CL1820">
        <v>0</v>
      </c>
      <c r="CM1820">
        <v>2</v>
      </c>
      <c r="CN1820">
        <v>0</v>
      </c>
      <c r="CO1820">
        <v>1</v>
      </c>
      <c r="CP1820" t="s">
        <v>119</v>
      </c>
      <c r="CQ1820">
        <v>70</v>
      </c>
      <c r="CR1820">
        <v>1</v>
      </c>
      <c r="CW1820">
        <v>3661873</v>
      </c>
      <c r="CY1820">
        <v>0</v>
      </c>
      <c r="CZ1820">
        <v>0</v>
      </c>
      <c r="DA1820">
        <v>1</v>
      </c>
      <c r="DB1820">
        <v>0</v>
      </c>
      <c r="DC1820">
        <v>0</v>
      </c>
      <c r="DD1820">
        <v>0</v>
      </c>
      <c r="DE1820">
        <v>0</v>
      </c>
      <c r="DF1820">
        <v>0</v>
      </c>
      <c r="DG1820">
        <v>0</v>
      </c>
      <c r="DH1820">
        <v>0</v>
      </c>
      <c r="DI1820">
        <v>0</v>
      </c>
    </row>
    <row r="1821" spans="1:113" x14ac:dyDescent="0.3">
      <c r="A1821" t="str">
        <f>"02/13/2022 18:55:38.863"</f>
        <v>02/13/2022 18:55:38.863</v>
      </c>
      <c r="C1821" t="str">
        <f t="shared" si="174"/>
        <v>FFDFD7C0</v>
      </c>
      <c r="D1821" t="s">
        <v>113</v>
      </c>
      <c r="E1821">
        <v>3</v>
      </c>
      <c r="F1821">
        <v>1003</v>
      </c>
      <c r="G1821" t="s">
        <v>114</v>
      </c>
      <c r="J1821" t="s">
        <v>115</v>
      </c>
      <c r="K1821">
        <v>0</v>
      </c>
      <c r="L1821">
        <v>3</v>
      </c>
      <c r="M1821">
        <v>0</v>
      </c>
      <c r="N1821">
        <v>2</v>
      </c>
      <c r="O1821">
        <v>1</v>
      </c>
      <c r="P1821">
        <v>0</v>
      </c>
      <c r="Q1821">
        <v>0</v>
      </c>
      <c r="S1821" t="str">
        <f>"18:55:38.672"</f>
        <v>18:55:38.672</v>
      </c>
      <c r="T1821" t="str">
        <f>"18:55:38.072"</f>
        <v>18:55:38.072</v>
      </c>
      <c r="U1821" t="str">
        <f t="shared" si="176"/>
        <v>AAB6EE</v>
      </c>
      <c r="V1821">
        <v>0</v>
      </c>
      <c r="W1821">
        <v>0</v>
      </c>
      <c r="X1821">
        <v>4</v>
      </c>
      <c r="Z1821">
        <v>0</v>
      </c>
      <c r="AA1821">
        <v>8</v>
      </c>
      <c r="AB1821">
        <v>3</v>
      </c>
      <c r="AC1821">
        <v>0</v>
      </c>
      <c r="AD1821">
        <v>10</v>
      </c>
      <c r="AE1821">
        <v>0</v>
      </c>
      <c r="AF1821">
        <v>0</v>
      </c>
      <c r="AG1821">
        <v>2</v>
      </c>
      <c r="AH1821">
        <v>1</v>
      </c>
      <c r="AI1821" t="s">
        <v>1340</v>
      </c>
      <c r="AJ1821">
        <v>34.898865000000001</v>
      </c>
      <c r="AK1821" t="s">
        <v>1341</v>
      </c>
      <c r="AL1821">
        <v>-76.109333000000007</v>
      </c>
      <c r="AM1821">
        <v>25</v>
      </c>
      <c r="AN1821">
        <v>2925</v>
      </c>
      <c r="AO1821" t="s">
        <v>118</v>
      </c>
      <c r="AP1821">
        <v>-65</v>
      </c>
      <c r="AQ1821">
        <v>-129</v>
      </c>
      <c r="AR1821">
        <v>0</v>
      </c>
      <c r="AZ1821">
        <v>4516</v>
      </c>
      <c r="BA1821">
        <v>1</v>
      </c>
      <c r="BB1821" t="str">
        <f t="shared" si="175"/>
        <v xml:space="preserve">N79NX   </v>
      </c>
      <c r="BC1821">
        <v>1</v>
      </c>
      <c r="BE1821">
        <v>0</v>
      </c>
      <c r="BF1821">
        <v>0</v>
      </c>
      <c r="BG1821">
        <v>0</v>
      </c>
      <c r="BH1821">
        <v>2800</v>
      </c>
      <c r="BI1821">
        <v>0</v>
      </c>
      <c r="BJ1821">
        <v>0</v>
      </c>
      <c r="BK1821">
        <v>0</v>
      </c>
      <c r="BL1821">
        <v>0</v>
      </c>
      <c r="BO1821">
        <v>0</v>
      </c>
      <c r="BP1821">
        <v>0</v>
      </c>
      <c r="BW1821" t="str">
        <f>"18:55:38.675"</f>
        <v>18:55:38.675</v>
      </c>
      <c r="BZ1821">
        <v>0</v>
      </c>
      <c r="CA1821">
        <v>3008</v>
      </c>
      <c r="CB1821">
        <v>216</v>
      </c>
      <c r="CC1821">
        <v>586.40629999999999</v>
      </c>
      <c r="CD1821">
        <v>1</v>
      </c>
      <c r="CE1821">
        <v>1</v>
      </c>
      <c r="CF1821">
        <v>0</v>
      </c>
      <c r="CG1821">
        <v>1</v>
      </c>
      <c r="CH1821">
        <v>0</v>
      </c>
      <c r="CI1821">
        <v>0</v>
      </c>
      <c r="CJ1821">
        <v>0</v>
      </c>
      <c r="CK1821">
        <v>2</v>
      </c>
      <c r="CL1821">
        <v>0</v>
      </c>
      <c r="CM1821">
        <v>2</v>
      </c>
      <c r="CN1821">
        <v>0</v>
      </c>
      <c r="CO1821">
        <v>1</v>
      </c>
      <c r="CP1821" t="s">
        <v>119</v>
      </c>
      <c r="CQ1821">
        <v>70</v>
      </c>
      <c r="CR1821">
        <v>1</v>
      </c>
      <c r="CW1821">
        <v>3662650</v>
      </c>
      <c r="CY1821">
        <v>0</v>
      </c>
      <c r="CZ1821">
        <v>0</v>
      </c>
      <c r="DA1821">
        <v>0</v>
      </c>
      <c r="DB1821">
        <v>0</v>
      </c>
      <c r="DC1821">
        <v>0</v>
      </c>
      <c r="DD1821">
        <v>0</v>
      </c>
      <c r="DE1821">
        <v>0</v>
      </c>
      <c r="DF1821">
        <v>0</v>
      </c>
      <c r="DG1821">
        <v>0</v>
      </c>
      <c r="DH1821">
        <v>0</v>
      </c>
      <c r="DI1821">
        <v>0</v>
      </c>
    </row>
    <row r="1822" spans="1:113" x14ac:dyDescent="0.3">
      <c r="A1822" t="str">
        <f>"02/13/2022 18:55:38.863"</f>
        <v>02/13/2022 18:55:38.863</v>
      </c>
      <c r="C1822" t="str">
        <f t="shared" si="174"/>
        <v>FFDFD7C0</v>
      </c>
      <c r="D1822" t="s">
        <v>113</v>
      </c>
      <c r="E1822">
        <v>4</v>
      </c>
      <c r="F1822">
        <v>1004</v>
      </c>
      <c r="G1822" t="s">
        <v>120</v>
      </c>
      <c r="J1822" t="s">
        <v>115</v>
      </c>
      <c r="K1822">
        <v>0</v>
      </c>
      <c r="L1822">
        <v>3</v>
      </c>
      <c r="M1822">
        <v>0</v>
      </c>
      <c r="N1822">
        <v>2</v>
      </c>
      <c r="O1822">
        <v>1</v>
      </c>
      <c r="P1822">
        <v>0</v>
      </c>
      <c r="Q1822">
        <v>0</v>
      </c>
      <c r="S1822" t="str">
        <f>"18:55:38.672"</f>
        <v>18:55:38.672</v>
      </c>
      <c r="T1822" t="str">
        <f>"18:55:38.072"</f>
        <v>18:55:38.072</v>
      </c>
      <c r="U1822" t="str">
        <f t="shared" si="176"/>
        <v>AAB6EE</v>
      </c>
      <c r="V1822">
        <v>0</v>
      </c>
      <c r="W1822">
        <v>0</v>
      </c>
      <c r="X1822">
        <v>4</v>
      </c>
      <c r="Z1822">
        <v>0</v>
      </c>
      <c r="AA1822">
        <v>8</v>
      </c>
      <c r="AB1822">
        <v>3</v>
      </c>
      <c r="AC1822">
        <v>0</v>
      </c>
      <c r="AD1822">
        <v>10</v>
      </c>
      <c r="AE1822">
        <v>0</v>
      </c>
      <c r="AF1822">
        <v>0</v>
      </c>
      <c r="AG1822">
        <v>2</v>
      </c>
      <c r="AH1822">
        <v>1</v>
      </c>
      <c r="AI1822" t="s">
        <v>1340</v>
      </c>
      <c r="AJ1822">
        <v>34.898865000000001</v>
      </c>
      <c r="AK1822" t="s">
        <v>1341</v>
      </c>
      <c r="AL1822">
        <v>-76.109333000000007</v>
      </c>
      <c r="AM1822">
        <v>25</v>
      </c>
      <c r="AN1822">
        <v>2925</v>
      </c>
      <c r="AO1822" t="s">
        <v>118</v>
      </c>
      <c r="AP1822">
        <v>-65</v>
      </c>
      <c r="AQ1822">
        <v>-129</v>
      </c>
      <c r="AR1822">
        <v>0</v>
      </c>
      <c r="AZ1822">
        <v>4516</v>
      </c>
      <c r="BA1822">
        <v>1</v>
      </c>
      <c r="BB1822" t="str">
        <f t="shared" si="175"/>
        <v xml:space="preserve">N79NX   </v>
      </c>
      <c r="BC1822">
        <v>1</v>
      </c>
      <c r="BE1822">
        <v>0</v>
      </c>
      <c r="BF1822">
        <v>0</v>
      </c>
      <c r="BG1822">
        <v>0</v>
      </c>
      <c r="BH1822">
        <v>2800</v>
      </c>
      <c r="BI1822">
        <v>0</v>
      </c>
      <c r="BJ1822">
        <v>0</v>
      </c>
      <c r="BK1822">
        <v>0</v>
      </c>
      <c r="BL1822">
        <v>0</v>
      </c>
      <c r="BO1822">
        <v>0</v>
      </c>
      <c r="BP1822">
        <v>0</v>
      </c>
      <c r="BW1822" t="str">
        <f>"18:55:38.675"</f>
        <v>18:55:38.675</v>
      </c>
      <c r="BZ1822">
        <v>0</v>
      </c>
      <c r="CA1822">
        <v>3008</v>
      </c>
      <c r="CB1822">
        <v>216</v>
      </c>
      <c r="CC1822">
        <v>586.40629999999999</v>
      </c>
      <c r="CD1822">
        <v>1</v>
      </c>
      <c r="CE1822">
        <v>1</v>
      </c>
      <c r="CF1822">
        <v>0</v>
      </c>
      <c r="CG1822">
        <v>1</v>
      </c>
      <c r="CH1822">
        <v>0</v>
      </c>
      <c r="CI1822">
        <v>0</v>
      </c>
      <c r="CJ1822">
        <v>0</v>
      </c>
      <c r="CK1822">
        <v>2</v>
      </c>
      <c r="CL1822">
        <v>0</v>
      </c>
      <c r="CM1822">
        <v>2</v>
      </c>
      <c r="CN1822">
        <v>0</v>
      </c>
      <c r="CO1822">
        <v>1</v>
      </c>
      <c r="CP1822" t="s">
        <v>119</v>
      </c>
      <c r="CQ1822">
        <v>70</v>
      </c>
      <c r="CR1822">
        <v>1</v>
      </c>
      <c r="CW1822">
        <v>3662650</v>
      </c>
      <c r="CY1822">
        <v>0</v>
      </c>
      <c r="CZ1822">
        <v>0</v>
      </c>
      <c r="DA1822">
        <v>1</v>
      </c>
      <c r="DB1822">
        <v>0</v>
      </c>
      <c r="DC1822">
        <v>0</v>
      </c>
      <c r="DD1822">
        <v>0</v>
      </c>
      <c r="DE1822">
        <v>0</v>
      </c>
      <c r="DF1822">
        <v>0</v>
      </c>
      <c r="DG1822">
        <v>0</v>
      </c>
      <c r="DH1822">
        <v>0</v>
      </c>
      <c r="DI1822">
        <v>0</v>
      </c>
    </row>
    <row r="1823" spans="1:113" x14ac:dyDescent="0.3">
      <c r="A1823" t="str">
        <f>"02/13/2022 18:55:38.863"</f>
        <v>02/13/2022 18:55:38.863</v>
      </c>
      <c r="C1823" t="str">
        <f t="shared" si="174"/>
        <v>FFDFD7C0</v>
      </c>
      <c r="D1823" t="s">
        <v>121</v>
      </c>
      <c r="E1823">
        <v>2</v>
      </c>
      <c r="H1823">
        <v>158</v>
      </c>
      <c r="I1823" t="s">
        <v>120</v>
      </c>
      <c r="J1823" t="s">
        <v>122</v>
      </c>
      <c r="K1823">
        <v>0</v>
      </c>
      <c r="L1823">
        <v>3</v>
      </c>
      <c r="M1823">
        <v>0</v>
      </c>
      <c r="N1823">
        <v>2</v>
      </c>
      <c r="O1823">
        <v>1</v>
      </c>
      <c r="P1823">
        <v>0</v>
      </c>
      <c r="Q1823">
        <v>0</v>
      </c>
      <c r="S1823" t="str">
        <f>"18:55:38.672"</f>
        <v>18:55:38.672</v>
      </c>
      <c r="T1823" t="str">
        <f>"18:55:38.072"</f>
        <v>18:55:38.072</v>
      </c>
      <c r="U1823" t="str">
        <f t="shared" si="176"/>
        <v>AAB6EE</v>
      </c>
      <c r="V1823">
        <v>0</v>
      </c>
      <c r="W1823">
        <v>0</v>
      </c>
      <c r="X1823">
        <v>4</v>
      </c>
      <c r="Z1823">
        <v>0</v>
      </c>
      <c r="AA1823">
        <v>8</v>
      </c>
      <c r="AB1823">
        <v>3</v>
      </c>
      <c r="AC1823">
        <v>0</v>
      </c>
      <c r="AD1823">
        <v>10</v>
      </c>
      <c r="AE1823">
        <v>0</v>
      </c>
      <c r="AF1823">
        <v>0</v>
      </c>
      <c r="AG1823">
        <v>2</v>
      </c>
      <c r="AH1823">
        <v>1</v>
      </c>
      <c r="AI1823" t="s">
        <v>1340</v>
      </c>
      <c r="AJ1823">
        <v>34.898865000000001</v>
      </c>
      <c r="AK1823" t="s">
        <v>1341</v>
      </c>
      <c r="AL1823">
        <v>-76.109333000000007</v>
      </c>
      <c r="AM1823">
        <v>25</v>
      </c>
      <c r="AN1823">
        <v>2925</v>
      </c>
      <c r="AO1823" t="s">
        <v>118</v>
      </c>
      <c r="AP1823">
        <v>-65</v>
      </c>
      <c r="AQ1823">
        <v>-129</v>
      </c>
      <c r="AR1823">
        <v>0</v>
      </c>
      <c r="AZ1823">
        <v>4516</v>
      </c>
      <c r="BA1823">
        <v>1</v>
      </c>
      <c r="BB1823" t="str">
        <f t="shared" si="175"/>
        <v xml:space="preserve">N79NX   </v>
      </c>
      <c r="BC1823">
        <v>1</v>
      </c>
      <c r="BE1823">
        <v>0</v>
      </c>
      <c r="BF1823">
        <v>0</v>
      </c>
      <c r="BG1823">
        <v>0</v>
      </c>
      <c r="BH1823">
        <v>2800</v>
      </c>
      <c r="BI1823">
        <v>0</v>
      </c>
      <c r="BJ1823">
        <v>0</v>
      </c>
      <c r="BK1823">
        <v>0</v>
      </c>
      <c r="BL1823">
        <v>0</v>
      </c>
      <c r="BO1823">
        <v>0</v>
      </c>
      <c r="BP1823">
        <v>0</v>
      </c>
      <c r="BW1823" t="str">
        <f>"18:55:38.675"</f>
        <v>18:55:38.675</v>
      </c>
      <c r="BZ1823">
        <v>0</v>
      </c>
      <c r="CA1823">
        <v>3008</v>
      </c>
      <c r="CB1823">
        <v>216</v>
      </c>
      <c r="CC1823">
        <v>586.40629999999999</v>
      </c>
      <c r="CD1823">
        <v>1</v>
      </c>
      <c r="CE1823">
        <v>1</v>
      </c>
      <c r="CF1823">
        <v>0</v>
      </c>
      <c r="CG1823">
        <v>1</v>
      </c>
      <c r="CH1823">
        <v>0</v>
      </c>
      <c r="CI1823">
        <v>0</v>
      </c>
      <c r="CJ1823">
        <v>0</v>
      </c>
      <c r="CK1823">
        <v>2</v>
      </c>
      <c r="CL1823">
        <v>0</v>
      </c>
      <c r="CM1823">
        <v>2</v>
      </c>
      <c r="CN1823">
        <v>0</v>
      </c>
      <c r="CO1823">
        <v>1</v>
      </c>
      <c r="CP1823" t="s">
        <v>119</v>
      </c>
      <c r="CQ1823">
        <v>70</v>
      </c>
      <c r="CR1823">
        <v>1</v>
      </c>
      <c r="CW1823">
        <v>3662650</v>
      </c>
      <c r="CY1823">
        <v>0</v>
      </c>
      <c r="CZ1823">
        <v>0</v>
      </c>
      <c r="DA1823">
        <v>1</v>
      </c>
      <c r="DB1823">
        <v>0</v>
      </c>
      <c r="DC1823">
        <v>0</v>
      </c>
      <c r="DD1823">
        <v>0</v>
      </c>
      <c r="DE1823">
        <v>0</v>
      </c>
      <c r="DF1823">
        <v>0</v>
      </c>
      <c r="DG1823">
        <v>0</v>
      </c>
      <c r="DH1823">
        <v>0</v>
      </c>
      <c r="DI1823">
        <v>0</v>
      </c>
    </row>
    <row r="1824" spans="1:113" x14ac:dyDescent="0.3">
      <c r="A1824" t="str">
        <f>"02/13/2022 18:55:39.787"</f>
        <v>02/13/2022 18:55:39.787</v>
      </c>
      <c r="C1824" t="str">
        <f t="shared" si="174"/>
        <v>FFDFD7C0</v>
      </c>
      <c r="D1824" t="s">
        <v>113</v>
      </c>
      <c r="E1824">
        <v>4</v>
      </c>
      <c r="F1824">
        <v>1004</v>
      </c>
      <c r="G1824" t="s">
        <v>120</v>
      </c>
      <c r="J1824" t="s">
        <v>115</v>
      </c>
      <c r="K1824">
        <v>0</v>
      </c>
      <c r="L1824">
        <v>3</v>
      </c>
      <c r="M1824">
        <v>0</v>
      </c>
      <c r="N1824">
        <v>2</v>
      </c>
      <c r="O1824">
        <v>1</v>
      </c>
      <c r="P1824">
        <v>0</v>
      </c>
      <c r="Q1824">
        <v>0</v>
      </c>
      <c r="S1824" t="str">
        <f t="shared" ref="S1824:T1826" si="178">"18:55:39.578"</f>
        <v>18:55:39.578</v>
      </c>
      <c r="T1824" t="str">
        <f t="shared" si="178"/>
        <v>18:55:39.578</v>
      </c>
      <c r="U1824" t="str">
        <f t="shared" si="176"/>
        <v>AAB6EE</v>
      </c>
      <c r="V1824">
        <v>0</v>
      </c>
      <c r="W1824">
        <v>0</v>
      </c>
      <c r="X1824">
        <v>4</v>
      </c>
      <c r="Z1824">
        <v>0</v>
      </c>
      <c r="AA1824">
        <v>8</v>
      </c>
      <c r="AB1824">
        <v>3</v>
      </c>
      <c r="AC1824">
        <v>0</v>
      </c>
      <c r="AD1824">
        <v>10</v>
      </c>
      <c r="AE1824">
        <v>0</v>
      </c>
      <c r="AF1824">
        <v>0</v>
      </c>
      <c r="AG1824">
        <v>2</v>
      </c>
      <c r="AH1824">
        <v>1</v>
      </c>
      <c r="AI1824" t="s">
        <v>1342</v>
      </c>
      <c r="AJ1824">
        <v>34.898350000000001</v>
      </c>
      <c r="AK1824" t="s">
        <v>1343</v>
      </c>
      <c r="AL1824">
        <v>-76.109633000000002</v>
      </c>
      <c r="AM1824">
        <v>25</v>
      </c>
      <c r="AN1824">
        <v>2925</v>
      </c>
      <c r="AO1824" t="s">
        <v>118</v>
      </c>
      <c r="AP1824">
        <v>-66</v>
      </c>
      <c r="AQ1824">
        <v>-128</v>
      </c>
      <c r="AR1824">
        <v>0</v>
      </c>
      <c r="AZ1824">
        <v>4516</v>
      </c>
      <c r="BA1824">
        <v>1</v>
      </c>
      <c r="BB1824" t="str">
        <f t="shared" si="175"/>
        <v xml:space="preserve">N79NX   </v>
      </c>
      <c r="BC1824">
        <v>1</v>
      </c>
      <c r="BE1824">
        <v>0</v>
      </c>
      <c r="BF1824">
        <v>0</v>
      </c>
      <c r="BG1824">
        <v>0</v>
      </c>
      <c r="BH1824">
        <v>2800</v>
      </c>
      <c r="BI1824">
        <v>0</v>
      </c>
      <c r="BJ1824">
        <v>0</v>
      </c>
      <c r="BK1824">
        <v>0</v>
      </c>
      <c r="BL1824">
        <v>0</v>
      </c>
      <c r="BO1824">
        <v>0</v>
      </c>
      <c r="BP1824">
        <v>0</v>
      </c>
      <c r="BW1824" t="str">
        <f>"18:55:39.585"</f>
        <v>18:55:39.585</v>
      </c>
      <c r="BZ1824">
        <v>0</v>
      </c>
      <c r="CA1824">
        <v>3008</v>
      </c>
      <c r="CB1824">
        <v>216</v>
      </c>
      <c r="CC1824">
        <v>586.40629999999999</v>
      </c>
      <c r="CD1824">
        <v>1</v>
      </c>
      <c r="CE1824">
        <v>1</v>
      </c>
      <c r="CF1824">
        <v>0</v>
      </c>
      <c r="CG1824">
        <v>1</v>
      </c>
      <c r="CH1824">
        <v>0</v>
      </c>
      <c r="CI1824">
        <v>0</v>
      </c>
      <c r="CJ1824">
        <v>0</v>
      </c>
      <c r="CK1824">
        <v>2</v>
      </c>
      <c r="CL1824">
        <v>0</v>
      </c>
      <c r="CM1824">
        <v>2</v>
      </c>
      <c r="CN1824">
        <v>0</v>
      </c>
      <c r="CO1824">
        <v>1</v>
      </c>
      <c r="CP1824" t="s">
        <v>119</v>
      </c>
      <c r="CQ1824">
        <v>70</v>
      </c>
      <c r="CR1824">
        <v>1</v>
      </c>
      <c r="CW1824">
        <v>3663443</v>
      </c>
      <c r="CY1824">
        <v>0</v>
      </c>
      <c r="CZ1824">
        <v>0</v>
      </c>
      <c r="DA1824">
        <v>0</v>
      </c>
      <c r="DB1824">
        <v>0</v>
      </c>
      <c r="DC1824">
        <v>0</v>
      </c>
      <c r="DD1824">
        <v>0</v>
      </c>
      <c r="DE1824">
        <v>0</v>
      </c>
      <c r="DF1824">
        <v>0</v>
      </c>
      <c r="DG1824">
        <v>0</v>
      </c>
      <c r="DH1824">
        <v>0</v>
      </c>
      <c r="DI1824">
        <v>0</v>
      </c>
    </row>
    <row r="1825" spans="1:113" x14ac:dyDescent="0.3">
      <c r="A1825" t="str">
        <f>"02/13/2022 18:55:39.787"</f>
        <v>02/13/2022 18:55:39.787</v>
      </c>
      <c r="C1825" t="str">
        <f t="shared" si="174"/>
        <v>FFDFD7C0</v>
      </c>
      <c r="D1825" t="s">
        <v>121</v>
      </c>
      <c r="E1825">
        <v>2</v>
      </c>
      <c r="H1825">
        <v>158</v>
      </c>
      <c r="I1825" t="s">
        <v>120</v>
      </c>
      <c r="J1825" t="s">
        <v>122</v>
      </c>
      <c r="K1825">
        <v>0</v>
      </c>
      <c r="L1825">
        <v>3</v>
      </c>
      <c r="M1825">
        <v>0</v>
      </c>
      <c r="N1825">
        <v>2</v>
      </c>
      <c r="O1825">
        <v>1</v>
      </c>
      <c r="P1825">
        <v>0</v>
      </c>
      <c r="Q1825">
        <v>0</v>
      </c>
      <c r="S1825" t="str">
        <f t="shared" si="178"/>
        <v>18:55:39.578</v>
      </c>
      <c r="T1825" t="str">
        <f t="shared" si="178"/>
        <v>18:55:39.578</v>
      </c>
      <c r="U1825" t="str">
        <f t="shared" si="176"/>
        <v>AAB6EE</v>
      </c>
      <c r="V1825">
        <v>0</v>
      </c>
      <c r="W1825">
        <v>0</v>
      </c>
      <c r="X1825">
        <v>4</v>
      </c>
      <c r="Z1825">
        <v>0</v>
      </c>
      <c r="AA1825">
        <v>8</v>
      </c>
      <c r="AB1825">
        <v>3</v>
      </c>
      <c r="AC1825">
        <v>0</v>
      </c>
      <c r="AD1825">
        <v>10</v>
      </c>
      <c r="AE1825">
        <v>0</v>
      </c>
      <c r="AF1825">
        <v>0</v>
      </c>
      <c r="AG1825">
        <v>2</v>
      </c>
      <c r="AH1825">
        <v>1</v>
      </c>
      <c r="AI1825" t="s">
        <v>1342</v>
      </c>
      <c r="AJ1825">
        <v>34.898350000000001</v>
      </c>
      <c r="AK1825" t="s">
        <v>1343</v>
      </c>
      <c r="AL1825">
        <v>-76.109633000000002</v>
      </c>
      <c r="AM1825">
        <v>25</v>
      </c>
      <c r="AN1825">
        <v>2925</v>
      </c>
      <c r="AO1825" t="s">
        <v>118</v>
      </c>
      <c r="AP1825">
        <v>-66</v>
      </c>
      <c r="AQ1825">
        <v>-128</v>
      </c>
      <c r="AR1825">
        <v>0</v>
      </c>
      <c r="AZ1825">
        <v>4516</v>
      </c>
      <c r="BA1825">
        <v>1</v>
      </c>
      <c r="BB1825" t="str">
        <f t="shared" si="175"/>
        <v xml:space="preserve">N79NX   </v>
      </c>
      <c r="BC1825">
        <v>1</v>
      </c>
      <c r="BE1825">
        <v>0</v>
      </c>
      <c r="BF1825">
        <v>0</v>
      </c>
      <c r="BG1825">
        <v>0</v>
      </c>
      <c r="BH1825">
        <v>2800</v>
      </c>
      <c r="BI1825">
        <v>0</v>
      </c>
      <c r="BJ1825">
        <v>0</v>
      </c>
      <c r="BK1825">
        <v>0</v>
      </c>
      <c r="BL1825">
        <v>0</v>
      </c>
      <c r="BO1825">
        <v>0</v>
      </c>
      <c r="BP1825">
        <v>0</v>
      </c>
      <c r="BW1825" t="str">
        <f>"18:55:39.585"</f>
        <v>18:55:39.585</v>
      </c>
      <c r="BZ1825">
        <v>0</v>
      </c>
      <c r="CA1825">
        <v>3008</v>
      </c>
      <c r="CB1825">
        <v>216</v>
      </c>
      <c r="CC1825">
        <v>586.40629999999999</v>
      </c>
      <c r="CD1825">
        <v>1</v>
      </c>
      <c r="CE1825">
        <v>1</v>
      </c>
      <c r="CF1825">
        <v>0</v>
      </c>
      <c r="CG1825">
        <v>1</v>
      </c>
      <c r="CH1825">
        <v>0</v>
      </c>
      <c r="CI1825">
        <v>0</v>
      </c>
      <c r="CJ1825">
        <v>0</v>
      </c>
      <c r="CK1825">
        <v>2</v>
      </c>
      <c r="CL1825">
        <v>0</v>
      </c>
      <c r="CM1825">
        <v>2</v>
      </c>
      <c r="CN1825">
        <v>0</v>
      </c>
      <c r="CO1825">
        <v>1</v>
      </c>
      <c r="CP1825" t="s">
        <v>119</v>
      </c>
      <c r="CQ1825">
        <v>70</v>
      </c>
      <c r="CR1825">
        <v>1</v>
      </c>
      <c r="CW1825">
        <v>3663443</v>
      </c>
      <c r="CY1825">
        <v>0</v>
      </c>
      <c r="CZ1825">
        <v>0</v>
      </c>
      <c r="DA1825">
        <v>1</v>
      </c>
      <c r="DB1825">
        <v>0</v>
      </c>
      <c r="DC1825">
        <v>0</v>
      </c>
      <c r="DD1825">
        <v>0</v>
      </c>
      <c r="DE1825">
        <v>0</v>
      </c>
      <c r="DF1825">
        <v>0</v>
      </c>
      <c r="DG1825">
        <v>0</v>
      </c>
      <c r="DH1825">
        <v>0</v>
      </c>
      <c r="DI1825">
        <v>0</v>
      </c>
    </row>
    <row r="1826" spans="1:113" x14ac:dyDescent="0.3">
      <c r="A1826" t="str">
        <f>"02/13/2022 18:55:39.803"</f>
        <v>02/13/2022 18:55:39.803</v>
      </c>
      <c r="C1826" t="str">
        <f t="shared" si="174"/>
        <v>FFDFD7C0</v>
      </c>
      <c r="D1826" t="s">
        <v>113</v>
      </c>
      <c r="E1826">
        <v>3</v>
      </c>
      <c r="F1826">
        <v>1003</v>
      </c>
      <c r="G1826" t="s">
        <v>114</v>
      </c>
      <c r="J1826" t="s">
        <v>115</v>
      </c>
      <c r="K1826">
        <v>0</v>
      </c>
      <c r="L1826">
        <v>3</v>
      </c>
      <c r="M1826">
        <v>0</v>
      </c>
      <c r="N1826">
        <v>2</v>
      </c>
      <c r="O1826">
        <v>1</v>
      </c>
      <c r="P1826">
        <v>0</v>
      </c>
      <c r="Q1826">
        <v>0</v>
      </c>
      <c r="S1826" t="str">
        <f t="shared" si="178"/>
        <v>18:55:39.578</v>
      </c>
      <c r="T1826" t="str">
        <f t="shared" si="178"/>
        <v>18:55:39.578</v>
      </c>
      <c r="U1826" t="str">
        <f t="shared" si="176"/>
        <v>AAB6EE</v>
      </c>
      <c r="V1826">
        <v>0</v>
      </c>
      <c r="W1826">
        <v>0</v>
      </c>
      <c r="X1826">
        <v>4</v>
      </c>
      <c r="Z1826">
        <v>0</v>
      </c>
      <c r="AA1826">
        <v>8</v>
      </c>
      <c r="AB1826">
        <v>3</v>
      </c>
      <c r="AC1826">
        <v>0</v>
      </c>
      <c r="AD1826">
        <v>10</v>
      </c>
      <c r="AE1826">
        <v>0</v>
      </c>
      <c r="AF1826">
        <v>0</v>
      </c>
      <c r="AG1826">
        <v>2</v>
      </c>
      <c r="AH1826">
        <v>1</v>
      </c>
      <c r="AI1826" t="s">
        <v>1342</v>
      </c>
      <c r="AJ1826">
        <v>34.898350000000001</v>
      </c>
      <c r="AK1826" t="s">
        <v>1343</v>
      </c>
      <c r="AL1826">
        <v>-76.109633000000002</v>
      </c>
      <c r="AM1826">
        <v>25</v>
      </c>
      <c r="AN1826">
        <v>2925</v>
      </c>
      <c r="AO1826" t="s">
        <v>118</v>
      </c>
      <c r="AP1826">
        <v>-66</v>
      </c>
      <c r="AQ1826">
        <v>-128</v>
      </c>
      <c r="AR1826">
        <v>0</v>
      </c>
      <c r="AZ1826">
        <v>4516</v>
      </c>
      <c r="BA1826">
        <v>1</v>
      </c>
      <c r="BB1826" t="str">
        <f t="shared" si="175"/>
        <v xml:space="preserve">N79NX   </v>
      </c>
      <c r="BC1826">
        <v>1</v>
      </c>
      <c r="BE1826">
        <v>0</v>
      </c>
      <c r="BF1826">
        <v>0</v>
      </c>
      <c r="BG1826">
        <v>0</v>
      </c>
      <c r="BH1826">
        <v>2800</v>
      </c>
      <c r="BI1826">
        <v>0</v>
      </c>
      <c r="BJ1826">
        <v>0</v>
      </c>
      <c r="BK1826">
        <v>0</v>
      </c>
      <c r="BL1826">
        <v>0</v>
      </c>
      <c r="BO1826">
        <v>0</v>
      </c>
      <c r="BP1826">
        <v>0</v>
      </c>
      <c r="BW1826" t="str">
        <f>"18:55:39.585"</f>
        <v>18:55:39.585</v>
      </c>
      <c r="BZ1826">
        <v>0</v>
      </c>
      <c r="CA1826">
        <v>3008</v>
      </c>
      <c r="CB1826">
        <v>216</v>
      </c>
      <c r="CC1826">
        <v>586.40629999999999</v>
      </c>
      <c r="CD1826">
        <v>1</v>
      </c>
      <c r="CE1826">
        <v>1</v>
      </c>
      <c r="CF1826">
        <v>0</v>
      </c>
      <c r="CG1826">
        <v>1</v>
      </c>
      <c r="CH1826">
        <v>0</v>
      </c>
      <c r="CI1826">
        <v>0</v>
      </c>
      <c r="CJ1826">
        <v>0</v>
      </c>
      <c r="CK1826">
        <v>2</v>
      </c>
      <c r="CL1826">
        <v>0</v>
      </c>
      <c r="CM1826">
        <v>2</v>
      </c>
      <c r="CN1826">
        <v>0</v>
      </c>
      <c r="CO1826">
        <v>1</v>
      </c>
      <c r="CP1826" t="s">
        <v>119</v>
      </c>
      <c r="CQ1826">
        <v>70</v>
      </c>
      <c r="CR1826">
        <v>1</v>
      </c>
      <c r="CW1826">
        <v>3663443</v>
      </c>
      <c r="CY1826">
        <v>0</v>
      </c>
      <c r="CZ1826">
        <v>0</v>
      </c>
      <c r="DA1826">
        <v>1</v>
      </c>
      <c r="DB1826">
        <v>0</v>
      </c>
      <c r="DC1826">
        <v>0</v>
      </c>
      <c r="DD1826">
        <v>0</v>
      </c>
      <c r="DE1826">
        <v>0</v>
      </c>
      <c r="DF1826">
        <v>0</v>
      </c>
      <c r="DG1826">
        <v>0</v>
      </c>
      <c r="DH1826">
        <v>0</v>
      </c>
      <c r="DI1826">
        <v>0</v>
      </c>
    </row>
    <row r="1827" spans="1:113" x14ac:dyDescent="0.3">
      <c r="A1827" t="str">
        <f>"02/13/2022 18:55:40.959"</f>
        <v>02/13/2022 18:55:40.959</v>
      </c>
      <c r="C1827" t="str">
        <f t="shared" si="174"/>
        <v>FFDFD7C0</v>
      </c>
      <c r="D1827" t="s">
        <v>113</v>
      </c>
      <c r="E1827">
        <v>3</v>
      </c>
      <c r="F1827">
        <v>1003</v>
      </c>
      <c r="G1827" t="s">
        <v>114</v>
      </c>
      <c r="J1827" t="s">
        <v>115</v>
      </c>
      <c r="K1827">
        <v>0</v>
      </c>
      <c r="L1827">
        <v>3</v>
      </c>
      <c r="M1827">
        <v>0</v>
      </c>
      <c r="N1827">
        <v>2</v>
      </c>
      <c r="O1827">
        <v>1</v>
      </c>
      <c r="P1827">
        <v>0</v>
      </c>
      <c r="Q1827">
        <v>0</v>
      </c>
      <c r="S1827" t="str">
        <f>"18:55:40.742"</f>
        <v>18:55:40.742</v>
      </c>
      <c r="T1827" t="str">
        <f>"18:55:40.542"</f>
        <v>18:55:40.542</v>
      </c>
      <c r="U1827" t="str">
        <f t="shared" si="176"/>
        <v>AAB6EE</v>
      </c>
      <c r="V1827">
        <v>0</v>
      </c>
      <c r="W1827">
        <v>0</v>
      </c>
      <c r="X1827">
        <v>4</v>
      </c>
      <c r="Z1827">
        <v>0</v>
      </c>
      <c r="AA1827">
        <v>8</v>
      </c>
      <c r="AB1827">
        <v>3</v>
      </c>
      <c r="AC1827">
        <v>0</v>
      </c>
      <c r="AD1827">
        <v>10</v>
      </c>
      <c r="AE1827">
        <v>0</v>
      </c>
      <c r="AF1827">
        <v>0</v>
      </c>
      <c r="AG1827">
        <v>2</v>
      </c>
      <c r="AH1827">
        <v>1</v>
      </c>
      <c r="AI1827" t="s">
        <v>1344</v>
      </c>
      <c r="AJ1827">
        <v>34.897621000000001</v>
      </c>
      <c r="AK1827" t="s">
        <v>1345</v>
      </c>
      <c r="AL1827">
        <v>-76.110084000000001</v>
      </c>
      <c r="AM1827">
        <v>25</v>
      </c>
      <c r="AN1827">
        <v>2925</v>
      </c>
      <c r="AO1827" t="s">
        <v>118</v>
      </c>
      <c r="AP1827">
        <v>-66</v>
      </c>
      <c r="AQ1827">
        <v>-128</v>
      </c>
      <c r="AR1827">
        <v>0</v>
      </c>
      <c r="AZ1827">
        <v>4516</v>
      </c>
      <c r="BA1827">
        <v>1</v>
      </c>
      <c r="BB1827" t="str">
        <f t="shared" si="175"/>
        <v xml:space="preserve">N79NX   </v>
      </c>
      <c r="BC1827">
        <v>1</v>
      </c>
      <c r="BE1827">
        <v>0</v>
      </c>
      <c r="BF1827">
        <v>0</v>
      </c>
      <c r="BG1827">
        <v>0</v>
      </c>
      <c r="BH1827">
        <v>2800</v>
      </c>
      <c r="BI1827">
        <v>0</v>
      </c>
      <c r="BJ1827">
        <v>0</v>
      </c>
      <c r="BK1827">
        <v>0</v>
      </c>
      <c r="BL1827">
        <v>0</v>
      </c>
      <c r="BO1827">
        <v>0</v>
      </c>
      <c r="BP1827">
        <v>0</v>
      </c>
      <c r="BW1827" t="str">
        <f>"18:55:40.745"</f>
        <v>18:55:40.745</v>
      </c>
      <c r="BZ1827">
        <v>0</v>
      </c>
      <c r="CA1827">
        <v>3008</v>
      </c>
      <c r="CB1827">
        <v>216</v>
      </c>
      <c r="CC1827">
        <v>586.40629999999999</v>
      </c>
      <c r="CD1827">
        <v>1</v>
      </c>
      <c r="CE1827">
        <v>1</v>
      </c>
      <c r="CF1827">
        <v>0</v>
      </c>
      <c r="CG1827">
        <v>1</v>
      </c>
      <c r="CH1827">
        <v>0</v>
      </c>
      <c r="CI1827">
        <v>0</v>
      </c>
      <c r="CJ1827">
        <v>0</v>
      </c>
      <c r="CK1827">
        <v>2</v>
      </c>
      <c r="CL1827">
        <v>0</v>
      </c>
      <c r="CM1827">
        <v>2</v>
      </c>
      <c r="CN1827">
        <v>0</v>
      </c>
      <c r="CO1827">
        <v>1</v>
      </c>
      <c r="CP1827" t="s">
        <v>119</v>
      </c>
      <c r="CQ1827">
        <v>70</v>
      </c>
      <c r="CR1827">
        <v>1</v>
      </c>
      <c r="CW1827">
        <v>3664257</v>
      </c>
      <c r="CY1827">
        <v>0</v>
      </c>
      <c r="CZ1827">
        <v>0</v>
      </c>
      <c r="DA1827">
        <v>0</v>
      </c>
      <c r="DB1827">
        <v>0</v>
      </c>
      <c r="DC1827">
        <v>0</v>
      </c>
      <c r="DD1827">
        <v>0</v>
      </c>
      <c r="DE1827">
        <v>0</v>
      </c>
      <c r="DF1827">
        <v>0</v>
      </c>
      <c r="DG1827">
        <v>0</v>
      </c>
      <c r="DH1827">
        <v>0</v>
      </c>
      <c r="DI1827">
        <v>0</v>
      </c>
    </row>
    <row r="1828" spans="1:113" x14ac:dyDescent="0.3">
      <c r="A1828" t="str">
        <f>"02/13/2022 18:55:40.959"</f>
        <v>02/13/2022 18:55:40.959</v>
      </c>
      <c r="C1828" t="str">
        <f t="shared" si="174"/>
        <v>FFDFD7C0</v>
      </c>
      <c r="D1828" t="s">
        <v>113</v>
      </c>
      <c r="E1828">
        <v>4</v>
      </c>
      <c r="F1828">
        <v>1004</v>
      </c>
      <c r="G1828" t="s">
        <v>120</v>
      </c>
      <c r="J1828" t="s">
        <v>115</v>
      </c>
      <c r="K1828">
        <v>0</v>
      </c>
      <c r="L1828">
        <v>3</v>
      </c>
      <c r="M1828">
        <v>0</v>
      </c>
      <c r="N1828">
        <v>2</v>
      </c>
      <c r="O1828">
        <v>1</v>
      </c>
      <c r="P1828">
        <v>0</v>
      </c>
      <c r="Q1828">
        <v>0</v>
      </c>
      <c r="S1828" t="str">
        <f>"18:55:40.742"</f>
        <v>18:55:40.742</v>
      </c>
      <c r="T1828" t="str">
        <f>"18:55:40.542"</f>
        <v>18:55:40.542</v>
      </c>
      <c r="U1828" t="str">
        <f t="shared" si="176"/>
        <v>AAB6EE</v>
      </c>
      <c r="V1828">
        <v>0</v>
      </c>
      <c r="W1828">
        <v>0</v>
      </c>
      <c r="X1828">
        <v>4</v>
      </c>
      <c r="Z1828">
        <v>0</v>
      </c>
      <c r="AA1828">
        <v>8</v>
      </c>
      <c r="AB1828">
        <v>3</v>
      </c>
      <c r="AC1828">
        <v>0</v>
      </c>
      <c r="AD1828">
        <v>10</v>
      </c>
      <c r="AE1828">
        <v>0</v>
      </c>
      <c r="AF1828">
        <v>0</v>
      </c>
      <c r="AG1828">
        <v>2</v>
      </c>
      <c r="AH1828">
        <v>1</v>
      </c>
      <c r="AI1828" t="s">
        <v>1344</v>
      </c>
      <c r="AJ1828">
        <v>34.897621000000001</v>
      </c>
      <c r="AK1828" t="s">
        <v>1345</v>
      </c>
      <c r="AL1828">
        <v>-76.110084000000001</v>
      </c>
      <c r="AM1828">
        <v>25</v>
      </c>
      <c r="AN1828">
        <v>2925</v>
      </c>
      <c r="AO1828" t="s">
        <v>118</v>
      </c>
      <c r="AP1828">
        <v>-66</v>
      </c>
      <c r="AQ1828">
        <v>-128</v>
      </c>
      <c r="AR1828">
        <v>0</v>
      </c>
      <c r="AZ1828">
        <v>4516</v>
      </c>
      <c r="BA1828">
        <v>1</v>
      </c>
      <c r="BB1828" t="str">
        <f t="shared" si="175"/>
        <v xml:space="preserve">N79NX   </v>
      </c>
      <c r="BC1828">
        <v>1</v>
      </c>
      <c r="BE1828">
        <v>0</v>
      </c>
      <c r="BF1828">
        <v>0</v>
      </c>
      <c r="BG1828">
        <v>0</v>
      </c>
      <c r="BH1828">
        <v>2800</v>
      </c>
      <c r="BI1828">
        <v>0</v>
      </c>
      <c r="BJ1828">
        <v>0</v>
      </c>
      <c r="BK1828">
        <v>0</v>
      </c>
      <c r="BL1828">
        <v>0</v>
      </c>
      <c r="BO1828">
        <v>0</v>
      </c>
      <c r="BP1828">
        <v>0</v>
      </c>
      <c r="BW1828" t="str">
        <f>"18:55:40.745"</f>
        <v>18:55:40.745</v>
      </c>
      <c r="BZ1828">
        <v>0</v>
      </c>
      <c r="CA1828">
        <v>3008</v>
      </c>
      <c r="CB1828">
        <v>216</v>
      </c>
      <c r="CC1828">
        <v>586.40629999999999</v>
      </c>
      <c r="CD1828">
        <v>1</v>
      </c>
      <c r="CE1828">
        <v>1</v>
      </c>
      <c r="CF1828">
        <v>0</v>
      </c>
      <c r="CG1828">
        <v>1</v>
      </c>
      <c r="CH1828">
        <v>0</v>
      </c>
      <c r="CI1828">
        <v>0</v>
      </c>
      <c r="CJ1828">
        <v>0</v>
      </c>
      <c r="CK1828">
        <v>2</v>
      </c>
      <c r="CL1828">
        <v>0</v>
      </c>
      <c r="CM1828">
        <v>2</v>
      </c>
      <c r="CN1828">
        <v>0</v>
      </c>
      <c r="CO1828">
        <v>1</v>
      </c>
      <c r="CP1828" t="s">
        <v>119</v>
      </c>
      <c r="CQ1828">
        <v>70</v>
      </c>
      <c r="CR1828">
        <v>1</v>
      </c>
      <c r="CW1828">
        <v>3664257</v>
      </c>
      <c r="CY1828">
        <v>0</v>
      </c>
      <c r="CZ1828">
        <v>0</v>
      </c>
      <c r="DA1828">
        <v>1</v>
      </c>
      <c r="DB1828">
        <v>0</v>
      </c>
      <c r="DC1828">
        <v>0</v>
      </c>
      <c r="DD1828">
        <v>0</v>
      </c>
      <c r="DE1828">
        <v>0</v>
      </c>
      <c r="DF1828">
        <v>0</v>
      </c>
      <c r="DG1828">
        <v>0</v>
      </c>
      <c r="DH1828">
        <v>0</v>
      </c>
      <c r="DI1828">
        <v>0</v>
      </c>
    </row>
    <row r="1829" spans="1:113" x14ac:dyDescent="0.3">
      <c r="A1829" t="str">
        <f>"02/13/2022 18:55:40.975"</f>
        <v>02/13/2022 18:55:40.975</v>
      </c>
      <c r="C1829" t="str">
        <f t="shared" si="174"/>
        <v>FFDFD7C0</v>
      </c>
      <c r="D1829" t="s">
        <v>121</v>
      </c>
      <c r="E1829">
        <v>2</v>
      </c>
      <c r="H1829">
        <v>158</v>
      </c>
      <c r="I1829" t="s">
        <v>120</v>
      </c>
      <c r="J1829" t="s">
        <v>122</v>
      </c>
      <c r="K1829">
        <v>0</v>
      </c>
      <c r="L1829">
        <v>3</v>
      </c>
      <c r="M1829">
        <v>0</v>
      </c>
      <c r="N1829">
        <v>2</v>
      </c>
      <c r="O1829">
        <v>1</v>
      </c>
      <c r="P1829">
        <v>0</v>
      </c>
      <c r="Q1829">
        <v>0</v>
      </c>
      <c r="S1829" t="str">
        <f>"18:55:40.742"</f>
        <v>18:55:40.742</v>
      </c>
      <c r="T1829" t="str">
        <f>"18:55:40.542"</f>
        <v>18:55:40.542</v>
      </c>
      <c r="U1829" t="str">
        <f t="shared" si="176"/>
        <v>AAB6EE</v>
      </c>
      <c r="V1829">
        <v>0</v>
      </c>
      <c r="W1829">
        <v>0</v>
      </c>
      <c r="X1829">
        <v>4</v>
      </c>
      <c r="Z1829">
        <v>0</v>
      </c>
      <c r="AA1829">
        <v>8</v>
      </c>
      <c r="AB1829">
        <v>3</v>
      </c>
      <c r="AC1829">
        <v>0</v>
      </c>
      <c r="AD1829">
        <v>10</v>
      </c>
      <c r="AE1829">
        <v>0</v>
      </c>
      <c r="AF1829">
        <v>0</v>
      </c>
      <c r="AG1829">
        <v>2</v>
      </c>
      <c r="AH1829">
        <v>1</v>
      </c>
      <c r="AI1829" t="s">
        <v>1344</v>
      </c>
      <c r="AJ1829">
        <v>34.897621000000001</v>
      </c>
      <c r="AK1829" t="s">
        <v>1345</v>
      </c>
      <c r="AL1829">
        <v>-76.110084000000001</v>
      </c>
      <c r="AM1829">
        <v>25</v>
      </c>
      <c r="AN1829">
        <v>2925</v>
      </c>
      <c r="AO1829" t="s">
        <v>118</v>
      </c>
      <c r="AP1829">
        <v>-66</v>
      </c>
      <c r="AQ1829">
        <v>-128</v>
      </c>
      <c r="AR1829">
        <v>0</v>
      </c>
      <c r="AZ1829">
        <v>4516</v>
      </c>
      <c r="BA1829">
        <v>1</v>
      </c>
      <c r="BB1829" t="str">
        <f t="shared" si="175"/>
        <v xml:space="preserve">N79NX   </v>
      </c>
      <c r="BC1829">
        <v>1</v>
      </c>
      <c r="BE1829">
        <v>0</v>
      </c>
      <c r="BF1829">
        <v>0</v>
      </c>
      <c r="BG1829">
        <v>0</v>
      </c>
      <c r="BH1829">
        <v>2800</v>
      </c>
      <c r="BI1829">
        <v>0</v>
      </c>
      <c r="BJ1829">
        <v>0</v>
      </c>
      <c r="BK1829">
        <v>0</v>
      </c>
      <c r="BL1829">
        <v>0</v>
      </c>
      <c r="BO1829">
        <v>0</v>
      </c>
      <c r="BP1829">
        <v>0</v>
      </c>
      <c r="BW1829" t="str">
        <f>"18:55:40.745"</f>
        <v>18:55:40.745</v>
      </c>
      <c r="BZ1829">
        <v>0</v>
      </c>
      <c r="CA1829">
        <v>3008</v>
      </c>
      <c r="CB1829">
        <v>216</v>
      </c>
      <c r="CC1829">
        <v>586.40629999999999</v>
      </c>
      <c r="CD1829">
        <v>1</v>
      </c>
      <c r="CE1829">
        <v>1</v>
      </c>
      <c r="CF1829">
        <v>0</v>
      </c>
      <c r="CG1829">
        <v>1</v>
      </c>
      <c r="CH1829">
        <v>0</v>
      </c>
      <c r="CI1829">
        <v>0</v>
      </c>
      <c r="CJ1829">
        <v>0</v>
      </c>
      <c r="CK1829">
        <v>2</v>
      </c>
      <c r="CL1829">
        <v>0</v>
      </c>
      <c r="CM1829">
        <v>2</v>
      </c>
      <c r="CN1829">
        <v>0</v>
      </c>
      <c r="CO1829">
        <v>1</v>
      </c>
      <c r="CP1829" t="s">
        <v>119</v>
      </c>
      <c r="CQ1829">
        <v>70</v>
      </c>
      <c r="CR1829">
        <v>1</v>
      </c>
      <c r="CW1829">
        <v>3664257</v>
      </c>
      <c r="CY1829">
        <v>0</v>
      </c>
      <c r="CZ1829">
        <v>0</v>
      </c>
      <c r="DA1829">
        <v>1</v>
      </c>
      <c r="DB1829">
        <v>0</v>
      </c>
      <c r="DC1829">
        <v>0</v>
      </c>
      <c r="DD1829">
        <v>0</v>
      </c>
      <c r="DE1829">
        <v>0</v>
      </c>
      <c r="DF1829">
        <v>0</v>
      </c>
      <c r="DG1829">
        <v>0</v>
      </c>
      <c r="DH1829">
        <v>0</v>
      </c>
      <c r="DI1829">
        <v>0</v>
      </c>
    </row>
    <row r="1830" spans="1:113" x14ac:dyDescent="0.3">
      <c r="A1830" t="str">
        <f>"02/13/2022 18:55:41.991"</f>
        <v>02/13/2022 18:55:41.991</v>
      </c>
      <c r="C1830" t="str">
        <f t="shared" si="174"/>
        <v>FFDFD7C0</v>
      </c>
      <c r="D1830" t="s">
        <v>113</v>
      </c>
      <c r="E1830">
        <v>3</v>
      </c>
      <c r="F1830">
        <v>1003</v>
      </c>
      <c r="G1830" t="s">
        <v>114</v>
      </c>
      <c r="J1830" t="s">
        <v>115</v>
      </c>
      <c r="K1830">
        <v>0</v>
      </c>
      <c r="L1830">
        <v>3</v>
      </c>
      <c r="M1830">
        <v>0</v>
      </c>
      <c r="N1830">
        <v>2</v>
      </c>
      <c r="O1830">
        <v>1</v>
      </c>
      <c r="P1830">
        <v>0</v>
      </c>
      <c r="Q1830">
        <v>0</v>
      </c>
      <c r="S1830" t="str">
        <f>"18:55:41.750"</f>
        <v>18:55:41.750</v>
      </c>
      <c r="T1830" t="str">
        <f>"18:55:41.450"</f>
        <v>18:55:41.450</v>
      </c>
      <c r="U1830" t="str">
        <f t="shared" si="176"/>
        <v>AAB6EE</v>
      </c>
      <c r="V1830">
        <v>0</v>
      </c>
      <c r="W1830">
        <v>0</v>
      </c>
      <c r="X1830">
        <v>4</v>
      </c>
      <c r="Z1830">
        <v>0</v>
      </c>
      <c r="AA1830">
        <v>8</v>
      </c>
      <c r="AB1830">
        <v>3</v>
      </c>
      <c r="AC1830">
        <v>0</v>
      </c>
      <c r="AD1830">
        <v>10</v>
      </c>
      <c r="AE1830">
        <v>0</v>
      </c>
      <c r="AF1830">
        <v>0</v>
      </c>
      <c r="AG1830">
        <v>2</v>
      </c>
      <c r="AH1830">
        <v>1</v>
      </c>
      <c r="AI1830" t="s">
        <v>1346</v>
      </c>
      <c r="AJ1830">
        <v>34.897019999999998</v>
      </c>
      <c r="AK1830" t="s">
        <v>1347</v>
      </c>
      <c r="AL1830">
        <v>-76.110470000000007</v>
      </c>
      <c r="AM1830">
        <v>25</v>
      </c>
      <c r="AN1830">
        <v>2925</v>
      </c>
      <c r="AO1830" t="s">
        <v>118</v>
      </c>
      <c r="AP1830">
        <v>-66</v>
      </c>
      <c r="AQ1830">
        <v>-128</v>
      </c>
      <c r="AR1830">
        <v>0</v>
      </c>
      <c r="AZ1830">
        <v>4516</v>
      </c>
      <c r="BA1830">
        <v>1</v>
      </c>
      <c r="BB1830" t="str">
        <f t="shared" si="175"/>
        <v xml:space="preserve">N79NX   </v>
      </c>
      <c r="BC1830">
        <v>1</v>
      </c>
      <c r="BE1830">
        <v>0</v>
      </c>
      <c r="BF1830">
        <v>0</v>
      </c>
      <c r="BG1830">
        <v>0</v>
      </c>
      <c r="BH1830">
        <v>2800</v>
      </c>
      <c r="BI1830">
        <v>0</v>
      </c>
      <c r="BJ1830">
        <v>0</v>
      </c>
      <c r="BK1830">
        <v>0</v>
      </c>
      <c r="BL1830">
        <v>0</v>
      </c>
      <c r="BO1830">
        <v>0</v>
      </c>
      <c r="BP1830">
        <v>0</v>
      </c>
      <c r="BW1830" t="str">
        <f>"18:55:41.755"</f>
        <v>18:55:41.755</v>
      </c>
      <c r="BZ1830">
        <v>0</v>
      </c>
      <c r="CA1830">
        <v>3008</v>
      </c>
      <c r="CB1830">
        <v>216</v>
      </c>
      <c r="CC1830">
        <v>586.40629999999999</v>
      </c>
      <c r="CD1830">
        <v>1</v>
      </c>
      <c r="CE1830">
        <v>1</v>
      </c>
      <c r="CF1830">
        <v>0</v>
      </c>
      <c r="CG1830">
        <v>1</v>
      </c>
      <c r="CH1830">
        <v>0</v>
      </c>
      <c r="CI1830">
        <v>0</v>
      </c>
      <c r="CJ1830">
        <v>0</v>
      </c>
      <c r="CK1830">
        <v>2</v>
      </c>
      <c r="CL1830">
        <v>0</v>
      </c>
      <c r="CM1830">
        <v>2</v>
      </c>
      <c r="CN1830">
        <v>0</v>
      </c>
      <c r="CO1830">
        <v>1</v>
      </c>
      <c r="CP1830" t="s">
        <v>119</v>
      </c>
      <c r="CQ1830">
        <v>70</v>
      </c>
      <c r="CR1830">
        <v>1</v>
      </c>
      <c r="CW1830">
        <v>3665022</v>
      </c>
      <c r="CY1830">
        <v>0</v>
      </c>
      <c r="CZ1830">
        <v>0</v>
      </c>
      <c r="DA1830">
        <v>0</v>
      </c>
      <c r="DB1830">
        <v>0</v>
      </c>
      <c r="DC1830">
        <v>0</v>
      </c>
      <c r="DD1830">
        <v>0</v>
      </c>
      <c r="DE1830">
        <v>0</v>
      </c>
      <c r="DF1830">
        <v>0</v>
      </c>
      <c r="DG1830">
        <v>0</v>
      </c>
      <c r="DH1830">
        <v>0</v>
      </c>
      <c r="DI1830">
        <v>0</v>
      </c>
    </row>
    <row r="1831" spans="1:113" x14ac:dyDescent="0.3">
      <c r="A1831" t="str">
        <f>"02/13/2022 18:55:41.991"</f>
        <v>02/13/2022 18:55:41.991</v>
      </c>
      <c r="C1831" t="str">
        <f t="shared" si="174"/>
        <v>FFDFD7C0</v>
      </c>
      <c r="D1831" t="s">
        <v>113</v>
      </c>
      <c r="E1831">
        <v>4</v>
      </c>
      <c r="F1831">
        <v>1004</v>
      </c>
      <c r="G1831" t="s">
        <v>120</v>
      </c>
      <c r="J1831" t="s">
        <v>115</v>
      </c>
      <c r="K1831">
        <v>0</v>
      </c>
      <c r="L1831">
        <v>3</v>
      </c>
      <c r="M1831">
        <v>0</v>
      </c>
      <c r="N1831">
        <v>2</v>
      </c>
      <c r="O1831">
        <v>1</v>
      </c>
      <c r="P1831">
        <v>0</v>
      </c>
      <c r="Q1831">
        <v>0</v>
      </c>
      <c r="S1831" t="str">
        <f>"18:55:41.750"</f>
        <v>18:55:41.750</v>
      </c>
      <c r="T1831" t="str">
        <f>"18:55:41.450"</f>
        <v>18:55:41.450</v>
      </c>
      <c r="U1831" t="str">
        <f t="shared" si="176"/>
        <v>AAB6EE</v>
      </c>
      <c r="V1831">
        <v>0</v>
      </c>
      <c r="W1831">
        <v>0</v>
      </c>
      <c r="X1831">
        <v>4</v>
      </c>
      <c r="Z1831">
        <v>0</v>
      </c>
      <c r="AA1831">
        <v>8</v>
      </c>
      <c r="AB1831">
        <v>3</v>
      </c>
      <c r="AC1831">
        <v>0</v>
      </c>
      <c r="AD1831">
        <v>10</v>
      </c>
      <c r="AE1831">
        <v>0</v>
      </c>
      <c r="AF1831">
        <v>0</v>
      </c>
      <c r="AG1831">
        <v>2</v>
      </c>
      <c r="AH1831">
        <v>1</v>
      </c>
      <c r="AI1831" t="s">
        <v>1346</v>
      </c>
      <c r="AJ1831">
        <v>34.897019999999998</v>
      </c>
      <c r="AK1831" t="s">
        <v>1347</v>
      </c>
      <c r="AL1831">
        <v>-76.110470000000007</v>
      </c>
      <c r="AM1831">
        <v>25</v>
      </c>
      <c r="AN1831">
        <v>2925</v>
      </c>
      <c r="AO1831" t="s">
        <v>118</v>
      </c>
      <c r="AP1831">
        <v>-66</v>
      </c>
      <c r="AQ1831">
        <v>-128</v>
      </c>
      <c r="AR1831">
        <v>0</v>
      </c>
      <c r="AZ1831">
        <v>4516</v>
      </c>
      <c r="BA1831">
        <v>1</v>
      </c>
      <c r="BB1831" t="str">
        <f t="shared" si="175"/>
        <v xml:space="preserve">N79NX   </v>
      </c>
      <c r="BC1831">
        <v>1</v>
      </c>
      <c r="BE1831">
        <v>0</v>
      </c>
      <c r="BF1831">
        <v>0</v>
      </c>
      <c r="BG1831">
        <v>0</v>
      </c>
      <c r="BH1831">
        <v>2800</v>
      </c>
      <c r="BI1831">
        <v>0</v>
      </c>
      <c r="BJ1831">
        <v>0</v>
      </c>
      <c r="BK1831">
        <v>0</v>
      </c>
      <c r="BL1831">
        <v>0</v>
      </c>
      <c r="BO1831">
        <v>0</v>
      </c>
      <c r="BP1831">
        <v>0</v>
      </c>
      <c r="BW1831" t="str">
        <f>"18:55:41.755"</f>
        <v>18:55:41.755</v>
      </c>
      <c r="BZ1831">
        <v>0</v>
      </c>
      <c r="CA1831">
        <v>3008</v>
      </c>
      <c r="CB1831">
        <v>216</v>
      </c>
      <c r="CC1831">
        <v>586.40629999999999</v>
      </c>
      <c r="CD1831">
        <v>1</v>
      </c>
      <c r="CE1831">
        <v>1</v>
      </c>
      <c r="CF1831">
        <v>0</v>
      </c>
      <c r="CG1831">
        <v>1</v>
      </c>
      <c r="CH1831">
        <v>0</v>
      </c>
      <c r="CI1831">
        <v>0</v>
      </c>
      <c r="CJ1831">
        <v>0</v>
      </c>
      <c r="CK1831">
        <v>2</v>
      </c>
      <c r="CL1831">
        <v>0</v>
      </c>
      <c r="CM1831">
        <v>2</v>
      </c>
      <c r="CN1831">
        <v>0</v>
      </c>
      <c r="CO1831">
        <v>1</v>
      </c>
      <c r="CP1831" t="s">
        <v>119</v>
      </c>
      <c r="CQ1831">
        <v>70</v>
      </c>
      <c r="CR1831">
        <v>1</v>
      </c>
      <c r="CW1831">
        <v>3665022</v>
      </c>
      <c r="CY1831">
        <v>0</v>
      </c>
      <c r="CZ1831">
        <v>0</v>
      </c>
      <c r="DA1831">
        <v>1</v>
      </c>
      <c r="DB1831">
        <v>0</v>
      </c>
      <c r="DC1831">
        <v>0</v>
      </c>
      <c r="DD1831">
        <v>0</v>
      </c>
      <c r="DE1831">
        <v>0</v>
      </c>
      <c r="DF1831">
        <v>0</v>
      </c>
      <c r="DG1831">
        <v>0</v>
      </c>
      <c r="DH1831">
        <v>0</v>
      </c>
      <c r="DI1831">
        <v>0</v>
      </c>
    </row>
    <row r="1832" spans="1:113" x14ac:dyDescent="0.3">
      <c r="A1832" t="str">
        <f>"02/13/2022 18:55:42.023"</f>
        <v>02/13/2022 18:55:42.023</v>
      </c>
      <c r="C1832" t="str">
        <f t="shared" si="174"/>
        <v>FFDFD7C0</v>
      </c>
      <c r="D1832" t="s">
        <v>121</v>
      </c>
      <c r="E1832">
        <v>2</v>
      </c>
      <c r="H1832">
        <v>158</v>
      </c>
      <c r="I1832" t="s">
        <v>120</v>
      </c>
      <c r="J1832" t="s">
        <v>122</v>
      </c>
      <c r="K1832">
        <v>0</v>
      </c>
      <c r="L1832">
        <v>3</v>
      </c>
      <c r="M1832">
        <v>0</v>
      </c>
      <c r="N1832">
        <v>2</v>
      </c>
      <c r="O1832">
        <v>1</v>
      </c>
      <c r="P1832">
        <v>0</v>
      </c>
      <c r="Q1832">
        <v>0</v>
      </c>
      <c r="S1832" t="str">
        <f>"18:55:41.750"</f>
        <v>18:55:41.750</v>
      </c>
      <c r="T1832" t="str">
        <f>"18:55:41.450"</f>
        <v>18:55:41.450</v>
      </c>
      <c r="U1832" t="str">
        <f t="shared" si="176"/>
        <v>AAB6EE</v>
      </c>
      <c r="V1832">
        <v>0</v>
      </c>
      <c r="W1832">
        <v>0</v>
      </c>
      <c r="X1832">
        <v>4</v>
      </c>
      <c r="Z1832">
        <v>0</v>
      </c>
      <c r="AA1832">
        <v>8</v>
      </c>
      <c r="AB1832">
        <v>3</v>
      </c>
      <c r="AC1832">
        <v>0</v>
      </c>
      <c r="AD1832">
        <v>10</v>
      </c>
      <c r="AE1832">
        <v>0</v>
      </c>
      <c r="AF1832">
        <v>0</v>
      </c>
      <c r="AG1832">
        <v>2</v>
      </c>
      <c r="AH1832">
        <v>1</v>
      </c>
      <c r="AI1832" t="s">
        <v>1346</v>
      </c>
      <c r="AJ1832">
        <v>34.897019999999998</v>
      </c>
      <c r="AK1832" t="s">
        <v>1347</v>
      </c>
      <c r="AL1832">
        <v>-76.110470000000007</v>
      </c>
      <c r="AM1832">
        <v>25</v>
      </c>
      <c r="AN1832">
        <v>2925</v>
      </c>
      <c r="AO1832" t="s">
        <v>118</v>
      </c>
      <c r="AP1832">
        <v>-66</v>
      </c>
      <c r="AQ1832">
        <v>-128</v>
      </c>
      <c r="AR1832">
        <v>0</v>
      </c>
      <c r="AZ1832">
        <v>4516</v>
      </c>
      <c r="BA1832">
        <v>1</v>
      </c>
      <c r="BB1832" t="str">
        <f t="shared" si="175"/>
        <v xml:space="preserve">N79NX   </v>
      </c>
      <c r="BC1832">
        <v>1</v>
      </c>
      <c r="BE1832">
        <v>0</v>
      </c>
      <c r="BF1832">
        <v>0</v>
      </c>
      <c r="BG1832">
        <v>0</v>
      </c>
      <c r="BH1832">
        <v>2800</v>
      </c>
      <c r="BI1832">
        <v>0</v>
      </c>
      <c r="BJ1832">
        <v>0</v>
      </c>
      <c r="BK1832">
        <v>0</v>
      </c>
      <c r="BL1832">
        <v>0</v>
      </c>
      <c r="BO1832">
        <v>0</v>
      </c>
      <c r="BP1832">
        <v>0</v>
      </c>
      <c r="BW1832" t="str">
        <f>"18:55:41.755"</f>
        <v>18:55:41.755</v>
      </c>
      <c r="BZ1832">
        <v>0</v>
      </c>
      <c r="CA1832">
        <v>3008</v>
      </c>
      <c r="CB1832">
        <v>216</v>
      </c>
      <c r="CC1832">
        <v>586.40629999999999</v>
      </c>
      <c r="CD1832">
        <v>1</v>
      </c>
      <c r="CE1832">
        <v>1</v>
      </c>
      <c r="CF1832">
        <v>0</v>
      </c>
      <c r="CG1832">
        <v>1</v>
      </c>
      <c r="CH1832">
        <v>0</v>
      </c>
      <c r="CI1832">
        <v>0</v>
      </c>
      <c r="CJ1832">
        <v>0</v>
      </c>
      <c r="CK1832">
        <v>2</v>
      </c>
      <c r="CL1832">
        <v>0</v>
      </c>
      <c r="CM1832">
        <v>2</v>
      </c>
      <c r="CN1832">
        <v>0</v>
      </c>
      <c r="CO1832">
        <v>1</v>
      </c>
      <c r="CP1832" t="s">
        <v>119</v>
      </c>
      <c r="CQ1832">
        <v>70</v>
      </c>
      <c r="CR1832">
        <v>1</v>
      </c>
      <c r="CW1832">
        <v>3665022</v>
      </c>
      <c r="CY1832">
        <v>0</v>
      </c>
      <c r="CZ1832">
        <v>0</v>
      </c>
      <c r="DA1832">
        <v>1</v>
      </c>
      <c r="DB1832">
        <v>0</v>
      </c>
      <c r="DC1832">
        <v>0</v>
      </c>
      <c r="DD1832">
        <v>0</v>
      </c>
      <c r="DE1832">
        <v>0</v>
      </c>
      <c r="DF1832">
        <v>0</v>
      </c>
      <c r="DG1832">
        <v>0</v>
      </c>
      <c r="DH1832">
        <v>0</v>
      </c>
      <c r="DI1832">
        <v>0</v>
      </c>
    </row>
    <row r="1833" spans="1:113" x14ac:dyDescent="0.3">
      <c r="A1833" t="str">
        <f>"02/13/2022 18:55:43.101"</f>
        <v>02/13/2022 18:55:43.101</v>
      </c>
      <c r="C1833" t="str">
        <f t="shared" si="174"/>
        <v>FFDFD7C0</v>
      </c>
      <c r="D1833" t="s">
        <v>121</v>
      </c>
      <c r="E1833">
        <v>2</v>
      </c>
      <c r="H1833">
        <v>158</v>
      </c>
      <c r="I1833" t="s">
        <v>120</v>
      </c>
      <c r="J1833" t="s">
        <v>122</v>
      </c>
      <c r="K1833">
        <v>0</v>
      </c>
      <c r="L1833">
        <v>3</v>
      </c>
      <c r="M1833">
        <v>0</v>
      </c>
      <c r="N1833">
        <v>2</v>
      </c>
      <c r="O1833">
        <v>1</v>
      </c>
      <c r="P1833">
        <v>0</v>
      </c>
      <c r="Q1833">
        <v>0</v>
      </c>
      <c r="S1833" t="str">
        <f>"18:55:42.914"</f>
        <v>18:55:42.914</v>
      </c>
      <c r="T1833" t="str">
        <f>"18:55:42.814"</f>
        <v>18:55:42.814</v>
      </c>
      <c r="U1833" t="str">
        <f t="shared" si="176"/>
        <v>AAB6EE</v>
      </c>
      <c r="V1833">
        <v>0</v>
      </c>
      <c r="W1833">
        <v>0</v>
      </c>
      <c r="X1833">
        <v>4</v>
      </c>
      <c r="Z1833">
        <v>0</v>
      </c>
      <c r="AA1833">
        <v>8</v>
      </c>
      <c r="AB1833">
        <v>3</v>
      </c>
      <c r="AC1833">
        <v>0</v>
      </c>
      <c r="AD1833">
        <v>10</v>
      </c>
      <c r="AE1833">
        <v>0</v>
      </c>
      <c r="AF1833">
        <v>0</v>
      </c>
      <c r="AG1833">
        <v>2</v>
      </c>
      <c r="AH1833">
        <v>1</v>
      </c>
      <c r="AI1833" t="s">
        <v>1348</v>
      </c>
      <c r="AJ1833">
        <v>34.89629</v>
      </c>
      <c r="AK1833" t="s">
        <v>1349</v>
      </c>
      <c r="AL1833">
        <v>-76.110921000000005</v>
      </c>
      <c r="AM1833">
        <v>25</v>
      </c>
      <c r="AN1833">
        <v>2925</v>
      </c>
      <c r="AO1833" t="s">
        <v>118</v>
      </c>
      <c r="AP1833">
        <v>-66</v>
      </c>
      <c r="AQ1833">
        <v>-128</v>
      </c>
      <c r="AR1833">
        <v>0</v>
      </c>
      <c r="AZ1833">
        <v>4516</v>
      </c>
      <c r="BA1833">
        <v>1</v>
      </c>
      <c r="BB1833" t="str">
        <f t="shared" si="175"/>
        <v xml:space="preserve">N79NX   </v>
      </c>
      <c r="BC1833">
        <v>1</v>
      </c>
      <c r="BE1833">
        <v>0</v>
      </c>
      <c r="BF1833">
        <v>0</v>
      </c>
      <c r="BG1833">
        <v>0</v>
      </c>
      <c r="BH1833">
        <v>2800</v>
      </c>
      <c r="BI1833">
        <v>0</v>
      </c>
      <c r="BJ1833">
        <v>0</v>
      </c>
      <c r="BK1833">
        <v>0</v>
      </c>
      <c r="BL1833">
        <v>0</v>
      </c>
      <c r="BO1833">
        <v>0</v>
      </c>
      <c r="BP1833">
        <v>0</v>
      </c>
      <c r="BW1833" t="str">
        <f>"18:55:42.915"</f>
        <v>18:55:42.915</v>
      </c>
      <c r="BZ1833">
        <v>0</v>
      </c>
      <c r="CA1833">
        <v>3008</v>
      </c>
      <c r="CB1833">
        <v>216</v>
      </c>
      <c r="CC1833">
        <v>586.40629999999999</v>
      </c>
      <c r="CD1833">
        <v>1</v>
      </c>
      <c r="CE1833">
        <v>1</v>
      </c>
      <c r="CF1833">
        <v>0</v>
      </c>
      <c r="CG1833">
        <v>1</v>
      </c>
      <c r="CH1833">
        <v>0</v>
      </c>
      <c r="CI1833">
        <v>0</v>
      </c>
      <c r="CJ1833">
        <v>0</v>
      </c>
      <c r="CK1833">
        <v>2</v>
      </c>
      <c r="CL1833">
        <v>0</v>
      </c>
      <c r="CM1833">
        <v>2</v>
      </c>
      <c r="CN1833">
        <v>0</v>
      </c>
      <c r="CO1833">
        <v>1</v>
      </c>
      <c r="CP1833" t="s">
        <v>119</v>
      </c>
      <c r="CQ1833">
        <v>70</v>
      </c>
      <c r="CR1833">
        <v>1</v>
      </c>
      <c r="CW1833">
        <v>3665935</v>
      </c>
      <c r="CY1833">
        <v>0</v>
      </c>
      <c r="CZ1833">
        <v>0</v>
      </c>
      <c r="DA1833">
        <v>0</v>
      </c>
      <c r="DB1833">
        <v>0</v>
      </c>
      <c r="DC1833">
        <v>0</v>
      </c>
      <c r="DD1833">
        <v>0</v>
      </c>
      <c r="DE1833">
        <v>0</v>
      </c>
      <c r="DF1833">
        <v>0</v>
      </c>
      <c r="DG1833">
        <v>0</v>
      </c>
      <c r="DH1833">
        <v>0</v>
      </c>
      <c r="DI1833">
        <v>0</v>
      </c>
    </row>
    <row r="1834" spans="1:113" x14ac:dyDescent="0.3">
      <c r="A1834" t="str">
        <f>"02/13/2022 18:55:43.163"</f>
        <v>02/13/2022 18:55:43.163</v>
      </c>
      <c r="C1834" t="str">
        <f t="shared" si="174"/>
        <v>FFDFD7C0</v>
      </c>
      <c r="D1834" t="s">
        <v>113</v>
      </c>
      <c r="E1834">
        <v>3</v>
      </c>
      <c r="F1834">
        <v>1003</v>
      </c>
      <c r="G1834" t="s">
        <v>114</v>
      </c>
      <c r="J1834" t="s">
        <v>115</v>
      </c>
      <c r="K1834">
        <v>0</v>
      </c>
      <c r="L1834">
        <v>3</v>
      </c>
      <c r="M1834">
        <v>0</v>
      </c>
      <c r="N1834">
        <v>2</v>
      </c>
      <c r="O1834">
        <v>1</v>
      </c>
      <c r="P1834">
        <v>0</v>
      </c>
      <c r="Q1834">
        <v>0</v>
      </c>
      <c r="S1834" t="str">
        <f>"18:55:42.914"</f>
        <v>18:55:42.914</v>
      </c>
      <c r="T1834" t="str">
        <f>"18:55:42.814"</f>
        <v>18:55:42.814</v>
      </c>
      <c r="U1834" t="str">
        <f t="shared" si="176"/>
        <v>AAB6EE</v>
      </c>
      <c r="V1834">
        <v>0</v>
      </c>
      <c r="W1834">
        <v>0</v>
      </c>
      <c r="X1834">
        <v>4</v>
      </c>
      <c r="Z1834">
        <v>0</v>
      </c>
      <c r="AA1834">
        <v>8</v>
      </c>
      <c r="AB1834">
        <v>3</v>
      </c>
      <c r="AC1834">
        <v>0</v>
      </c>
      <c r="AD1834">
        <v>10</v>
      </c>
      <c r="AE1834">
        <v>0</v>
      </c>
      <c r="AF1834">
        <v>0</v>
      </c>
      <c r="AG1834">
        <v>2</v>
      </c>
      <c r="AH1834">
        <v>1</v>
      </c>
      <c r="AI1834" t="s">
        <v>1348</v>
      </c>
      <c r="AJ1834">
        <v>34.89629</v>
      </c>
      <c r="AK1834" t="s">
        <v>1349</v>
      </c>
      <c r="AL1834">
        <v>-76.110921000000005</v>
      </c>
      <c r="AM1834">
        <v>25</v>
      </c>
      <c r="AN1834">
        <v>2925</v>
      </c>
      <c r="AO1834" t="s">
        <v>118</v>
      </c>
      <c r="AP1834">
        <v>-66</v>
      </c>
      <c r="AQ1834">
        <v>-128</v>
      </c>
      <c r="AR1834">
        <v>0</v>
      </c>
      <c r="AZ1834">
        <v>4516</v>
      </c>
      <c r="BA1834">
        <v>1</v>
      </c>
      <c r="BB1834" t="str">
        <f t="shared" si="175"/>
        <v xml:space="preserve">N79NX   </v>
      </c>
      <c r="BC1834">
        <v>1</v>
      </c>
      <c r="BE1834">
        <v>0</v>
      </c>
      <c r="BF1834">
        <v>0</v>
      </c>
      <c r="BG1834">
        <v>0</v>
      </c>
      <c r="BH1834">
        <v>2800</v>
      </c>
      <c r="BI1834">
        <v>0</v>
      </c>
      <c r="BJ1834">
        <v>0</v>
      </c>
      <c r="BK1834">
        <v>0</v>
      </c>
      <c r="BL1834">
        <v>0</v>
      </c>
      <c r="BO1834">
        <v>0</v>
      </c>
      <c r="BP1834">
        <v>0</v>
      </c>
      <c r="BW1834" t="str">
        <f>"18:55:42.915"</f>
        <v>18:55:42.915</v>
      </c>
      <c r="BZ1834">
        <v>0</v>
      </c>
      <c r="CA1834">
        <v>3008</v>
      </c>
      <c r="CB1834">
        <v>216</v>
      </c>
      <c r="CC1834">
        <v>586.40629999999999</v>
      </c>
      <c r="CD1834">
        <v>1</v>
      </c>
      <c r="CE1834">
        <v>1</v>
      </c>
      <c r="CF1834">
        <v>0</v>
      </c>
      <c r="CG1834">
        <v>1</v>
      </c>
      <c r="CH1834">
        <v>0</v>
      </c>
      <c r="CI1834">
        <v>0</v>
      </c>
      <c r="CJ1834">
        <v>0</v>
      </c>
      <c r="CK1834">
        <v>2</v>
      </c>
      <c r="CL1834">
        <v>0</v>
      </c>
      <c r="CM1834">
        <v>2</v>
      </c>
      <c r="CN1834">
        <v>0</v>
      </c>
      <c r="CO1834">
        <v>1</v>
      </c>
      <c r="CP1834" t="s">
        <v>119</v>
      </c>
      <c r="CQ1834">
        <v>70</v>
      </c>
      <c r="CR1834">
        <v>1</v>
      </c>
      <c r="CW1834">
        <v>3665935</v>
      </c>
      <c r="CY1834">
        <v>0</v>
      </c>
      <c r="CZ1834">
        <v>0</v>
      </c>
      <c r="DA1834">
        <v>1</v>
      </c>
      <c r="DB1834">
        <v>0</v>
      </c>
      <c r="DC1834">
        <v>0</v>
      </c>
      <c r="DD1834">
        <v>0</v>
      </c>
      <c r="DE1834">
        <v>0</v>
      </c>
      <c r="DF1834">
        <v>0</v>
      </c>
      <c r="DG1834">
        <v>0</v>
      </c>
      <c r="DH1834">
        <v>0</v>
      </c>
      <c r="DI1834">
        <v>0</v>
      </c>
    </row>
    <row r="1835" spans="1:113" x14ac:dyDescent="0.3">
      <c r="A1835" t="str">
        <f>"02/13/2022 18:55:43.163"</f>
        <v>02/13/2022 18:55:43.163</v>
      </c>
      <c r="C1835" t="str">
        <f t="shared" si="174"/>
        <v>FFDFD7C0</v>
      </c>
      <c r="D1835" t="s">
        <v>113</v>
      </c>
      <c r="E1835">
        <v>4</v>
      </c>
      <c r="F1835">
        <v>1004</v>
      </c>
      <c r="G1835" t="s">
        <v>120</v>
      </c>
      <c r="J1835" t="s">
        <v>115</v>
      </c>
      <c r="K1835">
        <v>0</v>
      </c>
      <c r="L1835">
        <v>3</v>
      </c>
      <c r="M1835">
        <v>0</v>
      </c>
      <c r="N1835">
        <v>2</v>
      </c>
      <c r="O1835">
        <v>1</v>
      </c>
      <c r="P1835">
        <v>0</v>
      </c>
      <c r="Q1835">
        <v>0</v>
      </c>
      <c r="S1835" t="str">
        <f>"18:55:42.914"</f>
        <v>18:55:42.914</v>
      </c>
      <c r="T1835" t="str">
        <f>"18:55:42.814"</f>
        <v>18:55:42.814</v>
      </c>
      <c r="U1835" t="str">
        <f t="shared" si="176"/>
        <v>AAB6EE</v>
      </c>
      <c r="V1835">
        <v>0</v>
      </c>
      <c r="W1835">
        <v>0</v>
      </c>
      <c r="X1835">
        <v>4</v>
      </c>
      <c r="Z1835">
        <v>0</v>
      </c>
      <c r="AA1835">
        <v>8</v>
      </c>
      <c r="AB1835">
        <v>3</v>
      </c>
      <c r="AC1835">
        <v>0</v>
      </c>
      <c r="AD1835">
        <v>10</v>
      </c>
      <c r="AE1835">
        <v>0</v>
      </c>
      <c r="AF1835">
        <v>0</v>
      </c>
      <c r="AG1835">
        <v>2</v>
      </c>
      <c r="AH1835">
        <v>1</v>
      </c>
      <c r="AI1835" t="s">
        <v>1348</v>
      </c>
      <c r="AJ1835">
        <v>34.89629</v>
      </c>
      <c r="AK1835" t="s">
        <v>1349</v>
      </c>
      <c r="AL1835">
        <v>-76.110921000000005</v>
      </c>
      <c r="AM1835">
        <v>25</v>
      </c>
      <c r="AN1835">
        <v>2925</v>
      </c>
      <c r="AO1835" t="s">
        <v>118</v>
      </c>
      <c r="AP1835">
        <v>-66</v>
      </c>
      <c r="AQ1835">
        <v>-128</v>
      </c>
      <c r="AR1835">
        <v>0</v>
      </c>
      <c r="AZ1835">
        <v>4516</v>
      </c>
      <c r="BA1835">
        <v>1</v>
      </c>
      <c r="BB1835" t="str">
        <f t="shared" si="175"/>
        <v xml:space="preserve">N79NX   </v>
      </c>
      <c r="BC1835">
        <v>1</v>
      </c>
      <c r="BE1835">
        <v>0</v>
      </c>
      <c r="BF1835">
        <v>0</v>
      </c>
      <c r="BG1835">
        <v>0</v>
      </c>
      <c r="BH1835">
        <v>2800</v>
      </c>
      <c r="BI1835">
        <v>0</v>
      </c>
      <c r="BJ1835">
        <v>0</v>
      </c>
      <c r="BK1835">
        <v>0</v>
      </c>
      <c r="BL1835">
        <v>0</v>
      </c>
      <c r="BO1835">
        <v>0</v>
      </c>
      <c r="BP1835">
        <v>0</v>
      </c>
      <c r="BW1835" t="str">
        <f>"18:55:42.915"</f>
        <v>18:55:42.915</v>
      </c>
      <c r="BZ1835">
        <v>0</v>
      </c>
      <c r="CA1835">
        <v>3008</v>
      </c>
      <c r="CB1835">
        <v>216</v>
      </c>
      <c r="CC1835">
        <v>586.40629999999999</v>
      </c>
      <c r="CD1835">
        <v>1</v>
      </c>
      <c r="CE1835">
        <v>1</v>
      </c>
      <c r="CF1835">
        <v>0</v>
      </c>
      <c r="CG1835">
        <v>1</v>
      </c>
      <c r="CH1835">
        <v>0</v>
      </c>
      <c r="CI1835">
        <v>0</v>
      </c>
      <c r="CJ1835">
        <v>0</v>
      </c>
      <c r="CK1835">
        <v>2</v>
      </c>
      <c r="CL1835">
        <v>0</v>
      </c>
      <c r="CM1835">
        <v>2</v>
      </c>
      <c r="CN1835">
        <v>0</v>
      </c>
      <c r="CO1835">
        <v>1</v>
      </c>
      <c r="CP1835" t="s">
        <v>119</v>
      </c>
      <c r="CQ1835">
        <v>70</v>
      </c>
      <c r="CR1835">
        <v>1</v>
      </c>
      <c r="CW1835">
        <v>3665935</v>
      </c>
      <c r="CY1835">
        <v>0</v>
      </c>
      <c r="CZ1835">
        <v>0</v>
      </c>
      <c r="DA1835">
        <v>1</v>
      </c>
      <c r="DB1835">
        <v>0</v>
      </c>
      <c r="DC1835">
        <v>0</v>
      </c>
      <c r="DD1835">
        <v>0</v>
      </c>
      <c r="DE1835">
        <v>0</v>
      </c>
      <c r="DF1835">
        <v>0</v>
      </c>
      <c r="DG1835">
        <v>0</v>
      </c>
      <c r="DH1835">
        <v>0</v>
      </c>
      <c r="DI1835">
        <v>0</v>
      </c>
    </row>
    <row r="1836" spans="1:113" x14ac:dyDescent="0.3">
      <c r="A1836" t="str">
        <f>"02/13/2022 18:55:44.689"</f>
        <v>02/13/2022 18:55:44.689</v>
      </c>
      <c r="C1836" t="str">
        <f t="shared" si="174"/>
        <v>FFDFD7C0</v>
      </c>
      <c r="D1836" t="s">
        <v>113</v>
      </c>
      <c r="E1836">
        <v>3</v>
      </c>
      <c r="F1836">
        <v>1003</v>
      </c>
      <c r="G1836" t="s">
        <v>114</v>
      </c>
      <c r="J1836" t="s">
        <v>115</v>
      </c>
      <c r="K1836">
        <v>0</v>
      </c>
      <c r="L1836">
        <v>3</v>
      </c>
      <c r="M1836">
        <v>0</v>
      </c>
      <c r="N1836">
        <v>2</v>
      </c>
      <c r="O1836">
        <v>1</v>
      </c>
      <c r="P1836">
        <v>0</v>
      </c>
      <c r="Q1836">
        <v>0</v>
      </c>
      <c r="S1836" t="str">
        <f t="shared" ref="S1836:T1838" si="179">"18:55:44.422"</f>
        <v>18:55:44.422</v>
      </c>
      <c r="T1836" t="str">
        <f t="shared" si="179"/>
        <v>18:55:44.422</v>
      </c>
      <c r="U1836" t="str">
        <f t="shared" si="176"/>
        <v>AAB6EE</v>
      </c>
      <c r="V1836">
        <v>0</v>
      </c>
      <c r="W1836">
        <v>0</v>
      </c>
      <c r="X1836">
        <v>4</v>
      </c>
      <c r="Z1836">
        <v>0</v>
      </c>
      <c r="AA1836">
        <v>8</v>
      </c>
      <c r="AB1836">
        <v>3</v>
      </c>
      <c r="AC1836">
        <v>0</v>
      </c>
      <c r="AD1836">
        <v>10</v>
      </c>
      <c r="AE1836">
        <v>0</v>
      </c>
      <c r="AF1836">
        <v>0</v>
      </c>
      <c r="AG1836">
        <v>2</v>
      </c>
      <c r="AH1836">
        <v>1</v>
      </c>
      <c r="AI1836" t="s">
        <v>1350</v>
      </c>
      <c r="AJ1836">
        <v>34.895411000000003</v>
      </c>
      <c r="AK1836" t="s">
        <v>1351</v>
      </c>
      <c r="AL1836">
        <v>-76.111457000000001</v>
      </c>
      <c r="AM1836">
        <v>25</v>
      </c>
      <c r="AN1836">
        <v>2925</v>
      </c>
      <c r="AO1836" t="s">
        <v>118</v>
      </c>
      <c r="AP1836">
        <v>-66</v>
      </c>
      <c r="AQ1836">
        <v>-128</v>
      </c>
      <c r="AR1836">
        <v>0</v>
      </c>
      <c r="AZ1836">
        <v>4516</v>
      </c>
      <c r="BA1836">
        <v>1</v>
      </c>
      <c r="BB1836" t="str">
        <f t="shared" si="175"/>
        <v xml:space="preserve">N79NX   </v>
      </c>
      <c r="BC1836">
        <v>1</v>
      </c>
      <c r="BE1836">
        <v>0</v>
      </c>
      <c r="BF1836">
        <v>0</v>
      </c>
      <c r="BG1836">
        <v>0</v>
      </c>
      <c r="BH1836">
        <v>2800</v>
      </c>
      <c r="BI1836">
        <v>0</v>
      </c>
      <c r="BJ1836">
        <v>0</v>
      </c>
      <c r="BK1836">
        <v>0</v>
      </c>
      <c r="BL1836">
        <v>0</v>
      </c>
      <c r="BO1836">
        <v>0</v>
      </c>
      <c r="BP1836">
        <v>0</v>
      </c>
      <c r="BW1836" t="str">
        <f>"18:55:44.425"</f>
        <v>18:55:44.425</v>
      </c>
      <c r="BZ1836">
        <v>0</v>
      </c>
      <c r="CA1836">
        <v>3008</v>
      </c>
      <c r="CB1836">
        <v>216</v>
      </c>
      <c r="CC1836">
        <v>586.40629999999999</v>
      </c>
      <c r="CD1836">
        <v>1</v>
      </c>
      <c r="CE1836">
        <v>1</v>
      </c>
      <c r="CF1836">
        <v>0</v>
      </c>
      <c r="CG1836">
        <v>1</v>
      </c>
      <c r="CH1836">
        <v>0</v>
      </c>
      <c r="CI1836">
        <v>0</v>
      </c>
      <c r="CJ1836">
        <v>0</v>
      </c>
      <c r="CK1836">
        <v>2</v>
      </c>
      <c r="CL1836">
        <v>0</v>
      </c>
      <c r="CM1836">
        <v>2</v>
      </c>
      <c r="CN1836">
        <v>0</v>
      </c>
      <c r="CO1836">
        <v>1</v>
      </c>
      <c r="CP1836" t="s">
        <v>119</v>
      </c>
      <c r="CQ1836">
        <v>70</v>
      </c>
      <c r="CR1836">
        <v>1</v>
      </c>
      <c r="CW1836">
        <v>3667205</v>
      </c>
      <c r="CY1836">
        <v>0</v>
      </c>
      <c r="CZ1836">
        <v>0</v>
      </c>
      <c r="DA1836">
        <v>0</v>
      </c>
      <c r="DB1836">
        <v>0</v>
      </c>
      <c r="DC1836">
        <v>0</v>
      </c>
      <c r="DD1836">
        <v>0</v>
      </c>
      <c r="DE1836">
        <v>0</v>
      </c>
      <c r="DF1836">
        <v>0</v>
      </c>
      <c r="DG1836">
        <v>0</v>
      </c>
      <c r="DH1836">
        <v>0</v>
      </c>
      <c r="DI1836">
        <v>0</v>
      </c>
    </row>
    <row r="1837" spans="1:113" x14ac:dyDescent="0.3">
      <c r="A1837" t="str">
        <f>"02/13/2022 18:55:44.689"</f>
        <v>02/13/2022 18:55:44.689</v>
      </c>
      <c r="C1837" t="str">
        <f t="shared" si="174"/>
        <v>FFDFD7C0</v>
      </c>
      <c r="D1837" t="s">
        <v>113</v>
      </c>
      <c r="E1837">
        <v>4</v>
      </c>
      <c r="F1837">
        <v>1004</v>
      </c>
      <c r="G1837" t="s">
        <v>120</v>
      </c>
      <c r="J1837" t="s">
        <v>115</v>
      </c>
      <c r="K1837">
        <v>0</v>
      </c>
      <c r="L1837">
        <v>3</v>
      </c>
      <c r="M1837">
        <v>0</v>
      </c>
      <c r="N1837">
        <v>2</v>
      </c>
      <c r="O1837">
        <v>1</v>
      </c>
      <c r="P1837">
        <v>0</v>
      </c>
      <c r="Q1837">
        <v>0</v>
      </c>
      <c r="S1837" t="str">
        <f t="shared" si="179"/>
        <v>18:55:44.422</v>
      </c>
      <c r="T1837" t="str">
        <f t="shared" si="179"/>
        <v>18:55:44.422</v>
      </c>
      <c r="U1837" t="str">
        <f t="shared" si="176"/>
        <v>AAB6EE</v>
      </c>
      <c r="V1837">
        <v>0</v>
      </c>
      <c r="W1837">
        <v>0</v>
      </c>
      <c r="X1837">
        <v>4</v>
      </c>
      <c r="Z1837">
        <v>0</v>
      </c>
      <c r="AA1837">
        <v>8</v>
      </c>
      <c r="AB1837">
        <v>3</v>
      </c>
      <c r="AC1837">
        <v>0</v>
      </c>
      <c r="AD1837">
        <v>10</v>
      </c>
      <c r="AE1837">
        <v>0</v>
      </c>
      <c r="AF1837">
        <v>0</v>
      </c>
      <c r="AG1837">
        <v>2</v>
      </c>
      <c r="AH1837">
        <v>1</v>
      </c>
      <c r="AI1837" t="s">
        <v>1350</v>
      </c>
      <c r="AJ1837">
        <v>34.895411000000003</v>
      </c>
      <c r="AK1837" t="s">
        <v>1351</v>
      </c>
      <c r="AL1837">
        <v>-76.111457000000001</v>
      </c>
      <c r="AM1837">
        <v>25</v>
      </c>
      <c r="AN1837">
        <v>2925</v>
      </c>
      <c r="AO1837" t="s">
        <v>118</v>
      </c>
      <c r="AP1837">
        <v>-66</v>
      </c>
      <c r="AQ1837">
        <v>-128</v>
      </c>
      <c r="AR1837">
        <v>0</v>
      </c>
      <c r="AZ1837">
        <v>4516</v>
      </c>
      <c r="BA1837">
        <v>1</v>
      </c>
      <c r="BB1837" t="str">
        <f t="shared" si="175"/>
        <v xml:space="preserve">N79NX   </v>
      </c>
      <c r="BC1837">
        <v>1</v>
      </c>
      <c r="BE1837">
        <v>0</v>
      </c>
      <c r="BF1837">
        <v>0</v>
      </c>
      <c r="BG1837">
        <v>0</v>
      </c>
      <c r="BH1837">
        <v>2800</v>
      </c>
      <c r="BI1837">
        <v>0</v>
      </c>
      <c r="BJ1837">
        <v>0</v>
      </c>
      <c r="BK1837">
        <v>0</v>
      </c>
      <c r="BL1837">
        <v>0</v>
      </c>
      <c r="BO1837">
        <v>0</v>
      </c>
      <c r="BP1837">
        <v>0</v>
      </c>
      <c r="BW1837" t="str">
        <f>"18:55:44.425"</f>
        <v>18:55:44.425</v>
      </c>
      <c r="BZ1837">
        <v>0</v>
      </c>
      <c r="CA1837">
        <v>3008</v>
      </c>
      <c r="CB1837">
        <v>216</v>
      </c>
      <c r="CC1837">
        <v>586.40629999999999</v>
      </c>
      <c r="CD1837">
        <v>1</v>
      </c>
      <c r="CE1837">
        <v>1</v>
      </c>
      <c r="CF1837">
        <v>0</v>
      </c>
      <c r="CG1837">
        <v>1</v>
      </c>
      <c r="CH1837">
        <v>0</v>
      </c>
      <c r="CI1837">
        <v>0</v>
      </c>
      <c r="CJ1837">
        <v>0</v>
      </c>
      <c r="CK1837">
        <v>2</v>
      </c>
      <c r="CL1837">
        <v>0</v>
      </c>
      <c r="CM1837">
        <v>2</v>
      </c>
      <c r="CN1837">
        <v>0</v>
      </c>
      <c r="CO1837">
        <v>1</v>
      </c>
      <c r="CP1837" t="s">
        <v>119</v>
      </c>
      <c r="CQ1837">
        <v>70</v>
      </c>
      <c r="CR1837">
        <v>1</v>
      </c>
      <c r="CW1837">
        <v>3667205</v>
      </c>
      <c r="CY1837">
        <v>0</v>
      </c>
      <c r="CZ1837">
        <v>0</v>
      </c>
      <c r="DA1837">
        <v>1</v>
      </c>
      <c r="DB1837">
        <v>0</v>
      </c>
      <c r="DC1837">
        <v>0</v>
      </c>
      <c r="DD1837">
        <v>0</v>
      </c>
      <c r="DE1837">
        <v>0</v>
      </c>
      <c r="DF1837">
        <v>0</v>
      </c>
      <c r="DG1837">
        <v>0</v>
      </c>
      <c r="DH1837">
        <v>0</v>
      </c>
      <c r="DI1837">
        <v>0</v>
      </c>
    </row>
    <row r="1838" spans="1:113" x14ac:dyDescent="0.3">
      <c r="A1838" t="str">
        <f>"02/13/2022 18:55:44.689"</f>
        <v>02/13/2022 18:55:44.689</v>
      </c>
      <c r="C1838" t="str">
        <f t="shared" si="174"/>
        <v>FFDFD7C0</v>
      </c>
      <c r="D1838" t="s">
        <v>121</v>
      </c>
      <c r="E1838">
        <v>2</v>
      </c>
      <c r="H1838">
        <v>158</v>
      </c>
      <c r="I1838" t="s">
        <v>120</v>
      </c>
      <c r="J1838" t="s">
        <v>122</v>
      </c>
      <c r="K1838">
        <v>0</v>
      </c>
      <c r="L1838">
        <v>3</v>
      </c>
      <c r="M1838">
        <v>0</v>
      </c>
      <c r="N1838">
        <v>2</v>
      </c>
      <c r="O1838">
        <v>1</v>
      </c>
      <c r="P1838">
        <v>0</v>
      </c>
      <c r="Q1838">
        <v>0</v>
      </c>
      <c r="S1838" t="str">
        <f t="shared" si="179"/>
        <v>18:55:44.422</v>
      </c>
      <c r="T1838" t="str">
        <f t="shared" si="179"/>
        <v>18:55:44.422</v>
      </c>
      <c r="U1838" t="str">
        <f t="shared" si="176"/>
        <v>AAB6EE</v>
      </c>
      <c r="V1838">
        <v>0</v>
      </c>
      <c r="W1838">
        <v>0</v>
      </c>
      <c r="X1838">
        <v>4</v>
      </c>
      <c r="Z1838">
        <v>0</v>
      </c>
      <c r="AA1838">
        <v>8</v>
      </c>
      <c r="AB1838">
        <v>3</v>
      </c>
      <c r="AC1838">
        <v>0</v>
      </c>
      <c r="AD1838">
        <v>10</v>
      </c>
      <c r="AE1838">
        <v>0</v>
      </c>
      <c r="AF1838">
        <v>0</v>
      </c>
      <c r="AG1838">
        <v>2</v>
      </c>
      <c r="AH1838">
        <v>1</v>
      </c>
      <c r="AI1838" t="s">
        <v>1350</v>
      </c>
      <c r="AJ1838">
        <v>34.895411000000003</v>
      </c>
      <c r="AK1838" t="s">
        <v>1351</v>
      </c>
      <c r="AL1838">
        <v>-76.111457000000001</v>
      </c>
      <c r="AM1838">
        <v>25</v>
      </c>
      <c r="AN1838">
        <v>2925</v>
      </c>
      <c r="AO1838" t="s">
        <v>118</v>
      </c>
      <c r="AP1838">
        <v>-66</v>
      </c>
      <c r="AQ1838">
        <v>-128</v>
      </c>
      <c r="AR1838">
        <v>0</v>
      </c>
      <c r="AZ1838">
        <v>4516</v>
      </c>
      <c r="BA1838">
        <v>1</v>
      </c>
      <c r="BB1838" t="str">
        <f t="shared" si="175"/>
        <v xml:space="preserve">N79NX   </v>
      </c>
      <c r="BC1838">
        <v>1</v>
      </c>
      <c r="BE1838">
        <v>0</v>
      </c>
      <c r="BF1838">
        <v>0</v>
      </c>
      <c r="BG1838">
        <v>0</v>
      </c>
      <c r="BH1838">
        <v>2800</v>
      </c>
      <c r="BI1838">
        <v>0</v>
      </c>
      <c r="BJ1838">
        <v>0</v>
      </c>
      <c r="BK1838">
        <v>0</v>
      </c>
      <c r="BL1838">
        <v>0</v>
      </c>
      <c r="BO1838">
        <v>0</v>
      </c>
      <c r="BP1838">
        <v>0</v>
      </c>
      <c r="BW1838" t="str">
        <f>"18:55:44.425"</f>
        <v>18:55:44.425</v>
      </c>
      <c r="BZ1838">
        <v>0</v>
      </c>
      <c r="CA1838">
        <v>3008</v>
      </c>
      <c r="CB1838">
        <v>216</v>
      </c>
      <c r="CC1838">
        <v>586.40629999999999</v>
      </c>
      <c r="CD1838">
        <v>1</v>
      </c>
      <c r="CE1838">
        <v>1</v>
      </c>
      <c r="CF1838">
        <v>0</v>
      </c>
      <c r="CG1838">
        <v>1</v>
      </c>
      <c r="CH1838">
        <v>0</v>
      </c>
      <c r="CI1838">
        <v>0</v>
      </c>
      <c r="CJ1838">
        <v>0</v>
      </c>
      <c r="CK1838">
        <v>2</v>
      </c>
      <c r="CL1838">
        <v>0</v>
      </c>
      <c r="CM1838">
        <v>2</v>
      </c>
      <c r="CN1838">
        <v>0</v>
      </c>
      <c r="CO1838">
        <v>1</v>
      </c>
      <c r="CP1838" t="s">
        <v>119</v>
      </c>
      <c r="CQ1838">
        <v>70</v>
      </c>
      <c r="CR1838">
        <v>1</v>
      </c>
      <c r="CW1838">
        <v>3667205</v>
      </c>
      <c r="CY1838">
        <v>0</v>
      </c>
      <c r="CZ1838">
        <v>0</v>
      </c>
      <c r="DA1838">
        <v>1</v>
      </c>
      <c r="DB1838">
        <v>0</v>
      </c>
      <c r="DC1838">
        <v>0</v>
      </c>
      <c r="DD1838">
        <v>0</v>
      </c>
      <c r="DE1838">
        <v>0</v>
      </c>
      <c r="DF1838">
        <v>0</v>
      </c>
      <c r="DG1838">
        <v>0</v>
      </c>
      <c r="DH1838">
        <v>0</v>
      </c>
      <c r="DI1838">
        <v>0</v>
      </c>
    </row>
    <row r="1839" spans="1:113" x14ac:dyDescent="0.3">
      <c r="A1839" t="str">
        <f>"02/13/2022 18:55:45.642"</f>
        <v>02/13/2022 18:55:45.642</v>
      </c>
      <c r="C1839" t="str">
        <f t="shared" si="174"/>
        <v>FFDFD7C0</v>
      </c>
      <c r="D1839" t="s">
        <v>121</v>
      </c>
      <c r="E1839">
        <v>2</v>
      </c>
      <c r="H1839">
        <v>158</v>
      </c>
      <c r="I1839" t="s">
        <v>120</v>
      </c>
      <c r="J1839" t="s">
        <v>122</v>
      </c>
      <c r="K1839">
        <v>0</v>
      </c>
      <c r="L1839">
        <v>3</v>
      </c>
      <c r="M1839">
        <v>0</v>
      </c>
      <c r="N1839">
        <v>2</v>
      </c>
      <c r="O1839">
        <v>1</v>
      </c>
      <c r="P1839">
        <v>0</v>
      </c>
      <c r="Q1839">
        <v>0</v>
      </c>
      <c r="S1839" t="str">
        <f>"18:55:45.359"</f>
        <v>18:55:45.359</v>
      </c>
      <c r="T1839" t="str">
        <f>"18:55:44.359"</f>
        <v>18:55:44.359</v>
      </c>
      <c r="U1839" t="str">
        <f t="shared" si="176"/>
        <v>AAB6EE</v>
      </c>
      <c r="V1839">
        <v>0</v>
      </c>
      <c r="W1839">
        <v>0</v>
      </c>
      <c r="X1839">
        <v>4</v>
      </c>
      <c r="Z1839">
        <v>0</v>
      </c>
      <c r="AA1839">
        <v>8</v>
      </c>
      <c r="AB1839">
        <v>3</v>
      </c>
      <c r="AC1839">
        <v>0</v>
      </c>
      <c r="AD1839">
        <v>10</v>
      </c>
      <c r="AE1839">
        <v>0</v>
      </c>
      <c r="AF1839">
        <v>0</v>
      </c>
      <c r="AG1839">
        <v>2</v>
      </c>
      <c r="AH1839">
        <v>1</v>
      </c>
      <c r="AI1839" t="s">
        <v>1352</v>
      </c>
      <c r="AJ1839">
        <v>34.894874000000002</v>
      </c>
      <c r="AK1839" t="s">
        <v>1353</v>
      </c>
      <c r="AL1839">
        <v>-76.111822000000004</v>
      </c>
      <c r="AM1839">
        <v>25</v>
      </c>
      <c r="AN1839">
        <v>2925</v>
      </c>
      <c r="AO1839" t="s">
        <v>118</v>
      </c>
      <c r="AP1839">
        <v>-66</v>
      </c>
      <c r="AQ1839">
        <v>-128</v>
      </c>
      <c r="AR1839">
        <v>0</v>
      </c>
      <c r="AZ1839">
        <v>4516</v>
      </c>
      <c r="BA1839">
        <v>1</v>
      </c>
      <c r="BB1839" t="str">
        <f t="shared" si="175"/>
        <v xml:space="preserve">N79NX   </v>
      </c>
      <c r="BC1839">
        <v>1</v>
      </c>
      <c r="BE1839">
        <v>0</v>
      </c>
      <c r="BF1839">
        <v>0</v>
      </c>
      <c r="BG1839">
        <v>0</v>
      </c>
      <c r="BH1839">
        <v>2800</v>
      </c>
      <c r="BI1839">
        <v>0</v>
      </c>
      <c r="BJ1839">
        <v>0</v>
      </c>
      <c r="BK1839">
        <v>0</v>
      </c>
      <c r="BL1839">
        <v>0</v>
      </c>
      <c r="BO1839">
        <v>0</v>
      </c>
      <c r="BP1839">
        <v>0</v>
      </c>
      <c r="BW1839" t="str">
        <f>"18:55:45.365"</f>
        <v>18:55:45.365</v>
      </c>
      <c r="BZ1839">
        <v>0</v>
      </c>
      <c r="CA1839">
        <v>3008</v>
      </c>
      <c r="CB1839">
        <v>216</v>
      </c>
      <c r="CC1839">
        <v>586.40629999999999</v>
      </c>
      <c r="CD1839">
        <v>1</v>
      </c>
      <c r="CE1839">
        <v>1</v>
      </c>
      <c r="CF1839">
        <v>0</v>
      </c>
      <c r="CG1839">
        <v>1</v>
      </c>
      <c r="CH1839">
        <v>0</v>
      </c>
      <c r="CI1839">
        <v>0</v>
      </c>
      <c r="CJ1839">
        <v>0</v>
      </c>
      <c r="CK1839">
        <v>2</v>
      </c>
      <c r="CL1839">
        <v>0</v>
      </c>
      <c r="CM1839">
        <v>2</v>
      </c>
      <c r="CN1839">
        <v>0</v>
      </c>
      <c r="CO1839">
        <v>2</v>
      </c>
      <c r="CP1839" t="s">
        <v>119</v>
      </c>
      <c r="CQ1839">
        <v>70</v>
      </c>
      <c r="CR1839">
        <v>1</v>
      </c>
      <c r="CW1839">
        <v>3667883</v>
      </c>
      <c r="CY1839">
        <v>0</v>
      </c>
      <c r="CZ1839">
        <v>0</v>
      </c>
      <c r="DA1839">
        <v>0</v>
      </c>
      <c r="DB1839">
        <v>0</v>
      </c>
      <c r="DC1839">
        <v>0</v>
      </c>
      <c r="DD1839">
        <v>0</v>
      </c>
      <c r="DE1839">
        <v>0</v>
      </c>
      <c r="DF1839">
        <v>0</v>
      </c>
      <c r="DG1839">
        <v>0</v>
      </c>
      <c r="DH1839">
        <v>0</v>
      </c>
      <c r="DI1839">
        <v>0</v>
      </c>
    </row>
    <row r="1840" spans="1:113" x14ac:dyDescent="0.3">
      <c r="A1840" t="str">
        <f>"02/13/2022 18:55:45.642"</f>
        <v>02/13/2022 18:55:45.642</v>
      </c>
      <c r="C1840" t="str">
        <f t="shared" si="174"/>
        <v>FFDFD7C0</v>
      </c>
      <c r="D1840" t="s">
        <v>113</v>
      </c>
      <c r="E1840">
        <v>3</v>
      </c>
      <c r="F1840">
        <v>1003</v>
      </c>
      <c r="G1840" t="s">
        <v>114</v>
      </c>
      <c r="J1840" t="s">
        <v>115</v>
      </c>
      <c r="K1840">
        <v>0</v>
      </c>
      <c r="L1840">
        <v>3</v>
      </c>
      <c r="M1840">
        <v>0</v>
      </c>
      <c r="N1840">
        <v>2</v>
      </c>
      <c r="O1840">
        <v>1</v>
      </c>
      <c r="P1840">
        <v>0</v>
      </c>
      <c r="Q1840">
        <v>0</v>
      </c>
      <c r="S1840" t="str">
        <f>"18:55:45.359"</f>
        <v>18:55:45.359</v>
      </c>
      <c r="T1840" t="str">
        <f>"18:55:44.359"</f>
        <v>18:55:44.359</v>
      </c>
      <c r="U1840" t="str">
        <f t="shared" si="176"/>
        <v>AAB6EE</v>
      </c>
      <c r="V1840">
        <v>0</v>
      </c>
      <c r="W1840">
        <v>0</v>
      </c>
      <c r="X1840">
        <v>4</v>
      </c>
      <c r="Z1840">
        <v>0</v>
      </c>
      <c r="AA1840">
        <v>8</v>
      </c>
      <c r="AB1840">
        <v>3</v>
      </c>
      <c r="AC1840">
        <v>0</v>
      </c>
      <c r="AD1840">
        <v>10</v>
      </c>
      <c r="AE1840">
        <v>0</v>
      </c>
      <c r="AF1840">
        <v>0</v>
      </c>
      <c r="AG1840">
        <v>2</v>
      </c>
      <c r="AH1840">
        <v>1</v>
      </c>
      <c r="AI1840" t="s">
        <v>1352</v>
      </c>
      <c r="AJ1840">
        <v>34.894874000000002</v>
      </c>
      <c r="AK1840" t="s">
        <v>1353</v>
      </c>
      <c r="AL1840">
        <v>-76.111822000000004</v>
      </c>
      <c r="AM1840">
        <v>25</v>
      </c>
      <c r="AN1840">
        <v>2925</v>
      </c>
      <c r="AO1840" t="s">
        <v>118</v>
      </c>
      <c r="AP1840">
        <v>-66</v>
      </c>
      <c r="AQ1840">
        <v>-128</v>
      </c>
      <c r="AR1840">
        <v>0</v>
      </c>
      <c r="AZ1840">
        <v>4516</v>
      </c>
      <c r="BA1840">
        <v>1</v>
      </c>
      <c r="BB1840" t="str">
        <f t="shared" si="175"/>
        <v xml:space="preserve">N79NX   </v>
      </c>
      <c r="BC1840">
        <v>1</v>
      </c>
      <c r="BE1840">
        <v>0</v>
      </c>
      <c r="BF1840">
        <v>0</v>
      </c>
      <c r="BG1840">
        <v>0</v>
      </c>
      <c r="BH1840">
        <v>2800</v>
      </c>
      <c r="BI1840">
        <v>0</v>
      </c>
      <c r="BJ1840">
        <v>0</v>
      </c>
      <c r="BK1840">
        <v>0</v>
      </c>
      <c r="BL1840">
        <v>0</v>
      </c>
      <c r="BO1840">
        <v>0</v>
      </c>
      <c r="BP1840">
        <v>0</v>
      </c>
      <c r="BW1840" t="str">
        <f>"18:55:45.365"</f>
        <v>18:55:45.365</v>
      </c>
      <c r="BZ1840">
        <v>0</v>
      </c>
      <c r="CA1840">
        <v>3008</v>
      </c>
      <c r="CB1840">
        <v>216</v>
      </c>
      <c r="CC1840">
        <v>586.40629999999999</v>
      </c>
      <c r="CD1840">
        <v>1</v>
      </c>
      <c r="CE1840">
        <v>1</v>
      </c>
      <c r="CF1840">
        <v>0</v>
      </c>
      <c r="CG1840">
        <v>1</v>
      </c>
      <c r="CH1840">
        <v>0</v>
      </c>
      <c r="CI1840">
        <v>0</v>
      </c>
      <c r="CJ1840">
        <v>0</v>
      </c>
      <c r="CK1840">
        <v>2</v>
      </c>
      <c r="CL1840">
        <v>0</v>
      </c>
      <c r="CM1840">
        <v>2</v>
      </c>
      <c r="CN1840">
        <v>0</v>
      </c>
      <c r="CO1840">
        <v>2</v>
      </c>
      <c r="CP1840" t="s">
        <v>119</v>
      </c>
      <c r="CQ1840">
        <v>70</v>
      </c>
      <c r="CR1840">
        <v>1</v>
      </c>
      <c r="CW1840">
        <v>3667883</v>
      </c>
      <c r="CY1840">
        <v>0</v>
      </c>
      <c r="CZ1840">
        <v>0</v>
      </c>
      <c r="DA1840">
        <v>1</v>
      </c>
      <c r="DB1840">
        <v>0</v>
      </c>
      <c r="DC1840">
        <v>0</v>
      </c>
      <c r="DD1840">
        <v>0</v>
      </c>
      <c r="DE1840">
        <v>0</v>
      </c>
      <c r="DF1840">
        <v>0</v>
      </c>
      <c r="DG1840">
        <v>0</v>
      </c>
      <c r="DH1840">
        <v>0</v>
      </c>
      <c r="DI1840">
        <v>0</v>
      </c>
    </row>
    <row r="1841" spans="1:113" x14ac:dyDescent="0.3">
      <c r="A1841" t="str">
        <f>"02/13/2022 18:55:45.642"</f>
        <v>02/13/2022 18:55:45.642</v>
      </c>
      <c r="C1841" t="str">
        <f t="shared" si="174"/>
        <v>FFDFD7C0</v>
      </c>
      <c r="D1841" t="s">
        <v>113</v>
      </c>
      <c r="E1841">
        <v>4</v>
      </c>
      <c r="F1841">
        <v>1004</v>
      </c>
      <c r="G1841" t="s">
        <v>120</v>
      </c>
      <c r="J1841" t="s">
        <v>115</v>
      </c>
      <c r="K1841">
        <v>0</v>
      </c>
      <c r="L1841">
        <v>3</v>
      </c>
      <c r="M1841">
        <v>0</v>
      </c>
      <c r="N1841">
        <v>2</v>
      </c>
      <c r="O1841">
        <v>1</v>
      </c>
      <c r="P1841">
        <v>0</v>
      </c>
      <c r="Q1841">
        <v>0</v>
      </c>
      <c r="S1841" t="str">
        <f>"18:55:45.359"</f>
        <v>18:55:45.359</v>
      </c>
      <c r="T1841" t="str">
        <f>"18:55:44.359"</f>
        <v>18:55:44.359</v>
      </c>
      <c r="U1841" t="str">
        <f t="shared" si="176"/>
        <v>AAB6EE</v>
      </c>
      <c r="V1841">
        <v>0</v>
      </c>
      <c r="W1841">
        <v>0</v>
      </c>
      <c r="X1841">
        <v>4</v>
      </c>
      <c r="Z1841">
        <v>0</v>
      </c>
      <c r="AA1841">
        <v>8</v>
      </c>
      <c r="AB1841">
        <v>3</v>
      </c>
      <c r="AC1841">
        <v>0</v>
      </c>
      <c r="AD1841">
        <v>10</v>
      </c>
      <c r="AE1841">
        <v>0</v>
      </c>
      <c r="AF1841">
        <v>0</v>
      </c>
      <c r="AG1841">
        <v>2</v>
      </c>
      <c r="AH1841">
        <v>1</v>
      </c>
      <c r="AI1841" t="s">
        <v>1352</v>
      </c>
      <c r="AJ1841">
        <v>34.894874000000002</v>
      </c>
      <c r="AK1841" t="s">
        <v>1353</v>
      </c>
      <c r="AL1841">
        <v>-76.111822000000004</v>
      </c>
      <c r="AM1841">
        <v>25</v>
      </c>
      <c r="AN1841">
        <v>2925</v>
      </c>
      <c r="AO1841" t="s">
        <v>118</v>
      </c>
      <c r="AP1841">
        <v>-66</v>
      </c>
      <c r="AQ1841">
        <v>-128</v>
      </c>
      <c r="AR1841">
        <v>0</v>
      </c>
      <c r="AZ1841">
        <v>4516</v>
      </c>
      <c r="BA1841">
        <v>1</v>
      </c>
      <c r="BB1841" t="str">
        <f t="shared" si="175"/>
        <v xml:space="preserve">N79NX   </v>
      </c>
      <c r="BC1841">
        <v>1</v>
      </c>
      <c r="BE1841">
        <v>0</v>
      </c>
      <c r="BF1841">
        <v>0</v>
      </c>
      <c r="BG1841">
        <v>0</v>
      </c>
      <c r="BH1841">
        <v>2800</v>
      </c>
      <c r="BI1841">
        <v>0</v>
      </c>
      <c r="BJ1841">
        <v>0</v>
      </c>
      <c r="BK1841">
        <v>0</v>
      </c>
      <c r="BL1841">
        <v>0</v>
      </c>
      <c r="BO1841">
        <v>0</v>
      </c>
      <c r="BP1841">
        <v>0</v>
      </c>
      <c r="BW1841" t="str">
        <f>"18:55:45.365"</f>
        <v>18:55:45.365</v>
      </c>
      <c r="BZ1841">
        <v>0</v>
      </c>
      <c r="CA1841">
        <v>3008</v>
      </c>
      <c r="CB1841">
        <v>216</v>
      </c>
      <c r="CC1841">
        <v>586.40629999999999</v>
      </c>
      <c r="CD1841">
        <v>1</v>
      </c>
      <c r="CE1841">
        <v>1</v>
      </c>
      <c r="CF1841">
        <v>0</v>
      </c>
      <c r="CG1841">
        <v>1</v>
      </c>
      <c r="CH1841">
        <v>0</v>
      </c>
      <c r="CI1841">
        <v>0</v>
      </c>
      <c r="CJ1841">
        <v>0</v>
      </c>
      <c r="CK1841">
        <v>2</v>
      </c>
      <c r="CL1841">
        <v>0</v>
      </c>
      <c r="CM1841">
        <v>2</v>
      </c>
      <c r="CN1841">
        <v>0</v>
      </c>
      <c r="CO1841">
        <v>2</v>
      </c>
      <c r="CP1841" t="s">
        <v>119</v>
      </c>
      <c r="CQ1841">
        <v>70</v>
      </c>
      <c r="CR1841">
        <v>1</v>
      </c>
      <c r="CW1841">
        <v>3667883</v>
      </c>
      <c r="CY1841">
        <v>0</v>
      </c>
      <c r="CZ1841">
        <v>0</v>
      </c>
      <c r="DA1841">
        <v>1</v>
      </c>
      <c r="DB1841">
        <v>0</v>
      </c>
      <c r="DC1841">
        <v>0</v>
      </c>
      <c r="DD1841">
        <v>0</v>
      </c>
      <c r="DE1841">
        <v>0</v>
      </c>
      <c r="DF1841">
        <v>0</v>
      </c>
      <c r="DG1841">
        <v>0</v>
      </c>
      <c r="DH1841">
        <v>0</v>
      </c>
      <c r="DI1841">
        <v>0</v>
      </c>
    </row>
    <row r="1842" spans="1:113" x14ac:dyDescent="0.3">
      <c r="A1842" t="str">
        <f>"02/13/2022 18:55:46.972"</f>
        <v>02/13/2022 18:55:46.972</v>
      </c>
      <c r="C1842" t="str">
        <f t="shared" si="174"/>
        <v>FFDFD7C0</v>
      </c>
      <c r="D1842" t="s">
        <v>121</v>
      </c>
      <c r="E1842">
        <v>2</v>
      </c>
      <c r="H1842">
        <v>158</v>
      </c>
      <c r="I1842" t="s">
        <v>120</v>
      </c>
      <c r="J1842" t="s">
        <v>122</v>
      </c>
      <c r="K1842">
        <v>0</v>
      </c>
      <c r="L1842">
        <v>3</v>
      </c>
      <c r="M1842">
        <v>0</v>
      </c>
      <c r="N1842">
        <v>2</v>
      </c>
      <c r="O1842">
        <v>1</v>
      </c>
      <c r="P1842">
        <v>0</v>
      </c>
      <c r="Q1842">
        <v>0</v>
      </c>
      <c r="S1842" t="str">
        <f>"18:55:46.688"</f>
        <v>18:55:46.688</v>
      </c>
      <c r="T1842" t="str">
        <f>"18:55:46.288"</f>
        <v>18:55:46.288</v>
      </c>
      <c r="U1842" t="str">
        <f t="shared" si="176"/>
        <v>AAB6EE</v>
      </c>
      <c r="V1842">
        <v>0</v>
      </c>
      <c r="W1842">
        <v>0</v>
      </c>
      <c r="X1842">
        <v>4</v>
      </c>
      <c r="Z1842">
        <v>0</v>
      </c>
      <c r="AA1842">
        <v>8</v>
      </c>
      <c r="AB1842">
        <v>3</v>
      </c>
      <c r="AC1842">
        <v>0</v>
      </c>
      <c r="AD1842">
        <v>10</v>
      </c>
      <c r="AE1842">
        <v>0</v>
      </c>
      <c r="AF1842">
        <v>0</v>
      </c>
      <c r="AG1842">
        <v>2</v>
      </c>
      <c r="AH1842">
        <v>1</v>
      </c>
      <c r="AI1842" t="s">
        <v>1354</v>
      </c>
      <c r="AJ1842">
        <v>34.894123</v>
      </c>
      <c r="AK1842" t="s">
        <v>1355</v>
      </c>
      <c r="AL1842">
        <v>-76.112316000000007</v>
      </c>
      <c r="AM1842">
        <v>25</v>
      </c>
      <c r="AN1842">
        <v>2925</v>
      </c>
      <c r="AO1842" t="s">
        <v>118</v>
      </c>
      <c r="AP1842">
        <v>-67</v>
      </c>
      <c r="AQ1842">
        <v>-128</v>
      </c>
      <c r="AR1842">
        <v>0</v>
      </c>
      <c r="AZ1842">
        <v>4516</v>
      </c>
      <c r="BA1842">
        <v>1</v>
      </c>
      <c r="BB1842" t="str">
        <f t="shared" si="175"/>
        <v xml:space="preserve">N79NX   </v>
      </c>
      <c r="BC1842">
        <v>1</v>
      </c>
      <c r="BE1842">
        <v>0</v>
      </c>
      <c r="BF1842">
        <v>0</v>
      </c>
      <c r="BG1842">
        <v>0</v>
      </c>
      <c r="BH1842">
        <v>2800</v>
      </c>
      <c r="BI1842">
        <v>0</v>
      </c>
      <c r="BJ1842">
        <v>0</v>
      </c>
      <c r="BK1842">
        <v>0</v>
      </c>
      <c r="BL1842">
        <v>0</v>
      </c>
      <c r="BO1842">
        <v>0</v>
      </c>
      <c r="BP1842">
        <v>0</v>
      </c>
      <c r="BW1842" t="str">
        <f>"18:55:46.695"</f>
        <v>18:55:46.695</v>
      </c>
      <c r="BZ1842">
        <v>0</v>
      </c>
      <c r="CA1842">
        <v>3008</v>
      </c>
      <c r="CB1842">
        <v>216</v>
      </c>
      <c r="CC1842">
        <v>586.40629999999999</v>
      </c>
      <c r="CD1842">
        <v>1</v>
      </c>
      <c r="CE1842">
        <v>1</v>
      </c>
      <c r="CF1842">
        <v>0</v>
      </c>
      <c r="CG1842">
        <v>1</v>
      </c>
      <c r="CH1842">
        <v>0</v>
      </c>
      <c r="CI1842">
        <v>0</v>
      </c>
      <c r="CJ1842">
        <v>0</v>
      </c>
      <c r="CK1842">
        <v>2</v>
      </c>
      <c r="CL1842">
        <v>0</v>
      </c>
      <c r="CM1842">
        <v>2</v>
      </c>
      <c r="CN1842">
        <v>0</v>
      </c>
      <c r="CO1842">
        <v>1</v>
      </c>
      <c r="CP1842" t="s">
        <v>119</v>
      </c>
      <c r="CQ1842">
        <v>70</v>
      </c>
      <c r="CR1842">
        <v>1</v>
      </c>
      <c r="CW1842">
        <v>3668901</v>
      </c>
      <c r="CY1842">
        <v>0</v>
      </c>
      <c r="CZ1842">
        <v>0</v>
      </c>
      <c r="DA1842">
        <v>0</v>
      </c>
      <c r="DB1842">
        <v>0</v>
      </c>
      <c r="DC1842">
        <v>0</v>
      </c>
      <c r="DD1842">
        <v>0</v>
      </c>
      <c r="DE1842">
        <v>0</v>
      </c>
      <c r="DF1842">
        <v>0</v>
      </c>
      <c r="DG1842">
        <v>0</v>
      </c>
      <c r="DH1842">
        <v>0</v>
      </c>
      <c r="DI1842">
        <v>0</v>
      </c>
    </row>
    <row r="1843" spans="1:113" x14ac:dyDescent="0.3">
      <c r="A1843" t="str">
        <f>"02/13/2022 18:55:46.972"</f>
        <v>02/13/2022 18:55:46.972</v>
      </c>
      <c r="C1843" t="str">
        <f t="shared" si="174"/>
        <v>FFDFD7C0</v>
      </c>
      <c r="D1843" t="s">
        <v>113</v>
      </c>
      <c r="E1843">
        <v>3</v>
      </c>
      <c r="F1843">
        <v>1003</v>
      </c>
      <c r="G1843" t="s">
        <v>114</v>
      </c>
      <c r="J1843" t="s">
        <v>115</v>
      </c>
      <c r="K1843">
        <v>0</v>
      </c>
      <c r="L1843">
        <v>3</v>
      </c>
      <c r="M1843">
        <v>0</v>
      </c>
      <c r="N1843">
        <v>2</v>
      </c>
      <c r="O1843">
        <v>1</v>
      </c>
      <c r="P1843">
        <v>0</v>
      </c>
      <c r="Q1843">
        <v>0</v>
      </c>
      <c r="S1843" t="str">
        <f>"18:55:46.688"</f>
        <v>18:55:46.688</v>
      </c>
      <c r="T1843" t="str">
        <f>"18:55:46.288"</f>
        <v>18:55:46.288</v>
      </c>
      <c r="U1843" t="str">
        <f t="shared" si="176"/>
        <v>AAB6EE</v>
      </c>
      <c r="V1843">
        <v>0</v>
      </c>
      <c r="W1843">
        <v>0</v>
      </c>
      <c r="X1843">
        <v>4</v>
      </c>
      <c r="Z1843">
        <v>0</v>
      </c>
      <c r="AA1843">
        <v>8</v>
      </c>
      <c r="AB1843">
        <v>3</v>
      </c>
      <c r="AC1843">
        <v>0</v>
      </c>
      <c r="AD1843">
        <v>10</v>
      </c>
      <c r="AE1843">
        <v>0</v>
      </c>
      <c r="AF1843">
        <v>0</v>
      </c>
      <c r="AG1843">
        <v>2</v>
      </c>
      <c r="AH1843">
        <v>1</v>
      </c>
      <c r="AI1843" t="s">
        <v>1354</v>
      </c>
      <c r="AJ1843">
        <v>34.894123</v>
      </c>
      <c r="AK1843" t="s">
        <v>1355</v>
      </c>
      <c r="AL1843">
        <v>-76.112316000000007</v>
      </c>
      <c r="AM1843">
        <v>25</v>
      </c>
      <c r="AN1843">
        <v>2925</v>
      </c>
      <c r="AO1843" t="s">
        <v>118</v>
      </c>
      <c r="AP1843">
        <v>-67</v>
      </c>
      <c r="AQ1843">
        <v>-128</v>
      </c>
      <c r="AR1843">
        <v>0</v>
      </c>
      <c r="AZ1843">
        <v>4516</v>
      </c>
      <c r="BA1843">
        <v>1</v>
      </c>
      <c r="BB1843" t="str">
        <f t="shared" si="175"/>
        <v xml:space="preserve">N79NX   </v>
      </c>
      <c r="BC1843">
        <v>1</v>
      </c>
      <c r="BE1843">
        <v>0</v>
      </c>
      <c r="BF1843">
        <v>0</v>
      </c>
      <c r="BG1843">
        <v>0</v>
      </c>
      <c r="BH1843">
        <v>2800</v>
      </c>
      <c r="BI1843">
        <v>0</v>
      </c>
      <c r="BJ1843">
        <v>0</v>
      </c>
      <c r="BK1843">
        <v>0</v>
      </c>
      <c r="BL1843">
        <v>0</v>
      </c>
      <c r="BO1843">
        <v>0</v>
      </c>
      <c r="BP1843">
        <v>0</v>
      </c>
      <c r="BW1843" t="str">
        <f>"18:55:46.695"</f>
        <v>18:55:46.695</v>
      </c>
      <c r="BZ1843">
        <v>0</v>
      </c>
      <c r="CA1843">
        <v>3008</v>
      </c>
      <c r="CB1843">
        <v>216</v>
      </c>
      <c r="CC1843">
        <v>586.40629999999999</v>
      </c>
      <c r="CD1843">
        <v>1</v>
      </c>
      <c r="CE1843">
        <v>1</v>
      </c>
      <c r="CF1843">
        <v>0</v>
      </c>
      <c r="CG1843">
        <v>1</v>
      </c>
      <c r="CH1843">
        <v>0</v>
      </c>
      <c r="CI1843">
        <v>0</v>
      </c>
      <c r="CJ1843">
        <v>0</v>
      </c>
      <c r="CK1843">
        <v>2</v>
      </c>
      <c r="CL1843">
        <v>0</v>
      </c>
      <c r="CM1843">
        <v>2</v>
      </c>
      <c r="CN1843">
        <v>0</v>
      </c>
      <c r="CO1843">
        <v>1</v>
      </c>
      <c r="CP1843" t="s">
        <v>119</v>
      </c>
      <c r="CQ1843">
        <v>70</v>
      </c>
      <c r="CR1843">
        <v>1</v>
      </c>
      <c r="CW1843">
        <v>3668901</v>
      </c>
      <c r="CY1843">
        <v>0</v>
      </c>
      <c r="CZ1843">
        <v>0</v>
      </c>
      <c r="DA1843">
        <v>1</v>
      </c>
      <c r="DB1843">
        <v>0</v>
      </c>
      <c r="DC1843">
        <v>0</v>
      </c>
      <c r="DD1843">
        <v>0</v>
      </c>
      <c r="DE1843">
        <v>0</v>
      </c>
      <c r="DF1843">
        <v>0</v>
      </c>
      <c r="DG1843">
        <v>0</v>
      </c>
      <c r="DH1843">
        <v>0</v>
      </c>
      <c r="DI1843">
        <v>0</v>
      </c>
    </row>
    <row r="1844" spans="1:113" x14ac:dyDescent="0.3">
      <c r="A1844" t="str">
        <f>"02/13/2022 18:55:46.972"</f>
        <v>02/13/2022 18:55:46.972</v>
      </c>
      <c r="C1844" t="str">
        <f t="shared" si="174"/>
        <v>FFDFD7C0</v>
      </c>
      <c r="D1844" t="s">
        <v>113</v>
      </c>
      <c r="E1844">
        <v>4</v>
      </c>
      <c r="F1844">
        <v>1004</v>
      </c>
      <c r="G1844" t="s">
        <v>120</v>
      </c>
      <c r="J1844" t="s">
        <v>115</v>
      </c>
      <c r="K1844">
        <v>0</v>
      </c>
      <c r="L1844">
        <v>3</v>
      </c>
      <c r="M1844">
        <v>0</v>
      </c>
      <c r="N1844">
        <v>2</v>
      </c>
      <c r="O1844">
        <v>1</v>
      </c>
      <c r="P1844">
        <v>0</v>
      </c>
      <c r="Q1844">
        <v>0</v>
      </c>
      <c r="S1844" t="str">
        <f>"18:55:46.688"</f>
        <v>18:55:46.688</v>
      </c>
      <c r="T1844" t="str">
        <f>"18:55:46.288"</f>
        <v>18:55:46.288</v>
      </c>
      <c r="U1844" t="str">
        <f t="shared" si="176"/>
        <v>AAB6EE</v>
      </c>
      <c r="V1844">
        <v>0</v>
      </c>
      <c r="W1844">
        <v>0</v>
      </c>
      <c r="X1844">
        <v>4</v>
      </c>
      <c r="Z1844">
        <v>0</v>
      </c>
      <c r="AA1844">
        <v>8</v>
      </c>
      <c r="AB1844">
        <v>3</v>
      </c>
      <c r="AC1844">
        <v>0</v>
      </c>
      <c r="AD1844">
        <v>10</v>
      </c>
      <c r="AE1844">
        <v>0</v>
      </c>
      <c r="AF1844">
        <v>0</v>
      </c>
      <c r="AG1844">
        <v>2</v>
      </c>
      <c r="AH1844">
        <v>1</v>
      </c>
      <c r="AI1844" t="s">
        <v>1354</v>
      </c>
      <c r="AJ1844">
        <v>34.894123</v>
      </c>
      <c r="AK1844" t="s">
        <v>1355</v>
      </c>
      <c r="AL1844">
        <v>-76.112316000000007</v>
      </c>
      <c r="AM1844">
        <v>25</v>
      </c>
      <c r="AN1844">
        <v>2925</v>
      </c>
      <c r="AO1844" t="s">
        <v>118</v>
      </c>
      <c r="AP1844">
        <v>-67</v>
      </c>
      <c r="AQ1844">
        <v>-128</v>
      </c>
      <c r="AR1844">
        <v>0</v>
      </c>
      <c r="AZ1844">
        <v>4516</v>
      </c>
      <c r="BA1844">
        <v>1</v>
      </c>
      <c r="BB1844" t="str">
        <f t="shared" si="175"/>
        <v xml:space="preserve">N79NX   </v>
      </c>
      <c r="BC1844">
        <v>1</v>
      </c>
      <c r="BE1844">
        <v>0</v>
      </c>
      <c r="BF1844">
        <v>0</v>
      </c>
      <c r="BG1844">
        <v>0</v>
      </c>
      <c r="BH1844">
        <v>2800</v>
      </c>
      <c r="BI1844">
        <v>0</v>
      </c>
      <c r="BJ1844">
        <v>0</v>
      </c>
      <c r="BK1844">
        <v>0</v>
      </c>
      <c r="BL1844">
        <v>0</v>
      </c>
      <c r="BO1844">
        <v>0</v>
      </c>
      <c r="BP1844">
        <v>0</v>
      </c>
      <c r="BW1844" t="str">
        <f>"18:55:46.695"</f>
        <v>18:55:46.695</v>
      </c>
      <c r="BZ1844">
        <v>0</v>
      </c>
      <c r="CA1844">
        <v>3008</v>
      </c>
      <c r="CB1844">
        <v>216</v>
      </c>
      <c r="CC1844">
        <v>586.40629999999999</v>
      </c>
      <c r="CD1844">
        <v>1</v>
      </c>
      <c r="CE1844">
        <v>1</v>
      </c>
      <c r="CF1844">
        <v>0</v>
      </c>
      <c r="CG1844">
        <v>1</v>
      </c>
      <c r="CH1844">
        <v>0</v>
      </c>
      <c r="CI1844">
        <v>0</v>
      </c>
      <c r="CJ1844">
        <v>0</v>
      </c>
      <c r="CK1844">
        <v>2</v>
      </c>
      <c r="CL1844">
        <v>0</v>
      </c>
      <c r="CM1844">
        <v>2</v>
      </c>
      <c r="CN1844">
        <v>0</v>
      </c>
      <c r="CO1844">
        <v>1</v>
      </c>
      <c r="CP1844" t="s">
        <v>119</v>
      </c>
      <c r="CQ1844">
        <v>70</v>
      </c>
      <c r="CR1844">
        <v>1</v>
      </c>
      <c r="CW1844">
        <v>3668901</v>
      </c>
      <c r="CY1844">
        <v>0</v>
      </c>
      <c r="CZ1844">
        <v>0</v>
      </c>
      <c r="DA1844">
        <v>1</v>
      </c>
      <c r="DB1844">
        <v>0</v>
      </c>
      <c r="DC1844">
        <v>0</v>
      </c>
      <c r="DD1844">
        <v>0</v>
      </c>
      <c r="DE1844">
        <v>0</v>
      </c>
      <c r="DF1844">
        <v>0</v>
      </c>
      <c r="DG1844">
        <v>0</v>
      </c>
      <c r="DH1844">
        <v>0</v>
      </c>
      <c r="DI1844">
        <v>0</v>
      </c>
    </row>
    <row r="1845" spans="1:113" x14ac:dyDescent="0.3">
      <c r="A1845" t="str">
        <f>"02/13/2022 18:55:48.581"</f>
        <v>02/13/2022 18:55:48.581</v>
      </c>
      <c r="C1845" t="str">
        <f t="shared" si="174"/>
        <v>FFDFD7C0</v>
      </c>
      <c r="D1845" t="s">
        <v>121</v>
      </c>
      <c r="E1845">
        <v>2</v>
      </c>
      <c r="H1845">
        <v>158</v>
      </c>
      <c r="I1845" t="s">
        <v>120</v>
      </c>
      <c r="J1845" t="s">
        <v>122</v>
      </c>
      <c r="K1845">
        <v>0</v>
      </c>
      <c r="L1845">
        <v>3</v>
      </c>
      <c r="M1845">
        <v>0</v>
      </c>
      <c r="N1845">
        <v>2</v>
      </c>
      <c r="O1845">
        <v>1</v>
      </c>
      <c r="P1845">
        <v>0</v>
      </c>
      <c r="Q1845">
        <v>0</v>
      </c>
      <c r="S1845" t="str">
        <f>"18:55:48.320"</f>
        <v>18:55:48.320</v>
      </c>
      <c r="T1845" t="str">
        <f>"18:55:48.120"</f>
        <v>18:55:48.120</v>
      </c>
      <c r="U1845" t="str">
        <f t="shared" si="176"/>
        <v>AAB6EE</v>
      </c>
      <c r="V1845">
        <v>0</v>
      </c>
      <c r="W1845">
        <v>0</v>
      </c>
      <c r="X1845">
        <v>4</v>
      </c>
      <c r="Z1845">
        <v>0</v>
      </c>
      <c r="AA1845">
        <v>8</v>
      </c>
      <c r="AB1845">
        <v>3</v>
      </c>
      <c r="AC1845">
        <v>0</v>
      </c>
      <c r="AD1845">
        <v>10</v>
      </c>
      <c r="AE1845">
        <v>0</v>
      </c>
      <c r="AF1845">
        <v>0</v>
      </c>
      <c r="AG1845">
        <v>2</v>
      </c>
      <c r="AH1845">
        <v>1</v>
      </c>
      <c r="AI1845" t="s">
        <v>1356</v>
      </c>
      <c r="AJ1845">
        <v>34.893135999999998</v>
      </c>
      <c r="AK1845" t="s">
        <v>1357</v>
      </c>
      <c r="AL1845">
        <v>-76.112938</v>
      </c>
      <c r="AM1845">
        <v>25</v>
      </c>
      <c r="AN1845">
        <v>2925</v>
      </c>
      <c r="AO1845" t="s">
        <v>118</v>
      </c>
      <c r="AP1845">
        <v>-67</v>
      </c>
      <c r="AQ1845">
        <v>-128</v>
      </c>
      <c r="AR1845">
        <v>0</v>
      </c>
      <c r="AZ1845">
        <v>4516</v>
      </c>
      <c r="BA1845">
        <v>1</v>
      </c>
      <c r="BB1845" t="str">
        <f t="shared" si="175"/>
        <v xml:space="preserve">N79NX   </v>
      </c>
      <c r="BC1845">
        <v>1</v>
      </c>
      <c r="BE1845">
        <v>0</v>
      </c>
      <c r="BF1845">
        <v>0</v>
      </c>
      <c r="BG1845">
        <v>0</v>
      </c>
      <c r="BH1845">
        <v>2800</v>
      </c>
      <c r="BI1845">
        <v>0</v>
      </c>
      <c r="BJ1845">
        <v>0</v>
      </c>
      <c r="BK1845">
        <v>0</v>
      </c>
      <c r="BL1845">
        <v>0</v>
      </c>
      <c r="BO1845">
        <v>0</v>
      </c>
      <c r="BP1845">
        <v>0</v>
      </c>
      <c r="BW1845" t="str">
        <f>"18:55:48.325"</f>
        <v>18:55:48.325</v>
      </c>
      <c r="BZ1845">
        <v>0</v>
      </c>
      <c r="CA1845">
        <v>3008</v>
      </c>
      <c r="CB1845">
        <v>216</v>
      </c>
      <c r="CC1845">
        <v>586.40629999999999</v>
      </c>
      <c r="CD1845">
        <v>1</v>
      </c>
      <c r="CE1845">
        <v>1</v>
      </c>
      <c r="CF1845">
        <v>0</v>
      </c>
      <c r="CG1845">
        <v>1</v>
      </c>
      <c r="CH1845">
        <v>0</v>
      </c>
      <c r="CI1845">
        <v>0</v>
      </c>
      <c r="CJ1845">
        <v>0</v>
      </c>
      <c r="CK1845">
        <v>2</v>
      </c>
      <c r="CL1845">
        <v>0</v>
      </c>
      <c r="CM1845">
        <v>2</v>
      </c>
      <c r="CN1845">
        <v>0</v>
      </c>
      <c r="CO1845">
        <v>1</v>
      </c>
      <c r="CP1845" t="s">
        <v>119</v>
      </c>
      <c r="CQ1845">
        <v>70</v>
      </c>
      <c r="CR1845">
        <v>1</v>
      </c>
      <c r="CW1845">
        <v>3670264</v>
      </c>
      <c r="CY1845">
        <v>0</v>
      </c>
      <c r="CZ1845">
        <v>0</v>
      </c>
      <c r="DA1845">
        <v>0</v>
      </c>
      <c r="DB1845">
        <v>0</v>
      </c>
      <c r="DC1845">
        <v>0</v>
      </c>
      <c r="DD1845">
        <v>0</v>
      </c>
      <c r="DE1845">
        <v>0</v>
      </c>
      <c r="DF1845">
        <v>0</v>
      </c>
      <c r="DG1845">
        <v>0</v>
      </c>
      <c r="DH1845">
        <v>0</v>
      </c>
      <c r="DI1845">
        <v>0</v>
      </c>
    </row>
    <row r="1846" spans="1:113" x14ac:dyDescent="0.3">
      <c r="A1846" t="str">
        <f>"02/13/2022 18:55:48.581"</f>
        <v>02/13/2022 18:55:48.581</v>
      </c>
      <c r="C1846" t="str">
        <f t="shared" si="174"/>
        <v>FFDFD7C0</v>
      </c>
      <c r="D1846" t="s">
        <v>113</v>
      </c>
      <c r="E1846">
        <v>3</v>
      </c>
      <c r="F1846">
        <v>1003</v>
      </c>
      <c r="G1846" t="s">
        <v>114</v>
      </c>
      <c r="J1846" t="s">
        <v>115</v>
      </c>
      <c r="K1846">
        <v>0</v>
      </c>
      <c r="L1846">
        <v>3</v>
      </c>
      <c r="M1846">
        <v>0</v>
      </c>
      <c r="N1846">
        <v>2</v>
      </c>
      <c r="O1846">
        <v>1</v>
      </c>
      <c r="P1846">
        <v>0</v>
      </c>
      <c r="Q1846">
        <v>0</v>
      </c>
      <c r="S1846" t="str">
        <f>"18:55:48.320"</f>
        <v>18:55:48.320</v>
      </c>
      <c r="T1846" t="str">
        <f>"18:55:48.120"</f>
        <v>18:55:48.120</v>
      </c>
      <c r="U1846" t="str">
        <f t="shared" si="176"/>
        <v>AAB6EE</v>
      </c>
      <c r="V1846">
        <v>0</v>
      </c>
      <c r="W1846">
        <v>0</v>
      </c>
      <c r="X1846">
        <v>4</v>
      </c>
      <c r="Z1846">
        <v>0</v>
      </c>
      <c r="AA1846">
        <v>8</v>
      </c>
      <c r="AB1846">
        <v>3</v>
      </c>
      <c r="AC1846">
        <v>0</v>
      </c>
      <c r="AD1846">
        <v>10</v>
      </c>
      <c r="AE1846">
        <v>0</v>
      </c>
      <c r="AF1846">
        <v>0</v>
      </c>
      <c r="AG1846">
        <v>2</v>
      </c>
      <c r="AH1846">
        <v>1</v>
      </c>
      <c r="AI1846" t="s">
        <v>1356</v>
      </c>
      <c r="AJ1846">
        <v>34.893135999999998</v>
      </c>
      <c r="AK1846" t="s">
        <v>1357</v>
      </c>
      <c r="AL1846">
        <v>-76.112938</v>
      </c>
      <c r="AM1846">
        <v>25</v>
      </c>
      <c r="AN1846">
        <v>2925</v>
      </c>
      <c r="AO1846" t="s">
        <v>118</v>
      </c>
      <c r="AP1846">
        <v>-67</v>
      </c>
      <c r="AQ1846">
        <v>-128</v>
      </c>
      <c r="AR1846">
        <v>0</v>
      </c>
      <c r="AZ1846">
        <v>4516</v>
      </c>
      <c r="BA1846">
        <v>1</v>
      </c>
      <c r="BB1846" t="str">
        <f t="shared" si="175"/>
        <v xml:space="preserve">N79NX   </v>
      </c>
      <c r="BC1846">
        <v>1</v>
      </c>
      <c r="BE1846">
        <v>0</v>
      </c>
      <c r="BF1846">
        <v>0</v>
      </c>
      <c r="BG1846">
        <v>0</v>
      </c>
      <c r="BH1846">
        <v>2800</v>
      </c>
      <c r="BI1846">
        <v>0</v>
      </c>
      <c r="BJ1846">
        <v>0</v>
      </c>
      <c r="BK1846">
        <v>0</v>
      </c>
      <c r="BL1846">
        <v>0</v>
      </c>
      <c r="BO1846">
        <v>0</v>
      </c>
      <c r="BP1846">
        <v>0</v>
      </c>
      <c r="BW1846" t="str">
        <f>"18:55:48.325"</f>
        <v>18:55:48.325</v>
      </c>
      <c r="BZ1846">
        <v>0</v>
      </c>
      <c r="CA1846">
        <v>3008</v>
      </c>
      <c r="CB1846">
        <v>216</v>
      </c>
      <c r="CC1846">
        <v>586.40629999999999</v>
      </c>
      <c r="CD1846">
        <v>1</v>
      </c>
      <c r="CE1846">
        <v>1</v>
      </c>
      <c r="CF1846">
        <v>0</v>
      </c>
      <c r="CG1846">
        <v>1</v>
      </c>
      <c r="CH1846">
        <v>0</v>
      </c>
      <c r="CI1846">
        <v>0</v>
      </c>
      <c r="CJ1846">
        <v>0</v>
      </c>
      <c r="CK1846">
        <v>2</v>
      </c>
      <c r="CL1846">
        <v>0</v>
      </c>
      <c r="CM1846">
        <v>2</v>
      </c>
      <c r="CN1846">
        <v>0</v>
      </c>
      <c r="CO1846">
        <v>1</v>
      </c>
      <c r="CP1846" t="s">
        <v>119</v>
      </c>
      <c r="CQ1846">
        <v>70</v>
      </c>
      <c r="CR1846">
        <v>1</v>
      </c>
      <c r="CW1846">
        <v>3670264</v>
      </c>
      <c r="CY1846">
        <v>0</v>
      </c>
      <c r="CZ1846">
        <v>0</v>
      </c>
      <c r="DA1846">
        <v>1</v>
      </c>
      <c r="DB1846">
        <v>0</v>
      </c>
      <c r="DC1846">
        <v>0</v>
      </c>
      <c r="DD1846">
        <v>0</v>
      </c>
      <c r="DE1846">
        <v>0</v>
      </c>
      <c r="DF1846">
        <v>0</v>
      </c>
      <c r="DG1846">
        <v>0</v>
      </c>
      <c r="DH1846">
        <v>0</v>
      </c>
      <c r="DI1846">
        <v>0</v>
      </c>
    </row>
    <row r="1847" spans="1:113" x14ac:dyDescent="0.3">
      <c r="A1847" t="str">
        <f>"02/13/2022 18:55:48.581"</f>
        <v>02/13/2022 18:55:48.581</v>
      </c>
      <c r="C1847" t="str">
        <f t="shared" si="174"/>
        <v>FFDFD7C0</v>
      </c>
      <c r="D1847" t="s">
        <v>113</v>
      </c>
      <c r="E1847">
        <v>4</v>
      </c>
      <c r="F1847">
        <v>1004</v>
      </c>
      <c r="G1847" t="s">
        <v>120</v>
      </c>
      <c r="J1847" t="s">
        <v>115</v>
      </c>
      <c r="K1847">
        <v>0</v>
      </c>
      <c r="L1847">
        <v>3</v>
      </c>
      <c r="M1847">
        <v>0</v>
      </c>
      <c r="N1847">
        <v>2</v>
      </c>
      <c r="O1847">
        <v>1</v>
      </c>
      <c r="P1847">
        <v>0</v>
      </c>
      <c r="Q1847">
        <v>0</v>
      </c>
      <c r="S1847" t="str">
        <f>"18:55:48.320"</f>
        <v>18:55:48.320</v>
      </c>
      <c r="T1847" t="str">
        <f>"18:55:48.120"</f>
        <v>18:55:48.120</v>
      </c>
      <c r="U1847" t="str">
        <f t="shared" si="176"/>
        <v>AAB6EE</v>
      </c>
      <c r="V1847">
        <v>0</v>
      </c>
      <c r="W1847">
        <v>0</v>
      </c>
      <c r="X1847">
        <v>4</v>
      </c>
      <c r="Z1847">
        <v>0</v>
      </c>
      <c r="AA1847">
        <v>8</v>
      </c>
      <c r="AB1847">
        <v>3</v>
      </c>
      <c r="AC1847">
        <v>0</v>
      </c>
      <c r="AD1847">
        <v>10</v>
      </c>
      <c r="AE1847">
        <v>0</v>
      </c>
      <c r="AF1847">
        <v>0</v>
      </c>
      <c r="AG1847">
        <v>2</v>
      </c>
      <c r="AH1847">
        <v>1</v>
      </c>
      <c r="AI1847" t="s">
        <v>1356</v>
      </c>
      <c r="AJ1847">
        <v>34.893135999999998</v>
      </c>
      <c r="AK1847" t="s">
        <v>1357</v>
      </c>
      <c r="AL1847">
        <v>-76.112938</v>
      </c>
      <c r="AM1847">
        <v>25</v>
      </c>
      <c r="AN1847">
        <v>2925</v>
      </c>
      <c r="AO1847" t="s">
        <v>118</v>
      </c>
      <c r="AP1847">
        <v>-67</v>
      </c>
      <c r="AQ1847">
        <v>-128</v>
      </c>
      <c r="AR1847">
        <v>0</v>
      </c>
      <c r="AZ1847">
        <v>4516</v>
      </c>
      <c r="BA1847">
        <v>1</v>
      </c>
      <c r="BB1847" t="str">
        <f t="shared" si="175"/>
        <v xml:space="preserve">N79NX   </v>
      </c>
      <c r="BC1847">
        <v>1</v>
      </c>
      <c r="BE1847">
        <v>0</v>
      </c>
      <c r="BF1847">
        <v>0</v>
      </c>
      <c r="BG1847">
        <v>0</v>
      </c>
      <c r="BH1847">
        <v>2800</v>
      </c>
      <c r="BI1847">
        <v>0</v>
      </c>
      <c r="BJ1847">
        <v>0</v>
      </c>
      <c r="BK1847">
        <v>0</v>
      </c>
      <c r="BL1847">
        <v>0</v>
      </c>
      <c r="BO1847">
        <v>0</v>
      </c>
      <c r="BP1847">
        <v>0</v>
      </c>
      <c r="BW1847" t="str">
        <f>"18:55:48.325"</f>
        <v>18:55:48.325</v>
      </c>
      <c r="BZ1847">
        <v>0</v>
      </c>
      <c r="CA1847">
        <v>3008</v>
      </c>
      <c r="CB1847">
        <v>216</v>
      </c>
      <c r="CC1847">
        <v>586.40629999999999</v>
      </c>
      <c r="CD1847">
        <v>1</v>
      </c>
      <c r="CE1847">
        <v>1</v>
      </c>
      <c r="CF1847">
        <v>0</v>
      </c>
      <c r="CG1847">
        <v>1</v>
      </c>
      <c r="CH1847">
        <v>0</v>
      </c>
      <c r="CI1847">
        <v>0</v>
      </c>
      <c r="CJ1847">
        <v>0</v>
      </c>
      <c r="CK1847">
        <v>2</v>
      </c>
      <c r="CL1847">
        <v>0</v>
      </c>
      <c r="CM1847">
        <v>2</v>
      </c>
      <c r="CN1847">
        <v>0</v>
      </c>
      <c r="CO1847">
        <v>1</v>
      </c>
      <c r="CP1847" t="s">
        <v>119</v>
      </c>
      <c r="CQ1847">
        <v>70</v>
      </c>
      <c r="CR1847">
        <v>1</v>
      </c>
      <c r="CW1847">
        <v>3670264</v>
      </c>
      <c r="CY1847">
        <v>0</v>
      </c>
      <c r="CZ1847">
        <v>0</v>
      </c>
      <c r="DA1847">
        <v>1</v>
      </c>
      <c r="DB1847">
        <v>0</v>
      </c>
      <c r="DC1847">
        <v>0</v>
      </c>
      <c r="DD1847">
        <v>0</v>
      </c>
      <c r="DE1847">
        <v>0</v>
      </c>
      <c r="DF1847">
        <v>0</v>
      </c>
      <c r="DG1847">
        <v>0</v>
      </c>
      <c r="DH1847">
        <v>0</v>
      </c>
      <c r="DI1847">
        <v>0</v>
      </c>
    </row>
    <row r="1848" spans="1:113" x14ac:dyDescent="0.3">
      <c r="A1848" t="str">
        <f>"02/13/2022 18:55:49.825"</f>
        <v>02/13/2022 18:55:49.825</v>
      </c>
      <c r="C1848" t="str">
        <f t="shared" si="174"/>
        <v>FFDFD7C0</v>
      </c>
      <c r="D1848" t="s">
        <v>121</v>
      </c>
      <c r="E1848">
        <v>2</v>
      </c>
      <c r="H1848">
        <v>158</v>
      </c>
      <c r="I1848" t="s">
        <v>120</v>
      </c>
      <c r="J1848" t="s">
        <v>122</v>
      </c>
      <c r="K1848">
        <v>0</v>
      </c>
      <c r="L1848">
        <v>3</v>
      </c>
      <c r="M1848">
        <v>0</v>
      </c>
      <c r="N1848">
        <v>2</v>
      </c>
      <c r="O1848">
        <v>1</v>
      </c>
      <c r="P1848">
        <v>0</v>
      </c>
      <c r="Q1848">
        <v>0</v>
      </c>
      <c r="S1848" t="str">
        <f>"18:55:49.438"</f>
        <v>18:55:49.438</v>
      </c>
      <c r="T1848" t="str">
        <f>"18:55:49.238"</f>
        <v>18:55:49.238</v>
      </c>
      <c r="U1848" t="str">
        <f t="shared" si="176"/>
        <v>AAB6EE</v>
      </c>
      <c r="V1848">
        <v>0</v>
      </c>
      <c r="W1848">
        <v>0</v>
      </c>
      <c r="X1848">
        <v>4</v>
      </c>
      <c r="Z1848">
        <v>0</v>
      </c>
      <c r="AA1848">
        <v>8</v>
      </c>
      <c r="AB1848">
        <v>3</v>
      </c>
      <c r="AC1848">
        <v>0</v>
      </c>
      <c r="AD1848">
        <v>10</v>
      </c>
      <c r="AE1848">
        <v>0</v>
      </c>
      <c r="AF1848">
        <v>0</v>
      </c>
      <c r="AG1848">
        <v>2</v>
      </c>
      <c r="AH1848">
        <v>1</v>
      </c>
      <c r="AI1848" t="s">
        <v>1358</v>
      </c>
      <c r="AJ1848">
        <v>34.892491999999997</v>
      </c>
      <c r="AK1848" t="s">
        <v>1359</v>
      </c>
      <c r="AL1848">
        <v>-76.113346000000007</v>
      </c>
      <c r="AM1848">
        <v>25</v>
      </c>
      <c r="AN1848">
        <v>2925</v>
      </c>
      <c r="AO1848" t="s">
        <v>118</v>
      </c>
      <c r="AP1848">
        <v>-67</v>
      </c>
      <c r="AQ1848">
        <v>-128</v>
      </c>
      <c r="AR1848">
        <v>0</v>
      </c>
      <c r="AZ1848">
        <v>4516</v>
      </c>
      <c r="BA1848">
        <v>1</v>
      </c>
      <c r="BB1848" t="str">
        <f t="shared" si="175"/>
        <v xml:space="preserve">N79NX   </v>
      </c>
      <c r="BC1848">
        <v>1</v>
      </c>
      <c r="BE1848">
        <v>0</v>
      </c>
      <c r="BF1848">
        <v>0</v>
      </c>
      <c r="BG1848">
        <v>0</v>
      </c>
      <c r="BH1848">
        <v>2800</v>
      </c>
      <c r="BI1848">
        <v>0</v>
      </c>
      <c r="BJ1848">
        <v>0</v>
      </c>
      <c r="BK1848">
        <v>0</v>
      </c>
      <c r="BL1848">
        <v>0</v>
      </c>
      <c r="BO1848">
        <v>0</v>
      </c>
      <c r="BP1848">
        <v>0</v>
      </c>
      <c r="BW1848" t="str">
        <f>"18:55:49.445"</f>
        <v>18:55:49.445</v>
      </c>
      <c r="BZ1848">
        <v>0</v>
      </c>
      <c r="CA1848">
        <v>3008</v>
      </c>
      <c r="CB1848">
        <v>216</v>
      </c>
      <c r="CC1848">
        <v>586.40629999999999</v>
      </c>
      <c r="CD1848">
        <v>1</v>
      </c>
      <c r="CE1848">
        <v>1</v>
      </c>
      <c r="CF1848">
        <v>0</v>
      </c>
      <c r="CG1848">
        <v>1</v>
      </c>
      <c r="CH1848">
        <v>0</v>
      </c>
      <c r="CI1848">
        <v>0</v>
      </c>
      <c r="CJ1848">
        <v>0</v>
      </c>
      <c r="CK1848">
        <v>2</v>
      </c>
      <c r="CL1848">
        <v>0</v>
      </c>
      <c r="CM1848">
        <v>2</v>
      </c>
      <c r="CN1848">
        <v>0</v>
      </c>
      <c r="CO1848">
        <v>1</v>
      </c>
      <c r="CP1848" t="s">
        <v>119</v>
      </c>
      <c r="CQ1848">
        <v>70</v>
      </c>
      <c r="CR1848">
        <v>1</v>
      </c>
      <c r="CW1848">
        <v>3671076</v>
      </c>
      <c r="CY1848">
        <v>0</v>
      </c>
      <c r="CZ1848">
        <v>0</v>
      </c>
      <c r="DA1848">
        <v>0</v>
      </c>
      <c r="DB1848">
        <v>0</v>
      </c>
      <c r="DC1848">
        <v>0</v>
      </c>
      <c r="DD1848">
        <v>0</v>
      </c>
      <c r="DE1848">
        <v>0</v>
      </c>
      <c r="DF1848">
        <v>0</v>
      </c>
      <c r="DG1848">
        <v>0</v>
      </c>
      <c r="DH1848">
        <v>0</v>
      </c>
      <c r="DI1848">
        <v>0</v>
      </c>
    </row>
    <row r="1849" spans="1:113" x14ac:dyDescent="0.3">
      <c r="A1849" t="str">
        <f>"02/13/2022 18:55:49.825"</f>
        <v>02/13/2022 18:55:49.825</v>
      </c>
      <c r="C1849" t="str">
        <f t="shared" si="174"/>
        <v>FFDFD7C0</v>
      </c>
      <c r="D1849" t="s">
        <v>113</v>
      </c>
      <c r="E1849">
        <v>4</v>
      </c>
      <c r="F1849">
        <v>1004</v>
      </c>
      <c r="G1849" t="s">
        <v>120</v>
      </c>
      <c r="J1849" t="s">
        <v>115</v>
      </c>
      <c r="K1849">
        <v>0</v>
      </c>
      <c r="L1849">
        <v>3</v>
      </c>
      <c r="M1849">
        <v>0</v>
      </c>
      <c r="N1849">
        <v>2</v>
      </c>
      <c r="O1849">
        <v>1</v>
      </c>
      <c r="P1849">
        <v>0</v>
      </c>
      <c r="Q1849">
        <v>0</v>
      </c>
      <c r="S1849" t="str">
        <f>"18:55:49.438"</f>
        <v>18:55:49.438</v>
      </c>
      <c r="T1849" t="str">
        <f>"18:55:49.238"</f>
        <v>18:55:49.238</v>
      </c>
      <c r="U1849" t="str">
        <f t="shared" si="176"/>
        <v>AAB6EE</v>
      </c>
      <c r="V1849">
        <v>0</v>
      </c>
      <c r="W1849">
        <v>0</v>
      </c>
      <c r="X1849">
        <v>4</v>
      </c>
      <c r="Z1849">
        <v>0</v>
      </c>
      <c r="AA1849">
        <v>8</v>
      </c>
      <c r="AB1849">
        <v>3</v>
      </c>
      <c r="AC1849">
        <v>0</v>
      </c>
      <c r="AD1849">
        <v>10</v>
      </c>
      <c r="AE1849">
        <v>0</v>
      </c>
      <c r="AF1849">
        <v>0</v>
      </c>
      <c r="AG1849">
        <v>2</v>
      </c>
      <c r="AH1849">
        <v>1</v>
      </c>
      <c r="AI1849" t="s">
        <v>1358</v>
      </c>
      <c r="AJ1849">
        <v>34.892491999999997</v>
      </c>
      <c r="AK1849" t="s">
        <v>1359</v>
      </c>
      <c r="AL1849">
        <v>-76.113346000000007</v>
      </c>
      <c r="AM1849">
        <v>25</v>
      </c>
      <c r="AN1849">
        <v>2925</v>
      </c>
      <c r="AO1849" t="s">
        <v>118</v>
      </c>
      <c r="AP1849">
        <v>-67</v>
      </c>
      <c r="AQ1849">
        <v>-128</v>
      </c>
      <c r="AR1849">
        <v>0</v>
      </c>
      <c r="AZ1849">
        <v>4516</v>
      </c>
      <c r="BA1849">
        <v>1</v>
      </c>
      <c r="BB1849" t="str">
        <f t="shared" si="175"/>
        <v xml:space="preserve">N79NX   </v>
      </c>
      <c r="BC1849">
        <v>1</v>
      </c>
      <c r="BE1849">
        <v>0</v>
      </c>
      <c r="BF1849">
        <v>0</v>
      </c>
      <c r="BG1849">
        <v>0</v>
      </c>
      <c r="BH1849">
        <v>2800</v>
      </c>
      <c r="BI1849">
        <v>0</v>
      </c>
      <c r="BJ1849">
        <v>0</v>
      </c>
      <c r="BK1849">
        <v>0</v>
      </c>
      <c r="BL1849">
        <v>0</v>
      </c>
      <c r="BO1849">
        <v>0</v>
      </c>
      <c r="BP1849">
        <v>0</v>
      </c>
      <c r="BW1849" t="str">
        <f>"18:55:49.445"</f>
        <v>18:55:49.445</v>
      </c>
      <c r="BZ1849">
        <v>0</v>
      </c>
      <c r="CA1849">
        <v>3008</v>
      </c>
      <c r="CB1849">
        <v>216</v>
      </c>
      <c r="CC1849">
        <v>586.40629999999999</v>
      </c>
      <c r="CD1849">
        <v>1</v>
      </c>
      <c r="CE1849">
        <v>1</v>
      </c>
      <c r="CF1849">
        <v>0</v>
      </c>
      <c r="CG1849">
        <v>1</v>
      </c>
      <c r="CH1849">
        <v>0</v>
      </c>
      <c r="CI1849">
        <v>0</v>
      </c>
      <c r="CJ1849">
        <v>0</v>
      </c>
      <c r="CK1849">
        <v>2</v>
      </c>
      <c r="CL1849">
        <v>0</v>
      </c>
      <c r="CM1849">
        <v>2</v>
      </c>
      <c r="CN1849">
        <v>0</v>
      </c>
      <c r="CO1849">
        <v>1</v>
      </c>
      <c r="CP1849" t="s">
        <v>119</v>
      </c>
      <c r="CQ1849">
        <v>70</v>
      </c>
      <c r="CR1849">
        <v>1</v>
      </c>
      <c r="CW1849">
        <v>3671076</v>
      </c>
      <c r="CY1849">
        <v>0</v>
      </c>
      <c r="CZ1849">
        <v>0</v>
      </c>
      <c r="DA1849">
        <v>1</v>
      </c>
      <c r="DB1849">
        <v>0</v>
      </c>
      <c r="DC1849">
        <v>0</v>
      </c>
      <c r="DD1849">
        <v>0</v>
      </c>
      <c r="DE1849">
        <v>0</v>
      </c>
      <c r="DF1849">
        <v>0</v>
      </c>
      <c r="DG1849">
        <v>0</v>
      </c>
      <c r="DH1849">
        <v>0</v>
      </c>
      <c r="DI1849">
        <v>0</v>
      </c>
    </row>
    <row r="1850" spans="1:113" x14ac:dyDescent="0.3">
      <c r="A1850" t="str">
        <f>"02/13/2022 18:55:49.825"</f>
        <v>02/13/2022 18:55:49.825</v>
      </c>
      <c r="C1850" t="str">
        <f t="shared" si="174"/>
        <v>FFDFD7C0</v>
      </c>
      <c r="D1850" t="s">
        <v>113</v>
      </c>
      <c r="E1850">
        <v>3</v>
      </c>
      <c r="F1850">
        <v>1003</v>
      </c>
      <c r="G1850" t="s">
        <v>114</v>
      </c>
      <c r="J1850" t="s">
        <v>115</v>
      </c>
      <c r="K1850">
        <v>0</v>
      </c>
      <c r="L1850">
        <v>3</v>
      </c>
      <c r="M1850">
        <v>0</v>
      </c>
      <c r="N1850">
        <v>2</v>
      </c>
      <c r="O1850">
        <v>1</v>
      </c>
      <c r="P1850">
        <v>0</v>
      </c>
      <c r="Q1850">
        <v>0</v>
      </c>
      <c r="S1850" t="str">
        <f>"18:55:49.438"</f>
        <v>18:55:49.438</v>
      </c>
      <c r="T1850" t="str">
        <f>"18:55:49.238"</f>
        <v>18:55:49.238</v>
      </c>
      <c r="U1850" t="str">
        <f t="shared" si="176"/>
        <v>AAB6EE</v>
      </c>
      <c r="V1850">
        <v>0</v>
      </c>
      <c r="W1850">
        <v>0</v>
      </c>
      <c r="X1850">
        <v>4</v>
      </c>
      <c r="Z1850">
        <v>0</v>
      </c>
      <c r="AA1850">
        <v>8</v>
      </c>
      <c r="AB1850">
        <v>3</v>
      </c>
      <c r="AC1850">
        <v>0</v>
      </c>
      <c r="AD1850">
        <v>10</v>
      </c>
      <c r="AE1850">
        <v>0</v>
      </c>
      <c r="AF1850">
        <v>0</v>
      </c>
      <c r="AG1850">
        <v>2</v>
      </c>
      <c r="AH1850">
        <v>1</v>
      </c>
      <c r="AI1850" t="s">
        <v>1358</v>
      </c>
      <c r="AJ1850">
        <v>34.892491999999997</v>
      </c>
      <c r="AK1850" t="s">
        <v>1359</v>
      </c>
      <c r="AL1850">
        <v>-76.113346000000007</v>
      </c>
      <c r="AM1850">
        <v>25</v>
      </c>
      <c r="AN1850">
        <v>2925</v>
      </c>
      <c r="AO1850" t="s">
        <v>118</v>
      </c>
      <c r="AP1850">
        <v>-67</v>
      </c>
      <c r="AQ1850">
        <v>-128</v>
      </c>
      <c r="AR1850">
        <v>0</v>
      </c>
      <c r="AZ1850">
        <v>4516</v>
      </c>
      <c r="BA1850">
        <v>1</v>
      </c>
      <c r="BB1850" t="str">
        <f t="shared" si="175"/>
        <v xml:space="preserve">N79NX   </v>
      </c>
      <c r="BC1850">
        <v>1</v>
      </c>
      <c r="BE1850">
        <v>0</v>
      </c>
      <c r="BF1850">
        <v>0</v>
      </c>
      <c r="BG1850">
        <v>0</v>
      </c>
      <c r="BH1850">
        <v>2800</v>
      </c>
      <c r="BI1850">
        <v>0</v>
      </c>
      <c r="BJ1850">
        <v>0</v>
      </c>
      <c r="BK1850">
        <v>0</v>
      </c>
      <c r="BL1850">
        <v>0</v>
      </c>
      <c r="BO1850">
        <v>0</v>
      </c>
      <c r="BP1850">
        <v>0</v>
      </c>
      <c r="BW1850" t="str">
        <f>"18:55:49.445"</f>
        <v>18:55:49.445</v>
      </c>
      <c r="BZ1850">
        <v>0</v>
      </c>
      <c r="CA1850">
        <v>3008</v>
      </c>
      <c r="CB1850">
        <v>216</v>
      </c>
      <c r="CC1850">
        <v>586.40629999999999</v>
      </c>
      <c r="CD1850">
        <v>1</v>
      </c>
      <c r="CE1850">
        <v>1</v>
      </c>
      <c r="CF1850">
        <v>0</v>
      </c>
      <c r="CG1850">
        <v>1</v>
      </c>
      <c r="CH1850">
        <v>0</v>
      </c>
      <c r="CI1850">
        <v>0</v>
      </c>
      <c r="CJ1850">
        <v>0</v>
      </c>
      <c r="CK1850">
        <v>2</v>
      </c>
      <c r="CL1850">
        <v>0</v>
      </c>
      <c r="CM1850">
        <v>2</v>
      </c>
      <c r="CN1850">
        <v>0</v>
      </c>
      <c r="CO1850">
        <v>1</v>
      </c>
      <c r="CP1850" t="s">
        <v>119</v>
      </c>
      <c r="CQ1850">
        <v>70</v>
      </c>
      <c r="CR1850">
        <v>1</v>
      </c>
      <c r="CW1850">
        <v>3671076</v>
      </c>
      <c r="CY1850">
        <v>0</v>
      </c>
      <c r="CZ1850">
        <v>0</v>
      </c>
      <c r="DA1850">
        <v>1</v>
      </c>
      <c r="DB1850">
        <v>0</v>
      </c>
      <c r="DC1850">
        <v>0</v>
      </c>
      <c r="DD1850">
        <v>0</v>
      </c>
      <c r="DE1850">
        <v>0</v>
      </c>
      <c r="DF1850">
        <v>0</v>
      </c>
      <c r="DG1850">
        <v>0</v>
      </c>
      <c r="DH1850">
        <v>0</v>
      </c>
      <c r="DI1850">
        <v>0</v>
      </c>
    </row>
    <row r="1851" spans="1:113" x14ac:dyDescent="0.3">
      <c r="A1851" t="str">
        <f>"02/13/2022 18:55:50.856"</f>
        <v>02/13/2022 18:55:50.856</v>
      </c>
      <c r="C1851" t="str">
        <f t="shared" si="174"/>
        <v>FFDFD7C0</v>
      </c>
      <c r="D1851" t="s">
        <v>121</v>
      </c>
      <c r="E1851">
        <v>2</v>
      </c>
      <c r="H1851">
        <v>158</v>
      </c>
      <c r="I1851" t="s">
        <v>120</v>
      </c>
      <c r="J1851" t="s">
        <v>122</v>
      </c>
      <c r="K1851">
        <v>0</v>
      </c>
      <c r="L1851">
        <v>3</v>
      </c>
      <c r="M1851">
        <v>0</v>
      </c>
      <c r="N1851">
        <v>2</v>
      </c>
      <c r="O1851">
        <v>1</v>
      </c>
      <c r="P1851">
        <v>0</v>
      </c>
      <c r="Q1851">
        <v>0</v>
      </c>
      <c r="S1851" t="str">
        <f>"18:55:50.570"</f>
        <v>18:55:50.570</v>
      </c>
      <c r="T1851" t="str">
        <f>"18:55:50.270"</f>
        <v>18:55:50.270</v>
      </c>
      <c r="U1851" t="str">
        <f t="shared" si="176"/>
        <v>AAB6EE</v>
      </c>
      <c r="V1851">
        <v>0</v>
      </c>
      <c r="W1851">
        <v>0</v>
      </c>
      <c r="X1851">
        <v>4</v>
      </c>
      <c r="Z1851">
        <v>0</v>
      </c>
      <c r="AA1851">
        <v>8</v>
      </c>
      <c r="AB1851">
        <v>3</v>
      </c>
      <c r="AC1851">
        <v>0</v>
      </c>
      <c r="AD1851">
        <v>10</v>
      </c>
      <c r="AE1851">
        <v>0</v>
      </c>
      <c r="AF1851">
        <v>0</v>
      </c>
      <c r="AG1851">
        <v>2</v>
      </c>
      <c r="AH1851">
        <v>1</v>
      </c>
      <c r="AI1851" t="s">
        <v>1360</v>
      </c>
      <c r="AJ1851">
        <v>34.891806000000003</v>
      </c>
      <c r="AK1851" t="s">
        <v>1361</v>
      </c>
      <c r="AL1851">
        <v>-76.113795999999994</v>
      </c>
      <c r="AM1851">
        <v>25</v>
      </c>
      <c r="AN1851">
        <v>2925</v>
      </c>
      <c r="AO1851" t="s">
        <v>118</v>
      </c>
      <c r="AP1851">
        <v>-67</v>
      </c>
      <c r="AQ1851">
        <v>-128</v>
      </c>
      <c r="AR1851">
        <v>0</v>
      </c>
      <c r="AZ1851">
        <v>4516</v>
      </c>
      <c r="BA1851">
        <v>1</v>
      </c>
      <c r="BB1851" t="str">
        <f t="shared" si="175"/>
        <v xml:space="preserve">N79NX   </v>
      </c>
      <c r="BC1851">
        <v>1</v>
      </c>
      <c r="BE1851">
        <v>0</v>
      </c>
      <c r="BF1851">
        <v>0</v>
      </c>
      <c r="BG1851">
        <v>0</v>
      </c>
      <c r="BH1851">
        <v>2800</v>
      </c>
      <c r="BI1851">
        <v>0</v>
      </c>
      <c r="BJ1851">
        <v>0</v>
      </c>
      <c r="BK1851">
        <v>0</v>
      </c>
      <c r="BL1851">
        <v>0</v>
      </c>
      <c r="BO1851">
        <v>0</v>
      </c>
      <c r="BP1851">
        <v>0</v>
      </c>
      <c r="BW1851" t="str">
        <f>"18:55:50.575"</f>
        <v>18:55:50.575</v>
      </c>
      <c r="BZ1851">
        <v>0</v>
      </c>
      <c r="CA1851">
        <v>3008</v>
      </c>
      <c r="CB1851">
        <v>216</v>
      </c>
      <c r="CC1851">
        <v>586.40629999999999</v>
      </c>
      <c r="CD1851">
        <v>1</v>
      </c>
      <c r="CE1851">
        <v>1</v>
      </c>
      <c r="CF1851">
        <v>0</v>
      </c>
      <c r="CG1851">
        <v>1</v>
      </c>
      <c r="CH1851">
        <v>0</v>
      </c>
      <c r="CI1851">
        <v>0</v>
      </c>
      <c r="CJ1851">
        <v>0</v>
      </c>
      <c r="CK1851">
        <v>2</v>
      </c>
      <c r="CL1851">
        <v>0</v>
      </c>
      <c r="CM1851">
        <v>2</v>
      </c>
      <c r="CN1851">
        <v>0</v>
      </c>
      <c r="CO1851">
        <v>2</v>
      </c>
      <c r="CP1851" t="s">
        <v>119</v>
      </c>
      <c r="CQ1851">
        <v>70</v>
      </c>
      <c r="CR1851">
        <v>1</v>
      </c>
      <c r="CW1851">
        <v>3671884</v>
      </c>
      <c r="CY1851">
        <v>0</v>
      </c>
      <c r="CZ1851">
        <v>0</v>
      </c>
      <c r="DA1851">
        <v>0</v>
      </c>
      <c r="DB1851">
        <v>0</v>
      </c>
      <c r="DC1851">
        <v>0</v>
      </c>
      <c r="DD1851">
        <v>0</v>
      </c>
      <c r="DE1851">
        <v>0</v>
      </c>
      <c r="DF1851">
        <v>0</v>
      </c>
      <c r="DG1851">
        <v>0</v>
      </c>
      <c r="DH1851">
        <v>0</v>
      </c>
      <c r="DI1851">
        <v>0</v>
      </c>
    </row>
    <row r="1852" spans="1:113" x14ac:dyDescent="0.3">
      <c r="A1852" t="str">
        <f>"02/13/2022 18:55:50.856"</f>
        <v>02/13/2022 18:55:50.856</v>
      </c>
      <c r="C1852" t="str">
        <f t="shared" si="174"/>
        <v>FFDFD7C0</v>
      </c>
      <c r="D1852" t="s">
        <v>113</v>
      </c>
      <c r="E1852">
        <v>3</v>
      </c>
      <c r="F1852">
        <v>1003</v>
      </c>
      <c r="G1852" t="s">
        <v>114</v>
      </c>
      <c r="J1852" t="s">
        <v>115</v>
      </c>
      <c r="K1852">
        <v>0</v>
      </c>
      <c r="L1852">
        <v>3</v>
      </c>
      <c r="M1852">
        <v>0</v>
      </c>
      <c r="N1852">
        <v>2</v>
      </c>
      <c r="O1852">
        <v>1</v>
      </c>
      <c r="P1852">
        <v>0</v>
      </c>
      <c r="Q1852">
        <v>0</v>
      </c>
      <c r="S1852" t="str">
        <f>"18:55:50.570"</f>
        <v>18:55:50.570</v>
      </c>
      <c r="T1852" t="str">
        <f>"18:55:50.270"</f>
        <v>18:55:50.270</v>
      </c>
      <c r="U1852" t="str">
        <f t="shared" si="176"/>
        <v>AAB6EE</v>
      </c>
      <c r="V1852">
        <v>0</v>
      </c>
      <c r="W1852">
        <v>0</v>
      </c>
      <c r="X1852">
        <v>4</v>
      </c>
      <c r="Z1852">
        <v>0</v>
      </c>
      <c r="AA1852">
        <v>8</v>
      </c>
      <c r="AB1852">
        <v>3</v>
      </c>
      <c r="AC1852">
        <v>0</v>
      </c>
      <c r="AD1852">
        <v>10</v>
      </c>
      <c r="AE1852">
        <v>0</v>
      </c>
      <c r="AF1852">
        <v>0</v>
      </c>
      <c r="AG1852">
        <v>2</v>
      </c>
      <c r="AH1852">
        <v>1</v>
      </c>
      <c r="AI1852" t="s">
        <v>1360</v>
      </c>
      <c r="AJ1852">
        <v>34.891806000000003</v>
      </c>
      <c r="AK1852" t="s">
        <v>1361</v>
      </c>
      <c r="AL1852">
        <v>-76.113795999999994</v>
      </c>
      <c r="AM1852">
        <v>25</v>
      </c>
      <c r="AN1852">
        <v>2925</v>
      </c>
      <c r="AO1852" t="s">
        <v>118</v>
      </c>
      <c r="AP1852">
        <v>-67</v>
      </c>
      <c r="AQ1852">
        <v>-128</v>
      </c>
      <c r="AR1852">
        <v>0</v>
      </c>
      <c r="AZ1852">
        <v>4516</v>
      </c>
      <c r="BA1852">
        <v>1</v>
      </c>
      <c r="BB1852" t="str">
        <f t="shared" si="175"/>
        <v xml:space="preserve">N79NX   </v>
      </c>
      <c r="BC1852">
        <v>1</v>
      </c>
      <c r="BE1852">
        <v>0</v>
      </c>
      <c r="BF1852">
        <v>0</v>
      </c>
      <c r="BG1852">
        <v>0</v>
      </c>
      <c r="BH1852">
        <v>2800</v>
      </c>
      <c r="BI1852">
        <v>0</v>
      </c>
      <c r="BJ1852">
        <v>0</v>
      </c>
      <c r="BK1852">
        <v>0</v>
      </c>
      <c r="BL1852">
        <v>0</v>
      </c>
      <c r="BO1852">
        <v>0</v>
      </c>
      <c r="BP1852">
        <v>0</v>
      </c>
      <c r="BW1852" t="str">
        <f>"18:55:50.575"</f>
        <v>18:55:50.575</v>
      </c>
      <c r="BZ1852">
        <v>0</v>
      </c>
      <c r="CA1852">
        <v>3008</v>
      </c>
      <c r="CB1852">
        <v>216</v>
      </c>
      <c r="CC1852">
        <v>586.40629999999999</v>
      </c>
      <c r="CD1852">
        <v>1</v>
      </c>
      <c r="CE1852">
        <v>1</v>
      </c>
      <c r="CF1852">
        <v>0</v>
      </c>
      <c r="CG1852">
        <v>1</v>
      </c>
      <c r="CH1852">
        <v>0</v>
      </c>
      <c r="CI1852">
        <v>0</v>
      </c>
      <c r="CJ1852">
        <v>0</v>
      </c>
      <c r="CK1852">
        <v>2</v>
      </c>
      <c r="CL1852">
        <v>0</v>
      </c>
      <c r="CM1852">
        <v>2</v>
      </c>
      <c r="CN1852">
        <v>0</v>
      </c>
      <c r="CO1852">
        <v>2</v>
      </c>
      <c r="CP1852" t="s">
        <v>119</v>
      </c>
      <c r="CQ1852">
        <v>70</v>
      </c>
      <c r="CR1852">
        <v>1</v>
      </c>
      <c r="CW1852">
        <v>3671884</v>
      </c>
      <c r="CY1852">
        <v>0</v>
      </c>
      <c r="CZ1852">
        <v>0</v>
      </c>
      <c r="DA1852">
        <v>1</v>
      </c>
      <c r="DB1852">
        <v>0</v>
      </c>
      <c r="DC1852">
        <v>0</v>
      </c>
      <c r="DD1852">
        <v>0</v>
      </c>
      <c r="DE1852">
        <v>0</v>
      </c>
      <c r="DF1852">
        <v>0</v>
      </c>
      <c r="DG1852">
        <v>0</v>
      </c>
      <c r="DH1852">
        <v>0</v>
      </c>
      <c r="DI1852">
        <v>0</v>
      </c>
    </row>
    <row r="1853" spans="1:113" x14ac:dyDescent="0.3">
      <c r="A1853" t="str">
        <f>"02/13/2022 18:55:50.856"</f>
        <v>02/13/2022 18:55:50.856</v>
      </c>
      <c r="C1853" t="str">
        <f t="shared" si="174"/>
        <v>FFDFD7C0</v>
      </c>
      <c r="D1853" t="s">
        <v>113</v>
      </c>
      <c r="E1853">
        <v>4</v>
      </c>
      <c r="F1853">
        <v>1004</v>
      </c>
      <c r="G1853" t="s">
        <v>120</v>
      </c>
      <c r="J1853" t="s">
        <v>115</v>
      </c>
      <c r="K1853">
        <v>0</v>
      </c>
      <c r="L1853">
        <v>3</v>
      </c>
      <c r="M1853">
        <v>0</v>
      </c>
      <c r="N1853">
        <v>2</v>
      </c>
      <c r="O1853">
        <v>1</v>
      </c>
      <c r="P1853">
        <v>0</v>
      </c>
      <c r="Q1853">
        <v>0</v>
      </c>
      <c r="S1853" t="str">
        <f>"18:55:50.570"</f>
        <v>18:55:50.570</v>
      </c>
      <c r="T1853" t="str">
        <f>"18:55:50.270"</f>
        <v>18:55:50.270</v>
      </c>
      <c r="U1853" t="str">
        <f t="shared" si="176"/>
        <v>AAB6EE</v>
      </c>
      <c r="V1853">
        <v>0</v>
      </c>
      <c r="W1853">
        <v>0</v>
      </c>
      <c r="X1853">
        <v>4</v>
      </c>
      <c r="Z1853">
        <v>0</v>
      </c>
      <c r="AA1853">
        <v>8</v>
      </c>
      <c r="AB1853">
        <v>3</v>
      </c>
      <c r="AC1853">
        <v>0</v>
      </c>
      <c r="AD1853">
        <v>10</v>
      </c>
      <c r="AE1853">
        <v>0</v>
      </c>
      <c r="AF1853">
        <v>0</v>
      </c>
      <c r="AG1853">
        <v>2</v>
      </c>
      <c r="AH1853">
        <v>1</v>
      </c>
      <c r="AI1853" t="s">
        <v>1360</v>
      </c>
      <c r="AJ1853">
        <v>34.891806000000003</v>
      </c>
      <c r="AK1853" t="s">
        <v>1361</v>
      </c>
      <c r="AL1853">
        <v>-76.113795999999994</v>
      </c>
      <c r="AM1853">
        <v>25</v>
      </c>
      <c r="AN1853">
        <v>2925</v>
      </c>
      <c r="AO1853" t="s">
        <v>118</v>
      </c>
      <c r="AP1853">
        <v>-67</v>
      </c>
      <c r="AQ1853">
        <v>-128</v>
      </c>
      <c r="AR1853">
        <v>0</v>
      </c>
      <c r="AZ1853">
        <v>4516</v>
      </c>
      <c r="BA1853">
        <v>1</v>
      </c>
      <c r="BB1853" t="str">
        <f t="shared" si="175"/>
        <v xml:space="preserve">N79NX   </v>
      </c>
      <c r="BC1853">
        <v>1</v>
      </c>
      <c r="BE1853">
        <v>0</v>
      </c>
      <c r="BF1853">
        <v>0</v>
      </c>
      <c r="BG1853">
        <v>0</v>
      </c>
      <c r="BH1853">
        <v>2800</v>
      </c>
      <c r="BI1853">
        <v>0</v>
      </c>
      <c r="BJ1853">
        <v>0</v>
      </c>
      <c r="BK1853">
        <v>0</v>
      </c>
      <c r="BL1853">
        <v>0</v>
      </c>
      <c r="BO1853">
        <v>0</v>
      </c>
      <c r="BP1853">
        <v>0</v>
      </c>
      <c r="BW1853" t="str">
        <f>"18:55:50.575"</f>
        <v>18:55:50.575</v>
      </c>
      <c r="BZ1853">
        <v>0</v>
      </c>
      <c r="CA1853">
        <v>3008</v>
      </c>
      <c r="CB1853">
        <v>216</v>
      </c>
      <c r="CC1853">
        <v>586.40629999999999</v>
      </c>
      <c r="CD1853">
        <v>1</v>
      </c>
      <c r="CE1853">
        <v>1</v>
      </c>
      <c r="CF1853">
        <v>0</v>
      </c>
      <c r="CG1853">
        <v>1</v>
      </c>
      <c r="CH1853">
        <v>0</v>
      </c>
      <c r="CI1853">
        <v>0</v>
      </c>
      <c r="CJ1853">
        <v>0</v>
      </c>
      <c r="CK1853">
        <v>2</v>
      </c>
      <c r="CL1853">
        <v>0</v>
      </c>
      <c r="CM1853">
        <v>2</v>
      </c>
      <c r="CN1853">
        <v>0</v>
      </c>
      <c r="CO1853">
        <v>2</v>
      </c>
      <c r="CP1853" t="s">
        <v>119</v>
      </c>
      <c r="CQ1853">
        <v>70</v>
      </c>
      <c r="CR1853">
        <v>1</v>
      </c>
      <c r="CW1853">
        <v>3671884</v>
      </c>
      <c r="CY1853">
        <v>0</v>
      </c>
      <c r="CZ1853">
        <v>0</v>
      </c>
      <c r="DA1853">
        <v>1</v>
      </c>
      <c r="DB1853">
        <v>0</v>
      </c>
      <c r="DC1853">
        <v>0</v>
      </c>
      <c r="DD1853">
        <v>0</v>
      </c>
      <c r="DE1853">
        <v>0</v>
      </c>
      <c r="DF1853">
        <v>0</v>
      </c>
      <c r="DG1853">
        <v>0</v>
      </c>
      <c r="DH1853">
        <v>0</v>
      </c>
      <c r="DI1853">
        <v>0</v>
      </c>
    </row>
    <row r="1854" spans="1:113" x14ac:dyDescent="0.3">
      <c r="A1854" t="str">
        <f>"02/13/2022 18:55:52.264"</f>
        <v>02/13/2022 18:55:52.264</v>
      </c>
      <c r="C1854" t="str">
        <f t="shared" si="174"/>
        <v>FFDFD7C0</v>
      </c>
      <c r="D1854" t="s">
        <v>113</v>
      </c>
      <c r="E1854">
        <v>3</v>
      </c>
      <c r="F1854">
        <v>1003</v>
      </c>
      <c r="G1854" t="s">
        <v>114</v>
      </c>
      <c r="J1854" t="s">
        <v>115</v>
      </c>
      <c r="K1854">
        <v>0</v>
      </c>
      <c r="L1854">
        <v>3</v>
      </c>
      <c r="M1854">
        <v>0</v>
      </c>
      <c r="N1854">
        <v>2</v>
      </c>
      <c r="O1854">
        <v>1</v>
      </c>
      <c r="P1854">
        <v>0</v>
      </c>
      <c r="Q1854">
        <v>0</v>
      </c>
      <c r="S1854" t="str">
        <f t="shared" ref="S1854:T1856" si="180">"18:55:52.031"</f>
        <v>18:55:52.031</v>
      </c>
      <c r="T1854" t="str">
        <f t="shared" si="180"/>
        <v>18:55:52.031</v>
      </c>
      <c r="U1854" t="str">
        <f t="shared" si="176"/>
        <v>AAB6EE</v>
      </c>
      <c r="V1854">
        <v>0</v>
      </c>
      <c r="W1854">
        <v>0</v>
      </c>
      <c r="X1854">
        <v>4</v>
      </c>
      <c r="Z1854">
        <v>0</v>
      </c>
      <c r="AA1854">
        <v>8</v>
      </c>
      <c r="AB1854">
        <v>3</v>
      </c>
      <c r="AC1854">
        <v>0</v>
      </c>
      <c r="AD1854">
        <v>10</v>
      </c>
      <c r="AE1854">
        <v>0</v>
      </c>
      <c r="AF1854">
        <v>0</v>
      </c>
      <c r="AG1854">
        <v>2</v>
      </c>
      <c r="AH1854">
        <v>1</v>
      </c>
      <c r="AI1854" t="s">
        <v>1362</v>
      </c>
      <c r="AJ1854">
        <v>34.890903999999999</v>
      </c>
      <c r="AK1854" t="s">
        <v>1363</v>
      </c>
      <c r="AL1854">
        <v>-76.114311000000001</v>
      </c>
      <c r="AM1854">
        <v>25</v>
      </c>
      <c r="AN1854">
        <v>2925</v>
      </c>
      <c r="AO1854" t="s">
        <v>118</v>
      </c>
      <c r="AP1854">
        <v>-67</v>
      </c>
      <c r="AQ1854">
        <v>-128</v>
      </c>
      <c r="AR1854">
        <v>0</v>
      </c>
      <c r="AZ1854">
        <v>4516</v>
      </c>
      <c r="BA1854">
        <v>1</v>
      </c>
      <c r="BB1854" t="str">
        <f t="shared" si="175"/>
        <v xml:space="preserve">N79NX   </v>
      </c>
      <c r="BC1854">
        <v>1</v>
      </c>
      <c r="BE1854">
        <v>0</v>
      </c>
      <c r="BF1854">
        <v>0</v>
      </c>
      <c r="BG1854">
        <v>0</v>
      </c>
      <c r="BH1854">
        <v>2800</v>
      </c>
      <c r="BI1854">
        <v>0</v>
      </c>
      <c r="BJ1854">
        <v>0</v>
      </c>
      <c r="BK1854">
        <v>0</v>
      </c>
      <c r="BL1854">
        <v>0</v>
      </c>
      <c r="BO1854">
        <v>0</v>
      </c>
      <c r="BP1854">
        <v>0</v>
      </c>
      <c r="BW1854" t="str">
        <f>"18:55:52.035"</f>
        <v>18:55:52.035</v>
      </c>
      <c r="BZ1854">
        <v>0</v>
      </c>
      <c r="CA1854">
        <v>3008</v>
      </c>
      <c r="CB1854">
        <v>216</v>
      </c>
      <c r="CC1854">
        <v>587.8125</v>
      </c>
      <c r="CD1854">
        <v>1</v>
      </c>
      <c r="CE1854">
        <v>1</v>
      </c>
      <c r="CF1854">
        <v>0</v>
      </c>
      <c r="CG1854">
        <v>1</v>
      </c>
      <c r="CH1854">
        <v>0</v>
      </c>
      <c r="CI1854">
        <v>0</v>
      </c>
      <c r="CJ1854">
        <v>0</v>
      </c>
      <c r="CK1854">
        <v>2</v>
      </c>
      <c r="CL1854">
        <v>0</v>
      </c>
      <c r="CM1854">
        <v>2</v>
      </c>
      <c r="CN1854">
        <v>0</v>
      </c>
      <c r="CO1854">
        <v>1</v>
      </c>
      <c r="CP1854" t="s">
        <v>119</v>
      </c>
      <c r="CQ1854">
        <v>70</v>
      </c>
      <c r="CR1854">
        <v>1</v>
      </c>
      <c r="CW1854">
        <v>3673047</v>
      </c>
      <c r="CY1854">
        <v>0</v>
      </c>
      <c r="CZ1854">
        <v>0</v>
      </c>
      <c r="DA1854">
        <v>0</v>
      </c>
      <c r="DB1854">
        <v>0</v>
      </c>
      <c r="DC1854">
        <v>0</v>
      </c>
      <c r="DD1854">
        <v>0</v>
      </c>
      <c r="DE1854">
        <v>0</v>
      </c>
      <c r="DF1854">
        <v>0</v>
      </c>
      <c r="DG1854">
        <v>0</v>
      </c>
      <c r="DH1854">
        <v>0</v>
      </c>
      <c r="DI1854">
        <v>0</v>
      </c>
    </row>
    <row r="1855" spans="1:113" x14ac:dyDescent="0.3">
      <c r="A1855" t="str">
        <f>"02/13/2022 18:55:52.264"</f>
        <v>02/13/2022 18:55:52.264</v>
      </c>
      <c r="C1855" t="str">
        <f t="shared" si="174"/>
        <v>FFDFD7C0</v>
      </c>
      <c r="D1855" t="s">
        <v>121</v>
      </c>
      <c r="E1855">
        <v>2</v>
      </c>
      <c r="H1855">
        <v>158</v>
      </c>
      <c r="I1855" t="s">
        <v>120</v>
      </c>
      <c r="J1855" t="s">
        <v>122</v>
      </c>
      <c r="K1855">
        <v>0</v>
      </c>
      <c r="L1855">
        <v>3</v>
      </c>
      <c r="M1855">
        <v>0</v>
      </c>
      <c r="N1855">
        <v>2</v>
      </c>
      <c r="O1855">
        <v>1</v>
      </c>
      <c r="P1855">
        <v>0</v>
      </c>
      <c r="Q1855">
        <v>0</v>
      </c>
      <c r="S1855" t="str">
        <f t="shared" si="180"/>
        <v>18:55:52.031</v>
      </c>
      <c r="T1855" t="str">
        <f t="shared" si="180"/>
        <v>18:55:52.031</v>
      </c>
      <c r="U1855" t="str">
        <f t="shared" si="176"/>
        <v>AAB6EE</v>
      </c>
      <c r="V1855">
        <v>0</v>
      </c>
      <c r="W1855">
        <v>0</v>
      </c>
      <c r="X1855">
        <v>4</v>
      </c>
      <c r="Z1855">
        <v>0</v>
      </c>
      <c r="AA1855">
        <v>8</v>
      </c>
      <c r="AB1855">
        <v>3</v>
      </c>
      <c r="AC1855">
        <v>0</v>
      </c>
      <c r="AD1855">
        <v>10</v>
      </c>
      <c r="AE1855">
        <v>0</v>
      </c>
      <c r="AF1855">
        <v>0</v>
      </c>
      <c r="AG1855">
        <v>2</v>
      </c>
      <c r="AH1855">
        <v>1</v>
      </c>
      <c r="AI1855" t="s">
        <v>1362</v>
      </c>
      <c r="AJ1855">
        <v>34.890903999999999</v>
      </c>
      <c r="AK1855" t="s">
        <v>1363</v>
      </c>
      <c r="AL1855">
        <v>-76.114311000000001</v>
      </c>
      <c r="AM1855">
        <v>25</v>
      </c>
      <c r="AN1855">
        <v>2925</v>
      </c>
      <c r="AO1855" t="s">
        <v>118</v>
      </c>
      <c r="AP1855">
        <v>-67</v>
      </c>
      <c r="AQ1855">
        <v>-128</v>
      </c>
      <c r="AR1855">
        <v>0</v>
      </c>
      <c r="AZ1855">
        <v>4516</v>
      </c>
      <c r="BA1855">
        <v>1</v>
      </c>
      <c r="BB1855" t="str">
        <f t="shared" si="175"/>
        <v xml:space="preserve">N79NX   </v>
      </c>
      <c r="BC1855">
        <v>1</v>
      </c>
      <c r="BE1855">
        <v>0</v>
      </c>
      <c r="BF1855">
        <v>0</v>
      </c>
      <c r="BG1855">
        <v>0</v>
      </c>
      <c r="BH1855">
        <v>2800</v>
      </c>
      <c r="BI1855">
        <v>0</v>
      </c>
      <c r="BJ1855">
        <v>0</v>
      </c>
      <c r="BK1855">
        <v>0</v>
      </c>
      <c r="BL1855">
        <v>0</v>
      </c>
      <c r="BO1855">
        <v>0</v>
      </c>
      <c r="BP1855">
        <v>0</v>
      </c>
      <c r="BW1855" t="str">
        <f>"18:55:52.035"</f>
        <v>18:55:52.035</v>
      </c>
      <c r="BZ1855">
        <v>0</v>
      </c>
      <c r="CA1855">
        <v>3008</v>
      </c>
      <c r="CB1855">
        <v>216</v>
      </c>
      <c r="CC1855">
        <v>587.8125</v>
      </c>
      <c r="CD1855">
        <v>1</v>
      </c>
      <c r="CE1855">
        <v>1</v>
      </c>
      <c r="CF1855">
        <v>0</v>
      </c>
      <c r="CG1855">
        <v>1</v>
      </c>
      <c r="CH1855">
        <v>0</v>
      </c>
      <c r="CI1855">
        <v>0</v>
      </c>
      <c r="CJ1855">
        <v>0</v>
      </c>
      <c r="CK1855">
        <v>2</v>
      </c>
      <c r="CL1855">
        <v>0</v>
      </c>
      <c r="CM1855">
        <v>2</v>
      </c>
      <c r="CN1855">
        <v>0</v>
      </c>
      <c r="CO1855">
        <v>1</v>
      </c>
      <c r="CP1855" t="s">
        <v>119</v>
      </c>
      <c r="CQ1855">
        <v>70</v>
      </c>
      <c r="CR1855">
        <v>1</v>
      </c>
      <c r="CW1855">
        <v>3673047</v>
      </c>
      <c r="CY1855">
        <v>0</v>
      </c>
      <c r="CZ1855">
        <v>0</v>
      </c>
      <c r="DA1855">
        <v>1</v>
      </c>
      <c r="DB1855">
        <v>0</v>
      </c>
      <c r="DC1855">
        <v>0</v>
      </c>
      <c r="DD1855">
        <v>0</v>
      </c>
      <c r="DE1855">
        <v>0</v>
      </c>
      <c r="DF1855">
        <v>0</v>
      </c>
      <c r="DG1855">
        <v>0</v>
      </c>
      <c r="DH1855">
        <v>0</v>
      </c>
      <c r="DI1855">
        <v>0</v>
      </c>
    </row>
    <row r="1856" spans="1:113" x14ac:dyDescent="0.3">
      <c r="A1856" t="str">
        <f>"02/13/2022 18:55:52.264"</f>
        <v>02/13/2022 18:55:52.264</v>
      </c>
      <c r="C1856" t="str">
        <f t="shared" si="174"/>
        <v>FFDFD7C0</v>
      </c>
      <c r="D1856" t="s">
        <v>113</v>
      </c>
      <c r="E1856">
        <v>4</v>
      </c>
      <c r="F1856">
        <v>1004</v>
      </c>
      <c r="G1856" t="s">
        <v>120</v>
      </c>
      <c r="J1856" t="s">
        <v>115</v>
      </c>
      <c r="K1856">
        <v>0</v>
      </c>
      <c r="L1856">
        <v>3</v>
      </c>
      <c r="M1856">
        <v>0</v>
      </c>
      <c r="N1856">
        <v>2</v>
      </c>
      <c r="O1856">
        <v>1</v>
      </c>
      <c r="P1856">
        <v>0</v>
      </c>
      <c r="Q1856">
        <v>0</v>
      </c>
      <c r="S1856" t="str">
        <f t="shared" si="180"/>
        <v>18:55:52.031</v>
      </c>
      <c r="T1856" t="str">
        <f t="shared" si="180"/>
        <v>18:55:52.031</v>
      </c>
      <c r="U1856" t="str">
        <f t="shared" si="176"/>
        <v>AAB6EE</v>
      </c>
      <c r="V1856">
        <v>0</v>
      </c>
      <c r="W1856">
        <v>0</v>
      </c>
      <c r="X1856">
        <v>4</v>
      </c>
      <c r="Z1856">
        <v>0</v>
      </c>
      <c r="AA1856">
        <v>8</v>
      </c>
      <c r="AB1856">
        <v>3</v>
      </c>
      <c r="AC1856">
        <v>0</v>
      </c>
      <c r="AD1856">
        <v>10</v>
      </c>
      <c r="AE1856">
        <v>0</v>
      </c>
      <c r="AF1856">
        <v>0</v>
      </c>
      <c r="AG1856">
        <v>2</v>
      </c>
      <c r="AH1856">
        <v>1</v>
      </c>
      <c r="AI1856" t="s">
        <v>1362</v>
      </c>
      <c r="AJ1856">
        <v>34.890903999999999</v>
      </c>
      <c r="AK1856" t="s">
        <v>1363</v>
      </c>
      <c r="AL1856">
        <v>-76.114311000000001</v>
      </c>
      <c r="AM1856">
        <v>25</v>
      </c>
      <c r="AN1856">
        <v>2925</v>
      </c>
      <c r="AO1856" t="s">
        <v>118</v>
      </c>
      <c r="AP1856">
        <v>-67</v>
      </c>
      <c r="AQ1856">
        <v>-128</v>
      </c>
      <c r="AR1856">
        <v>0</v>
      </c>
      <c r="AZ1856">
        <v>4516</v>
      </c>
      <c r="BA1856">
        <v>1</v>
      </c>
      <c r="BB1856" t="str">
        <f t="shared" si="175"/>
        <v xml:space="preserve">N79NX   </v>
      </c>
      <c r="BC1856">
        <v>1</v>
      </c>
      <c r="BE1856">
        <v>0</v>
      </c>
      <c r="BF1856">
        <v>0</v>
      </c>
      <c r="BG1856">
        <v>0</v>
      </c>
      <c r="BH1856">
        <v>2800</v>
      </c>
      <c r="BI1856">
        <v>0</v>
      </c>
      <c r="BJ1856">
        <v>0</v>
      </c>
      <c r="BK1856">
        <v>0</v>
      </c>
      <c r="BL1856">
        <v>0</v>
      </c>
      <c r="BO1856">
        <v>0</v>
      </c>
      <c r="BP1856">
        <v>0</v>
      </c>
      <c r="BW1856" t="str">
        <f>"18:55:52.035"</f>
        <v>18:55:52.035</v>
      </c>
      <c r="BZ1856">
        <v>0</v>
      </c>
      <c r="CA1856">
        <v>3008</v>
      </c>
      <c r="CB1856">
        <v>216</v>
      </c>
      <c r="CC1856">
        <v>587.8125</v>
      </c>
      <c r="CD1856">
        <v>1</v>
      </c>
      <c r="CE1856">
        <v>1</v>
      </c>
      <c r="CF1856">
        <v>0</v>
      </c>
      <c r="CG1856">
        <v>1</v>
      </c>
      <c r="CH1856">
        <v>0</v>
      </c>
      <c r="CI1856">
        <v>0</v>
      </c>
      <c r="CJ1856">
        <v>0</v>
      </c>
      <c r="CK1856">
        <v>2</v>
      </c>
      <c r="CL1856">
        <v>0</v>
      </c>
      <c r="CM1856">
        <v>2</v>
      </c>
      <c r="CN1856">
        <v>0</v>
      </c>
      <c r="CO1856">
        <v>1</v>
      </c>
      <c r="CP1856" t="s">
        <v>119</v>
      </c>
      <c r="CQ1856">
        <v>70</v>
      </c>
      <c r="CR1856">
        <v>1</v>
      </c>
      <c r="CW1856">
        <v>3673047</v>
      </c>
      <c r="CY1856">
        <v>0</v>
      </c>
      <c r="CZ1856">
        <v>0</v>
      </c>
      <c r="DA1856">
        <v>1</v>
      </c>
      <c r="DB1856">
        <v>0</v>
      </c>
      <c r="DC1856">
        <v>0</v>
      </c>
      <c r="DD1856">
        <v>0</v>
      </c>
      <c r="DE1856">
        <v>0</v>
      </c>
      <c r="DF1856">
        <v>0</v>
      </c>
      <c r="DG1856">
        <v>0</v>
      </c>
      <c r="DH1856">
        <v>0</v>
      </c>
      <c r="DI1856">
        <v>0</v>
      </c>
    </row>
    <row r="1857" spans="1:113" x14ac:dyDescent="0.3">
      <c r="A1857" t="str">
        <f>"02/13/2022 18:55:53.748"</f>
        <v>02/13/2022 18:55:53.748</v>
      </c>
      <c r="C1857" t="str">
        <f t="shared" ref="C1857:C1920" si="181">"FFDFD7C0"</f>
        <v>FFDFD7C0</v>
      </c>
      <c r="D1857" t="s">
        <v>113</v>
      </c>
      <c r="E1857">
        <v>3</v>
      </c>
      <c r="F1857">
        <v>1003</v>
      </c>
      <c r="G1857" t="s">
        <v>114</v>
      </c>
      <c r="J1857" t="s">
        <v>115</v>
      </c>
      <c r="K1857">
        <v>0</v>
      </c>
      <c r="L1857">
        <v>3</v>
      </c>
      <c r="M1857">
        <v>0</v>
      </c>
      <c r="N1857">
        <v>2</v>
      </c>
      <c r="O1857">
        <v>1</v>
      </c>
      <c r="P1857">
        <v>0</v>
      </c>
      <c r="Q1857">
        <v>0</v>
      </c>
      <c r="S1857" t="str">
        <f>"18:55:53.414"</f>
        <v>18:55:53.414</v>
      </c>
      <c r="T1857" t="str">
        <f>"18:55:52.514"</f>
        <v>18:55:52.514</v>
      </c>
      <c r="U1857" t="str">
        <f t="shared" si="176"/>
        <v>AAB6EE</v>
      </c>
      <c r="V1857">
        <v>0</v>
      </c>
      <c r="W1857">
        <v>0</v>
      </c>
      <c r="X1857">
        <v>4</v>
      </c>
      <c r="Z1857">
        <v>0</v>
      </c>
      <c r="AA1857">
        <v>8</v>
      </c>
      <c r="AB1857">
        <v>3</v>
      </c>
      <c r="AC1857">
        <v>0</v>
      </c>
      <c r="AD1857">
        <v>10</v>
      </c>
      <c r="AE1857">
        <v>0</v>
      </c>
      <c r="AF1857">
        <v>0</v>
      </c>
      <c r="AG1857">
        <v>2</v>
      </c>
      <c r="AH1857">
        <v>1</v>
      </c>
      <c r="AI1857" t="s">
        <v>1364</v>
      </c>
      <c r="AJ1857">
        <v>34.89011</v>
      </c>
      <c r="AK1857" t="s">
        <v>1365</v>
      </c>
      <c r="AL1857">
        <v>-76.114825999999994</v>
      </c>
      <c r="AM1857">
        <v>25</v>
      </c>
      <c r="AN1857">
        <v>2925</v>
      </c>
      <c r="AO1857" t="s">
        <v>118</v>
      </c>
      <c r="AP1857">
        <v>-67</v>
      </c>
      <c r="AQ1857">
        <v>-128</v>
      </c>
      <c r="AR1857">
        <v>0</v>
      </c>
      <c r="AZ1857">
        <v>4516</v>
      </c>
      <c r="BA1857">
        <v>1</v>
      </c>
      <c r="BB1857" t="str">
        <f t="shared" ref="BB1857:BB1920" si="182">"N79NX   "</f>
        <v xml:space="preserve">N79NX   </v>
      </c>
      <c r="BC1857">
        <v>1</v>
      </c>
      <c r="BE1857">
        <v>0</v>
      </c>
      <c r="BF1857">
        <v>0</v>
      </c>
      <c r="BG1857">
        <v>0</v>
      </c>
      <c r="BH1857">
        <v>2800</v>
      </c>
      <c r="BI1857">
        <v>0</v>
      </c>
      <c r="BJ1857">
        <v>0</v>
      </c>
      <c r="BK1857">
        <v>0</v>
      </c>
      <c r="BL1857">
        <v>0</v>
      </c>
      <c r="BO1857">
        <v>0</v>
      </c>
      <c r="BP1857">
        <v>0</v>
      </c>
      <c r="BW1857" t="str">
        <f>"18:55:53.415"</f>
        <v>18:55:53.415</v>
      </c>
      <c r="BZ1857">
        <v>0</v>
      </c>
      <c r="CA1857">
        <v>3008</v>
      </c>
      <c r="CB1857">
        <v>216</v>
      </c>
      <c r="CC1857">
        <v>601.875</v>
      </c>
      <c r="CD1857">
        <v>1</v>
      </c>
      <c r="CE1857">
        <v>1</v>
      </c>
      <c r="CF1857">
        <v>0</v>
      </c>
      <c r="CG1857">
        <v>1</v>
      </c>
      <c r="CH1857">
        <v>0</v>
      </c>
      <c r="CI1857">
        <v>0</v>
      </c>
      <c r="CJ1857">
        <v>0</v>
      </c>
      <c r="CK1857">
        <v>2</v>
      </c>
      <c r="CL1857">
        <v>0</v>
      </c>
      <c r="CM1857">
        <v>2</v>
      </c>
      <c r="CN1857">
        <v>0</v>
      </c>
      <c r="CO1857">
        <v>1</v>
      </c>
      <c r="CP1857" t="s">
        <v>119</v>
      </c>
      <c r="CQ1857">
        <v>70</v>
      </c>
      <c r="CR1857">
        <v>1</v>
      </c>
      <c r="CW1857">
        <v>3674270</v>
      </c>
      <c r="CY1857">
        <v>0</v>
      </c>
      <c r="CZ1857">
        <v>0</v>
      </c>
      <c r="DA1857">
        <v>0</v>
      </c>
      <c r="DB1857">
        <v>0</v>
      </c>
      <c r="DC1857">
        <v>0</v>
      </c>
      <c r="DD1857">
        <v>0</v>
      </c>
      <c r="DE1857">
        <v>0</v>
      </c>
      <c r="DF1857">
        <v>0</v>
      </c>
      <c r="DG1857">
        <v>0</v>
      </c>
      <c r="DH1857">
        <v>0</v>
      </c>
      <c r="DI1857">
        <v>0</v>
      </c>
    </row>
    <row r="1858" spans="1:113" x14ac:dyDescent="0.3">
      <c r="A1858" t="str">
        <f>"02/13/2022 18:55:53.748"</f>
        <v>02/13/2022 18:55:53.748</v>
      </c>
      <c r="C1858" t="str">
        <f t="shared" si="181"/>
        <v>FFDFD7C0</v>
      </c>
      <c r="D1858" t="s">
        <v>113</v>
      </c>
      <c r="E1858">
        <v>4</v>
      </c>
      <c r="F1858">
        <v>1004</v>
      </c>
      <c r="G1858" t="s">
        <v>120</v>
      </c>
      <c r="J1858" t="s">
        <v>115</v>
      </c>
      <c r="K1858">
        <v>0</v>
      </c>
      <c r="L1858">
        <v>3</v>
      </c>
      <c r="M1858">
        <v>0</v>
      </c>
      <c r="N1858">
        <v>2</v>
      </c>
      <c r="O1858">
        <v>1</v>
      </c>
      <c r="P1858">
        <v>0</v>
      </c>
      <c r="Q1858">
        <v>0</v>
      </c>
      <c r="S1858" t="str">
        <f>"18:55:53.414"</f>
        <v>18:55:53.414</v>
      </c>
      <c r="T1858" t="str">
        <f>"18:55:52.514"</f>
        <v>18:55:52.514</v>
      </c>
      <c r="U1858" t="str">
        <f t="shared" ref="U1858:U1921" si="183">"AAB6EE"</f>
        <v>AAB6EE</v>
      </c>
      <c r="V1858">
        <v>0</v>
      </c>
      <c r="W1858">
        <v>0</v>
      </c>
      <c r="X1858">
        <v>4</v>
      </c>
      <c r="Z1858">
        <v>0</v>
      </c>
      <c r="AA1858">
        <v>8</v>
      </c>
      <c r="AB1858">
        <v>3</v>
      </c>
      <c r="AC1858">
        <v>0</v>
      </c>
      <c r="AD1858">
        <v>10</v>
      </c>
      <c r="AE1858">
        <v>0</v>
      </c>
      <c r="AF1858">
        <v>0</v>
      </c>
      <c r="AG1858">
        <v>2</v>
      </c>
      <c r="AH1858">
        <v>1</v>
      </c>
      <c r="AI1858" t="s">
        <v>1364</v>
      </c>
      <c r="AJ1858">
        <v>34.89011</v>
      </c>
      <c r="AK1858" t="s">
        <v>1365</v>
      </c>
      <c r="AL1858">
        <v>-76.114825999999994</v>
      </c>
      <c r="AM1858">
        <v>25</v>
      </c>
      <c r="AN1858">
        <v>2925</v>
      </c>
      <c r="AO1858" t="s">
        <v>118</v>
      </c>
      <c r="AP1858">
        <v>-67</v>
      </c>
      <c r="AQ1858">
        <v>-128</v>
      </c>
      <c r="AR1858">
        <v>0</v>
      </c>
      <c r="AZ1858">
        <v>4516</v>
      </c>
      <c r="BA1858">
        <v>1</v>
      </c>
      <c r="BB1858" t="str">
        <f t="shared" si="182"/>
        <v xml:space="preserve">N79NX   </v>
      </c>
      <c r="BC1858">
        <v>1</v>
      </c>
      <c r="BE1858">
        <v>0</v>
      </c>
      <c r="BF1858">
        <v>0</v>
      </c>
      <c r="BG1858">
        <v>0</v>
      </c>
      <c r="BH1858">
        <v>2800</v>
      </c>
      <c r="BI1858">
        <v>0</v>
      </c>
      <c r="BJ1858">
        <v>0</v>
      </c>
      <c r="BK1858">
        <v>0</v>
      </c>
      <c r="BL1858">
        <v>0</v>
      </c>
      <c r="BO1858">
        <v>0</v>
      </c>
      <c r="BP1858">
        <v>0</v>
      </c>
      <c r="BW1858" t="str">
        <f>"18:55:53.415"</f>
        <v>18:55:53.415</v>
      </c>
      <c r="BZ1858">
        <v>0</v>
      </c>
      <c r="CA1858">
        <v>3008</v>
      </c>
      <c r="CB1858">
        <v>216</v>
      </c>
      <c r="CC1858">
        <v>601.875</v>
      </c>
      <c r="CD1858">
        <v>1</v>
      </c>
      <c r="CE1858">
        <v>1</v>
      </c>
      <c r="CF1858">
        <v>0</v>
      </c>
      <c r="CG1858">
        <v>1</v>
      </c>
      <c r="CH1858">
        <v>0</v>
      </c>
      <c r="CI1858">
        <v>0</v>
      </c>
      <c r="CJ1858">
        <v>0</v>
      </c>
      <c r="CK1858">
        <v>2</v>
      </c>
      <c r="CL1858">
        <v>0</v>
      </c>
      <c r="CM1858">
        <v>2</v>
      </c>
      <c r="CN1858">
        <v>0</v>
      </c>
      <c r="CO1858">
        <v>1</v>
      </c>
      <c r="CP1858" t="s">
        <v>119</v>
      </c>
      <c r="CQ1858">
        <v>70</v>
      </c>
      <c r="CR1858">
        <v>1</v>
      </c>
      <c r="CW1858">
        <v>3674270</v>
      </c>
      <c r="CY1858">
        <v>0</v>
      </c>
      <c r="CZ1858">
        <v>0</v>
      </c>
      <c r="DA1858">
        <v>1</v>
      </c>
      <c r="DB1858">
        <v>0</v>
      </c>
      <c r="DC1858">
        <v>0</v>
      </c>
      <c r="DD1858">
        <v>0</v>
      </c>
      <c r="DE1858">
        <v>0</v>
      </c>
      <c r="DF1858">
        <v>0</v>
      </c>
      <c r="DG1858">
        <v>0</v>
      </c>
      <c r="DH1858">
        <v>0</v>
      </c>
      <c r="DI1858">
        <v>0</v>
      </c>
    </row>
    <row r="1859" spans="1:113" x14ac:dyDescent="0.3">
      <c r="A1859" t="str">
        <f>"02/13/2022 18:55:53.748"</f>
        <v>02/13/2022 18:55:53.748</v>
      </c>
      <c r="C1859" t="str">
        <f t="shared" si="181"/>
        <v>FFDFD7C0</v>
      </c>
      <c r="D1859" t="s">
        <v>121</v>
      </c>
      <c r="E1859">
        <v>2</v>
      </c>
      <c r="H1859">
        <v>158</v>
      </c>
      <c r="I1859" t="s">
        <v>120</v>
      </c>
      <c r="J1859" t="s">
        <v>122</v>
      </c>
      <c r="K1859">
        <v>0</v>
      </c>
      <c r="L1859">
        <v>3</v>
      </c>
      <c r="M1859">
        <v>0</v>
      </c>
      <c r="N1859">
        <v>2</v>
      </c>
      <c r="O1859">
        <v>1</v>
      </c>
      <c r="P1859">
        <v>0</v>
      </c>
      <c r="Q1859">
        <v>0</v>
      </c>
      <c r="S1859" t="str">
        <f>"18:55:53.414"</f>
        <v>18:55:53.414</v>
      </c>
      <c r="T1859" t="str">
        <f>"18:55:52.514"</f>
        <v>18:55:52.514</v>
      </c>
      <c r="U1859" t="str">
        <f t="shared" si="183"/>
        <v>AAB6EE</v>
      </c>
      <c r="V1859">
        <v>0</v>
      </c>
      <c r="W1859">
        <v>0</v>
      </c>
      <c r="X1859">
        <v>4</v>
      </c>
      <c r="Z1859">
        <v>0</v>
      </c>
      <c r="AA1859">
        <v>8</v>
      </c>
      <c r="AB1859">
        <v>3</v>
      </c>
      <c r="AC1859">
        <v>0</v>
      </c>
      <c r="AD1859">
        <v>10</v>
      </c>
      <c r="AE1859">
        <v>0</v>
      </c>
      <c r="AF1859">
        <v>0</v>
      </c>
      <c r="AG1859">
        <v>2</v>
      </c>
      <c r="AH1859">
        <v>1</v>
      </c>
      <c r="AI1859" t="s">
        <v>1364</v>
      </c>
      <c r="AJ1859">
        <v>34.89011</v>
      </c>
      <c r="AK1859" t="s">
        <v>1365</v>
      </c>
      <c r="AL1859">
        <v>-76.114825999999994</v>
      </c>
      <c r="AM1859">
        <v>25</v>
      </c>
      <c r="AN1859">
        <v>2925</v>
      </c>
      <c r="AO1859" t="s">
        <v>118</v>
      </c>
      <c r="AP1859">
        <v>-67</v>
      </c>
      <c r="AQ1859">
        <v>-128</v>
      </c>
      <c r="AR1859">
        <v>0</v>
      </c>
      <c r="AZ1859">
        <v>4516</v>
      </c>
      <c r="BA1859">
        <v>1</v>
      </c>
      <c r="BB1859" t="str">
        <f t="shared" si="182"/>
        <v xml:space="preserve">N79NX   </v>
      </c>
      <c r="BC1859">
        <v>1</v>
      </c>
      <c r="BE1859">
        <v>0</v>
      </c>
      <c r="BF1859">
        <v>0</v>
      </c>
      <c r="BG1859">
        <v>0</v>
      </c>
      <c r="BH1859">
        <v>2800</v>
      </c>
      <c r="BI1859">
        <v>0</v>
      </c>
      <c r="BJ1859">
        <v>0</v>
      </c>
      <c r="BK1859">
        <v>0</v>
      </c>
      <c r="BL1859">
        <v>0</v>
      </c>
      <c r="BO1859">
        <v>0</v>
      </c>
      <c r="BP1859">
        <v>0</v>
      </c>
      <c r="BW1859" t="str">
        <f>"18:55:53.415"</f>
        <v>18:55:53.415</v>
      </c>
      <c r="BZ1859">
        <v>0</v>
      </c>
      <c r="CA1859">
        <v>3008</v>
      </c>
      <c r="CB1859">
        <v>216</v>
      </c>
      <c r="CC1859">
        <v>601.875</v>
      </c>
      <c r="CD1859">
        <v>1</v>
      </c>
      <c r="CE1859">
        <v>1</v>
      </c>
      <c r="CF1859">
        <v>0</v>
      </c>
      <c r="CG1859">
        <v>1</v>
      </c>
      <c r="CH1859">
        <v>0</v>
      </c>
      <c r="CI1859">
        <v>0</v>
      </c>
      <c r="CJ1859">
        <v>0</v>
      </c>
      <c r="CK1859">
        <v>2</v>
      </c>
      <c r="CL1859">
        <v>0</v>
      </c>
      <c r="CM1859">
        <v>2</v>
      </c>
      <c r="CN1859">
        <v>0</v>
      </c>
      <c r="CO1859">
        <v>1</v>
      </c>
      <c r="CP1859" t="s">
        <v>119</v>
      </c>
      <c r="CQ1859">
        <v>70</v>
      </c>
      <c r="CR1859">
        <v>1</v>
      </c>
      <c r="CW1859">
        <v>3674270</v>
      </c>
      <c r="CY1859">
        <v>0</v>
      </c>
      <c r="CZ1859">
        <v>0</v>
      </c>
      <c r="DA1859">
        <v>1</v>
      </c>
      <c r="DB1859">
        <v>0</v>
      </c>
      <c r="DC1859">
        <v>0</v>
      </c>
      <c r="DD1859">
        <v>0</v>
      </c>
      <c r="DE1859">
        <v>0</v>
      </c>
      <c r="DF1859">
        <v>0</v>
      </c>
      <c r="DG1859">
        <v>0</v>
      </c>
      <c r="DH1859">
        <v>0</v>
      </c>
      <c r="DI1859">
        <v>0</v>
      </c>
    </row>
    <row r="1860" spans="1:113" x14ac:dyDescent="0.3">
      <c r="A1860" t="str">
        <f>"02/13/2022 18:55:54.719"</f>
        <v>02/13/2022 18:55:54.719</v>
      </c>
      <c r="C1860" t="str">
        <f t="shared" si="181"/>
        <v>FFDFD7C0</v>
      </c>
      <c r="D1860" t="s">
        <v>113</v>
      </c>
      <c r="E1860">
        <v>3</v>
      </c>
      <c r="F1860">
        <v>1003</v>
      </c>
      <c r="G1860" t="s">
        <v>114</v>
      </c>
      <c r="J1860" t="s">
        <v>115</v>
      </c>
      <c r="K1860">
        <v>0</v>
      </c>
      <c r="L1860">
        <v>3</v>
      </c>
      <c r="M1860">
        <v>0</v>
      </c>
      <c r="N1860">
        <v>2</v>
      </c>
      <c r="O1860">
        <v>1</v>
      </c>
      <c r="P1860">
        <v>0</v>
      </c>
      <c r="Q1860">
        <v>0</v>
      </c>
      <c r="S1860" t="str">
        <f>"18:55:54.492"</f>
        <v>18:55:54.492</v>
      </c>
      <c r="T1860" t="str">
        <f>"18:55:53.892"</f>
        <v>18:55:53.892</v>
      </c>
      <c r="U1860" t="str">
        <f t="shared" si="183"/>
        <v>AAB6EE</v>
      </c>
      <c r="V1860">
        <v>0</v>
      </c>
      <c r="W1860">
        <v>0</v>
      </c>
      <c r="X1860">
        <v>4</v>
      </c>
      <c r="Z1860">
        <v>0</v>
      </c>
      <c r="AA1860">
        <v>8</v>
      </c>
      <c r="AB1860">
        <v>3</v>
      </c>
      <c r="AC1860">
        <v>0</v>
      </c>
      <c r="AD1860">
        <v>10</v>
      </c>
      <c r="AE1860">
        <v>0</v>
      </c>
      <c r="AF1860">
        <v>0</v>
      </c>
      <c r="AG1860">
        <v>2</v>
      </c>
      <c r="AH1860">
        <v>1</v>
      </c>
      <c r="AI1860" t="s">
        <v>1366</v>
      </c>
      <c r="AJ1860">
        <v>34.889510000000001</v>
      </c>
      <c r="AK1860" t="s">
        <v>1367</v>
      </c>
      <c r="AL1860">
        <v>-76.115234000000001</v>
      </c>
      <c r="AM1860">
        <v>25</v>
      </c>
      <c r="AN1860">
        <v>2925</v>
      </c>
      <c r="AO1860" t="s">
        <v>118</v>
      </c>
      <c r="AP1860">
        <v>-68</v>
      </c>
      <c r="AQ1860">
        <v>-127</v>
      </c>
      <c r="AR1860">
        <v>0</v>
      </c>
      <c r="AZ1860">
        <v>4516</v>
      </c>
      <c r="BA1860">
        <v>1</v>
      </c>
      <c r="BB1860" t="str">
        <f t="shared" si="182"/>
        <v xml:space="preserve">N79NX   </v>
      </c>
      <c r="BC1860">
        <v>1</v>
      </c>
      <c r="BE1860">
        <v>0</v>
      </c>
      <c r="BF1860">
        <v>0</v>
      </c>
      <c r="BG1860">
        <v>0</v>
      </c>
      <c r="BH1860">
        <v>2800</v>
      </c>
      <c r="BI1860">
        <v>0</v>
      </c>
      <c r="BJ1860">
        <v>0</v>
      </c>
      <c r="BK1860">
        <v>0</v>
      </c>
      <c r="BL1860">
        <v>0</v>
      </c>
      <c r="BO1860">
        <v>0</v>
      </c>
      <c r="BP1860">
        <v>0</v>
      </c>
      <c r="BW1860" t="str">
        <f>"18:55:54.495"</f>
        <v>18:55:54.495</v>
      </c>
      <c r="BZ1860">
        <v>0</v>
      </c>
      <c r="CA1860">
        <v>3008</v>
      </c>
      <c r="CB1860">
        <v>216</v>
      </c>
      <c r="CC1860">
        <v>601.875</v>
      </c>
      <c r="CD1860">
        <v>1</v>
      </c>
      <c r="CE1860">
        <v>1</v>
      </c>
      <c r="CF1860">
        <v>0</v>
      </c>
      <c r="CG1860">
        <v>1</v>
      </c>
      <c r="CH1860">
        <v>0</v>
      </c>
      <c r="CI1860">
        <v>0</v>
      </c>
      <c r="CJ1860">
        <v>0</v>
      </c>
      <c r="CK1860">
        <v>2</v>
      </c>
      <c r="CL1860">
        <v>0</v>
      </c>
      <c r="CM1860">
        <v>2</v>
      </c>
      <c r="CN1860">
        <v>0</v>
      </c>
      <c r="CO1860">
        <v>1</v>
      </c>
      <c r="CP1860" t="s">
        <v>119</v>
      </c>
      <c r="CQ1860">
        <v>70</v>
      </c>
      <c r="CR1860">
        <v>1</v>
      </c>
      <c r="CW1860">
        <v>3675063</v>
      </c>
      <c r="CY1860">
        <v>0</v>
      </c>
      <c r="CZ1860">
        <v>0</v>
      </c>
      <c r="DA1860">
        <v>0</v>
      </c>
      <c r="DB1860">
        <v>0</v>
      </c>
      <c r="DC1860">
        <v>0</v>
      </c>
      <c r="DD1860">
        <v>0</v>
      </c>
      <c r="DE1860">
        <v>0</v>
      </c>
      <c r="DF1860">
        <v>0</v>
      </c>
      <c r="DG1860">
        <v>0</v>
      </c>
      <c r="DH1860">
        <v>0</v>
      </c>
      <c r="DI1860">
        <v>0</v>
      </c>
    </row>
    <row r="1861" spans="1:113" x14ac:dyDescent="0.3">
      <c r="A1861" t="str">
        <f>"02/13/2022 18:55:54.719"</f>
        <v>02/13/2022 18:55:54.719</v>
      </c>
      <c r="C1861" t="str">
        <f t="shared" si="181"/>
        <v>FFDFD7C0</v>
      </c>
      <c r="D1861" t="s">
        <v>113</v>
      </c>
      <c r="E1861">
        <v>4</v>
      </c>
      <c r="F1861">
        <v>1004</v>
      </c>
      <c r="G1861" t="s">
        <v>120</v>
      </c>
      <c r="J1861" t="s">
        <v>115</v>
      </c>
      <c r="K1861">
        <v>0</v>
      </c>
      <c r="L1861">
        <v>3</v>
      </c>
      <c r="M1861">
        <v>0</v>
      </c>
      <c r="N1861">
        <v>2</v>
      </c>
      <c r="O1861">
        <v>1</v>
      </c>
      <c r="P1861">
        <v>0</v>
      </c>
      <c r="Q1861">
        <v>0</v>
      </c>
      <c r="S1861" t="str">
        <f>"18:55:54.492"</f>
        <v>18:55:54.492</v>
      </c>
      <c r="T1861" t="str">
        <f>"18:55:53.892"</f>
        <v>18:55:53.892</v>
      </c>
      <c r="U1861" t="str">
        <f t="shared" si="183"/>
        <v>AAB6EE</v>
      </c>
      <c r="V1861">
        <v>0</v>
      </c>
      <c r="W1861">
        <v>0</v>
      </c>
      <c r="X1861">
        <v>4</v>
      </c>
      <c r="Z1861">
        <v>0</v>
      </c>
      <c r="AA1861">
        <v>8</v>
      </c>
      <c r="AB1861">
        <v>3</v>
      </c>
      <c r="AC1861">
        <v>0</v>
      </c>
      <c r="AD1861">
        <v>10</v>
      </c>
      <c r="AE1861">
        <v>0</v>
      </c>
      <c r="AF1861">
        <v>0</v>
      </c>
      <c r="AG1861">
        <v>2</v>
      </c>
      <c r="AH1861">
        <v>1</v>
      </c>
      <c r="AI1861" t="s">
        <v>1366</v>
      </c>
      <c r="AJ1861">
        <v>34.889510000000001</v>
      </c>
      <c r="AK1861" t="s">
        <v>1367</v>
      </c>
      <c r="AL1861">
        <v>-76.115234000000001</v>
      </c>
      <c r="AM1861">
        <v>25</v>
      </c>
      <c r="AN1861">
        <v>2925</v>
      </c>
      <c r="AO1861" t="s">
        <v>118</v>
      </c>
      <c r="AP1861">
        <v>-68</v>
      </c>
      <c r="AQ1861">
        <v>-127</v>
      </c>
      <c r="AR1861">
        <v>0</v>
      </c>
      <c r="AZ1861">
        <v>4516</v>
      </c>
      <c r="BA1861">
        <v>1</v>
      </c>
      <c r="BB1861" t="str">
        <f t="shared" si="182"/>
        <v xml:space="preserve">N79NX   </v>
      </c>
      <c r="BC1861">
        <v>1</v>
      </c>
      <c r="BE1861">
        <v>0</v>
      </c>
      <c r="BF1861">
        <v>0</v>
      </c>
      <c r="BG1861">
        <v>0</v>
      </c>
      <c r="BH1861">
        <v>2800</v>
      </c>
      <c r="BI1861">
        <v>0</v>
      </c>
      <c r="BJ1861">
        <v>0</v>
      </c>
      <c r="BK1861">
        <v>0</v>
      </c>
      <c r="BL1861">
        <v>0</v>
      </c>
      <c r="BO1861">
        <v>0</v>
      </c>
      <c r="BP1861">
        <v>0</v>
      </c>
      <c r="BW1861" t="str">
        <f>"18:55:54.495"</f>
        <v>18:55:54.495</v>
      </c>
      <c r="BZ1861">
        <v>0</v>
      </c>
      <c r="CA1861">
        <v>3008</v>
      </c>
      <c r="CB1861">
        <v>216</v>
      </c>
      <c r="CC1861">
        <v>601.875</v>
      </c>
      <c r="CD1861">
        <v>1</v>
      </c>
      <c r="CE1861">
        <v>1</v>
      </c>
      <c r="CF1861">
        <v>0</v>
      </c>
      <c r="CG1861">
        <v>1</v>
      </c>
      <c r="CH1861">
        <v>0</v>
      </c>
      <c r="CI1861">
        <v>0</v>
      </c>
      <c r="CJ1861">
        <v>0</v>
      </c>
      <c r="CK1861">
        <v>2</v>
      </c>
      <c r="CL1861">
        <v>0</v>
      </c>
      <c r="CM1861">
        <v>2</v>
      </c>
      <c r="CN1861">
        <v>0</v>
      </c>
      <c r="CO1861">
        <v>1</v>
      </c>
      <c r="CP1861" t="s">
        <v>119</v>
      </c>
      <c r="CQ1861">
        <v>70</v>
      </c>
      <c r="CR1861">
        <v>1</v>
      </c>
      <c r="CW1861">
        <v>3675063</v>
      </c>
      <c r="CY1861">
        <v>0</v>
      </c>
      <c r="CZ1861">
        <v>0</v>
      </c>
      <c r="DA1861">
        <v>1</v>
      </c>
      <c r="DB1861">
        <v>0</v>
      </c>
      <c r="DC1861">
        <v>0</v>
      </c>
      <c r="DD1861">
        <v>0</v>
      </c>
      <c r="DE1861">
        <v>0</v>
      </c>
      <c r="DF1861">
        <v>0</v>
      </c>
      <c r="DG1861">
        <v>0</v>
      </c>
      <c r="DH1861">
        <v>0</v>
      </c>
      <c r="DI1861">
        <v>0</v>
      </c>
    </row>
    <row r="1862" spans="1:113" x14ac:dyDescent="0.3">
      <c r="A1862" t="str">
        <f>"02/13/2022 18:55:54.719"</f>
        <v>02/13/2022 18:55:54.719</v>
      </c>
      <c r="C1862" t="str">
        <f t="shared" si="181"/>
        <v>FFDFD7C0</v>
      </c>
      <c r="D1862" t="s">
        <v>121</v>
      </c>
      <c r="E1862">
        <v>2</v>
      </c>
      <c r="H1862">
        <v>158</v>
      </c>
      <c r="I1862" t="s">
        <v>120</v>
      </c>
      <c r="J1862" t="s">
        <v>122</v>
      </c>
      <c r="K1862">
        <v>0</v>
      </c>
      <c r="L1862">
        <v>3</v>
      </c>
      <c r="M1862">
        <v>0</v>
      </c>
      <c r="N1862">
        <v>2</v>
      </c>
      <c r="O1862">
        <v>1</v>
      </c>
      <c r="P1862">
        <v>0</v>
      </c>
      <c r="Q1862">
        <v>0</v>
      </c>
      <c r="S1862" t="str">
        <f>"18:55:54.492"</f>
        <v>18:55:54.492</v>
      </c>
      <c r="T1862" t="str">
        <f>"18:55:53.892"</f>
        <v>18:55:53.892</v>
      </c>
      <c r="U1862" t="str">
        <f t="shared" si="183"/>
        <v>AAB6EE</v>
      </c>
      <c r="V1862">
        <v>0</v>
      </c>
      <c r="W1862">
        <v>0</v>
      </c>
      <c r="X1862">
        <v>4</v>
      </c>
      <c r="Z1862">
        <v>0</v>
      </c>
      <c r="AA1862">
        <v>8</v>
      </c>
      <c r="AB1862">
        <v>3</v>
      </c>
      <c r="AC1862">
        <v>0</v>
      </c>
      <c r="AD1862">
        <v>10</v>
      </c>
      <c r="AE1862">
        <v>0</v>
      </c>
      <c r="AF1862">
        <v>0</v>
      </c>
      <c r="AG1862">
        <v>2</v>
      </c>
      <c r="AH1862">
        <v>1</v>
      </c>
      <c r="AI1862" t="s">
        <v>1366</v>
      </c>
      <c r="AJ1862">
        <v>34.889510000000001</v>
      </c>
      <c r="AK1862" t="s">
        <v>1367</v>
      </c>
      <c r="AL1862">
        <v>-76.115234000000001</v>
      </c>
      <c r="AM1862">
        <v>25</v>
      </c>
      <c r="AN1862">
        <v>2925</v>
      </c>
      <c r="AO1862" t="s">
        <v>118</v>
      </c>
      <c r="AP1862">
        <v>-68</v>
      </c>
      <c r="AQ1862">
        <v>-127</v>
      </c>
      <c r="AR1862">
        <v>0</v>
      </c>
      <c r="AZ1862">
        <v>4516</v>
      </c>
      <c r="BA1862">
        <v>1</v>
      </c>
      <c r="BB1862" t="str">
        <f t="shared" si="182"/>
        <v xml:space="preserve">N79NX   </v>
      </c>
      <c r="BC1862">
        <v>1</v>
      </c>
      <c r="BE1862">
        <v>0</v>
      </c>
      <c r="BF1862">
        <v>0</v>
      </c>
      <c r="BG1862">
        <v>0</v>
      </c>
      <c r="BH1862">
        <v>2800</v>
      </c>
      <c r="BI1862">
        <v>0</v>
      </c>
      <c r="BJ1862">
        <v>0</v>
      </c>
      <c r="BK1862">
        <v>0</v>
      </c>
      <c r="BL1862">
        <v>0</v>
      </c>
      <c r="BO1862">
        <v>0</v>
      </c>
      <c r="BP1862">
        <v>0</v>
      </c>
      <c r="BW1862" t="str">
        <f>"18:55:54.495"</f>
        <v>18:55:54.495</v>
      </c>
      <c r="BZ1862">
        <v>0</v>
      </c>
      <c r="CA1862">
        <v>3008</v>
      </c>
      <c r="CB1862">
        <v>216</v>
      </c>
      <c r="CC1862">
        <v>601.875</v>
      </c>
      <c r="CD1862">
        <v>1</v>
      </c>
      <c r="CE1862">
        <v>1</v>
      </c>
      <c r="CF1862">
        <v>0</v>
      </c>
      <c r="CG1862">
        <v>1</v>
      </c>
      <c r="CH1862">
        <v>0</v>
      </c>
      <c r="CI1862">
        <v>0</v>
      </c>
      <c r="CJ1862">
        <v>0</v>
      </c>
      <c r="CK1862">
        <v>2</v>
      </c>
      <c r="CL1862">
        <v>0</v>
      </c>
      <c r="CM1862">
        <v>2</v>
      </c>
      <c r="CN1862">
        <v>0</v>
      </c>
      <c r="CO1862">
        <v>1</v>
      </c>
      <c r="CP1862" t="s">
        <v>119</v>
      </c>
      <c r="CQ1862">
        <v>70</v>
      </c>
      <c r="CR1862">
        <v>1</v>
      </c>
      <c r="CW1862">
        <v>3675063</v>
      </c>
      <c r="CY1862">
        <v>0</v>
      </c>
      <c r="CZ1862">
        <v>0</v>
      </c>
      <c r="DA1862">
        <v>1</v>
      </c>
      <c r="DB1862">
        <v>0</v>
      </c>
      <c r="DC1862">
        <v>0</v>
      </c>
      <c r="DD1862">
        <v>0</v>
      </c>
      <c r="DE1862">
        <v>0</v>
      </c>
      <c r="DF1862">
        <v>0</v>
      </c>
      <c r="DG1862">
        <v>0</v>
      </c>
      <c r="DH1862">
        <v>0</v>
      </c>
      <c r="DI1862">
        <v>0</v>
      </c>
    </row>
    <row r="1863" spans="1:113" x14ac:dyDescent="0.3">
      <c r="A1863" t="str">
        <f>"02/13/2022 18:55:55.766"</f>
        <v>02/13/2022 18:55:55.766</v>
      </c>
      <c r="C1863" t="str">
        <f t="shared" si="181"/>
        <v>FFDFD7C0</v>
      </c>
      <c r="D1863" t="s">
        <v>113</v>
      </c>
      <c r="E1863">
        <v>3</v>
      </c>
      <c r="F1863">
        <v>1003</v>
      </c>
      <c r="G1863" t="s">
        <v>114</v>
      </c>
      <c r="J1863" t="s">
        <v>115</v>
      </c>
      <c r="K1863">
        <v>0</v>
      </c>
      <c r="L1863">
        <v>3</v>
      </c>
      <c r="M1863">
        <v>0</v>
      </c>
      <c r="N1863">
        <v>2</v>
      </c>
      <c r="O1863">
        <v>1</v>
      </c>
      <c r="P1863">
        <v>0</v>
      </c>
      <c r="Q1863">
        <v>0</v>
      </c>
      <c r="S1863" t="str">
        <f t="shared" ref="S1863:T1865" si="184">"18:55:55.430"</f>
        <v>18:55:55.430</v>
      </c>
      <c r="T1863" t="str">
        <f t="shared" si="184"/>
        <v>18:55:55.430</v>
      </c>
      <c r="U1863" t="str">
        <f t="shared" si="183"/>
        <v>AAB6EE</v>
      </c>
      <c r="V1863">
        <v>0</v>
      </c>
      <c r="W1863">
        <v>0</v>
      </c>
      <c r="X1863">
        <v>4</v>
      </c>
      <c r="Z1863">
        <v>0</v>
      </c>
      <c r="AA1863">
        <v>8</v>
      </c>
      <c r="AB1863">
        <v>3</v>
      </c>
      <c r="AC1863">
        <v>0</v>
      </c>
      <c r="AD1863">
        <v>10</v>
      </c>
      <c r="AE1863">
        <v>0</v>
      </c>
      <c r="AF1863">
        <v>0</v>
      </c>
      <c r="AG1863">
        <v>2</v>
      </c>
      <c r="AH1863">
        <v>1</v>
      </c>
      <c r="AI1863" t="s">
        <v>1368</v>
      </c>
      <c r="AJ1863">
        <v>34.888908999999998</v>
      </c>
      <c r="AK1863" t="s">
        <v>1369</v>
      </c>
      <c r="AL1863">
        <v>-76.115620000000007</v>
      </c>
      <c r="AM1863">
        <v>25</v>
      </c>
      <c r="AN1863">
        <v>2925</v>
      </c>
      <c r="AO1863" t="s">
        <v>118</v>
      </c>
      <c r="AP1863">
        <v>-70</v>
      </c>
      <c r="AQ1863">
        <v>-126</v>
      </c>
      <c r="AR1863">
        <v>0</v>
      </c>
      <c r="AZ1863">
        <v>4516</v>
      </c>
      <c r="BA1863">
        <v>1</v>
      </c>
      <c r="BB1863" t="str">
        <f t="shared" si="182"/>
        <v xml:space="preserve">N79NX   </v>
      </c>
      <c r="BC1863">
        <v>1</v>
      </c>
      <c r="BE1863">
        <v>0</v>
      </c>
      <c r="BF1863">
        <v>0</v>
      </c>
      <c r="BG1863">
        <v>0</v>
      </c>
      <c r="BH1863">
        <v>2800</v>
      </c>
      <c r="BI1863">
        <v>0</v>
      </c>
      <c r="BJ1863">
        <v>0</v>
      </c>
      <c r="BK1863">
        <v>0</v>
      </c>
      <c r="BL1863">
        <v>0</v>
      </c>
      <c r="BO1863">
        <v>0</v>
      </c>
      <c r="BP1863">
        <v>0</v>
      </c>
      <c r="BW1863" t="str">
        <f>"18:55:55.435"</f>
        <v>18:55:55.435</v>
      </c>
      <c r="BZ1863">
        <v>0</v>
      </c>
      <c r="CA1863">
        <v>3008</v>
      </c>
      <c r="CB1863">
        <v>216</v>
      </c>
      <c r="CC1863">
        <v>593.4375</v>
      </c>
      <c r="CD1863">
        <v>1</v>
      </c>
      <c r="CE1863">
        <v>1</v>
      </c>
      <c r="CF1863">
        <v>0</v>
      </c>
      <c r="CG1863">
        <v>1</v>
      </c>
      <c r="CH1863">
        <v>0</v>
      </c>
      <c r="CI1863">
        <v>0</v>
      </c>
      <c r="CJ1863">
        <v>0</v>
      </c>
      <c r="CK1863">
        <v>2</v>
      </c>
      <c r="CL1863">
        <v>0</v>
      </c>
      <c r="CM1863">
        <v>2</v>
      </c>
      <c r="CN1863">
        <v>0</v>
      </c>
      <c r="CO1863">
        <v>2</v>
      </c>
      <c r="CP1863" t="s">
        <v>119</v>
      </c>
      <c r="CQ1863">
        <v>70</v>
      </c>
      <c r="CR1863">
        <v>1</v>
      </c>
      <c r="CW1863">
        <v>3675788</v>
      </c>
      <c r="CY1863">
        <v>0</v>
      </c>
      <c r="CZ1863">
        <v>0</v>
      </c>
      <c r="DA1863">
        <v>0</v>
      </c>
      <c r="DB1863">
        <v>0</v>
      </c>
      <c r="DC1863">
        <v>0</v>
      </c>
      <c r="DD1863">
        <v>0</v>
      </c>
      <c r="DE1863">
        <v>0</v>
      </c>
      <c r="DF1863">
        <v>0</v>
      </c>
      <c r="DG1863">
        <v>0</v>
      </c>
      <c r="DH1863">
        <v>0</v>
      </c>
      <c r="DI1863">
        <v>0</v>
      </c>
    </row>
    <row r="1864" spans="1:113" x14ac:dyDescent="0.3">
      <c r="A1864" t="str">
        <f>"02/13/2022 18:55:55.766"</f>
        <v>02/13/2022 18:55:55.766</v>
      </c>
      <c r="C1864" t="str">
        <f t="shared" si="181"/>
        <v>FFDFD7C0</v>
      </c>
      <c r="D1864" t="s">
        <v>113</v>
      </c>
      <c r="E1864">
        <v>4</v>
      </c>
      <c r="F1864">
        <v>1004</v>
      </c>
      <c r="G1864" t="s">
        <v>120</v>
      </c>
      <c r="J1864" t="s">
        <v>115</v>
      </c>
      <c r="K1864">
        <v>0</v>
      </c>
      <c r="L1864">
        <v>3</v>
      </c>
      <c r="M1864">
        <v>0</v>
      </c>
      <c r="N1864">
        <v>2</v>
      </c>
      <c r="O1864">
        <v>1</v>
      </c>
      <c r="P1864">
        <v>0</v>
      </c>
      <c r="Q1864">
        <v>0</v>
      </c>
      <c r="S1864" t="str">
        <f t="shared" si="184"/>
        <v>18:55:55.430</v>
      </c>
      <c r="T1864" t="str">
        <f t="shared" si="184"/>
        <v>18:55:55.430</v>
      </c>
      <c r="U1864" t="str">
        <f t="shared" si="183"/>
        <v>AAB6EE</v>
      </c>
      <c r="V1864">
        <v>0</v>
      </c>
      <c r="W1864">
        <v>0</v>
      </c>
      <c r="X1864">
        <v>4</v>
      </c>
      <c r="Z1864">
        <v>0</v>
      </c>
      <c r="AA1864">
        <v>8</v>
      </c>
      <c r="AB1864">
        <v>3</v>
      </c>
      <c r="AC1864">
        <v>0</v>
      </c>
      <c r="AD1864">
        <v>10</v>
      </c>
      <c r="AE1864">
        <v>0</v>
      </c>
      <c r="AF1864">
        <v>0</v>
      </c>
      <c r="AG1864">
        <v>2</v>
      </c>
      <c r="AH1864">
        <v>1</v>
      </c>
      <c r="AI1864" t="s">
        <v>1368</v>
      </c>
      <c r="AJ1864">
        <v>34.888908999999998</v>
      </c>
      <c r="AK1864" t="s">
        <v>1369</v>
      </c>
      <c r="AL1864">
        <v>-76.115620000000007</v>
      </c>
      <c r="AM1864">
        <v>25</v>
      </c>
      <c r="AN1864">
        <v>2925</v>
      </c>
      <c r="AO1864" t="s">
        <v>118</v>
      </c>
      <c r="AP1864">
        <v>-70</v>
      </c>
      <c r="AQ1864">
        <v>-126</v>
      </c>
      <c r="AR1864">
        <v>0</v>
      </c>
      <c r="AZ1864">
        <v>4516</v>
      </c>
      <c r="BA1864">
        <v>1</v>
      </c>
      <c r="BB1864" t="str">
        <f t="shared" si="182"/>
        <v xml:space="preserve">N79NX   </v>
      </c>
      <c r="BC1864">
        <v>1</v>
      </c>
      <c r="BE1864">
        <v>0</v>
      </c>
      <c r="BF1864">
        <v>0</v>
      </c>
      <c r="BG1864">
        <v>0</v>
      </c>
      <c r="BH1864">
        <v>2800</v>
      </c>
      <c r="BI1864">
        <v>0</v>
      </c>
      <c r="BJ1864">
        <v>0</v>
      </c>
      <c r="BK1864">
        <v>0</v>
      </c>
      <c r="BL1864">
        <v>0</v>
      </c>
      <c r="BO1864">
        <v>0</v>
      </c>
      <c r="BP1864">
        <v>0</v>
      </c>
      <c r="BW1864" t="str">
        <f>"18:55:55.435"</f>
        <v>18:55:55.435</v>
      </c>
      <c r="BZ1864">
        <v>0</v>
      </c>
      <c r="CA1864">
        <v>3008</v>
      </c>
      <c r="CB1864">
        <v>216</v>
      </c>
      <c r="CC1864">
        <v>593.4375</v>
      </c>
      <c r="CD1864">
        <v>1</v>
      </c>
      <c r="CE1864">
        <v>1</v>
      </c>
      <c r="CF1864">
        <v>0</v>
      </c>
      <c r="CG1864">
        <v>1</v>
      </c>
      <c r="CH1864">
        <v>0</v>
      </c>
      <c r="CI1864">
        <v>0</v>
      </c>
      <c r="CJ1864">
        <v>0</v>
      </c>
      <c r="CK1864">
        <v>2</v>
      </c>
      <c r="CL1864">
        <v>0</v>
      </c>
      <c r="CM1864">
        <v>2</v>
      </c>
      <c r="CN1864">
        <v>0</v>
      </c>
      <c r="CO1864">
        <v>2</v>
      </c>
      <c r="CP1864" t="s">
        <v>119</v>
      </c>
      <c r="CQ1864">
        <v>70</v>
      </c>
      <c r="CR1864">
        <v>1</v>
      </c>
      <c r="CW1864">
        <v>3675788</v>
      </c>
      <c r="CY1864">
        <v>0</v>
      </c>
      <c r="CZ1864">
        <v>0</v>
      </c>
      <c r="DA1864">
        <v>1</v>
      </c>
      <c r="DB1864">
        <v>0</v>
      </c>
      <c r="DC1864">
        <v>0</v>
      </c>
      <c r="DD1864">
        <v>0</v>
      </c>
      <c r="DE1864">
        <v>0</v>
      </c>
      <c r="DF1864">
        <v>0</v>
      </c>
      <c r="DG1864">
        <v>0</v>
      </c>
      <c r="DH1864">
        <v>0</v>
      </c>
      <c r="DI1864">
        <v>0</v>
      </c>
    </row>
    <row r="1865" spans="1:113" x14ac:dyDescent="0.3">
      <c r="A1865" t="str">
        <f>"02/13/2022 18:55:55.766"</f>
        <v>02/13/2022 18:55:55.766</v>
      </c>
      <c r="C1865" t="str">
        <f t="shared" si="181"/>
        <v>FFDFD7C0</v>
      </c>
      <c r="D1865" t="s">
        <v>121</v>
      </c>
      <c r="E1865">
        <v>2</v>
      </c>
      <c r="H1865">
        <v>158</v>
      </c>
      <c r="I1865" t="s">
        <v>120</v>
      </c>
      <c r="J1865" t="s">
        <v>122</v>
      </c>
      <c r="K1865">
        <v>0</v>
      </c>
      <c r="L1865">
        <v>3</v>
      </c>
      <c r="M1865">
        <v>0</v>
      </c>
      <c r="N1865">
        <v>2</v>
      </c>
      <c r="O1865">
        <v>1</v>
      </c>
      <c r="P1865">
        <v>0</v>
      </c>
      <c r="Q1865">
        <v>0</v>
      </c>
      <c r="S1865" t="str">
        <f t="shared" si="184"/>
        <v>18:55:55.430</v>
      </c>
      <c r="T1865" t="str">
        <f t="shared" si="184"/>
        <v>18:55:55.430</v>
      </c>
      <c r="U1865" t="str">
        <f t="shared" si="183"/>
        <v>AAB6EE</v>
      </c>
      <c r="V1865">
        <v>0</v>
      </c>
      <c r="W1865">
        <v>0</v>
      </c>
      <c r="X1865">
        <v>4</v>
      </c>
      <c r="Z1865">
        <v>0</v>
      </c>
      <c r="AA1865">
        <v>8</v>
      </c>
      <c r="AB1865">
        <v>3</v>
      </c>
      <c r="AC1865">
        <v>0</v>
      </c>
      <c r="AD1865">
        <v>10</v>
      </c>
      <c r="AE1865">
        <v>0</v>
      </c>
      <c r="AF1865">
        <v>0</v>
      </c>
      <c r="AG1865">
        <v>2</v>
      </c>
      <c r="AH1865">
        <v>1</v>
      </c>
      <c r="AI1865" t="s">
        <v>1368</v>
      </c>
      <c r="AJ1865">
        <v>34.888908999999998</v>
      </c>
      <c r="AK1865" t="s">
        <v>1369</v>
      </c>
      <c r="AL1865">
        <v>-76.115620000000007</v>
      </c>
      <c r="AM1865">
        <v>25</v>
      </c>
      <c r="AN1865">
        <v>2925</v>
      </c>
      <c r="AO1865" t="s">
        <v>118</v>
      </c>
      <c r="AP1865">
        <v>-70</v>
      </c>
      <c r="AQ1865">
        <v>-126</v>
      </c>
      <c r="AR1865">
        <v>0</v>
      </c>
      <c r="AZ1865">
        <v>4516</v>
      </c>
      <c r="BA1865">
        <v>1</v>
      </c>
      <c r="BB1865" t="str">
        <f t="shared" si="182"/>
        <v xml:space="preserve">N79NX   </v>
      </c>
      <c r="BC1865">
        <v>1</v>
      </c>
      <c r="BE1865">
        <v>0</v>
      </c>
      <c r="BF1865">
        <v>0</v>
      </c>
      <c r="BG1865">
        <v>0</v>
      </c>
      <c r="BH1865">
        <v>2800</v>
      </c>
      <c r="BI1865">
        <v>0</v>
      </c>
      <c r="BJ1865">
        <v>0</v>
      </c>
      <c r="BK1865">
        <v>0</v>
      </c>
      <c r="BL1865">
        <v>0</v>
      </c>
      <c r="BO1865">
        <v>0</v>
      </c>
      <c r="BP1865">
        <v>0</v>
      </c>
      <c r="BW1865" t="str">
        <f>"18:55:55.435"</f>
        <v>18:55:55.435</v>
      </c>
      <c r="BZ1865">
        <v>0</v>
      </c>
      <c r="CA1865">
        <v>3008</v>
      </c>
      <c r="CB1865">
        <v>216</v>
      </c>
      <c r="CC1865">
        <v>593.4375</v>
      </c>
      <c r="CD1865">
        <v>1</v>
      </c>
      <c r="CE1865">
        <v>1</v>
      </c>
      <c r="CF1865">
        <v>0</v>
      </c>
      <c r="CG1865">
        <v>1</v>
      </c>
      <c r="CH1865">
        <v>0</v>
      </c>
      <c r="CI1865">
        <v>0</v>
      </c>
      <c r="CJ1865">
        <v>0</v>
      </c>
      <c r="CK1865">
        <v>2</v>
      </c>
      <c r="CL1865">
        <v>0</v>
      </c>
      <c r="CM1865">
        <v>2</v>
      </c>
      <c r="CN1865">
        <v>0</v>
      </c>
      <c r="CO1865">
        <v>2</v>
      </c>
      <c r="CP1865" t="s">
        <v>119</v>
      </c>
      <c r="CQ1865">
        <v>70</v>
      </c>
      <c r="CR1865">
        <v>1</v>
      </c>
      <c r="CW1865">
        <v>3675788</v>
      </c>
      <c r="CY1865">
        <v>0</v>
      </c>
      <c r="CZ1865">
        <v>0</v>
      </c>
      <c r="DA1865">
        <v>1</v>
      </c>
      <c r="DB1865">
        <v>0</v>
      </c>
      <c r="DC1865">
        <v>0</v>
      </c>
      <c r="DD1865">
        <v>0</v>
      </c>
      <c r="DE1865">
        <v>0</v>
      </c>
      <c r="DF1865">
        <v>0</v>
      </c>
      <c r="DG1865">
        <v>0</v>
      </c>
      <c r="DH1865">
        <v>0</v>
      </c>
      <c r="DI1865">
        <v>0</v>
      </c>
    </row>
    <row r="1866" spans="1:113" x14ac:dyDescent="0.3">
      <c r="A1866" t="str">
        <f>"02/13/2022 18:55:56.548"</f>
        <v>02/13/2022 18:55:56.548</v>
      </c>
      <c r="C1866" t="str">
        <f t="shared" si="181"/>
        <v>FFDFD7C0</v>
      </c>
      <c r="D1866" t="s">
        <v>113</v>
      </c>
      <c r="E1866">
        <v>4</v>
      </c>
      <c r="F1866">
        <v>1004</v>
      </c>
      <c r="G1866" t="s">
        <v>120</v>
      </c>
      <c r="J1866" t="s">
        <v>115</v>
      </c>
      <c r="K1866">
        <v>0</v>
      </c>
      <c r="L1866">
        <v>3</v>
      </c>
      <c r="M1866">
        <v>0</v>
      </c>
      <c r="N1866">
        <v>2</v>
      </c>
      <c r="O1866">
        <v>1</v>
      </c>
      <c r="P1866">
        <v>0</v>
      </c>
      <c r="Q1866">
        <v>0</v>
      </c>
      <c r="S1866" t="str">
        <f>"18:55:56.344"</f>
        <v>18:55:56.344</v>
      </c>
      <c r="T1866" t="str">
        <f>"18:55:55.444"</f>
        <v>18:55:55.444</v>
      </c>
      <c r="U1866" t="str">
        <f t="shared" si="183"/>
        <v>AAB6EE</v>
      </c>
      <c r="V1866">
        <v>0</v>
      </c>
      <c r="W1866">
        <v>0</v>
      </c>
      <c r="X1866">
        <v>4</v>
      </c>
      <c r="Z1866">
        <v>0</v>
      </c>
      <c r="AA1866">
        <v>8</v>
      </c>
      <c r="AB1866">
        <v>3</v>
      </c>
      <c r="AC1866">
        <v>0</v>
      </c>
      <c r="AD1866">
        <v>10</v>
      </c>
      <c r="AE1866">
        <v>0</v>
      </c>
      <c r="AF1866">
        <v>0</v>
      </c>
      <c r="AG1866">
        <v>2</v>
      </c>
      <c r="AH1866">
        <v>1</v>
      </c>
      <c r="AI1866" t="s">
        <v>1370</v>
      </c>
      <c r="AJ1866">
        <v>34.888415000000002</v>
      </c>
      <c r="AK1866" t="s">
        <v>1371</v>
      </c>
      <c r="AL1866">
        <v>-76.115962999999994</v>
      </c>
      <c r="AM1866">
        <v>25</v>
      </c>
      <c r="AN1866">
        <v>2925</v>
      </c>
      <c r="AO1866" t="s">
        <v>118</v>
      </c>
      <c r="AP1866">
        <v>-70</v>
      </c>
      <c r="AQ1866">
        <v>-126</v>
      </c>
      <c r="AR1866">
        <v>0</v>
      </c>
      <c r="AZ1866">
        <v>4516</v>
      </c>
      <c r="BA1866">
        <v>1</v>
      </c>
      <c r="BB1866" t="str">
        <f t="shared" si="182"/>
        <v xml:space="preserve">N79NX   </v>
      </c>
      <c r="BC1866">
        <v>1</v>
      </c>
      <c r="BE1866">
        <v>0</v>
      </c>
      <c r="BF1866">
        <v>0</v>
      </c>
      <c r="BG1866">
        <v>0</v>
      </c>
      <c r="BH1866">
        <v>2800</v>
      </c>
      <c r="BI1866">
        <v>0</v>
      </c>
      <c r="BJ1866">
        <v>0</v>
      </c>
      <c r="BK1866">
        <v>0</v>
      </c>
      <c r="BL1866">
        <v>0</v>
      </c>
      <c r="BO1866">
        <v>0</v>
      </c>
      <c r="BP1866">
        <v>0</v>
      </c>
      <c r="BW1866" t="str">
        <f>"18:55:56.345"</f>
        <v>18:55:56.345</v>
      </c>
      <c r="BZ1866">
        <v>0</v>
      </c>
      <c r="CA1866">
        <v>3008</v>
      </c>
      <c r="CB1866">
        <v>216</v>
      </c>
      <c r="CC1866">
        <v>593.4375</v>
      </c>
      <c r="CD1866">
        <v>1</v>
      </c>
      <c r="CE1866">
        <v>1</v>
      </c>
      <c r="CF1866">
        <v>0</v>
      </c>
      <c r="CG1866">
        <v>1</v>
      </c>
      <c r="CH1866">
        <v>0</v>
      </c>
      <c r="CI1866">
        <v>0</v>
      </c>
      <c r="CJ1866">
        <v>0</v>
      </c>
      <c r="CK1866">
        <v>2</v>
      </c>
      <c r="CL1866">
        <v>0</v>
      </c>
      <c r="CM1866">
        <v>2</v>
      </c>
      <c r="CN1866">
        <v>0</v>
      </c>
      <c r="CO1866">
        <v>1</v>
      </c>
      <c r="CP1866" t="s">
        <v>119</v>
      </c>
      <c r="CQ1866">
        <v>70</v>
      </c>
      <c r="CR1866">
        <v>1</v>
      </c>
      <c r="CW1866">
        <v>3676506</v>
      </c>
      <c r="CY1866">
        <v>0</v>
      </c>
      <c r="CZ1866">
        <v>0</v>
      </c>
      <c r="DA1866">
        <v>0</v>
      </c>
      <c r="DB1866">
        <v>0</v>
      </c>
      <c r="DC1866">
        <v>0</v>
      </c>
      <c r="DD1866">
        <v>0</v>
      </c>
      <c r="DE1866">
        <v>0</v>
      </c>
      <c r="DF1866">
        <v>0</v>
      </c>
      <c r="DG1866">
        <v>0</v>
      </c>
      <c r="DH1866">
        <v>0</v>
      </c>
      <c r="DI1866">
        <v>0</v>
      </c>
    </row>
    <row r="1867" spans="1:113" x14ac:dyDescent="0.3">
      <c r="A1867" t="str">
        <f>"02/13/2022 18:55:56.548"</f>
        <v>02/13/2022 18:55:56.548</v>
      </c>
      <c r="C1867" t="str">
        <f t="shared" si="181"/>
        <v>FFDFD7C0</v>
      </c>
      <c r="D1867" t="s">
        <v>113</v>
      </c>
      <c r="E1867">
        <v>3</v>
      </c>
      <c r="F1867">
        <v>1003</v>
      </c>
      <c r="G1867" t="s">
        <v>114</v>
      </c>
      <c r="J1867" t="s">
        <v>115</v>
      </c>
      <c r="K1867">
        <v>0</v>
      </c>
      <c r="L1867">
        <v>3</v>
      </c>
      <c r="M1867">
        <v>0</v>
      </c>
      <c r="N1867">
        <v>2</v>
      </c>
      <c r="O1867">
        <v>1</v>
      </c>
      <c r="P1867">
        <v>0</v>
      </c>
      <c r="Q1867">
        <v>0</v>
      </c>
      <c r="S1867" t="str">
        <f>"18:55:56.344"</f>
        <v>18:55:56.344</v>
      </c>
      <c r="T1867" t="str">
        <f>"18:55:55.444"</f>
        <v>18:55:55.444</v>
      </c>
      <c r="U1867" t="str">
        <f t="shared" si="183"/>
        <v>AAB6EE</v>
      </c>
      <c r="V1867">
        <v>0</v>
      </c>
      <c r="W1867">
        <v>0</v>
      </c>
      <c r="X1867">
        <v>4</v>
      </c>
      <c r="Z1867">
        <v>0</v>
      </c>
      <c r="AA1867">
        <v>8</v>
      </c>
      <c r="AB1867">
        <v>3</v>
      </c>
      <c r="AC1867">
        <v>0</v>
      </c>
      <c r="AD1867">
        <v>10</v>
      </c>
      <c r="AE1867">
        <v>0</v>
      </c>
      <c r="AF1867">
        <v>0</v>
      </c>
      <c r="AG1867">
        <v>2</v>
      </c>
      <c r="AH1867">
        <v>1</v>
      </c>
      <c r="AI1867" t="s">
        <v>1370</v>
      </c>
      <c r="AJ1867">
        <v>34.888415000000002</v>
      </c>
      <c r="AK1867" t="s">
        <v>1371</v>
      </c>
      <c r="AL1867">
        <v>-76.115962999999994</v>
      </c>
      <c r="AM1867">
        <v>25</v>
      </c>
      <c r="AN1867">
        <v>2925</v>
      </c>
      <c r="AO1867" t="s">
        <v>118</v>
      </c>
      <c r="AP1867">
        <v>-70</v>
      </c>
      <c r="AQ1867">
        <v>-126</v>
      </c>
      <c r="AR1867">
        <v>0</v>
      </c>
      <c r="AZ1867">
        <v>4516</v>
      </c>
      <c r="BA1867">
        <v>1</v>
      </c>
      <c r="BB1867" t="str">
        <f t="shared" si="182"/>
        <v xml:space="preserve">N79NX   </v>
      </c>
      <c r="BC1867">
        <v>1</v>
      </c>
      <c r="BE1867">
        <v>0</v>
      </c>
      <c r="BF1867">
        <v>0</v>
      </c>
      <c r="BG1867">
        <v>0</v>
      </c>
      <c r="BH1867">
        <v>2800</v>
      </c>
      <c r="BI1867">
        <v>0</v>
      </c>
      <c r="BJ1867">
        <v>0</v>
      </c>
      <c r="BK1867">
        <v>0</v>
      </c>
      <c r="BL1867">
        <v>0</v>
      </c>
      <c r="BO1867">
        <v>0</v>
      </c>
      <c r="BP1867">
        <v>0</v>
      </c>
      <c r="BW1867" t="str">
        <f>"18:55:56.345"</f>
        <v>18:55:56.345</v>
      </c>
      <c r="BZ1867">
        <v>0</v>
      </c>
      <c r="CA1867">
        <v>3008</v>
      </c>
      <c r="CB1867">
        <v>216</v>
      </c>
      <c r="CC1867">
        <v>593.4375</v>
      </c>
      <c r="CD1867">
        <v>1</v>
      </c>
      <c r="CE1867">
        <v>1</v>
      </c>
      <c r="CF1867">
        <v>0</v>
      </c>
      <c r="CG1867">
        <v>1</v>
      </c>
      <c r="CH1867">
        <v>0</v>
      </c>
      <c r="CI1867">
        <v>0</v>
      </c>
      <c r="CJ1867">
        <v>0</v>
      </c>
      <c r="CK1867">
        <v>2</v>
      </c>
      <c r="CL1867">
        <v>0</v>
      </c>
      <c r="CM1867">
        <v>2</v>
      </c>
      <c r="CN1867">
        <v>0</v>
      </c>
      <c r="CO1867">
        <v>1</v>
      </c>
      <c r="CP1867" t="s">
        <v>119</v>
      </c>
      <c r="CQ1867">
        <v>70</v>
      </c>
      <c r="CR1867">
        <v>1</v>
      </c>
      <c r="CW1867">
        <v>3676506</v>
      </c>
      <c r="CY1867">
        <v>0</v>
      </c>
      <c r="CZ1867">
        <v>0</v>
      </c>
      <c r="DA1867">
        <v>1</v>
      </c>
      <c r="DB1867">
        <v>0</v>
      </c>
      <c r="DC1867">
        <v>0</v>
      </c>
      <c r="DD1867">
        <v>0</v>
      </c>
      <c r="DE1867">
        <v>0</v>
      </c>
      <c r="DF1867">
        <v>0</v>
      </c>
      <c r="DG1867">
        <v>0</v>
      </c>
      <c r="DH1867">
        <v>0</v>
      </c>
      <c r="DI1867">
        <v>0</v>
      </c>
    </row>
    <row r="1868" spans="1:113" x14ac:dyDescent="0.3">
      <c r="A1868" t="str">
        <f>"02/13/2022 18:55:56.596"</f>
        <v>02/13/2022 18:55:56.596</v>
      </c>
      <c r="C1868" t="str">
        <f t="shared" si="181"/>
        <v>FFDFD7C0</v>
      </c>
      <c r="D1868" t="s">
        <v>121</v>
      </c>
      <c r="E1868">
        <v>2</v>
      </c>
      <c r="H1868">
        <v>158</v>
      </c>
      <c r="I1868" t="s">
        <v>120</v>
      </c>
      <c r="J1868" t="s">
        <v>122</v>
      </c>
      <c r="K1868">
        <v>0</v>
      </c>
      <c r="L1868">
        <v>3</v>
      </c>
      <c r="M1868">
        <v>0</v>
      </c>
      <c r="N1868">
        <v>2</v>
      </c>
      <c r="O1868">
        <v>1</v>
      </c>
      <c r="P1868">
        <v>0</v>
      </c>
      <c r="Q1868">
        <v>0</v>
      </c>
      <c r="S1868" t="str">
        <f>"18:55:56.344"</f>
        <v>18:55:56.344</v>
      </c>
      <c r="T1868" t="str">
        <f>"18:55:55.444"</f>
        <v>18:55:55.444</v>
      </c>
      <c r="U1868" t="str">
        <f t="shared" si="183"/>
        <v>AAB6EE</v>
      </c>
      <c r="V1868">
        <v>0</v>
      </c>
      <c r="W1868">
        <v>0</v>
      </c>
      <c r="X1868">
        <v>4</v>
      </c>
      <c r="Z1868">
        <v>0</v>
      </c>
      <c r="AA1868">
        <v>8</v>
      </c>
      <c r="AB1868">
        <v>3</v>
      </c>
      <c r="AC1868">
        <v>0</v>
      </c>
      <c r="AD1868">
        <v>10</v>
      </c>
      <c r="AE1868">
        <v>0</v>
      </c>
      <c r="AF1868">
        <v>0</v>
      </c>
      <c r="AG1868">
        <v>2</v>
      </c>
      <c r="AH1868">
        <v>1</v>
      </c>
      <c r="AI1868" t="s">
        <v>1370</v>
      </c>
      <c r="AJ1868">
        <v>34.888415000000002</v>
      </c>
      <c r="AK1868" t="s">
        <v>1371</v>
      </c>
      <c r="AL1868">
        <v>-76.115962999999994</v>
      </c>
      <c r="AM1868">
        <v>25</v>
      </c>
      <c r="AN1868">
        <v>2925</v>
      </c>
      <c r="AO1868" t="s">
        <v>118</v>
      </c>
      <c r="AP1868">
        <v>-70</v>
      </c>
      <c r="AQ1868">
        <v>-126</v>
      </c>
      <c r="AR1868">
        <v>0</v>
      </c>
      <c r="AZ1868">
        <v>4516</v>
      </c>
      <c r="BA1868">
        <v>1</v>
      </c>
      <c r="BB1868" t="str">
        <f t="shared" si="182"/>
        <v xml:space="preserve">N79NX   </v>
      </c>
      <c r="BC1868">
        <v>1</v>
      </c>
      <c r="BE1868">
        <v>0</v>
      </c>
      <c r="BF1868">
        <v>0</v>
      </c>
      <c r="BG1868">
        <v>0</v>
      </c>
      <c r="BH1868">
        <v>2800</v>
      </c>
      <c r="BI1868">
        <v>0</v>
      </c>
      <c r="BJ1868">
        <v>0</v>
      </c>
      <c r="BK1868">
        <v>0</v>
      </c>
      <c r="BL1868">
        <v>0</v>
      </c>
      <c r="BO1868">
        <v>0</v>
      </c>
      <c r="BP1868">
        <v>0</v>
      </c>
      <c r="BW1868" t="str">
        <f>"18:55:56.345"</f>
        <v>18:55:56.345</v>
      </c>
      <c r="BZ1868">
        <v>0</v>
      </c>
      <c r="CA1868">
        <v>3008</v>
      </c>
      <c r="CB1868">
        <v>216</v>
      </c>
      <c r="CC1868">
        <v>593.4375</v>
      </c>
      <c r="CD1868">
        <v>1</v>
      </c>
      <c r="CE1868">
        <v>1</v>
      </c>
      <c r="CF1868">
        <v>0</v>
      </c>
      <c r="CG1868">
        <v>1</v>
      </c>
      <c r="CH1868">
        <v>0</v>
      </c>
      <c r="CI1868">
        <v>0</v>
      </c>
      <c r="CJ1868">
        <v>0</v>
      </c>
      <c r="CK1868">
        <v>2</v>
      </c>
      <c r="CL1868">
        <v>0</v>
      </c>
      <c r="CM1868">
        <v>2</v>
      </c>
      <c r="CN1868">
        <v>0</v>
      </c>
      <c r="CO1868">
        <v>1</v>
      </c>
      <c r="CP1868" t="s">
        <v>119</v>
      </c>
      <c r="CQ1868">
        <v>70</v>
      </c>
      <c r="CR1868">
        <v>1</v>
      </c>
      <c r="CW1868">
        <v>3676506</v>
      </c>
      <c r="CY1868">
        <v>0</v>
      </c>
      <c r="CZ1868">
        <v>0</v>
      </c>
      <c r="DA1868">
        <v>1</v>
      </c>
      <c r="DB1868">
        <v>0</v>
      </c>
      <c r="DC1868">
        <v>0</v>
      </c>
      <c r="DD1868">
        <v>0</v>
      </c>
      <c r="DE1868">
        <v>0</v>
      </c>
      <c r="DF1868">
        <v>0</v>
      </c>
      <c r="DG1868">
        <v>0</v>
      </c>
      <c r="DH1868">
        <v>0</v>
      </c>
      <c r="DI1868">
        <v>0</v>
      </c>
    </row>
    <row r="1869" spans="1:113" x14ac:dyDescent="0.3">
      <c r="A1869" t="str">
        <f>"02/13/2022 18:55:58.144"</f>
        <v>02/13/2022 18:55:58.144</v>
      </c>
      <c r="C1869" t="str">
        <f t="shared" si="181"/>
        <v>FFDFD7C0</v>
      </c>
      <c r="D1869" t="s">
        <v>113</v>
      </c>
      <c r="E1869">
        <v>3</v>
      </c>
      <c r="F1869">
        <v>1003</v>
      </c>
      <c r="G1869" t="s">
        <v>114</v>
      </c>
      <c r="J1869" t="s">
        <v>115</v>
      </c>
      <c r="K1869">
        <v>0</v>
      </c>
      <c r="L1869">
        <v>3</v>
      </c>
      <c r="M1869">
        <v>0</v>
      </c>
      <c r="N1869">
        <v>2</v>
      </c>
      <c r="O1869">
        <v>1</v>
      </c>
      <c r="P1869">
        <v>0</v>
      </c>
      <c r="Q1869">
        <v>0</v>
      </c>
      <c r="S1869" t="str">
        <f>"18:55:57.883"</f>
        <v>18:55:57.883</v>
      </c>
      <c r="T1869" t="str">
        <f>"18:55:56.883"</f>
        <v>18:55:56.883</v>
      </c>
      <c r="U1869" t="str">
        <f t="shared" si="183"/>
        <v>AAB6EE</v>
      </c>
      <c r="V1869">
        <v>0</v>
      </c>
      <c r="W1869">
        <v>0</v>
      </c>
      <c r="X1869">
        <v>4</v>
      </c>
      <c r="Z1869">
        <v>0</v>
      </c>
      <c r="AA1869">
        <v>8</v>
      </c>
      <c r="AB1869">
        <v>3</v>
      </c>
      <c r="AC1869">
        <v>0</v>
      </c>
      <c r="AD1869">
        <v>10</v>
      </c>
      <c r="AE1869">
        <v>0</v>
      </c>
      <c r="AF1869">
        <v>0</v>
      </c>
      <c r="AG1869">
        <v>2</v>
      </c>
      <c r="AH1869">
        <v>1</v>
      </c>
      <c r="AI1869" t="s">
        <v>1372</v>
      </c>
      <c r="AJ1869">
        <v>34.887557000000001</v>
      </c>
      <c r="AK1869" t="s">
        <v>592</v>
      </c>
      <c r="AL1869">
        <v>-76.116607000000002</v>
      </c>
      <c r="AM1869">
        <v>25</v>
      </c>
      <c r="AN1869">
        <v>2925</v>
      </c>
      <c r="AO1869" t="s">
        <v>118</v>
      </c>
      <c r="AP1869">
        <v>-73</v>
      </c>
      <c r="AQ1869">
        <v>-124</v>
      </c>
      <c r="AR1869">
        <v>0</v>
      </c>
      <c r="AZ1869">
        <v>4516</v>
      </c>
      <c r="BA1869">
        <v>1</v>
      </c>
      <c r="BB1869" t="str">
        <f t="shared" si="182"/>
        <v xml:space="preserve">N79NX   </v>
      </c>
      <c r="BC1869">
        <v>1</v>
      </c>
      <c r="BE1869">
        <v>0</v>
      </c>
      <c r="BF1869">
        <v>0</v>
      </c>
      <c r="BG1869">
        <v>0</v>
      </c>
      <c r="BH1869">
        <v>2800</v>
      </c>
      <c r="BI1869">
        <v>0</v>
      </c>
      <c r="BJ1869">
        <v>0</v>
      </c>
      <c r="BK1869">
        <v>0</v>
      </c>
      <c r="BL1869">
        <v>0</v>
      </c>
      <c r="BO1869">
        <v>0</v>
      </c>
      <c r="BP1869">
        <v>0</v>
      </c>
      <c r="BW1869" t="str">
        <f>"18:55:57.885"</f>
        <v>18:55:57.885</v>
      </c>
      <c r="BZ1869">
        <v>0</v>
      </c>
      <c r="CA1869">
        <v>3008</v>
      </c>
      <c r="CB1869">
        <v>216</v>
      </c>
      <c r="CC1869">
        <v>593.4375</v>
      </c>
      <c r="CD1869">
        <v>1</v>
      </c>
      <c r="CE1869">
        <v>1</v>
      </c>
      <c r="CF1869">
        <v>0</v>
      </c>
      <c r="CG1869">
        <v>1</v>
      </c>
      <c r="CH1869">
        <v>0</v>
      </c>
      <c r="CI1869">
        <v>0</v>
      </c>
      <c r="CJ1869">
        <v>0</v>
      </c>
      <c r="CK1869">
        <v>2</v>
      </c>
      <c r="CL1869">
        <v>0</v>
      </c>
      <c r="CM1869">
        <v>2</v>
      </c>
      <c r="CN1869">
        <v>0</v>
      </c>
      <c r="CO1869">
        <v>1</v>
      </c>
      <c r="CP1869" t="s">
        <v>119</v>
      </c>
      <c r="CQ1869">
        <v>70</v>
      </c>
      <c r="CR1869">
        <v>1</v>
      </c>
      <c r="CW1869">
        <v>3677781</v>
      </c>
      <c r="CY1869">
        <v>0</v>
      </c>
      <c r="CZ1869">
        <v>0</v>
      </c>
      <c r="DA1869">
        <v>0</v>
      </c>
      <c r="DB1869">
        <v>0</v>
      </c>
      <c r="DC1869">
        <v>0</v>
      </c>
      <c r="DD1869">
        <v>0</v>
      </c>
      <c r="DE1869">
        <v>0</v>
      </c>
      <c r="DF1869">
        <v>0</v>
      </c>
      <c r="DG1869">
        <v>0</v>
      </c>
      <c r="DH1869">
        <v>0</v>
      </c>
      <c r="DI1869">
        <v>0</v>
      </c>
    </row>
    <row r="1870" spans="1:113" x14ac:dyDescent="0.3">
      <c r="A1870" t="str">
        <f>"02/13/2022 18:55:58.144"</f>
        <v>02/13/2022 18:55:58.144</v>
      </c>
      <c r="C1870" t="str">
        <f t="shared" si="181"/>
        <v>FFDFD7C0</v>
      </c>
      <c r="D1870" t="s">
        <v>113</v>
      </c>
      <c r="E1870">
        <v>4</v>
      </c>
      <c r="F1870">
        <v>1004</v>
      </c>
      <c r="G1870" t="s">
        <v>120</v>
      </c>
      <c r="J1870" t="s">
        <v>115</v>
      </c>
      <c r="K1870">
        <v>0</v>
      </c>
      <c r="L1870">
        <v>3</v>
      </c>
      <c r="M1870">
        <v>0</v>
      </c>
      <c r="N1870">
        <v>2</v>
      </c>
      <c r="O1870">
        <v>1</v>
      </c>
      <c r="P1870">
        <v>0</v>
      </c>
      <c r="Q1870">
        <v>0</v>
      </c>
      <c r="S1870" t="str">
        <f>"18:55:57.883"</f>
        <v>18:55:57.883</v>
      </c>
      <c r="T1870" t="str">
        <f>"18:55:56.883"</f>
        <v>18:55:56.883</v>
      </c>
      <c r="U1870" t="str">
        <f t="shared" si="183"/>
        <v>AAB6EE</v>
      </c>
      <c r="V1870">
        <v>0</v>
      </c>
      <c r="W1870">
        <v>0</v>
      </c>
      <c r="X1870">
        <v>4</v>
      </c>
      <c r="Z1870">
        <v>0</v>
      </c>
      <c r="AA1870">
        <v>8</v>
      </c>
      <c r="AB1870">
        <v>3</v>
      </c>
      <c r="AC1870">
        <v>0</v>
      </c>
      <c r="AD1870">
        <v>10</v>
      </c>
      <c r="AE1870">
        <v>0</v>
      </c>
      <c r="AF1870">
        <v>0</v>
      </c>
      <c r="AG1870">
        <v>2</v>
      </c>
      <c r="AH1870">
        <v>1</v>
      </c>
      <c r="AI1870" t="s">
        <v>1372</v>
      </c>
      <c r="AJ1870">
        <v>34.887557000000001</v>
      </c>
      <c r="AK1870" t="s">
        <v>592</v>
      </c>
      <c r="AL1870">
        <v>-76.116607000000002</v>
      </c>
      <c r="AM1870">
        <v>25</v>
      </c>
      <c r="AN1870">
        <v>2925</v>
      </c>
      <c r="AO1870" t="s">
        <v>118</v>
      </c>
      <c r="AP1870">
        <v>-73</v>
      </c>
      <c r="AQ1870">
        <v>-124</v>
      </c>
      <c r="AR1870">
        <v>0</v>
      </c>
      <c r="AZ1870">
        <v>4516</v>
      </c>
      <c r="BA1870">
        <v>1</v>
      </c>
      <c r="BB1870" t="str">
        <f t="shared" si="182"/>
        <v xml:space="preserve">N79NX   </v>
      </c>
      <c r="BC1870">
        <v>1</v>
      </c>
      <c r="BE1870">
        <v>0</v>
      </c>
      <c r="BF1870">
        <v>0</v>
      </c>
      <c r="BG1870">
        <v>0</v>
      </c>
      <c r="BH1870">
        <v>2800</v>
      </c>
      <c r="BI1870">
        <v>0</v>
      </c>
      <c r="BJ1870">
        <v>0</v>
      </c>
      <c r="BK1870">
        <v>0</v>
      </c>
      <c r="BL1870">
        <v>0</v>
      </c>
      <c r="BO1870">
        <v>0</v>
      </c>
      <c r="BP1870">
        <v>0</v>
      </c>
      <c r="BW1870" t="str">
        <f>"18:55:57.885"</f>
        <v>18:55:57.885</v>
      </c>
      <c r="BZ1870">
        <v>0</v>
      </c>
      <c r="CA1870">
        <v>3008</v>
      </c>
      <c r="CB1870">
        <v>216</v>
      </c>
      <c r="CC1870">
        <v>593.4375</v>
      </c>
      <c r="CD1870">
        <v>1</v>
      </c>
      <c r="CE1870">
        <v>1</v>
      </c>
      <c r="CF1870">
        <v>0</v>
      </c>
      <c r="CG1870">
        <v>1</v>
      </c>
      <c r="CH1870">
        <v>0</v>
      </c>
      <c r="CI1870">
        <v>0</v>
      </c>
      <c r="CJ1870">
        <v>0</v>
      </c>
      <c r="CK1870">
        <v>2</v>
      </c>
      <c r="CL1870">
        <v>0</v>
      </c>
      <c r="CM1870">
        <v>2</v>
      </c>
      <c r="CN1870">
        <v>0</v>
      </c>
      <c r="CO1870">
        <v>1</v>
      </c>
      <c r="CP1870" t="s">
        <v>119</v>
      </c>
      <c r="CQ1870">
        <v>70</v>
      </c>
      <c r="CR1870">
        <v>1</v>
      </c>
      <c r="CW1870">
        <v>3677781</v>
      </c>
      <c r="CY1870">
        <v>0</v>
      </c>
      <c r="CZ1870">
        <v>0</v>
      </c>
      <c r="DA1870">
        <v>1</v>
      </c>
      <c r="DB1870">
        <v>0</v>
      </c>
      <c r="DC1870">
        <v>0</v>
      </c>
      <c r="DD1870">
        <v>0</v>
      </c>
      <c r="DE1870">
        <v>0</v>
      </c>
      <c r="DF1870">
        <v>0</v>
      </c>
      <c r="DG1870">
        <v>0</v>
      </c>
      <c r="DH1870">
        <v>0</v>
      </c>
      <c r="DI1870">
        <v>0</v>
      </c>
    </row>
    <row r="1871" spans="1:113" x14ac:dyDescent="0.3">
      <c r="A1871" t="str">
        <f>"02/13/2022 18:55:58.144"</f>
        <v>02/13/2022 18:55:58.144</v>
      </c>
      <c r="C1871" t="str">
        <f t="shared" si="181"/>
        <v>FFDFD7C0</v>
      </c>
      <c r="D1871" t="s">
        <v>121</v>
      </c>
      <c r="E1871">
        <v>2</v>
      </c>
      <c r="H1871">
        <v>158</v>
      </c>
      <c r="I1871" t="s">
        <v>120</v>
      </c>
      <c r="J1871" t="s">
        <v>122</v>
      </c>
      <c r="K1871">
        <v>0</v>
      </c>
      <c r="L1871">
        <v>3</v>
      </c>
      <c r="M1871">
        <v>0</v>
      </c>
      <c r="N1871">
        <v>2</v>
      </c>
      <c r="O1871">
        <v>1</v>
      </c>
      <c r="P1871">
        <v>0</v>
      </c>
      <c r="Q1871">
        <v>0</v>
      </c>
      <c r="S1871" t="str">
        <f>"18:55:57.883"</f>
        <v>18:55:57.883</v>
      </c>
      <c r="T1871" t="str">
        <f>"18:55:56.883"</f>
        <v>18:55:56.883</v>
      </c>
      <c r="U1871" t="str">
        <f t="shared" si="183"/>
        <v>AAB6EE</v>
      </c>
      <c r="V1871">
        <v>0</v>
      </c>
      <c r="W1871">
        <v>0</v>
      </c>
      <c r="X1871">
        <v>4</v>
      </c>
      <c r="Z1871">
        <v>0</v>
      </c>
      <c r="AA1871">
        <v>8</v>
      </c>
      <c r="AB1871">
        <v>3</v>
      </c>
      <c r="AC1871">
        <v>0</v>
      </c>
      <c r="AD1871">
        <v>10</v>
      </c>
      <c r="AE1871">
        <v>0</v>
      </c>
      <c r="AF1871">
        <v>0</v>
      </c>
      <c r="AG1871">
        <v>2</v>
      </c>
      <c r="AH1871">
        <v>1</v>
      </c>
      <c r="AI1871" t="s">
        <v>1372</v>
      </c>
      <c r="AJ1871">
        <v>34.887557000000001</v>
      </c>
      <c r="AK1871" t="s">
        <v>592</v>
      </c>
      <c r="AL1871">
        <v>-76.116607000000002</v>
      </c>
      <c r="AM1871">
        <v>25</v>
      </c>
      <c r="AN1871">
        <v>2925</v>
      </c>
      <c r="AO1871" t="s">
        <v>118</v>
      </c>
      <c r="AP1871">
        <v>-73</v>
      </c>
      <c r="AQ1871">
        <v>-124</v>
      </c>
      <c r="AR1871">
        <v>0</v>
      </c>
      <c r="AZ1871">
        <v>4516</v>
      </c>
      <c r="BA1871">
        <v>1</v>
      </c>
      <c r="BB1871" t="str">
        <f t="shared" si="182"/>
        <v xml:space="preserve">N79NX   </v>
      </c>
      <c r="BC1871">
        <v>1</v>
      </c>
      <c r="BE1871">
        <v>0</v>
      </c>
      <c r="BF1871">
        <v>0</v>
      </c>
      <c r="BG1871">
        <v>0</v>
      </c>
      <c r="BH1871">
        <v>2800</v>
      </c>
      <c r="BI1871">
        <v>0</v>
      </c>
      <c r="BJ1871">
        <v>0</v>
      </c>
      <c r="BK1871">
        <v>0</v>
      </c>
      <c r="BL1871">
        <v>0</v>
      </c>
      <c r="BO1871">
        <v>0</v>
      </c>
      <c r="BP1871">
        <v>0</v>
      </c>
      <c r="BW1871" t="str">
        <f>"18:55:57.885"</f>
        <v>18:55:57.885</v>
      </c>
      <c r="BZ1871">
        <v>0</v>
      </c>
      <c r="CA1871">
        <v>3008</v>
      </c>
      <c r="CB1871">
        <v>216</v>
      </c>
      <c r="CC1871">
        <v>593.4375</v>
      </c>
      <c r="CD1871">
        <v>1</v>
      </c>
      <c r="CE1871">
        <v>1</v>
      </c>
      <c r="CF1871">
        <v>0</v>
      </c>
      <c r="CG1871">
        <v>1</v>
      </c>
      <c r="CH1871">
        <v>0</v>
      </c>
      <c r="CI1871">
        <v>0</v>
      </c>
      <c r="CJ1871">
        <v>0</v>
      </c>
      <c r="CK1871">
        <v>2</v>
      </c>
      <c r="CL1871">
        <v>0</v>
      </c>
      <c r="CM1871">
        <v>2</v>
      </c>
      <c r="CN1871">
        <v>0</v>
      </c>
      <c r="CO1871">
        <v>1</v>
      </c>
      <c r="CP1871" t="s">
        <v>119</v>
      </c>
      <c r="CQ1871">
        <v>70</v>
      </c>
      <c r="CR1871">
        <v>1</v>
      </c>
      <c r="CW1871">
        <v>3677781</v>
      </c>
      <c r="CY1871">
        <v>0</v>
      </c>
      <c r="CZ1871">
        <v>0</v>
      </c>
      <c r="DA1871">
        <v>1</v>
      </c>
      <c r="DB1871">
        <v>0</v>
      </c>
      <c r="DC1871">
        <v>0</v>
      </c>
      <c r="DD1871">
        <v>0</v>
      </c>
      <c r="DE1871">
        <v>0</v>
      </c>
      <c r="DF1871">
        <v>0</v>
      </c>
      <c r="DG1871">
        <v>0</v>
      </c>
      <c r="DH1871">
        <v>0</v>
      </c>
      <c r="DI1871">
        <v>0</v>
      </c>
    </row>
    <row r="1872" spans="1:113" x14ac:dyDescent="0.3">
      <c r="A1872" t="str">
        <f>"02/13/2022 18:55:59.003"</f>
        <v>02/13/2022 18:55:59.003</v>
      </c>
      <c r="C1872" t="str">
        <f t="shared" si="181"/>
        <v>FFDFD7C0</v>
      </c>
      <c r="D1872" t="s">
        <v>121</v>
      </c>
      <c r="E1872">
        <v>2</v>
      </c>
      <c r="H1872">
        <v>158</v>
      </c>
      <c r="I1872" t="s">
        <v>120</v>
      </c>
      <c r="J1872" t="s">
        <v>122</v>
      </c>
      <c r="K1872">
        <v>0</v>
      </c>
      <c r="L1872">
        <v>3</v>
      </c>
      <c r="M1872">
        <v>0</v>
      </c>
      <c r="N1872">
        <v>2</v>
      </c>
      <c r="O1872">
        <v>1</v>
      </c>
      <c r="P1872">
        <v>0</v>
      </c>
      <c r="Q1872">
        <v>0</v>
      </c>
      <c r="S1872" t="str">
        <f>"18:55:58.750"</f>
        <v>18:55:58.750</v>
      </c>
      <c r="T1872" t="str">
        <f>"18:55:57.950"</f>
        <v>18:55:57.950</v>
      </c>
      <c r="U1872" t="str">
        <f t="shared" si="183"/>
        <v>AAB6EE</v>
      </c>
      <c r="V1872">
        <v>0</v>
      </c>
      <c r="W1872">
        <v>0</v>
      </c>
      <c r="X1872">
        <v>4</v>
      </c>
      <c r="Z1872">
        <v>0</v>
      </c>
      <c r="AA1872">
        <v>8</v>
      </c>
      <c r="AB1872">
        <v>3</v>
      </c>
      <c r="AC1872">
        <v>0</v>
      </c>
      <c r="AD1872">
        <v>10</v>
      </c>
      <c r="AE1872">
        <v>0</v>
      </c>
      <c r="AF1872">
        <v>0</v>
      </c>
      <c r="AG1872">
        <v>2</v>
      </c>
      <c r="AH1872">
        <v>1</v>
      </c>
      <c r="AI1872" t="s">
        <v>1373</v>
      </c>
      <c r="AJ1872">
        <v>34.887042000000001</v>
      </c>
      <c r="AK1872" t="s">
        <v>1374</v>
      </c>
      <c r="AL1872">
        <v>-76.116972000000004</v>
      </c>
      <c r="AM1872">
        <v>25</v>
      </c>
      <c r="AN1872">
        <v>2925</v>
      </c>
      <c r="AO1872" t="s">
        <v>118</v>
      </c>
      <c r="AP1872">
        <v>-74</v>
      </c>
      <c r="AQ1872">
        <v>-122</v>
      </c>
      <c r="AR1872">
        <v>64</v>
      </c>
      <c r="AZ1872">
        <v>4516</v>
      </c>
      <c r="BA1872">
        <v>1</v>
      </c>
      <c r="BB1872" t="str">
        <f t="shared" si="182"/>
        <v xml:space="preserve">N79NX   </v>
      </c>
      <c r="BC1872">
        <v>1</v>
      </c>
      <c r="BE1872">
        <v>0</v>
      </c>
      <c r="BF1872">
        <v>0</v>
      </c>
      <c r="BG1872">
        <v>0</v>
      </c>
      <c r="BH1872">
        <v>2800</v>
      </c>
      <c r="BI1872">
        <v>0</v>
      </c>
      <c r="BJ1872">
        <v>0</v>
      </c>
      <c r="BK1872">
        <v>0</v>
      </c>
      <c r="BL1872">
        <v>0</v>
      </c>
      <c r="BO1872">
        <v>0</v>
      </c>
      <c r="BP1872">
        <v>0</v>
      </c>
      <c r="BW1872" t="str">
        <f>"18:55:58.755"</f>
        <v>18:55:58.755</v>
      </c>
      <c r="BZ1872">
        <v>0</v>
      </c>
      <c r="CA1872">
        <v>3008</v>
      </c>
      <c r="CB1872">
        <v>216</v>
      </c>
      <c r="CC1872">
        <v>593.4375</v>
      </c>
      <c r="CD1872">
        <v>1</v>
      </c>
      <c r="CE1872">
        <v>1</v>
      </c>
      <c r="CF1872">
        <v>0</v>
      </c>
      <c r="CG1872">
        <v>1</v>
      </c>
      <c r="CH1872">
        <v>0</v>
      </c>
      <c r="CI1872">
        <v>0</v>
      </c>
      <c r="CJ1872">
        <v>0</v>
      </c>
      <c r="CK1872">
        <v>2</v>
      </c>
      <c r="CL1872">
        <v>0</v>
      </c>
      <c r="CM1872">
        <v>2</v>
      </c>
      <c r="CN1872">
        <v>0</v>
      </c>
      <c r="CO1872">
        <v>1</v>
      </c>
      <c r="CP1872" t="s">
        <v>119</v>
      </c>
      <c r="CQ1872">
        <v>70</v>
      </c>
      <c r="CR1872">
        <v>1</v>
      </c>
      <c r="CW1872">
        <v>3678426</v>
      </c>
      <c r="CY1872">
        <v>0</v>
      </c>
      <c r="CZ1872">
        <v>0</v>
      </c>
      <c r="DA1872">
        <v>0</v>
      </c>
      <c r="DB1872">
        <v>0</v>
      </c>
      <c r="DC1872">
        <v>0</v>
      </c>
      <c r="DD1872">
        <v>0</v>
      </c>
      <c r="DE1872">
        <v>0</v>
      </c>
      <c r="DF1872">
        <v>0</v>
      </c>
      <c r="DG1872">
        <v>0</v>
      </c>
      <c r="DH1872">
        <v>0</v>
      </c>
      <c r="DI1872">
        <v>0</v>
      </c>
    </row>
    <row r="1873" spans="1:113" x14ac:dyDescent="0.3">
      <c r="A1873" t="str">
        <f>"02/13/2022 18:55:58.972"</f>
        <v>02/13/2022 18:55:58.972</v>
      </c>
      <c r="C1873" t="str">
        <f t="shared" si="181"/>
        <v>FFDFD7C0</v>
      </c>
      <c r="D1873" t="s">
        <v>113</v>
      </c>
      <c r="E1873">
        <v>3</v>
      </c>
      <c r="F1873">
        <v>1003</v>
      </c>
      <c r="G1873" t="s">
        <v>114</v>
      </c>
      <c r="J1873" t="s">
        <v>115</v>
      </c>
      <c r="K1873">
        <v>0</v>
      </c>
      <c r="L1873">
        <v>3</v>
      </c>
      <c r="M1873">
        <v>0</v>
      </c>
      <c r="N1873">
        <v>2</v>
      </c>
      <c r="O1873">
        <v>1</v>
      </c>
      <c r="P1873">
        <v>0</v>
      </c>
      <c r="Q1873">
        <v>0</v>
      </c>
      <c r="S1873" t="str">
        <f>"18:55:58.750"</f>
        <v>18:55:58.750</v>
      </c>
      <c r="T1873" t="str">
        <f>"18:55:57.950"</f>
        <v>18:55:57.950</v>
      </c>
      <c r="U1873" t="str">
        <f t="shared" si="183"/>
        <v>AAB6EE</v>
      </c>
      <c r="V1873">
        <v>0</v>
      </c>
      <c r="W1873">
        <v>0</v>
      </c>
      <c r="X1873">
        <v>4</v>
      </c>
      <c r="Z1873">
        <v>0</v>
      </c>
      <c r="AA1873">
        <v>8</v>
      </c>
      <c r="AB1873">
        <v>3</v>
      </c>
      <c r="AC1873">
        <v>0</v>
      </c>
      <c r="AD1873">
        <v>10</v>
      </c>
      <c r="AE1873">
        <v>0</v>
      </c>
      <c r="AF1873">
        <v>0</v>
      </c>
      <c r="AG1873">
        <v>2</v>
      </c>
      <c r="AH1873">
        <v>1</v>
      </c>
      <c r="AI1873" t="s">
        <v>1373</v>
      </c>
      <c r="AJ1873">
        <v>34.887042000000001</v>
      </c>
      <c r="AK1873" t="s">
        <v>1374</v>
      </c>
      <c r="AL1873">
        <v>-76.116972000000004</v>
      </c>
      <c r="AM1873">
        <v>25</v>
      </c>
      <c r="AN1873">
        <v>2925</v>
      </c>
      <c r="AO1873" t="s">
        <v>118</v>
      </c>
      <c r="AP1873">
        <v>-74</v>
      </c>
      <c r="AQ1873">
        <v>-122</v>
      </c>
      <c r="AR1873">
        <v>64</v>
      </c>
      <c r="AZ1873">
        <v>4516</v>
      </c>
      <c r="BA1873">
        <v>1</v>
      </c>
      <c r="BB1873" t="str">
        <f t="shared" si="182"/>
        <v xml:space="preserve">N79NX   </v>
      </c>
      <c r="BC1873">
        <v>1</v>
      </c>
      <c r="BE1873">
        <v>0</v>
      </c>
      <c r="BF1873">
        <v>0</v>
      </c>
      <c r="BG1873">
        <v>0</v>
      </c>
      <c r="BH1873">
        <v>2800</v>
      </c>
      <c r="BI1873">
        <v>0</v>
      </c>
      <c r="BJ1873">
        <v>0</v>
      </c>
      <c r="BK1873">
        <v>0</v>
      </c>
      <c r="BL1873">
        <v>0</v>
      </c>
      <c r="BO1873">
        <v>0</v>
      </c>
      <c r="BP1873">
        <v>0</v>
      </c>
      <c r="BW1873" t="str">
        <f>"18:55:58.755"</f>
        <v>18:55:58.755</v>
      </c>
      <c r="BZ1873">
        <v>0</v>
      </c>
      <c r="CA1873">
        <v>3008</v>
      </c>
      <c r="CB1873">
        <v>216</v>
      </c>
      <c r="CC1873">
        <v>593.4375</v>
      </c>
      <c r="CD1873">
        <v>1</v>
      </c>
      <c r="CE1873">
        <v>1</v>
      </c>
      <c r="CF1873">
        <v>0</v>
      </c>
      <c r="CG1873">
        <v>1</v>
      </c>
      <c r="CH1873">
        <v>0</v>
      </c>
      <c r="CI1873">
        <v>0</v>
      </c>
      <c r="CJ1873">
        <v>0</v>
      </c>
      <c r="CK1873">
        <v>2</v>
      </c>
      <c r="CL1873">
        <v>0</v>
      </c>
      <c r="CM1873">
        <v>2</v>
      </c>
      <c r="CN1873">
        <v>0</v>
      </c>
      <c r="CO1873">
        <v>1</v>
      </c>
      <c r="CP1873" t="s">
        <v>119</v>
      </c>
      <c r="CQ1873">
        <v>70</v>
      </c>
      <c r="CR1873">
        <v>1</v>
      </c>
      <c r="CW1873">
        <v>3678426</v>
      </c>
      <c r="CY1873">
        <v>0</v>
      </c>
      <c r="CZ1873">
        <v>0</v>
      </c>
      <c r="DA1873">
        <v>1</v>
      </c>
      <c r="DB1873">
        <v>0</v>
      </c>
      <c r="DC1873">
        <v>0</v>
      </c>
      <c r="DD1873">
        <v>0</v>
      </c>
      <c r="DE1873">
        <v>0</v>
      </c>
      <c r="DF1873">
        <v>0</v>
      </c>
      <c r="DG1873">
        <v>0</v>
      </c>
      <c r="DH1873">
        <v>0</v>
      </c>
      <c r="DI1873">
        <v>0</v>
      </c>
    </row>
    <row r="1874" spans="1:113" x14ac:dyDescent="0.3">
      <c r="A1874" t="str">
        <f>"02/13/2022 18:55:58.972"</f>
        <v>02/13/2022 18:55:58.972</v>
      </c>
      <c r="C1874" t="str">
        <f t="shared" si="181"/>
        <v>FFDFD7C0</v>
      </c>
      <c r="D1874" t="s">
        <v>113</v>
      </c>
      <c r="E1874">
        <v>4</v>
      </c>
      <c r="F1874">
        <v>1004</v>
      </c>
      <c r="G1874" t="s">
        <v>120</v>
      </c>
      <c r="J1874" t="s">
        <v>115</v>
      </c>
      <c r="K1874">
        <v>0</v>
      </c>
      <c r="L1874">
        <v>3</v>
      </c>
      <c r="M1874">
        <v>0</v>
      </c>
      <c r="N1874">
        <v>2</v>
      </c>
      <c r="O1874">
        <v>1</v>
      </c>
      <c r="P1874">
        <v>0</v>
      </c>
      <c r="Q1874">
        <v>0</v>
      </c>
      <c r="S1874" t="str">
        <f>"18:55:58.750"</f>
        <v>18:55:58.750</v>
      </c>
      <c r="T1874" t="str">
        <f>"18:55:57.950"</f>
        <v>18:55:57.950</v>
      </c>
      <c r="U1874" t="str">
        <f t="shared" si="183"/>
        <v>AAB6EE</v>
      </c>
      <c r="V1874">
        <v>0</v>
      </c>
      <c r="W1874">
        <v>0</v>
      </c>
      <c r="X1874">
        <v>4</v>
      </c>
      <c r="Z1874">
        <v>0</v>
      </c>
      <c r="AA1874">
        <v>8</v>
      </c>
      <c r="AB1874">
        <v>3</v>
      </c>
      <c r="AC1874">
        <v>0</v>
      </c>
      <c r="AD1874">
        <v>10</v>
      </c>
      <c r="AE1874">
        <v>0</v>
      </c>
      <c r="AF1874">
        <v>0</v>
      </c>
      <c r="AG1874">
        <v>2</v>
      </c>
      <c r="AH1874">
        <v>1</v>
      </c>
      <c r="AI1874" t="s">
        <v>1373</v>
      </c>
      <c r="AJ1874">
        <v>34.887042000000001</v>
      </c>
      <c r="AK1874" t="s">
        <v>1374</v>
      </c>
      <c r="AL1874">
        <v>-76.116972000000004</v>
      </c>
      <c r="AM1874">
        <v>25</v>
      </c>
      <c r="AN1874">
        <v>2925</v>
      </c>
      <c r="AO1874" t="s">
        <v>118</v>
      </c>
      <c r="AP1874">
        <v>-74</v>
      </c>
      <c r="AQ1874">
        <v>-122</v>
      </c>
      <c r="AR1874">
        <v>64</v>
      </c>
      <c r="AZ1874">
        <v>4516</v>
      </c>
      <c r="BA1874">
        <v>1</v>
      </c>
      <c r="BB1874" t="str">
        <f t="shared" si="182"/>
        <v xml:space="preserve">N79NX   </v>
      </c>
      <c r="BC1874">
        <v>1</v>
      </c>
      <c r="BE1874">
        <v>0</v>
      </c>
      <c r="BF1874">
        <v>0</v>
      </c>
      <c r="BG1874">
        <v>0</v>
      </c>
      <c r="BH1874">
        <v>2800</v>
      </c>
      <c r="BI1874">
        <v>0</v>
      </c>
      <c r="BJ1874">
        <v>0</v>
      </c>
      <c r="BK1874">
        <v>0</v>
      </c>
      <c r="BL1874">
        <v>0</v>
      </c>
      <c r="BO1874">
        <v>0</v>
      </c>
      <c r="BP1874">
        <v>0</v>
      </c>
      <c r="BW1874" t="str">
        <f>"18:55:58.755"</f>
        <v>18:55:58.755</v>
      </c>
      <c r="BZ1874">
        <v>0</v>
      </c>
      <c r="CA1874">
        <v>3008</v>
      </c>
      <c r="CB1874">
        <v>216</v>
      </c>
      <c r="CC1874">
        <v>593.4375</v>
      </c>
      <c r="CD1874">
        <v>1</v>
      </c>
      <c r="CE1874">
        <v>1</v>
      </c>
      <c r="CF1874">
        <v>0</v>
      </c>
      <c r="CG1874">
        <v>1</v>
      </c>
      <c r="CH1874">
        <v>0</v>
      </c>
      <c r="CI1874">
        <v>0</v>
      </c>
      <c r="CJ1874">
        <v>0</v>
      </c>
      <c r="CK1874">
        <v>2</v>
      </c>
      <c r="CL1874">
        <v>0</v>
      </c>
      <c r="CM1874">
        <v>2</v>
      </c>
      <c r="CN1874">
        <v>0</v>
      </c>
      <c r="CO1874">
        <v>1</v>
      </c>
      <c r="CP1874" t="s">
        <v>119</v>
      </c>
      <c r="CQ1874">
        <v>70</v>
      </c>
      <c r="CR1874">
        <v>1</v>
      </c>
      <c r="CW1874">
        <v>3678426</v>
      </c>
      <c r="CY1874">
        <v>0</v>
      </c>
      <c r="CZ1874">
        <v>0</v>
      </c>
      <c r="DA1874">
        <v>1</v>
      </c>
      <c r="DB1874">
        <v>0</v>
      </c>
      <c r="DC1874">
        <v>0</v>
      </c>
      <c r="DD1874">
        <v>0</v>
      </c>
      <c r="DE1874">
        <v>0</v>
      </c>
      <c r="DF1874">
        <v>0</v>
      </c>
      <c r="DG1874">
        <v>0</v>
      </c>
      <c r="DH1874">
        <v>0</v>
      </c>
      <c r="DI1874">
        <v>0</v>
      </c>
    </row>
    <row r="1875" spans="1:113" x14ac:dyDescent="0.3">
      <c r="A1875" t="str">
        <f>"02/13/2022 18:55:59.943"</f>
        <v>02/13/2022 18:55:59.943</v>
      </c>
      <c r="C1875" t="str">
        <f t="shared" si="181"/>
        <v>FFDFD7C0</v>
      </c>
      <c r="D1875" t="s">
        <v>121</v>
      </c>
      <c r="E1875">
        <v>2</v>
      </c>
      <c r="H1875">
        <v>158</v>
      </c>
      <c r="I1875" t="s">
        <v>120</v>
      </c>
      <c r="J1875" t="s">
        <v>122</v>
      </c>
      <c r="K1875">
        <v>0</v>
      </c>
      <c r="L1875">
        <v>3</v>
      </c>
      <c r="M1875">
        <v>0</v>
      </c>
      <c r="N1875">
        <v>2</v>
      </c>
      <c r="O1875">
        <v>1</v>
      </c>
      <c r="P1875">
        <v>0</v>
      </c>
      <c r="Q1875">
        <v>0</v>
      </c>
      <c r="S1875" t="str">
        <f>"18:55:59.680"</f>
        <v>18:55:59.680</v>
      </c>
      <c r="T1875" t="str">
        <f>"18:55:58.880"</f>
        <v>18:55:58.880</v>
      </c>
      <c r="U1875" t="str">
        <f t="shared" si="183"/>
        <v>AAB6EE</v>
      </c>
      <c r="V1875">
        <v>0</v>
      </c>
      <c r="W1875">
        <v>0</v>
      </c>
      <c r="X1875">
        <v>4</v>
      </c>
      <c r="Z1875">
        <v>0</v>
      </c>
      <c r="AA1875">
        <v>8</v>
      </c>
      <c r="AB1875">
        <v>3</v>
      </c>
      <c r="AC1875">
        <v>0</v>
      </c>
      <c r="AD1875">
        <v>10</v>
      </c>
      <c r="AE1875">
        <v>0</v>
      </c>
      <c r="AF1875">
        <v>0</v>
      </c>
      <c r="AG1875">
        <v>2</v>
      </c>
      <c r="AH1875">
        <v>1</v>
      </c>
      <c r="AI1875" t="s">
        <v>1375</v>
      </c>
      <c r="AJ1875">
        <v>34.886527000000001</v>
      </c>
      <c r="AK1875" t="s">
        <v>1376</v>
      </c>
      <c r="AL1875">
        <v>-76.117401000000001</v>
      </c>
      <c r="AM1875">
        <v>25</v>
      </c>
      <c r="AN1875">
        <v>2925</v>
      </c>
      <c r="AO1875" t="s">
        <v>118</v>
      </c>
      <c r="AP1875">
        <v>-76</v>
      </c>
      <c r="AQ1875">
        <v>-121</v>
      </c>
      <c r="AR1875">
        <v>64</v>
      </c>
      <c r="AZ1875">
        <v>4516</v>
      </c>
      <c r="BA1875">
        <v>1</v>
      </c>
      <c r="BB1875" t="str">
        <f t="shared" si="182"/>
        <v xml:space="preserve">N79NX   </v>
      </c>
      <c r="BC1875">
        <v>1</v>
      </c>
      <c r="BE1875">
        <v>0</v>
      </c>
      <c r="BF1875">
        <v>0</v>
      </c>
      <c r="BG1875">
        <v>0</v>
      </c>
      <c r="BH1875">
        <v>2800</v>
      </c>
      <c r="BI1875">
        <v>0</v>
      </c>
      <c r="BJ1875">
        <v>0</v>
      </c>
      <c r="BK1875">
        <v>0</v>
      </c>
      <c r="BL1875">
        <v>0</v>
      </c>
      <c r="BO1875">
        <v>0</v>
      </c>
      <c r="BP1875">
        <v>0</v>
      </c>
      <c r="BW1875" t="str">
        <f>"18:55:59.685"</f>
        <v>18:55:59.685</v>
      </c>
      <c r="BZ1875">
        <v>0</v>
      </c>
      <c r="CA1875">
        <v>0</v>
      </c>
      <c r="CB1875">
        <v>216</v>
      </c>
      <c r="CC1875">
        <v>593.4375</v>
      </c>
      <c r="CD1875">
        <v>1</v>
      </c>
      <c r="CE1875">
        <v>1</v>
      </c>
      <c r="CF1875">
        <v>0</v>
      </c>
      <c r="CG1875">
        <v>1</v>
      </c>
      <c r="CH1875">
        <v>0</v>
      </c>
      <c r="CI1875">
        <v>0</v>
      </c>
      <c r="CJ1875">
        <v>0</v>
      </c>
      <c r="CK1875">
        <v>2</v>
      </c>
      <c r="CL1875">
        <v>0</v>
      </c>
      <c r="CM1875">
        <v>2</v>
      </c>
      <c r="CN1875">
        <v>0</v>
      </c>
      <c r="CO1875">
        <v>2</v>
      </c>
      <c r="CP1875" t="s">
        <v>119</v>
      </c>
      <c r="CQ1875">
        <v>70</v>
      </c>
      <c r="CR1875">
        <v>1</v>
      </c>
      <c r="CW1875">
        <v>3679129</v>
      </c>
      <c r="CY1875">
        <v>0</v>
      </c>
      <c r="CZ1875">
        <v>0</v>
      </c>
      <c r="DA1875">
        <v>0</v>
      </c>
      <c r="DB1875">
        <v>0</v>
      </c>
      <c r="DC1875">
        <v>0</v>
      </c>
      <c r="DD1875">
        <v>0</v>
      </c>
      <c r="DE1875">
        <v>0</v>
      </c>
      <c r="DF1875">
        <v>0</v>
      </c>
      <c r="DG1875">
        <v>0</v>
      </c>
      <c r="DH1875">
        <v>0</v>
      </c>
      <c r="DI1875">
        <v>0</v>
      </c>
    </row>
    <row r="1876" spans="1:113" x14ac:dyDescent="0.3">
      <c r="A1876" t="str">
        <f>"02/13/2022 18:55:59.943"</f>
        <v>02/13/2022 18:55:59.943</v>
      </c>
      <c r="C1876" t="str">
        <f t="shared" si="181"/>
        <v>FFDFD7C0</v>
      </c>
      <c r="D1876" t="s">
        <v>113</v>
      </c>
      <c r="E1876">
        <v>3</v>
      </c>
      <c r="F1876">
        <v>1003</v>
      </c>
      <c r="G1876" t="s">
        <v>114</v>
      </c>
      <c r="J1876" t="s">
        <v>115</v>
      </c>
      <c r="K1876">
        <v>0</v>
      </c>
      <c r="L1876">
        <v>3</v>
      </c>
      <c r="M1876">
        <v>0</v>
      </c>
      <c r="N1876">
        <v>2</v>
      </c>
      <c r="O1876">
        <v>1</v>
      </c>
      <c r="P1876">
        <v>0</v>
      </c>
      <c r="Q1876">
        <v>0</v>
      </c>
      <c r="S1876" t="str">
        <f>"18:55:59.680"</f>
        <v>18:55:59.680</v>
      </c>
      <c r="T1876" t="str">
        <f>"18:55:58.880"</f>
        <v>18:55:58.880</v>
      </c>
      <c r="U1876" t="str">
        <f t="shared" si="183"/>
        <v>AAB6EE</v>
      </c>
      <c r="V1876">
        <v>0</v>
      </c>
      <c r="W1876">
        <v>0</v>
      </c>
      <c r="X1876">
        <v>4</v>
      </c>
      <c r="Z1876">
        <v>0</v>
      </c>
      <c r="AA1876">
        <v>8</v>
      </c>
      <c r="AB1876">
        <v>3</v>
      </c>
      <c r="AC1876">
        <v>0</v>
      </c>
      <c r="AD1876">
        <v>10</v>
      </c>
      <c r="AE1876">
        <v>0</v>
      </c>
      <c r="AF1876">
        <v>0</v>
      </c>
      <c r="AG1876">
        <v>2</v>
      </c>
      <c r="AH1876">
        <v>1</v>
      </c>
      <c r="AI1876" t="s">
        <v>1375</v>
      </c>
      <c r="AJ1876">
        <v>34.886527000000001</v>
      </c>
      <c r="AK1876" t="s">
        <v>1376</v>
      </c>
      <c r="AL1876">
        <v>-76.117401000000001</v>
      </c>
      <c r="AM1876">
        <v>25</v>
      </c>
      <c r="AN1876">
        <v>2925</v>
      </c>
      <c r="AO1876" t="s">
        <v>118</v>
      </c>
      <c r="AP1876">
        <v>-76</v>
      </c>
      <c r="AQ1876">
        <v>-121</v>
      </c>
      <c r="AR1876">
        <v>64</v>
      </c>
      <c r="AZ1876">
        <v>4516</v>
      </c>
      <c r="BA1876">
        <v>1</v>
      </c>
      <c r="BB1876" t="str">
        <f t="shared" si="182"/>
        <v xml:space="preserve">N79NX   </v>
      </c>
      <c r="BC1876">
        <v>1</v>
      </c>
      <c r="BE1876">
        <v>0</v>
      </c>
      <c r="BF1876">
        <v>0</v>
      </c>
      <c r="BG1876">
        <v>0</v>
      </c>
      <c r="BH1876">
        <v>2800</v>
      </c>
      <c r="BI1876">
        <v>0</v>
      </c>
      <c r="BJ1876">
        <v>0</v>
      </c>
      <c r="BK1876">
        <v>0</v>
      </c>
      <c r="BL1876">
        <v>0</v>
      </c>
      <c r="BO1876">
        <v>0</v>
      </c>
      <c r="BP1876">
        <v>0</v>
      </c>
      <c r="BW1876" t="str">
        <f>"18:55:59.685"</f>
        <v>18:55:59.685</v>
      </c>
      <c r="BZ1876">
        <v>0</v>
      </c>
      <c r="CA1876">
        <v>0</v>
      </c>
      <c r="CB1876">
        <v>216</v>
      </c>
      <c r="CC1876">
        <v>593.4375</v>
      </c>
      <c r="CD1876">
        <v>1</v>
      </c>
      <c r="CE1876">
        <v>1</v>
      </c>
      <c r="CF1876">
        <v>0</v>
      </c>
      <c r="CG1876">
        <v>1</v>
      </c>
      <c r="CH1876">
        <v>0</v>
      </c>
      <c r="CI1876">
        <v>0</v>
      </c>
      <c r="CJ1876">
        <v>0</v>
      </c>
      <c r="CK1876">
        <v>2</v>
      </c>
      <c r="CL1876">
        <v>0</v>
      </c>
      <c r="CM1876">
        <v>2</v>
      </c>
      <c r="CN1876">
        <v>0</v>
      </c>
      <c r="CO1876">
        <v>2</v>
      </c>
      <c r="CP1876" t="s">
        <v>119</v>
      </c>
      <c r="CQ1876">
        <v>70</v>
      </c>
      <c r="CR1876">
        <v>1</v>
      </c>
      <c r="CW1876">
        <v>3679129</v>
      </c>
      <c r="CY1876">
        <v>0</v>
      </c>
      <c r="CZ1876">
        <v>0</v>
      </c>
      <c r="DA1876">
        <v>1</v>
      </c>
      <c r="DB1876">
        <v>0</v>
      </c>
      <c r="DC1876">
        <v>0</v>
      </c>
      <c r="DD1876">
        <v>0</v>
      </c>
      <c r="DE1876">
        <v>0</v>
      </c>
      <c r="DF1876">
        <v>0</v>
      </c>
      <c r="DG1876">
        <v>0</v>
      </c>
      <c r="DH1876">
        <v>0</v>
      </c>
      <c r="DI1876">
        <v>0</v>
      </c>
    </row>
    <row r="1877" spans="1:113" x14ac:dyDescent="0.3">
      <c r="A1877" t="str">
        <f>"02/13/2022 18:55:59.943"</f>
        <v>02/13/2022 18:55:59.943</v>
      </c>
      <c r="C1877" t="str">
        <f t="shared" si="181"/>
        <v>FFDFD7C0</v>
      </c>
      <c r="D1877" t="s">
        <v>113</v>
      </c>
      <c r="E1877">
        <v>4</v>
      </c>
      <c r="F1877">
        <v>1004</v>
      </c>
      <c r="G1877" t="s">
        <v>120</v>
      </c>
      <c r="J1877" t="s">
        <v>115</v>
      </c>
      <c r="K1877">
        <v>0</v>
      </c>
      <c r="L1877">
        <v>3</v>
      </c>
      <c r="M1877">
        <v>0</v>
      </c>
      <c r="N1877">
        <v>2</v>
      </c>
      <c r="O1877">
        <v>1</v>
      </c>
      <c r="P1877">
        <v>0</v>
      </c>
      <c r="Q1877">
        <v>0</v>
      </c>
      <c r="S1877" t="str">
        <f>"18:55:59.680"</f>
        <v>18:55:59.680</v>
      </c>
      <c r="T1877" t="str">
        <f>"18:55:58.880"</f>
        <v>18:55:58.880</v>
      </c>
      <c r="U1877" t="str">
        <f t="shared" si="183"/>
        <v>AAB6EE</v>
      </c>
      <c r="V1877">
        <v>0</v>
      </c>
      <c r="W1877">
        <v>0</v>
      </c>
      <c r="X1877">
        <v>4</v>
      </c>
      <c r="Z1877">
        <v>0</v>
      </c>
      <c r="AA1877">
        <v>8</v>
      </c>
      <c r="AB1877">
        <v>3</v>
      </c>
      <c r="AC1877">
        <v>0</v>
      </c>
      <c r="AD1877">
        <v>10</v>
      </c>
      <c r="AE1877">
        <v>0</v>
      </c>
      <c r="AF1877">
        <v>0</v>
      </c>
      <c r="AG1877">
        <v>2</v>
      </c>
      <c r="AH1877">
        <v>1</v>
      </c>
      <c r="AI1877" t="s">
        <v>1375</v>
      </c>
      <c r="AJ1877">
        <v>34.886527000000001</v>
      </c>
      <c r="AK1877" t="s">
        <v>1376</v>
      </c>
      <c r="AL1877">
        <v>-76.117401000000001</v>
      </c>
      <c r="AM1877">
        <v>25</v>
      </c>
      <c r="AN1877">
        <v>2925</v>
      </c>
      <c r="AO1877" t="s">
        <v>118</v>
      </c>
      <c r="AP1877">
        <v>-76</v>
      </c>
      <c r="AQ1877">
        <v>-121</v>
      </c>
      <c r="AR1877">
        <v>64</v>
      </c>
      <c r="AZ1877">
        <v>4516</v>
      </c>
      <c r="BA1877">
        <v>1</v>
      </c>
      <c r="BB1877" t="str">
        <f t="shared" si="182"/>
        <v xml:space="preserve">N79NX   </v>
      </c>
      <c r="BC1877">
        <v>1</v>
      </c>
      <c r="BE1877">
        <v>0</v>
      </c>
      <c r="BF1877">
        <v>0</v>
      </c>
      <c r="BG1877">
        <v>0</v>
      </c>
      <c r="BH1877">
        <v>2800</v>
      </c>
      <c r="BI1877">
        <v>0</v>
      </c>
      <c r="BJ1877">
        <v>0</v>
      </c>
      <c r="BK1877">
        <v>0</v>
      </c>
      <c r="BL1877">
        <v>0</v>
      </c>
      <c r="BO1877">
        <v>0</v>
      </c>
      <c r="BP1877">
        <v>0</v>
      </c>
      <c r="BW1877" t="str">
        <f>"18:55:59.685"</f>
        <v>18:55:59.685</v>
      </c>
      <c r="BZ1877">
        <v>0</v>
      </c>
      <c r="CA1877">
        <v>0</v>
      </c>
      <c r="CB1877">
        <v>216</v>
      </c>
      <c r="CC1877">
        <v>593.4375</v>
      </c>
      <c r="CD1877">
        <v>1</v>
      </c>
      <c r="CE1877">
        <v>1</v>
      </c>
      <c r="CF1877">
        <v>0</v>
      </c>
      <c r="CG1877">
        <v>1</v>
      </c>
      <c r="CH1877">
        <v>0</v>
      </c>
      <c r="CI1877">
        <v>0</v>
      </c>
      <c r="CJ1877">
        <v>0</v>
      </c>
      <c r="CK1877">
        <v>2</v>
      </c>
      <c r="CL1877">
        <v>0</v>
      </c>
      <c r="CM1877">
        <v>2</v>
      </c>
      <c r="CN1877">
        <v>0</v>
      </c>
      <c r="CO1877">
        <v>2</v>
      </c>
      <c r="CP1877" t="s">
        <v>119</v>
      </c>
      <c r="CQ1877">
        <v>70</v>
      </c>
      <c r="CR1877">
        <v>1</v>
      </c>
      <c r="CW1877">
        <v>3679129</v>
      </c>
      <c r="CY1877">
        <v>0</v>
      </c>
      <c r="CZ1877">
        <v>0</v>
      </c>
      <c r="DA1877">
        <v>1</v>
      </c>
      <c r="DB1877">
        <v>0</v>
      </c>
      <c r="DC1877">
        <v>0</v>
      </c>
      <c r="DD1877">
        <v>0</v>
      </c>
      <c r="DE1877">
        <v>0</v>
      </c>
      <c r="DF1877">
        <v>0</v>
      </c>
      <c r="DG1877">
        <v>0</v>
      </c>
      <c r="DH1877">
        <v>0</v>
      </c>
      <c r="DI1877">
        <v>0</v>
      </c>
    </row>
    <row r="1878" spans="1:113" x14ac:dyDescent="0.3">
      <c r="A1878" t="str">
        <f>"02/13/2022 18:56:00.792"</f>
        <v>02/13/2022 18:56:00.792</v>
      </c>
      <c r="C1878" t="str">
        <f t="shared" si="181"/>
        <v>FFDFD7C0</v>
      </c>
      <c r="D1878" t="s">
        <v>113</v>
      </c>
      <c r="E1878">
        <v>3</v>
      </c>
      <c r="F1878">
        <v>1003</v>
      </c>
      <c r="G1878" t="s">
        <v>114</v>
      </c>
      <c r="J1878" t="s">
        <v>115</v>
      </c>
      <c r="K1878">
        <v>0</v>
      </c>
      <c r="L1878">
        <v>3</v>
      </c>
      <c r="M1878">
        <v>0</v>
      </c>
      <c r="N1878">
        <v>2</v>
      </c>
      <c r="O1878">
        <v>1</v>
      </c>
      <c r="P1878">
        <v>0</v>
      </c>
      <c r="Q1878">
        <v>0</v>
      </c>
      <c r="S1878" t="str">
        <f>"18:56:00.594"</f>
        <v>18:56:00.594</v>
      </c>
      <c r="T1878" t="str">
        <f>"18:55:59.794"</f>
        <v>18:55:59.794</v>
      </c>
      <c r="U1878" t="str">
        <f t="shared" si="183"/>
        <v>AAB6EE</v>
      </c>
      <c r="V1878">
        <v>0</v>
      </c>
      <c r="W1878">
        <v>0</v>
      </c>
      <c r="X1878">
        <v>4</v>
      </c>
      <c r="Z1878">
        <v>0</v>
      </c>
      <c r="AA1878">
        <v>8</v>
      </c>
      <c r="AB1878">
        <v>3</v>
      </c>
      <c r="AC1878">
        <v>0</v>
      </c>
      <c r="AD1878">
        <v>10</v>
      </c>
      <c r="AE1878">
        <v>0</v>
      </c>
      <c r="AF1878">
        <v>0</v>
      </c>
      <c r="AG1878">
        <v>2</v>
      </c>
      <c r="AH1878">
        <v>1</v>
      </c>
      <c r="AI1878" t="s">
        <v>1377</v>
      </c>
      <c r="AJ1878">
        <v>34.886034000000002</v>
      </c>
      <c r="AK1878" t="s">
        <v>1378</v>
      </c>
      <c r="AL1878">
        <v>-76.117766000000003</v>
      </c>
      <c r="AM1878">
        <v>25</v>
      </c>
      <c r="AN1878">
        <v>2925</v>
      </c>
      <c r="AO1878" t="s">
        <v>118</v>
      </c>
      <c r="AP1878">
        <v>-77</v>
      </c>
      <c r="AQ1878">
        <v>-121</v>
      </c>
      <c r="AR1878">
        <v>64</v>
      </c>
      <c r="AZ1878">
        <v>4516</v>
      </c>
      <c r="BA1878">
        <v>1</v>
      </c>
      <c r="BB1878" t="str">
        <f t="shared" si="182"/>
        <v xml:space="preserve">N79NX   </v>
      </c>
      <c r="BC1878">
        <v>1</v>
      </c>
      <c r="BE1878">
        <v>0</v>
      </c>
      <c r="BF1878">
        <v>0</v>
      </c>
      <c r="BG1878">
        <v>0</v>
      </c>
      <c r="BH1878">
        <v>2800</v>
      </c>
      <c r="BI1878">
        <v>0</v>
      </c>
      <c r="BJ1878">
        <v>0</v>
      </c>
      <c r="BK1878">
        <v>0</v>
      </c>
      <c r="BL1878">
        <v>0</v>
      </c>
      <c r="BO1878">
        <v>0</v>
      </c>
      <c r="BP1878">
        <v>0</v>
      </c>
      <c r="BW1878" t="str">
        <f>"18:56:00.595"</f>
        <v>18:56:00.595</v>
      </c>
      <c r="BZ1878">
        <v>0</v>
      </c>
      <c r="CA1878">
        <v>992</v>
      </c>
      <c r="CB1878">
        <v>216</v>
      </c>
      <c r="CC1878">
        <v>593.4375</v>
      </c>
      <c r="CD1878">
        <v>1</v>
      </c>
      <c r="CE1878">
        <v>1</v>
      </c>
      <c r="CF1878">
        <v>0</v>
      </c>
      <c r="CG1878">
        <v>1</v>
      </c>
      <c r="CH1878">
        <v>0</v>
      </c>
      <c r="CI1878">
        <v>0</v>
      </c>
      <c r="CJ1878">
        <v>0</v>
      </c>
      <c r="CK1878">
        <v>2</v>
      </c>
      <c r="CL1878">
        <v>0</v>
      </c>
      <c r="CM1878">
        <v>2</v>
      </c>
      <c r="CN1878">
        <v>0</v>
      </c>
      <c r="CO1878">
        <v>1</v>
      </c>
      <c r="CP1878" t="s">
        <v>119</v>
      </c>
      <c r="CQ1878">
        <v>70</v>
      </c>
      <c r="CR1878">
        <v>1</v>
      </c>
      <c r="CW1878">
        <v>3679869</v>
      </c>
      <c r="CY1878">
        <v>0</v>
      </c>
      <c r="CZ1878">
        <v>0</v>
      </c>
      <c r="DA1878">
        <v>0</v>
      </c>
      <c r="DB1878">
        <v>0</v>
      </c>
      <c r="DC1878">
        <v>0</v>
      </c>
      <c r="DD1878">
        <v>0</v>
      </c>
      <c r="DE1878">
        <v>0</v>
      </c>
      <c r="DF1878">
        <v>0</v>
      </c>
      <c r="DG1878">
        <v>0</v>
      </c>
      <c r="DH1878">
        <v>0</v>
      </c>
      <c r="DI1878">
        <v>0</v>
      </c>
    </row>
    <row r="1879" spans="1:113" x14ac:dyDescent="0.3">
      <c r="A1879" t="str">
        <f>"02/13/2022 18:56:00.792"</f>
        <v>02/13/2022 18:56:00.792</v>
      </c>
      <c r="C1879" t="str">
        <f t="shared" si="181"/>
        <v>FFDFD7C0</v>
      </c>
      <c r="D1879" t="s">
        <v>113</v>
      </c>
      <c r="E1879">
        <v>4</v>
      </c>
      <c r="F1879">
        <v>1004</v>
      </c>
      <c r="G1879" t="s">
        <v>120</v>
      </c>
      <c r="J1879" t="s">
        <v>115</v>
      </c>
      <c r="K1879">
        <v>0</v>
      </c>
      <c r="L1879">
        <v>3</v>
      </c>
      <c r="M1879">
        <v>0</v>
      </c>
      <c r="N1879">
        <v>2</v>
      </c>
      <c r="O1879">
        <v>1</v>
      </c>
      <c r="P1879">
        <v>0</v>
      </c>
      <c r="Q1879">
        <v>0</v>
      </c>
      <c r="S1879" t="str">
        <f>"18:56:00.594"</f>
        <v>18:56:00.594</v>
      </c>
      <c r="T1879" t="str">
        <f>"18:55:59.794"</f>
        <v>18:55:59.794</v>
      </c>
      <c r="U1879" t="str">
        <f t="shared" si="183"/>
        <v>AAB6EE</v>
      </c>
      <c r="V1879">
        <v>0</v>
      </c>
      <c r="W1879">
        <v>0</v>
      </c>
      <c r="X1879">
        <v>4</v>
      </c>
      <c r="Z1879">
        <v>0</v>
      </c>
      <c r="AA1879">
        <v>8</v>
      </c>
      <c r="AB1879">
        <v>3</v>
      </c>
      <c r="AC1879">
        <v>0</v>
      </c>
      <c r="AD1879">
        <v>10</v>
      </c>
      <c r="AE1879">
        <v>0</v>
      </c>
      <c r="AF1879">
        <v>0</v>
      </c>
      <c r="AG1879">
        <v>2</v>
      </c>
      <c r="AH1879">
        <v>1</v>
      </c>
      <c r="AI1879" t="s">
        <v>1377</v>
      </c>
      <c r="AJ1879">
        <v>34.886034000000002</v>
      </c>
      <c r="AK1879" t="s">
        <v>1378</v>
      </c>
      <c r="AL1879">
        <v>-76.117766000000003</v>
      </c>
      <c r="AM1879">
        <v>25</v>
      </c>
      <c r="AN1879">
        <v>2925</v>
      </c>
      <c r="AO1879" t="s">
        <v>118</v>
      </c>
      <c r="AP1879">
        <v>-77</v>
      </c>
      <c r="AQ1879">
        <v>-121</v>
      </c>
      <c r="AR1879">
        <v>64</v>
      </c>
      <c r="AZ1879">
        <v>4516</v>
      </c>
      <c r="BA1879">
        <v>1</v>
      </c>
      <c r="BB1879" t="str">
        <f t="shared" si="182"/>
        <v xml:space="preserve">N79NX   </v>
      </c>
      <c r="BC1879">
        <v>1</v>
      </c>
      <c r="BE1879">
        <v>0</v>
      </c>
      <c r="BF1879">
        <v>0</v>
      </c>
      <c r="BG1879">
        <v>0</v>
      </c>
      <c r="BH1879">
        <v>2800</v>
      </c>
      <c r="BI1879">
        <v>0</v>
      </c>
      <c r="BJ1879">
        <v>0</v>
      </c>
      <c r="BK1879">
        <v>0</v>
      </c>
      <c r="BL1879">
        <v>0</v>
      </c>
      <c r="BO1879">
        <v>0</v>
      </c>
      <c r="BP1879">
        <v>0</v>
      </c>
      <c r="BW1879" t="str">
        <f>"18:56:00.595"</f>
        <v>18:56:00.595</v>
      </c>
      <c r="BZ1879">
        <v>0</v>
      </c>
      <c r="CA1879">
        <v>992</v>
      </c>
      <c r="CB1879">
        <v>216</v>
      </c>
      <c r="CC1879">
        <v>593.4375</v>
      </c>
      <c r="CD1879">
        <v>1</v>
      </c>
      <c r="CE1879">
        <v>1</v>
      </c>
      <c r="CF1879">
        <v>0</v>
      </c>
      <c r="CG1879">
        <v>1</v>
      </c>
      <c r="CH1879">
        <v>0</v>
      </c>
      <c r="CI1879">
        <v>0</v>
      </c>
      <c r="CJ1879">
        <v>0</v>
      </c>
      <c r="CK1879">
        <v>2</v>
      </c>
      <c r="CL1879">
        <v>0</v>
      </c>
      <c r="CM1879">
        <v>2</v>
      </c>
      <c r="CN1879">
        <v>0</v>
      </c>
      <c r="CO1879">
        <v>1</v>
      </c>
      <c r="CP1879" t="s">
        <v>119</v>
      </c>
      <c r="CQ1879">
        <v>70</v>
      </c>
      <c r="CR1879">
        <v>1</v>
      </c>
      <c r="CW1879">
        <v>3679869</v>
      </c>
      <c r="CY1879">
        <v>0</v>
      </c>
      <c r="CZ1879">
        <v>0</v>
      </c>
      <c r="DA1879">
        <v>1</v>
      </c>
      <c r="DB1879">
        <v>0</v>
      </c>
      <c r="DC1879">
        <v>0</v>
      </c>
      <c r="DD1879">
        <v>0</v>
      </c>
      <c r="DE1879">
        <v>0</v>
      </c>
      <c r="DF1879">
        <v>0</v>
      </c>
      <c r="DG1879">
        <v>0</v>
      </c>
      <c r="DH1879">
        <v>0</v>
      </c>
      <c r="DI1879">
        <v>0</v>
      </c>
    </row>
    <row r="1880" spans="1:113" x14ac:dyDescent="0.3">
      <c r="A1880" t="str">
        <f>"02/13/2022 18:56:00.823"</f>
        <v>02/13/2022 18:56:00.823</v>
      </c>
      <c r="C1880" t="str">
        <f t="shared" si="181"/>
        <v>FFDFD7C0</v>
      </c>
      <c r="D1880" t="s">
        <v>121</v>
      </c>
      <c r="E1880">
        <v>2</v>
      </c>
      <c r="H1880">
        <v>158</v>
      </c>
      <c r="I1880" t="s">
        <v>120</v>
      </c>
      <c r="J1880" t="s">
        <v>122</v>
      </c>
      <c r="K1880">
        <v>0</v>
      </c>
      <c r="L1880">
        <v>3</v>
      </c>
      <c r="M1880">
        <v>0</v>
      </c>
      <c r="N1880">
        <v>2</v>
      </c>
      <c r="O1880">
        <v>1</v>
      </c>
      <c r="P1880">
        <v>0</v>
      </c>
      <c r="Q1880">
        <v>0</v>
      </c>
      <c r="S1880" t="str">
        <f>"18:56:00.594"</f>
        <v>18:56:00.594</v>
      </c>
      <c r="T1880" t="str">
        <f>"18:55:59.794"</f>
        <v>18:55:59.794</v>
      </c>
      <c r="U1880" t="str">
        <f t="shared" si="183"/>
        <v>AAB6EE</v>
      </c>
      <c r="V1880">
        <v>0</v>
      </c>
      <c r="W1880">
        <v>0</v>
      </c>
      <c r="X1880">
        <v>4</v>
      </c>
      <c r="Z1880">
        <v>0</v>
      </c>
      <c r="AA1880">
        <v>8</v>
      </c>
      <c r="AB1880">
        <v>3</v>
      </c>
      <c r="AC1880">
        <v>0</v>
      </c>
      <c r="AD1880">
        <v>10</v>
      </c>
      <c r="AE1880">
        <v>0</v>
      </c>
      <c r="AF1880">
        <v>0</v>
      </c>
      <c r="AG1880">
        <v>2</v>
      </c>
      <c r="AH1880">
        <v>1</v>
      </c>
      <c r="AI1880" t="s">
        <v>1377</v>
      </c>
      <c r="AJ1880">
        <v>34.886034000000002</v>
      </c>
      <c r="AK1880" t="s">
        <v>1378</v>
      </c>
      <c r="AL1880">
        <v>-76.117766000000003</v>
      </c>
      <c r="AM1880">
        <v>25</v>
      </c>
      <c r="AN1880">
        <v>2925</v>
      </c>
      <c r="AO1880" t="s">
        <v>118</v>
      </c>
      <c r="AP1880">
        <v>-77</v>
      </c>
      <c r="AQ1880">
        <v>-121</v>
      </c>
      <c r="AR1880">
        <v>64</v>
      </c>
      <c r="AZ1880">
        <v>4516</v>
      </c>
      <c r="BA1880">
        <v>1</v>
      </c>
      <c r="BB1880" t="str">
        <f t="shared" si="182"/>
        <v xml:space="preserve">N79NX   </v>
      </c>
      <c r="BC1880">
        <v>1</v>
      </c>
      <c r="BE1880">
        <v>0</v>
      </c>
      <c r="BF1880">
        <v>0</v>
      </c>
      <c r="BG1880">
        <v>0</v>
      </c>
      <c r="BH1880">
        <v>2800</v>
      </c>
      <c r="BI1880">
        <v>0</v>
      </c>
      <c r="BJ1880">
        <v>0</v>
      </c>
      <c r="BK1880">
        <v>0</v>
      </c>
      <c r="BL1880">
        <v>0</v>
      </c>
      <c r="BO1880">
        <v>0</v>
      </c>
      <c r="BP1880">
        <v>0</v>
      </c>
      <c r="BW1880" t="str">
        <f>"18:56:00.595"</f>
        <v>18:56:00.595</v>
      </c>
      <c r="BZ1880">
        <v>0</v>
      </c>
      <c r="CA1880">
        <v>992</v>
      </c>
      <c r="CB1880">
        <v>216</v>
      </c>
      <c r="CC1880">
        <v>593.4375</v>
      </c>
      <c r="CD1880">
        <v>1</v>
      </c>
      <c r="CE1880">
        <v>1</v>
      </c>
      <c r="CF1880">
        <v>0</v>
      </c>
      <c r="CG1880">
        <v>1</v>
      </c>
      <c r="CH1880">
        <v>0</v>
      </c>
      <c r="CI1880">
        <v>0</v>
      </c>
      <c r="CJ1880">
        <v>0</v>
      </c>
      <c r="CK1880">
        <v>2</v>
      </c>
      <c r="CL1880">
        <v>0</v>
      </c>
      <c r="CM1880">
        <v>2</v>
      </c>
      <c r="CN1880">
        <v>0</v>
      </c>
      <c r="CO1880">
        <v>1</v>
      </c>
      <c r="CP1880" t="s">
        <v>119</v>
      </c>
      <c r="CQ1880">
        <v>70</v>
      </c>
      <c r="CR1880">
        <v>1</v>
      </c>
      <c r="CW1880">
        <v>3679869</v>
      </c>
      <c r="CY1880">
        <v>0</v>
      </c>
      <c r="CZ1880">
        <v>0</v>
      </c>
      <c r="DA1880">
        <v>1</v>
      </c>
      <c r="DB1880">
        <v>0</v>
      </c>
      <c r="DC1880">
        <v>0</v>
      </c>
      <c r="DD1880">
        <v>0</v>
      </c>
      <c r="DE1880">
        <v>0</v>
      </c>
      <c r="DF1880">
        <v>0</v>
      </c>
      <c r="DG1880">
        <v>0</v>
      </c>
      <c r="DH1880">
        <v>0</v>
      </c>
      <c r="DI1880">
        <v>0</v>
      </c>
    </row>
    <row r="1881" spans="1:113" x14ac:dyDescent="0.3">
      <c r="A1881" t="str">
        <f>"02/13/2022 18:56:01.965"</f>
        <v>02/13/2022 18:56:01.965</v>
      </c>
      <c r="C1881" t="str">
        <f t="shared" si="181"/>
        <v>FFDFD7C0</v>
      </c>
      <c r="D1881" t="s">
        <v>121</v>
      </c>
      <c r="E1881">
        <v>2</v>
      </c>
      <c r="H1881">
        <v>158</v>
      </c>
      <c r="I1881" t="s">
        <v>120</v>
      </c>
      <c r="J1881" t="s">
        <v>122</v>
      </c>
      <c r="K1881">
        <v>0</v>
      </c>
      <c r="L1881">
        <v>3</v>
      </c>
      <c r="M1881">
        <v>0</v>
      </c>
      <c r="N1881">
        <v>2</v>
      </c>
      <c r="O1881">
        <v>1</v>
      </c>
      <c r="P1881">
        <v>0</v>
      </c>
      <c r="Q1881">
        <v>0</v>
      </c>
      <c r="S1881" t="str">
        <f t="shared" ref="S1881:T1883" si="185">"18:56:01.742"</f>
        <v>18:56:01.742</v>
      </c>
      <c r="T1881" t="str">
        <f t="shared" si="185"/>
        <v>18:56:01.742</v>
      </c>
      <c r="U1881" t="str">
        <f t="shared" si="183"/>
        <v>AAB6EE</v>
      </c>
      <c r="V1881">
        <v>0</v>
      </c>
      <c r="W1881">
        <v>0</v>
      </c>
      <c r="X1881">
        <v>4</v>
      </c>
      <c r="Z1881">
        <v>0</v>
      </c>
      <c r="AA1881">
        <v>8</v>
      </c>
      <c r="AB1881">
        <v>3</v>
      </c>
      <c r="AC1881">
        <v>0</v>
      </c>
      <c r="AD1881">
        <v>10</v>
      </c>
      <c r="AE1881">
        <v>0</v>
      </c>
      <c r="AF1881">
        <v>0</v>
      </c>
      <c r="AG1881">
        <v>2</v>
      </c>
      <c r="AH1881">
        <v>1</v>
      </c>
      <c r="AI1881" t="s">
        <v>1379</v>
      </c>
      <c r="AJ1881">
        <v>34.885390000000001</v>
      </c>
      <c r="AK1881" t="s">
        <v>1380</v>
      </c>
      <c r="AL1881">
        <v>-76.118258999999995</v>
      </c>
      <c r="AM1881">
        <v>25</v>
      </c>
      <c r="AN1881">
        <v>2925</v>
      </c>
      <c r="AO1881" t="s">
        <v>118</v>
      </c>
      <c r="AP1881">
        <v>-78</v>
      </c>
      <c r="AQ1881">
        <v>-119</v>
      </c>
      <c r="AR1881">
        <v>0</v>
      </c>
      <c r="AZ1881">
        <v>4516</v>
      </c>
      <c r="BA1881">
        <v>1</v>
      </c>
      <c r="BB1881" t="str">
        <f t="shared" si="182"/>
        <v xml:space="preserve">N79NX   </v>
      </c>
      <c r="BC1881">
        <v>1</v>
      </c>
      <c r="BE1881">
        <v>0</v>
      </c>
      <c r="BF1881">
        <v>0</v>
      </c>
      <c r="BG1881">
        <v>0</v>
      </c>
      <c r="BH1881">
        <v>2800</v>
      </c>
      <c r="BI1881">
        <v>0</v>
      </c>
      <c r="BJ1881">
        <v>0</v>
      </c>
      <c r="BK1881">
        <v>0</v>
      </c>
      <c r="BL1881">
        <v>0</v>
      </c>
      <c r="BO1881">
        <v>0</v>
      </c>
      <c r="BP1881">
        <v>0</v>
      </c>
      <c r="BW1881" t="str">
        <f>"18:56:01.745"</f>
        <v>18:56:01.745</v>
      </c>
      <c r="BZ1881">
        <v>0</v>
      </c>
      <c r="CA1881">
        <v>992</v>
      </c>
      <c r="CB1881">
        <v>216</v>
      </c>
      <c r="CC1881">
        <v>593.4375</v>
      </c>
      <c r="CD1881">
        <v>1</v>
      </c>
      <c r="CE1881">
        <v>1</v>
      </c>
      <c r="CF1881">
        <v>0</v>
      </c>
      <c r="CG1881">
        <v>1</v>
      </c>
      <c r="CH1881">
        <v>0</v>
      </c>
      <c r="CI1881">
        <v>0</v>
      </c>
      <c r="CJ1881">
        <v>0</v>
      </c>
      <c r="CK1881">
        <v>2</v>
      </c>
      <c r="CL1881">
        <v>0</v>
      </c>
      <c r="CM1881">
        <v>2</v>
      </c>
      <c r="CN1881">
        <v>0</v>
      </c>
      <c r="CO1881">
        <v>2</v>
      </c>
      <c r="CP1881" t="s">
        <v>119</v>
      </c>
      <c r="CQ1881">
        <v>70</v>
      </c>
      <c r="CR1881">
        <v>1</v>
      </c>
      <c r="CW1881">
        <v>3680836</v>
      </c>
      <c r="CY1881">
        <v>0</v>
      </c>
      <c r="CZ1881">
        <v>0</v>
      </c>
      <c r="DA1881">
        <v>0</v>
      </c>
      <c r="DB1881">
        <v>0</v>
      </c>
      <c r="DC1881">
        <v>0</v>
      </c>
      <c r="DD1881">
        <v>0</v>
      </c>
      <c r="DE1881">
        <v>0</v>
      </c>
      <c r="DF1881">
        <v>0</v>
      </c>
      <c r="DG1881">
        <v>0</v>
      </c>
      <c r="DH1881">
        <v>0</v>
      </c>
      <c r="DI1881">
        <v>0</v>
      </c>
    </row>
    <row r="1882" spans="1:113" x14ac:dyDescent="0.3">
      <c r="A1882" t="str">
        <f>"02/13/2022 18:56:01.965"</f>
        <v>02/13/2022 18:56:01.965</v>
      </c>
      <c r="C1882" t="str">
        <f t="shared" si="181"/>
        <v>FFDFD7C0</v>
      </c>
      <c r="D1882" t="s">
        <v>113</v>
      </c>
      <c r="E1882">
        <v>3</v>
      </c>
      <c r="F1882">
        <v>1003</v>
      </c>
      <c r="G1882" t="s">
        <v>114</v>
      </c>
      <c r="J1882" t="s">
        <v>115</v>
      </c>
      <c r="K1882">
        <v>0</v>
      </c>
      <c r="L1882">
        <v>3</v>
      </c>
      <c r="M1882">
        <v>0</v>
      </c>
      <c r="N1882">
        <v>2</v>
      </c>
      <c r="O1882">
        <v>1</v>
      </c>
      <c r="P1882">
        <v>0</v>
      </c>
      <c r="Q1882">
        <v>0</v>
      </c>
      <c r="S1882" t="str">
        <f t="shared" si="185"/>
        <v>18:56:01.742</v>
      </c>
      <c r="T1882" t="str">
        <f t="shared" si="185"/>
        <v>18:56:01.742</v>
      </c>
      <c r="U1882" t="str">
        <f t="shared" si="183"/>
        <v>AAB6EE</v>
      </c>
      <c r="V1882">
        <v>0</v>
      </c>
      <c r="W1882">
        <v>0</v>
      </c>
      <c r="X1882">
        <v>4</v>
      </c>
      <c r="Z1882">
        <v>0</v>
      </c>
      <c r="AA1882">
        <v>8</v>
      </c>
      <c r="AB1882">
        <v>3</v>
      </c>
      <c r="AC1882">
        <v>0</v>
      </c>
      <c r="AD1882">
        <v>10</v>
      </c>
      <c r="AE1882">
        <v>0</v>
      </c>
      <c r="AF1882">
        <v>0</v>
      </c>
      <c r="AG1882">
        <v>2</v>
      </c>
      <c r="AH1882">
        <v>1</v>
      </c>
      <c r="AI1882" t="s">
        <v>1379</v>
      </c>
      <c r="AJ1882">
        <v>34.885390000000001</v>
      </c>
      <c r="AK1882" t="s">
        <v>1380</v>
      </c>
      <c r="AL1882">
        <v>-76.118258999999995</v>
      </c>
      <c r="AM1882">
        <v>25</v>
      </c>
      <c r="AN1882">
        <v>2925</v>
      </c>
      <c r="AO1882" t="s">
        <v>118</v>
      </c>
      <c r="AP1882">
        <v>-78</v>
      </c>
      <c r="AQ1882">
        <v>-119</v>
      </c>
      <c r="AR1882">
        <v>0</v>
      </c>
      <c r="AZ1882">
        <v>4516</v>
      </c>
      <c r="BA1882">
        <v>1</v>
      </c>
      <c r="BB1882" t="str">
        <f t="shared" si="182"/>
        <v xml:space="preserve">N79NX   </v>
      </c>
      <c r="BC1882">
        <v>1</v>
      </c>
      <c r="BE1882">
        <v>0</v>
      </c>
      <c r="BF1882">
        <v>0</v>
      </c>
      <c r="BG1882">
        <v>0</v>
      </c>
      <c r="BH1882">
        <v>2800</v>
      </c>
      <c r="BI1882">
        <v>0</v>
      </c>
      <c r="BJ1882">
        <v>0</v>
      </c>
      <c r="BK1882">
        <v>0</v>
      </c>
      <c r="BL1882">
        <v>0</v>
      </c>
      <c r="BO1882">
        <v>0</v>
      </c>
      <c r="BP1882">
        <v>0</v>
      </c>
      <c r="BW1882" t="str">
        <f>"18:56:01.745"</f>
        <v>18:56:01.745</v>
      </c>
      <c r="BZ1882">
        <v>0</v>
      </c>
      <c r="CA1882">
        <v>992</v>
      </c>
      <c r="CB1882">
        <v>216</v>
      </c>
      <c r="CC1882">
        <v>593.4375</v>
      </c>
      <c r="CD1882">
        <v>1</v>
      </c>
      <c r="CE1882">
        <v>1</v>
      </c>
      <c r="CF1882">
        <v>0</v>
      </c>
      <c r="CG1882">
        <v>1</v>
      </c>
      <c r="CH1882">
        <v>0</v>
      </c>
      <c r="CI1882">
        <v>0</v>
      </c>
      <c r="CJ1882">
        <v>0</v>
      </c>
      <c r="CK1882">
        <v>2</v>
      </c>
      <c r="CL1882">
        <v>0</v>
      </c>
      <c r="CM1882">
        <v>2</v>
      </c>
      <c r="CN1882">
        <v>0</v>
      </c>
      <c r="CO1882">
        <v>2</v>
      </c>
      <c r="CP1882" t="s">
        <v>119</v>
      </c>
      <c r="CQ1882">
        <v>70</v>
      </c>
      <c r="CR1882">
        <v>1</v>
      </c>
      <c r="CW1882">
        <v>3680836</v>
      </c>
      <c r="CY1882">
        <v>0</v>
      </c>
      <c r="CZ1882">
        <v>0</v>
      </c>
      <c r="DA1882">
        <v>1</v>
      </c>
      <c r="DB1882">
        <v>0</v>
      </c>
      <c r="DC1882">
        <v>0</v>
      </c>
      <c r="DD1882">
        <v>0</v>
      </c>
      <c r="DE1882">
        <v>0</v>
      </c>
      <c r="DF1882">
        <v>0</v>
      </c>
      <c r="DG1882">
        <v>0</v>
      </c>
      <c r="DH1882">
        <v>0</v>
      </c>
      <c r="DI1882">
        <v>0</v>
      </c>
    </row>
    <row r="1883" spans="1:113" x14ac:dyDescent="0.3">
      <c r="A1883" t="str">
        <f>"02/13/2022 18:56:01.965"</f>
        <v>02/13/2022 18:56:01.965</v>
      </c>
      <c r="C1883" t="str">
        <f t="shared" si="181"/>
        <v>FFDFD7C0</v>
      </c>
      <c r="D1883" t="s">
        <v>113</v>
      </c>
      <c r="E1883">
        <v>4</v>
      </c>
      <c r="F1883">
        <v>1004</v>
      </c>
      <c r="G1883" t="s">
        <v>120</v>
      </c>
      <c r="J1883" t="s">
        <v>115</v>
      </c>
      <c r="K1883">
        <v>0</v>
      </c>
      <c r="L1883">
        <v>3</v>
      </c>
      <c r="M1883">
        <v>0</v>
      </c>
      <c r="N1883">
        <v>2</v>
      </c>
      <c r="O1883">
        <v>1</v>
      </c>
      <c r="P1883">
        <v>0</v>
      </c>
      <c r="Q1883">
        <v>0</v>
      </c>
      <c r="S1883" t="str">
        <f t="shared" si="185"/>
        <v>18:56:01.742</v>
      </c>
      <c r="T1883" t="str">
        <f t="shared" si="185"/>
        <v>18:56:01.742</v>
      </c>
      <c r="U1883" t="str">
        <f t="shared" si="183"/>
        <v>AAB6EE</v>
      </c>
      <c r="V1883">
        <v>0</v>
      </c>
      <c r="W1883">
        <v>0</v>
      </c>
      <c r="X1883">
        <v>4</v>
      </c>
      <c r="Z1883">
        <v>0</v>
      </c>
      <c r="AA1883">
        <v>8</v>
      </c>
      <c r="AB1883">
        <v>3</v>
      </c>
      <c r="AC1883">
        <v>0</v>
      </c>
      <c r="AD1883">
        <v>10</v>
      </c>
      <c r="AE1883">
        <v>0</v>
      </c>
      <c r="AF1883">
        <v>0</v>
      </c>
      <c r="AG1883">
        <v>2</v>
      </c>
      <c r="AH1883">
        <v>1</v>
      </c>
      <c r="AI1883" t="s">
        <v>1379</v>
      </c>
      <c r="AJ1883">
        <v>34.885390000000001</v>
      </c>
      <c r="AK1883" t="s">
        <v>1380</v>
      </c>
      <c r="AL1883">
        <v>-76.118258999999995</v>
      </c>
      <c r="AM1883">
        <v>25</v>
      </c>
      <c r="AN1883">
        <v>2925</v>
      </c>
      <c r="AO1883" t="s">
        <v>118</v>
      </c>
      <c r="AP1883">
        <v>-78</v>
      </c>
      <c r="AQ1883">
        <v>-119</v>
      </c>
      <c r="AR1883">
        <v>0</v>
      </c>
      <c r="AZ1883">
        <v>4516</v>
      </c>
      <c r="BA1883">
        <v>1</v>
      </c>
      <c r="BB1883" t="str">
        <f t="shared" si="182"/>
        <v xml:space="preserve">N79NX   </v>
      </c>
      <c r="BC1883">
        <v>1</v>
      </c>
      <c r="BE1883">
        <v>0</v>
      </c>
      <c r="BF1883">
        <v>0</v>
      </c>
      <c r="BG1883">
        <v>0</v>
      </c>
      <c r="BH1883">
        <v>2800</v>
      </c>
      <c r="BI1883">
        <v>0</v>
      </c>
      <c r="BJ1883">
        <v>0</v>
      </c>
      <c r="BK1883">
        <v>0</v>
      </c>
      <c r="BL1883">
        <v>0</v>
      </c>
      <c r="BO1883">
        <v>0</v>
      </c>
      <c r="BP1883">
        <v>0</v>
      </c>
      <c r="BW1883" t="str">
        <f>"18:56:01.745"</f>
        <v>18:56:01.745</v>
      </c>
      <c r="BZ1883">
        <v>0</v>
      </c>
      <c r="CA1883">
        <v>992</v>
      </c>
      <c r="CB1883">
        <v>216</v>
      </c>
      <c r="CC1883">
        <v>593.4375</v>
      </c>
      <c r="CD1883">
        <v>1</v>
      </c>
      <c r="CE1883">
        <v>1</v>
      </c>
      <c r="CF1883">
        <v>0</v>
      </c>
      <c r="CG1883">
        <v>1</v>
      </c>
      <c r="CH1883">
        <v>0</v>
      </c>
      <c r="CI1883">
        <v>0</v>
      </c>
      <c r="CJ1883">
        <v>0</v>
      </c>
      <c r="CK1883">
        <v>2</v>
      </c>
      <c r="CL1883">
        <v>0</v>
      </c>
      <c r="CM1883">
        <v>2</v>
      </c>
      <c r="CN1883">
        <v>0</v>
      </c>
      <c r="CO1883">
        <v>2</v>
      </c>
      <c r="CP1883" t="s">
        <v>119</v>
      </c>
      <c r="CQ1883">
        <v>70</v>
      </c>
      <c r="CR1883">
        <v>1</v>
      </c>
      <c r="CW1883">
        <v>3680836</v>
      </c>
      <c r="CY1883">
        <v>0</v>
      </c>
      <c r="CZ1883">
        <v>0</v>
      </c>
      <c r="DA1883">
        <v>1</v>
      </c>
      <c r="DB1883">
        <v>0</v>
      </c>
      <c r="DC1883">
        <v>0</v>
      </c>
      <c r="DD1883">
        <v>0</v>
      </c>
      <c r="DE1883">
        <v>0</v>
      </c>
      <c r="DF1883">
        <v>0</v>
      </c>
      <c r="DG1883">
        <v>0</v>
      </c>
      <c r="DH1883">
        <v>0</v>
      </c>
      <c r="DI1883">
        <v>0</v>
      </c>
    </row>
    <row r="1884" spans="1:113" x14ac:dyDescent="0.3">
      <c r="A1884" t="str">
        <f>"02/13/2022 18:56:03.543"</f>
        <v>02/13/2022 18:56:03.543</v>
      </c>
      <c r="C1884" t="str">
        <f t="shared" si="181"/>
        <v>FFDFD7C0</v>
      </c>
      <c r="D1884" t="s">
        <v>121</v>
      </c>
      <c r="E1884">
        <v>2</v>
      </c>
      <c r="H1884">
        <v>158</v>
      </c>
      <c r="I1884" t="s">
        <v>120</v>
      </c>
      <c r="J1884" t="s">
        <v>122</v>
      </c>
      <c r="K1884">
        <v>0</v>
      </c>
      <c r="L1884">
        <v>3</v>
      </c>
      <c r="M1884">
        <v>0</v>
      </c>
      <c r="N1884">
        <v>2</v>
      </c>
      <c r="O1884">
        <v>1</v>
      </c>
      <c r="P1884">
        <v>0</v>
      </c>
      <c r="Q1884">
        <v>0</v>
      </c>
      <c r="S1884" t="str">
        <f>"18:56:03.344"</f>
        <v>18:56:03.344</v>
      </c>
      <c r="T1884" t="str">
        <f>"18:56:01.744"</f>
        <v>18:56:01.744</v>
      </c>
      <c r="U1884" t="str">
        <f t="shared" si="183"/>
        <v>AAB6EE</v>
      </c>
      <c r="V1884">
        <v>0</v>
      </c>
      <c r="W1884">
        <v>0</v>
      </c>
      <c r="X1884">
        <v>4</v>
      </c>
      <c r="Z1884">
        <v>0</v>
      </c>
      <c r="AA1884">
        <v>8</v>
      </c>
      <c r="AB1884">
        <v>3</v>
      </c>
      <c r="AC1884">
        <v>0</v>
      </c>
      <c r="AD1884">
        <v>10</v>
      </c>
      <c r="AE1884">
        <v>0</v>
      </c>
      <c r="AF1884">
        <v>0</v>
      </c>
      <c r="AG1884">
        <v>2</v>
      </c>
      <c r="AH1884">
        <v>1</v>
      </c>
      <c r="AI1884" t="s">
        <v>1381</v>
      </c>
      <c r="AJ1884">
        <v>34.884467000000001</v>
      </c>
      <c r="AK1884" t="s">
        <v>1382</v>
      </c>
      <c r="AL1884">
        <v>-76.118988999999999</v>
      </c>
      <c r="AM1884">
        <v>25</v>
      </c>
      <c r="AN1884">
        <v>2925</v>
      </c>
      <c r="AO1884" t="s">
        <v>118</v>
      </c>
      <c r="AP1884">
        <v>-78</v>
      </c>
      <c r="AQ1884">
        <v>-119</v>
      </c>
      <c r="AR1884">
        <v>0</v>
      </c>
      <c r="AZ1884">
        <v>4516</v>
      </c>
      <c r="BA1884">
        <v>1</v>
      </c>
      <c r="BB1884" t="str">
        <f t="shared" si="182"/>
        <v xml:space="preserve">N79NX   </v>
      </c>
      <c r="BC1884">
        <v>1</v>
      </c>
      <c r="BE1884">
        <v>0</v>
      </c>
      <c r="BF1884">
        <v>0</v>
      </c>
      <c r="BG1884">
        <v>0</v>
      </c>
      <c r="BH1884">
        <v>2800</v>
      </c>
      <c r="BI1884">
        <v>0</v>
      </c>
      <c r="BJ1884">
        <v>0</v>
      </c>
      <c r="BK1884">
        <v>0</v>
      </c>
      <c r="BL1884">
        <v>0</v>
      </c>
      <c r="BO1884">
        <v>0</v>
      </c>
      <c r="BP1884">
        <v>0</v>
      </c>
      <c r="BW1884" t="str">
        <f>"18:56:03.345"</f>
        <v>18:56:03.345</v>
      </c>
      <c r="BZ1884">
        <v>0</v>
      </c>
      <c r="CA1884">
        <v>96</v>
      </c>
      <c r="CB1884">
        <v>216</v>
      </c>
      <c r="CC1884">
        <v>593.4375</v>
      </c>
      <c r="CD1884">
        <v>1</v>
      </c>
      <c r="CE1884">
        <v>1</v>
      </c>
      <c r="CF1884">
        <v>0</v>
      </c>
      <c r="CG1884">
        <v>1</v>
      </c>
      <c r="CH1884">
        <v>0</v>
      </c>
      <c r="CI1884">
        <v>0</v>
      </c>
      <c r="CJ1884">
        <v>0</v>
      </c>
      <c r="CK1884">
        <v>2</v>
      </c>
      <c r="CL1884">
        <v>0</v>
      </c>
      <c r="CM1884">
        <v>2</v>
      </c>
      <c r="CN1884">
        <v>0</v>
      </c>
      <c r="CO1884">
        <v>1</v>
      </c>
      <c r="CP1884" t="s">
        <v>119</v>
      </c>
      <c r="CQ1884">
        <v>70</v>
      </c>
      <c r="CR1884">
        <v>1</v>
      </c>
      <c r="CW1884">
        <v>3682144</v>
      </c>
      <c r="CY1884">
        <v>0</v>
      </c>
      <c r="CZ1884">
        <v>0</v>
      </c>
      <c r="DA1884">
        <v>0</v>
      </c>
      <c r="DB1884">
        <v>0</v>
      </c>
      <c r="DC1884">
        <v>0</v>
      </c>
      <c r="DD1884">
        <v>0</v>
      </c>
      <c r="DE1884">
        <v>0</v>
      </c>
      <c r="DF1884">
        <v>0</v>
      </c>
      <c r="DG1884">
        <v>0</v>
      </c>
      <c r="DH1884">
        <v>0</v>
      </c>
      <c r="DI1884">
        <v>0</v>
      </c>
    </row>
    <row r="1885" spans="1:113" x14ac:dyDescent="0.3">
      <c r="A1885" t="str">
        <f>"02/13/2022 18:56:03.559"</f>
        <v>02/13/2022 18:56:03.559</v>
      </c>
      <c r="C1885" t="str">
        <f t="shared" si="181"/>
        <v>FFDFD7C0</v>
      </c>
      <c r="D1885" t="s">
        <v>113</v>
      </c>
      <c r="E1885">
        <v>3</v>
      </c>
      <c r="F1885">
        <v>1003</v>
      </c>
      <c r="G1885" t="s">
        <v>114</v>
      </c>
      <c r="J1885" t="s">
        <v>115</v>
      </c>
      <c r="K1885">
        <v>0</v>
      </c>
      <c r="L1885">
        <v>3</v>
      </c>
      <c r="M1885">
        <v>0</v>
      </c>
      <c r="N1885">
        <v>2</v>
      </c>
      <c r="O1885">
        <v>1</v>
      </c>
      <c r="P1885">
        <v>0</v>
      </c>
      <c r="Q1885">
        <v>0</v>
      </c>
      <c r="S1885" t="str">
        <f>"18:56:03.344"</f>
        <v>18:56:03.344</v>
      </c>
      <c r="T1885" t="str">
        <f>"18:56:01.744"</f>
        <v>18:56:01.744</v>
      </c>
      <c r="U1885" t="str">
        <f t="shared" si="183"/>
        <v>AAB6EE</v>
      </c>
      <c r="V1885">
        <v>0</v>
      </c>
      <c r="W1885">
        <v>0</v>
      </c>
      <c r="X1885">
        <v>4</v>
      </c>
      <c r="Z1885">
        <v>0</v>
      </c>
      <c r="AA1885">
        <v>8</v>
      </c>
      <c r="AB1885">
        <v>3</v>
      </c>
      <c r="AC1885">
        <v>0</v>
      </c>
      <c r="AD1885">
        <v>10</v>
      </c>
      <c r="AE1885">
        <v>0</v>
      </c>
      <c r="AF1885">
        <v>0</v>
      </c>
      <c r="AG1885">
        <v>2</v>
      </c>
      <c r="AH1885">
        <v>1</v>
      </c>
      <c r="AI1885" t="s">
        <v>1381</v>
      </c>
      <c r="AJ1885">
        <v>34.884467000000001</v>
      </c>
      <c r="AK1885" t="s">
        <v>1382</v>
      </c>
      <c r="AL1885">
        <v>-76.118988999999999</v>
      </c>
      <c r="AM1885">
        <v>25</v>
      </c>
      <c r="AN1885">
        <v>2925</v>
      </c>
      <c r="AO1885" t="s">
        <v>118</v>
      </c>
      <c r="AP1885">
        <v>-78</v>
      </c>
      <c r="AQ1885">
        <v>-119</v>
      </c>
      <c r="AR1885">
        <v>0</v>
      </c>
      <c r="AZ1885">
        <v>4516</v>
      </c>
      <c r="BA1885">
        <v>1</v>
      </c>
      <c r="BB1885" t="str">
        <f t="shared" si="182"/>
        <v xml:space="preserve">N79NX   </v>
      </c>
      <c r="BC1885">
        <v>1</v>
      </c>
      <c r="BE1885">
        <v>0</v>
      </c>
      <c r="BF1885">
        <v>0</v>
      </c>
      <c r="BG1885">
        <v>0</v>
      </c>
      <c r="BH1885">
        <v>2800</v>
      </c>
      <c r="BI1885">
        <v>0</v>
      </c>
      <c r="BJ1885">
        <v>0</v>
      </c>
      <c r="BK1885">
        <v>0</v>
      </c>
      <c r="BL1885">
        <v>0</v>
      </c>
      <c r="BO1885">
        <v>0</v>
      </c>
      <c r="BP1885">
        <v>0</v>
      </c>
      <c r="BW1885" t="str">
        <f>"18:56:03.345"</f>
        <v>18:56:03.345</v>
      </c>
      <c r="BZ1885">
        <v>0</v>
      </c>
      <c r="CA1885">
        <v>96</v>
      </c>
      <c r="CB1885">
        <v>216</v>
      </c>
      <c r="CC1885">
        <v>593.4375</v>
      </c>
      <c r="CD1885">
        <v>1</v>
      </c>
      <c r="CE1885">
        <v>1</v>
      </c>
      <c r="CF1885">
        <v>0</v>
      </c>
      <c r="CG1885">
        <v>1</v>
      </c>
      <c r="CH1885">
        <v>0</v>
      </c>
      <c r="CI1885">
        <v>0</v>
      </c>
      <c r="CJ1885">
        <v>0</v>
      </c>
      <c r="CK1885">
        <v>2</v>
      </c>
      <c r="CL1885">
        <v>0</v>
      </c>
      <c r="CM1885">
        <v>2</v>
      </c>
      <c r="CN1885">
        <v>0</v>
      </c>
      <c r="CO1885">
        <v>1</v>
      </c>
      <c r="CP1885" t="s">
        <v>119</v>
      </c>
      <c r="CQ1885">
        <v>70</v>
      </c>
      <c r="CR1885">
        <v>1</v>
      </c>
      <c r="CW1885">
        <v>3682144</v>
      </c>
      <c r="CY1885">
        <v>0</v>
      </c>
      <c r="CZ1885">
        <v>0</v>
      </c>
      <c r="DA1885">
        <v>1</v>
      </c>
      <c r="DB1885">
        <v>0</v>
      </c>
      <c r="DC1885">
        <v>0</v>
      </c>
      <c r="DD1885">
        <v>0</v>
      </c>
      <c r="DE1885">
        <v>0</v>
      </c>
      <c r="DF1885">
        <v>0</v>
      </c>
      <c r="DG1885">
        <v>0</v>
      </c>
      <c r="DH1885">
        <v>0</v>
      </c>
      <c r="DI1885">
        <v>0</v>
      </c>
    </row>
    <row r="1886" spans="1:113" x14ac:dyDescent="0.3">
      <c r="A1886" t="str">
        <f>"02/13/2022 18:56:03.574"</f>
        <v>02/13/2022 18:56:03.574</v>
      </c>
      <c r="C1886" t="str">
        <f t="shared" si="181"/>
        <v>FFDFD7C0</v>
      </c>
      <c r="D1886" t="s">
        <v>113</v>
      </c>
      <c r="E1886">
        <v>4</v>
      </c>
      <c r="F1886">
        <v>1004</v>
      </c>
      <c r="G1886" t="s">
        <v>120</v>
      </c>
      <c r="J1886" t="s">
        <v>115</v>
      </c>
      <c r="K1886">
        <v>0</v>
      </c>
      <c r="L1886">
        <v>3</v>
      </c>
      <c r="M1886">
        <v>0</v>
      </c>
      <c r="N1886">
        <v>2</v>
      </c>
      <c r="O1886">
        <v>1</v>
      </c>
      <c r="P1886">
        <v>0</v>
      </c>
      <c r="Q1886">
        <v>0</v>
      </c>
      <c r="S1886" t="str">
        <f>"18:56:03.344"</f>
        <v>18:56:03.344</v>
      </c>
      <c r="T1886" t="str">
        <f>"18:56:01.744"</f>
        <v>18:56:01.744</v>
      </c>
      <c r="U1886" t="str">
        <f t="shared" si="183"/>
        <v>AAB6EE</v>
      </c>
      <c r="V1886">
        <v>0</v>
      </c>
      <c r="W1886">
        <v>0</v>
      </c>
      <c r="X1886">
        <v>4</v>
      </c>
      <c r="Z1886">
        <v>0</v>
      </c>
      <c r="AA1886">
        <v>8</v>
      </c>
      <c r="AB1886">
        <v>3</v>
      </c>
      <c r="AC1886">
        <v>0</v>
      </c>
      <c r="AD1886">
        <v>10</v>
      </c>
      <c r="AE1886">
        <v>0</v>
      </c>
      <c r="AF1886">
        <v>0</v>
      </c>
      <c r="AG1886">
        <v>2</v>
      </c>
      <c r="AH1886">
        <v>1</v>
      </c>
      <c r="AI1886" t="s">
        <v>1381</v>
      </c>
      <c r="AJ1886">
        <v>34.884467000000001</v>
      </c>
      <c r="AK1886" t="s">
        <v>1382</v>
      </c>
      <c r="AL1886">
        <v>-76.118988999999999</v>
      </c>
      <c r="AM1886">
        <v>25</v>
      </c>
      <c r="AN1886">
        <v>2925</v>
      </c>
      <c r="AO1886" t="s">
        <v>118</v>
      </c>
      <c r="AP1886">
        <v>-78</v>
      </c>
      <c r="AQ1886">
        <v>-119</v>
      </c>
      <c r="AR1886">
        <v>0</v>
      </c>
      <c r="AZ1886">
        <v>4516</v>
      </c>
      <c r="BA1886">
        <v>1</v>
      </c>
      <c r="BB1886" t="str">
        <f t="shared" si="182"/>
        <v xml:space="preserve">N79NX   </v>
      </c>
      <c r="BC1886">
        <v>1</v>
      </c>
      <c r="BE1886">
        <v>0</v>
      </c>
      <c r="BF1886">
        <v>0</v>
      </c>
      <c r="BG1886">
        <v>0</v>
      </c>
      <c r="BH1886">
        <v>2800</v>
      </c>
      <c r="BI1886">
        <v>0</v>
      </c>
      <c r="BJ1886">
        <v>0</v>
      </c>
      <c r="BK1886">
        <v>0</v>
      </c>
      <c r="BL1886">
        <v>0</v>
      </c>
      <c r="BO1886">
        <v>0</v>
      </c>
      <c r="BP1886">
        <v>0</v>
      </c>
      <c r="BW1886" t="str">
        <f>"18:56:03.345"</f>
        <v>18:56:03.345</v>
      </c>
      <c r="BZ1886">
        <v>0</v>
      </c>
      <c r="CA1886">
        <v>96</v>
      </c>
      <c r="CB1886">
        <v>216</v>
      </c>
      <c r="CC1886">
        <v>593.4375</v>
      </c>
      <c r="CD1886">
        <v>1</v>
      </c>
      <c r="CE1886">
        <v>1</v>
      </c>
      <c r="CF1886">
        <v>0</v>
      </c>
      <c r="CG1886">
        <v>1</v>
      </c>
      <c r="CH1886">
        <v>0</v>
      </c>
      <c r="CI1886">
        <v>0</v>
      </c>
      <c r="CJ1886">
        <v>0</v>
      </c>
      <c r="CK1886">
        <v>2</v>
      </c>
      <c r="CL1886">
        <v>0</v>
      </c>
      <c r="CM1886">
        <v>2</v>
      </c>
      <c r="CN1886">
        <v>0</v>
      </c>
      <c r="CO1886">
        <v>1</v>
      </c>
      <c r="CP1886" t="s">
        <v>119</v>
      </c>
      <c r="CQ1886">
        <v>70</v>
      </c>
      <c r="CR1886">
        <v>1</v>
      </c>
      <c r="CW1886">
        <v>3682144</v>
      </c>
      <c r="CY1886">
        <v>0</v>
      </c>
      <c r="CZ1886">
        <v>0</v>
      </c>
      <c r="DA1886">
        <v>1</v>
      </c>
      <c r="DB1886">
        <v>0</v>
      </c>
      <c r="DC1886">
        <v>0</v>
      </c>
      <c r="DD1886">
        <v>0</v>
      </c>
      <c r="DE1886">
        <v>0</v>
      </c>
      <c r="DF1886">
        <v>0</v>
      </c>
      <c r="DG1886">
        <v>0</v>
      </c>
      <c r="DH1886">
        <v>0</v>
      </c>
      <c r="DI1886">
        <v>0</v>
      </c>
    </row>
    <row r="1887" spans="1:113" x14ac:dyDescent="0.3">
      <c r="A1887" t="str">
        <f>"02/13/2022 18:56:04.623"</f>
        <v>02/13/2022 18:56:04.623</v>
      </c>
      <c r="C1887" t="str">
        <f t="shared" si="181"/>
        <v>FFDFD7C0</v>
      </c>
      <c r="D1887" t="s">
        <v>113</v>
      </c>
      <c r="E1887">
        <v>4</v>
      </c>
      <c r="F1887">
        <v>1004</v>
      </c>
      <c r="G1887" t="s">
        <v>120</v>
      </c>
      <c r="J1887" t="s">
        <v>115</v>
      </c>
      <c r="K1887">
        <v>0</v>
      </c>
      <c r="L1887">
        <v>3</v>
      </c>
      <c r="M1887">
        <v>0</v>
      </c>
      <c r="N1887">
        <v>2</v>
      </c>
      <c r="O1887">
        <v>1</v>
      </c>
      <c r="P1887">
        <v>0</v>
      </c>
      <c r="Q1887">
        <v>0</v>
      </c>
      <c r="S1887" t="str">
        <f>"18:56:04.383"</f>
        <v>18:56:04.383</v>
      </c>
      <c r="T1887" t="str">
        <f>"18:56:01.683"</f>
        <v>18:56:01.683</v>
      </c>
      <c r="U1887" t="str">
        <f t="shared" si="183"/>
        <v>AAB6EE</v>
      </c>
      <c r="V1887">
        <v>0</v>
      </c>
      <c r="W1887">
        <v>0</v>
      </c>
      <c r="X1887">
        <v>4</v>
      </c>
      <c r="Z1887">
        <v>0</v>
      </c>
      <c r="AA1887">
        <v>8</v>
      </c>
      <c r="AB1887">
        <v>3</v>
      </c>
      <c r="AC1887">
        <v>0</v>
      </c>
      <c r="AD1887">
        <v>10</v>
      </c>
      <c r="AE1887">
        <v>0</v>
      </c>
      <c r="AF1887">
        <v>0</v>
      </c>
      <c r="AG1887">
        <v>2</v>
      </c>
      <c r="AH1887">
        <v>1</v>
      </c>
      <c r="AI1887" t="s">
        <v>1383</v>
      </c>
      <c r="AJ1887">
        <v>34.883930999999997</v>
      </c>
      <c r="AK1887" t="s">
        <v>1384</v>
      </c>
      <c r="AL1887">
        <v>-76.119439999999997</v>
      </c>
      <c r="AM1887">
        <v>25</v>
      </c>
      <c r="AN1887">
        <v>2925</v>
      </c>
      <c r="AO1887" t="s">
        <v>118</v>
      </c>
      <c r="AP1887">
        <v>-78</v>
      </c>
      <c r="AQ1887">
        <v>-119</v>
      </c>
      <c r="AR1887">
        <v>0</v>
      </c>
      <c r="AZ1887">
        <v>4516</v>
      </c>
      <c r="BA1887">
        <v>1</v>
      </c>
      <c r="BB1887" t="str">
        <f t="shared" si="182"/>
        <v xml:space="preserve">N79NX   </v>
      </c>
      <c r="BC1887">
        <v>1</v>
      </c>
      <c r="BE1887">
        <v>0</v>
      </c>
      <c r="BF1887">
        <v>0</v>
      </c>
      <c r="BG1887">
        <v>0</v>
      </c>
      <c r="BH1887">
        <v>2800</v>
      </c>
      <c r="BI1887">
        <v>0</v>
      </c>
      <c r="BJ1887">
        <v>0</v>
      </c>
      <c r="BK1887">
        <v>0</v>
      </c>
      <c r="BL1887">
        <v>0</v>
      </c>
      <c r="BO1887">
        <v>0</v>
      </c>
      <c r="BP1887">
        <v>0</v>
      </c>
      <c r="BW1887" t="str">
        <f>"18:56:04.385"</f>
        <v>18:56:04.385</v>
      </c>
      <c r="BZ1887">
        <v>0</v>
      </c>
      <c r="CA1887">
        <v>800</v>
      </c>
      <c r="CB1887">
        <v>216</v>
      </c>
      <c r="CC1887">
        <v>593.4375</v>
      </c>
      <c r="CD1887">
        <v>1</v>
      </c>
      <c r="CE1887">
        <v>1</v>
      </c>
      <c r="CF1887">
        <v>0</v>
      </c>
      <c r="CG1887">
        <v>1</v>
      </c>
      <c r="CH1887">
        <v>0</v>
      </c>
      <c r="CI1887">
        <v>0</v>
      </c>
      <c r="CJ1887">
        <v>0</v>
      </c>
      <c r="CK1887">
        <v>2</v>
      </c>
      <c r="CL1887">
        <v>0</v>
      </c>
      <c r="CM1887">
        <v>2</v>
      </c>
      <c r="CN1887">
        <v>0</v>
      </c>
      <c r="CO1887">
        <v>1</v>
      </c>
      <c r="CP1887" t="s">
        <v>119</v>
      </c>
      <c r="CQ1887">
        <v>70</v>
      </c>
      <c r="CR1887">
        <v>1</v>
      </c>
      <c r="CW1887">
        <v>3682950</v>
      </c>
      <c r="CY1887">
        <v>0</v>
      </c>
      <c r="CZ1887">
        <v>0</v>
      </c>
      <c r="DA1887">
        <v>0</v>
      </c>
      <c r="DB1887">
        <v>0</v>
      </c>
      <c r="DC1887">
        <v>0</v>
      </c>
      <c r="DD1887">
        <v>0</v>
      </c>
      <c r="DE1887">
        <v>0</v>
      </c>
      <c r="DF1887">
        <v>0</v>
      </c>
      <c r="DG1887">
        <v>0</v>
      </c>
      <c r="DH1887">
        <v>0</v>
      </c>
      <c r="DI1887">
        <v>0</v>
      </c>
    </row>
    <row r="1888" spans="1:113" x14ac:dyDescent="0.3">
      <c r="A1888" t="str">
        <f>"02/13/2022 18:56:04.623"</f>
        <v>02/13/2022 18:56:04.623</v>
      </c>
      <c r="C1888" t="str">
        <f t="shared" si="181"/>
        <v>FFDFD7C0</v>
      </c>
      <c r="D1888" t="s">
        <v>113</v>
      </c>
      <c r="E1888">
        <v>3</v>
      </c>
      <c r="F1888">
        <v>1003</v>
      </c>
      <c r="G1888" t="s">
        <v>114</v>
      </c>
      <c r="J1888" t="s">
        <v>115</v>
      </c>
      <c r="K1888">
        <v>0</v>
      </c>
      <c r="L1888">
        <v>3</v>
      </c>
      <c r="M1888">
        <v>0</v>
      </c>
      <c r="N1888">
        <v>2</v>
      </c>
      <c r="O1888">
        <v>1</v>
      </c>
      <c r="P1888">
        <v>0</v>
      </c>
      <c r="Q1888">
        <v>0</v>
      </c>
      <c r="S1888" t="str">
        <f>"18:56:04.383"</f>
        <v>18:56:04.383</v>
      </c>
      <c r="T1888" t="str">
        <f>"18:56:01.683"</f>
        <v>18:56:01.683</v>
      </c>
      <c r="U1888" t="str">
        <f t="shared" si="183"/>
        <v>AAB6EE</v>
      </c>
      <c r="V1888">
        <v>0</v>
      </c>
      <c r="W1888">
        <v>0</v>
      </c>
      <c r="X1888">
        <v>4</v>
      </c>
      <c r="Z1888">
        <v>0</v>
      </c>
      <c r="AA1888">
        <v>8</v>
      </c>
      <c r="AB1888">
        <v>3</v>
      </c>
      <c r="AC1888">
        <v>0</v>
      </c>
      <c r="AD1888">
        <v>10</v>
      </c>
      <c r="AE1888">
        <v>0</v>
      </c>
      <c r="AF1888">
        <v>0</v>
      </c>
      <c r="AG1888">
        <v>2</v>
      </c>
      <c r="AH1888">
        <v>1</v>
      </c>
      <c r="AI1888" t="s">
        <v>1383</v>
      </c>
      <c r="AJ1888">
        <v>34.883930999999997</v>
      </c>
      <c r="AK1888" t="s">
        <v>1384</v>
      </c>
      <c r="AL1888">
        <v>-76.119439999999997</v>
      </c>
      <c r="AM1888">
        <v>25</v>
      </c>
      <c r="AN1888">
        <v>2925</v>
      </c>
      <c r="AO1888" t="s">
        <v>118</v>
      </c>
      <c r="AP1888">
        <v>-78</v>
      </c>
      <c r="AQ1888">
        <v>-119</v>
      </c>
      <c r="AR1888">
        <v>0</v>
      </c>
      <c r="AZ1888">
        <v>4516</v>
      </c>
      <c r="BA1888">
        <v>1</v>
      </c>
      <c r="BB1888" t="str">
        <f t="shared" si="182"/>
        <v xml:space="preserve">N79NX   </v>
      </c>
      <c r="BC1888">
        <v>1</v>
      </c>
      <c r="BE1888">
        <v>0</v>
      </c>
      <c r="BF1888">
        <v>0</v>
      </c>
      <c r="BG1888">
        <v>0</v>
      </c>
      <c r="BH1888">
        <v>2800</v>
      </c>
      <c r="BI1888">
        <v>0</v>
      </c>
      <c r="BJ1888">
        <v>0</v>
      </c>
      <c r="BK1888">
        <v>0</v>
      </c>
      <c r="BL1888">
        <v>0</v>
      </c>
      <c r="BO1888">
        <v>0</v>
      </c>
      <c r="BP1888">
        <v>0</v>
      </c>
      <c r="BW1888" t="str">
        <f>"18:56:04.385"</f>
        <v>18:56:04.385</v>
      </c>
      <c r="BZ1888">
        <v>0</v>
      </c>
      <c r="CA1888">
        <v>800</v>
      </c>
      <c r="CB1888">
        <v>216</v>
      </c>
      <c r="CC1888">
        <v>593.4375</v>
      </c>
      <c r="CD1888">
        <v>1</v>
      </c>
      <c r="CE1888">
        <v>1</v>
      </c>
      <c r="CF1888">
        <v>0</v>
      </c>
      <c r="CG1888">
        <v>1</v>
      </c>
      <c r="CH1888">
        <v>0</v>
      </c>
      <c r="CI1888">
        <v>0</v>
      </c>
      <c r="CJ1888">
        <v>0</v>
      </c>
      <c r="CK1888">
        <v>2</v>
      </c>
      <c r="CL1888">
        <v>0</v>
      </c>
      <c r="CM1888">
        <v>2</v>
      </c>
      <c r="CN1888">
        <v>0</v>
      </c>
      <c r="CO1888">
        <v>1</v>
      </c>
      <c r="CP1888" t="s">
        <v>119</v>
      </c>
      <c r="CQ1888">
        <v>70</v>
      </c>
      <c r="CR1888">
        <v>1</v>
      </c>
      <c r="CW1888">
        <v>3682950</v>
      </c>
      <c r="CY1888">
        <v>0</v>
      </c>
      <c r="CZ1888">
        <v>0</v>
      </c>
      <c r="DA1888">
        <v>1</v>
      </c>
      <c r="DB1888">
        <v>0</v>
      </c>
      <c r="DC1888">
        <v>0</v>
      </c>
      <c r="DD1888">
        <v>0</v>
      </c>
      <c r="DE1888">
        <v>0</v>
      </c>
      <c r="DF1888">
        <v>0</v>
      </c>
      <c r="DG1888">
        <v>0</v>
      </c>
      <c r="DH1888">
        <v>0</v>
      </c>
      <c r="DI1888">
        <v>0</v>
      </c>
    </row>
    <row r="1889" spans="1:113" x14ac:dyDescent="0.3">
      <c r="A1889" t="str">
        <f>"02/13/2022 18:56:04.686"</f>
        <v>02/13/2022 18:56:04.686</v>
      </c>
      <c r="C1889" t="str">
        <f t="shared" si="181"/>
        <v>FFDFD7C0</v>
      </c>
      <c r="D1889" t="s">
        <v>121</v>
      </c>
      <c r="E1889">
        <v>2</v>
      </c>
      <c r="H1889">
        <v>158</v>
      </c>
      <c r="I1889" t="s">
        <v>120</v>
      </c>
      <c r="J1889" t="s">
        <v>122</v>
      </c>
      <c r="K1889">
        <v>0</v>
      </c>
      <c r="L1889">
        <v>3</v>
      </c>
      <c r="M1889">
        <v>0</v>
      </c>
      <c r="N1889">
        <v>2</v>
      </c>
      <c r="O1889">
        <v>1</v>
      </c>
      <c r="P1889">
        <v>0</v>
      </c>
      <c r="Q1889">
        <v>0</v>
      </c>
      <c r="S1889" t="str">
        <f>"18:56:04.383"</f>
        <v>18:56:04.383</v>
      </c>
      <c r="T1889" t="str">
        <f>"18:56:01.683"</f>
        <v>18:56:01.683</v>
      </c>
      <c r="U1889" t="str">
        <f t="shared" si="183"/>
        <v>AAB6EE</v>
      </c>
      <c r="V1889">
        <v>0</v>
      </c>
      <c r="W1889">
        <v>0</v>
      </c>
      <c r="X1889">
        <v>4</v>
      </c>
      <c r="Z1889">
        <v>0</v>
      </c>
      <c r="AA1889">
        <v>8</v>
      </c>
      <c r="AB1889">
        <v>3</v>
      </c>
      <c r="AC1889">
        <v>0</v>
      </c>
      <c r="AD1889">
        <v>10</v>
      </c>
      <c r="AE1889">
        <v>0</v>
      </c>
      <c r="AF1889">
        <v>0</v>
      </c>
      <c r="AG1889">
        <v>2</v>
      </c>
      <c r="AH1889">
        <v>1</v>
      </c>
      <c r="AI1889" t="s">
        <v>1383</v>
      </c>
      <c r="AJ1889">
        <v>34.883930999999997</v>
      </c>
      <c r="AK1889" t="s">
        <v>1384</v>
      </c>
      <c r="AL1889">
        <v>-76.119439999999997</v>
      </c>
      <c r="AM1889">
        <v>25</v>
      </c>
      <c r="AN1889">
        <v>2925</v>
      </c>
      <c r="AO1889" t="s">
        <v>118</v>
      </c>
      <c r="AP1889">
        <v>-78</v>
      </c>
      <c r="AQ1889">
        <v>-119</v>
      </c>
      <c r="AR1889">
        <v>0</v>
      </c>
      <c r="AZ1889">
        <v>4516</v>
      </c>
      <c r="BA1889">
        <v>1</v>
      </c>
      <c r="BB1889" t="str">
        <f t="shared" si="182"/>
        <v xml:space="preserve">N79NX   </v>
      </c>
      <c r="BC1889">
        <v>1</v>
      </c>
      <c r="BE1889">
        <v>0</v>
      </c>
      <c r="BF1889">
        <v>0</v>
      </c>
      <c r="BG1889">
        <v>0</v>
      </c>
      <c r="BH1889">
        <v>2800</v>
      </c>
      <c r="BI1889">
        <v>0</v>
      </c>
      <c r="BJ1889">
        <v>0</v>
      </c>
      <c r="BK1889">
        <v>0</v>
      </c>
      <c r="BL1889">
        <v>0</v>
      </c>
      <c r="BO1889">
        <v>0</v>
      </c>
      <c r="BP1889">
        <v>0</v>
      </c>
      <c r="BW1889" t="str">
        <f>"18:56:04.385"</f>
        <v>18:56:04.385</v>
      </c>
      <c r="BZ1889">
        <v>0</v>
      </c>
      <c r="CA1889">
        <v>800</v>
      </c>
      <c r="CB1889">
        <v>216</v>
      </c>
      <c r="CC1889">
        <v>593.4375</v>
      </c>
      <c r="CD1889">
        <v>1</v>
      </c>
      <c r="CE1889">
        <v>1</v>
      </c>
      <c r="CF1889">
        <v>0</v>
      </c>
      <c r="CG1889">
        <v>1</v>
      </c>
      <c r="CH1889">
        <v>0</v>
      </c>
      <c r="CI1889">
        <v>0</v>
      </c>
      <c r="CJ1889">
        <v>0</v>
      </c>
      <c r="CK1889">
        <v>2</v>
      </c>
      <c r="CL1889">
        <v>0</v>
      </c>
      <c r="CM1889">
        <v>2</v>
      </c>
      <c r="CN1889">
        <v>0</v>
      </c>
      <c r="CO1889">
        <v>1</v>
      </c>
      <c r="CP1889" t="s">
        <v>119</v>
      </c>
      <c r="CQ1889">
        <v>70</v>
      </c>
      <c r="CR1889">
        <v>1</v>
      </c>
      <c r="CW1889">
        <v>3682950</v>
      </c>
      <c r="CY1889">
        <v>0</v>
      </c>
      <c r="CZ1889">
        <v>0</v>
      </c>
      <c r="DA1889">
        <v>0</v>
      </c>
      <c r="DB1889">
        <v>0</v>
      </c>
      <c r="DC1889">
        <v>0</v>
      </c>
      <c r="DD1889">
        <v>0</v>
      </c>
      <c r="DE1889">
        <v>0</v>
      </c>
      <c r="DF1889">
        <v>0</v>
      </c>
      <c r="DG1889">
        <v>0</v>
      </c>
      <c r="DH1889">
        <v>0</v>
      </c>
      <c r="DI1889">
        <v>0</v>
      </c>
    </row>
    <row r="1890" spans="1:113" x14ac:dyDescent="0.3">
      <c r="A1890" t="str">
        <f>"02/13/2022 18:56:05.795"</f>
        <v>02/13/2022 18:56:05.795</v>
      </c>
      <c r="C1890" t="str">
        <f t="shared" si="181"/>
        <v>FFDFD7C0</v>
      </c>
      <c r="D1890" t="s">
        <v>121</v>
      </c>
      <c r="E1890">
        <v>2</v>
      </c>
      <c r="H1890">
        <v>158</v>
      </c>
      <c r="I1890" t="s">
        <v>120</v>
      </c>
      <c r="J1890" t="s">
        <v>122</v>
      </c>
      <c r="K1890">
        <v>0</v>
      </c>
      <c r="L1890">
        <v>3</v>
      </c>
      <c r="M1890">
        <v>0</v>
      </c>
      <c r="N1890">
        <v>2</v>
      </c>
      <c r="O1890">
        <v>1</v>
      </c>
      <c r="P1890">
        <v>0</v>
      </c>
      <c r="Q1890">
        <v>0</v>
      </c>
      <c r="S1890" t="str">
        <f>"18:56:05.430"</f>
        <v>18:56:05.430</v>
      </c>
      <c r="T1890" t="str">
        <f>"18:56:05.030"</f>
        <v>18:56:05.030</v>
      </c>
      <c r="U1890" t="str">
        <f t="shared" si="183"/>
        <v>AAB6EE</v>
      </c>
      <c r="V1890">
        <v>0</v>
      </c>
      <c r="W1890">
        <v>0</v>
      </c>
      <c r="X1890">
        <v>4</v>
      </c>
      <c r="Z1890">
        <v>0</v>
      </c>
      <c r="AA1890">
        <v>8</v>
      </c>
      <c r="AB1890">
        <v>3</v>
      </c>
      <c r="AC1890">
        <v>0</v>
      </c>
      <c r="AD1890">
        <v>10</v>
      </c>
      <c r="AE1890">
        <v>0</v>
      </c>
      <c r="AF1890">
        <v>0</v>
      </c>
      <c r="AG1890">
        <v>2</v>
      </c>
      <c r="AH1890">
        <v>1</v>
      </c>
      <c r="AI1890" t="s">
        <v>1385</v>
      </c>
      <c r="AJ1890">
        <v>34.883350999999998</v>
      </c>
      <c r="AK1890" t="s">
        <v>1386</v>
      </c>
      <c r="AL1890">
        <v>-76.119975999999994</v>
      </c>
      <c r="AM1890">
        <v>25</v>
      </c>
      <c r="AN1890">
        <v>2925</v>
      </c>
      <c r="AO1890" t="s">
        <v>118</v>
      </c>
      <c r="AP1890">
        <v>-80</v>
      </c>
      <c r="AQ1890">
        <v>-118</v>
      </c>
      <c r="AR1890">
        <v>0</v>
      </c>
      <c r="AZ1890">
        <v>4516</v>
      </c>
      <c r="BA1890">
        <v>1</v>
      </c>
      <c r="BB1890" t="str">
        <f t="shared" si="182"/>
        <v xml:space="preserve">N79NX   </v>
      </c>
      <c r="BC1890">
        <v>1</v>
      </c>
      <c r="BE1890">
        <v>0</v>
      </c>
      <c r="BF1890">
        <v>0</v>
      </c>
      <c r="BG1890">
        <v>0</v>
      </c>
      <c r="BH1890">
        <v>2800</v>
      </c>
      <c r="BI1890">
        <v>0</v>
      </c>
      <c r="BJ1890">
        <v>0</v>
      </c>
      <c r="BK1890">
        <v>0</v>
      </c>
      <c r="BL1890">
        <v>0</v>
      </c>
      <c r="BO1890">
        <v>0</v>
      </c>
      <c r="BP1890">
        <v>0</v>
      </c>
      <c r="BW1890" t="str">
        <f>"18:56:05.435"</f>
        <v>18:56:05.435</v>
      </c>
      <c r="BZ1890">
        <v>0</v>
      </c>
      <c r="CA1890">
        <v>1312</v>
      </c>
      <c r="CB1890">
        <v>216</v>
      </c>
      <c r="CC1890">
        <v>593.4375</v>
      </c>
      <c r="CD1890">
        <v>1</v>
      </c>
      <c r="CE1890">
        <v>1</v>
      </c>
      <c r="CF1890">
        <v>0</v>
      </c>
      <c r="CG1890">
        <v>1</v>
      </c>
      <c r="CH1890">
        <v>0</v>
      </c>
      <c r="CI1890">
        <v>0</v>
      </c>
      <c r="CJ1890">
        <v>0</v>
      </c>
      <c r="CK1890">
        <v>2</v>
      </c>
      <c r="CL1890">
        <v>0</v>
      </c>
      <c r="CM1890">
        <v>2</v>
      </c>
      <c r="CN1890">
        <v>0</v>
      </c>
      <c r="CO1890">
        <v>2</v>
      </c>
      <c r="CP1890" t="s">
        <v>119</v>
      </c>
      <c r="CQ1890">
        <v>70</v>
      </c>
      <c r="CR1890">
        <v>1</v>
      </c>
      <c r="CW1890">
        <v>3683807</v>
      </c>
      <c r="CY1890">
        <v>0</v>
      </c>
      <c r="CZ1890">
        <v>0</v>
      </c>
      <c r="DA1890">
        <v>0</v>
      </c>
      <c r="DB1890">
        <v>0</v>
      </c>
      <c r="DC1890">
        <v>0</v>
      </c>
      <c r="DD1890">
        <v>0</v>
      </c>
      <c r="DE1890">
        <v>0</v>
      </c>
      <c r="DF1890">
        <v>0</v>
      </c>
      <c r="DG1890">
        <v>0</v>
      </c>
      <c r="DH1890">
        <v>0</v>
      </c>
      <c r="DI1890">
        <v>0</v>
      </c>
    </row>
    <row r="1891" spans="1:113" x14ac:dyDescent="0.3">
      <c r="A1891" t="str">
        <f>"02/13/2022 18:56:05.795"</f>
        <v>02/13/2022 18:56:05.795</v>
      </c>
      <c r="C1891" t="str">
        <f t="shared" si="181"/>
        <v>FFDFD7C0</v>
      </c>
      <c r="D1891" t="s">
        <v>113</v>
      </c>
      <c r="E1891">
        <v>3</v>
      </c>
      <c r="F1891">
        <v>1003</v>
      </c>
      <c r="G1891" t="s">
        <v>114</v>
      </c>
      <c r="J1891" t="s">
        <v>115</v>
      </c>
      <c r="K1891">
        <v>0</v>
      </c>
      <c r="L1891">
        <v>3</v>
      </c>
      <c r="M1891">
        <v>0</v>
      </c>
      <c r="N1891">
        <v>2</v>
      </c>
      <c r="O1891">
        <v>1</v>
      </c>
      <c r="P1891">
        <v>0</v>
      </c>
      <c r="Q1891">
        <v>0</v>
      </c>
      <c r="S1891" t="str">
        <f>"18:56:05.430"</f>
        <v>18:56:05.430</v>
      </c>
      <c r="T1891" t="str">
        <f>"18:56:05.030"</f>
        <v>18:56:05.030</v>
      </c>
      <c r="U1891" t="str">
        <f t="shared" si="183"/>
        <v>AAB6EE</v>
      </c>
      <c r="V1891">
        <v>0</v>
      </c>
      <c r="W1891">
        <v>0</v>
      </c>
      <c r="X1891">
        <v>4</v>
      </c>
      <c r="Z1891">
        <v>0</v>
      </c>
      <c r="AA1891">
        <v>8</v>
      </c>
      <c r="AB1891">
        <v>3</v>
      </c>
      <c r="AC1891">
        <v>0</v>
      </c>
      <c r="AD1891">
        <v>10</v>
      </c>
      <c r="AE1891">
        <v>0</v>
      </c>
      <c r="AF1891">
        <v>0</v>
      </c>
      <c r="AG1891">
        <v>2</v>
      </c>
      <c r="AH1891">
        <v>1</v>
      </c>
      <c r="AI1891" t="s">
        <v>1385</v>
      </c>
      <c r="AJ1891">
        <v>34.883350999999998</v>
      </c>
      <c r="AK1891" t="s">
        <v>1386</v>
      </c>
      <c r="AL1891">
        <v>-76.119975999999994</v>
      </c>
      <c r="AM1891">
        <v>25</v>
      </c>
      <c r="AN1891">
        <v>2925</v>
      </c>
      <c r="AO1891" t="s">
        <v>118</v>
      </c>
      <c r="AP1891">
        <v>-80</v>
      </c>
      <c r="AQ1891">
        <v>-118</v>
      </c>
      <c r="AR1891">
        <v>0</v>
      </c>
      <c r="AZ1891">
        <v>4516</v>
      </c>
      <c r="BA1891">
        <v>1</v>
      </c>
      <c r="BB1891" t="str">
        <f t="shared" si="182"/>
        <v xml:space="preserve">N79NX   </v>
      </c>
      <c r="BC1891">
        <v>1</v>
      </c>
      <c r="BE1891">
        <v>0</v>
      </c>
      <c r="BF1891">
        <v>0</v>
      </c>
      <c r="BG1891">
        <v>0</v>
      </c>
      <c r="BH1891">
        <v>2800</v>
      </c>
      <c r="BI1891">
        <v>0</v>
      </c>
      <c r="BJ1891">
        <v>0</v>
      </c>
      <c r="BK1891">
        <v>0</v>
      </c>
      <c r="BL1891">
        <v>0</v>
      </c>
      <c r="BO1891">
        <v>0</v>
      </c>
      <c r="BP1891">
        <v>0</v>
      </c>
      <c r="BW1891" t="str">
        <f>"18:56:05.435"</f>
        <v>18:56:05.435</v>
      </c>
      <c r="BZ1891">
        <v>0</v>
      </c>
      <c r="CA1891">
        <v>1312</v>
      </c>
      <c r="CB1891">
        <v>216</v>
      </c>
      <c r="CC1891">
        <v>593.4375</v>
      </c>
      <c r="CD1891">
        <v>1</v>
      </c>
      <c r="CE1891">
        <v>1</v>
      </c>
      <c r="CF1891">
        <v>0</v>
      </c>
      <c r="CG1891">
        <v>1</v>
      </c>
      <c r="CH1891">
        <v>0</v>
      </c>
      <c r="CI1891">
        <v>0</v>
      </c>
      <c r="CJ1891">
        <v>0</v>
      </c>
      <c r="CK1891">
        <v>2</v>
      </c>
      <c r="CL1891">
        <v>0</v>
      </c>
      <c r="CM1891">
        <v>2</v>
      </c>
      <c r="CN1891">
        <v>0</v>
      </c>
      <c r="CO1891">
        <v>2</v>
      </c>
      <c r="CP1891" t="s">
        <v>119</v>
      </c>
      <c r="CQ1891">
        <v>70</v>
      </c>
      <c r="CR1891">
        <v>1</v>
      </c>
      <c r="CW1891">
        <v>3683807</v>
      </c>
      <c r="CY1891">
        <v>0</v>
      </c>
      <c r="CZ1891">
        <v>0</v>
      </c>
      <c r="DA1891">
        <v>1</v>
      </c>
      <c r="DB1891">
        <v>0</v>
      </c>
      <c r="DC1891">
        <v>0</v>
      </c>
      <c r="DD1891">
        <v>0</v>
      </c>
      <c r="DE1891">
        <v>0</v>
      </c>
      <c r="DF1891">
        <v>0</v>
      </c>
      <c r="DG1891">
        <v>0</v>
      </c>
      <c r="DH1891">
        <v>0</v>
      </c>
      <c r="DI1891">
        <v>0</v>
      </c>
    </row>
    <row r="1892" spans="1:113" x14ac:dyDescent="0.3">
      <c r="A1892" t="str">
        <f>"02/13/2022 18:56:05.795"</f>
        <v>02/13/2022 18:56:05.795</v>
      </c>
      <c r="C1892" t="str">
        <f t="shared" si="181"/>
        <v>FFDFD7C0</v>
      </c>
      <c r="D1892" t="s">
        <v>113</v>
      </c>
      <c r="E1892">
        <v>4</v>
      </c>
      <c r="F1892">
        <v>1004</v>
      </c>
      <c r="G1892" t="s">
        <v>120</v>
      </c>
      <c r="J1892" t="s">
        <v>115</v>
      </c>
      <c r="K1892">
        <v>0</v>
      </c>
      <c r="L1892">
        <v>3</v>
      </c>
      <c r="M1892">
        <v>0</v>
      </c>
      <c r="N1892">
        <v>2</v>
      </c>
      <c r="O1892">
        <v>1</v>
      </c>
      <c r="P1892">
        <v>0</v>
      </c>
      <c r="Q1892">
        <v>0</v>
      </c>
      <c r="S1892" t="str">
        <f>"18:56:05.430"</f>
        <v>18:56:05.430</v>
      </c>
      <c r="T1892" t="str">
        <f>"18:56:05.030"</f>
        <v>18:56:05.030</v>
      </c>
      <c r="U1892" t="str">
        <f t="shared" si="183"/>
        <v>AAB6EE</v>
      </c>
      <c r="V1892">
        <v>0</v>
      </c>
      <c r="W1892">
        <v>0</v>
      </c>
      <c r="X1892">
        <v>4</v>
      </c>
      <c r="Z1892">
        <v>0</v>
      </c>
      <c r="AA1892">
        <v>8</v>
      </c>
      <c r="AB1892">
        <v>3</v>
      </c>
      <c r="AC1892">
        <v>0</v>
      </c>
      <c r="AD1892">
        <v>10</v>
      </c>
      <c r="AE1892">
        <v>0</v>
      </c>
      <c r="AF1892">
        <v>0</v>
      </c>
      <c r="AG1892">
        <v>2</v>
      </c>
      <c r="AH1892">
        <v>1</v>
      </c>
      <c r="AI1892" t="s">
        <v>1385</v>
      </c>
      <c r="AJ1892">
        <v>34.883350999999998</v>
      </c>
      <c r="AK1892" t="s">
        <v>1386</v>
      </c>
      <c r="AL1892">
        <v>-76.119975999999994</v>
      </c>
      <c r="AM1892">
        <v>25</v>
      </c>
      <c r="AN1892">
        <v>2925</v>
      </c>
      <c r="AO1892" t="s">
        <v>118</v>
      </c>
      <c r="AP1892">
        <v>-80</v>
      </c>
      <c r="AQ1892">
        <v>-118</v>
      </c>
      <c r="AR1892">
        <v>0</v>
      </c>
      <c r="AZ1892">
        <v>4516</v>
      </c>
      <c r="BA1892">
        <v>1</v>
      </c>
      <c r="BB1892" t="str">
        <f t="shared" si="182"/>
        <v xml:space="preserve">N79NX   </v>
      </c>
      <c r="BC1892">
        <v>1</v>
      </c>
      <c r="BE1892">
        <v>0</v>
      </c>
      <c r="BF1892">
        <v>0</v>
      </c>
      <c r="BG1892">
        <v>0</v>
      </c>
      <c r="BH1892">
        <v>2800</v>
      </c>
      <c r="BI1892">
        <v>0</v>
      </c>
      <c r="BJ1892">
        <v>0</v>
      </c>
      <c r="BK1892">
        <v>0</v>
      </c>
      <c r="BL1892">
        <v>0</v>
      </c>
      <c r="BO1892">
        <v>0</v>
      </c>
      <c r="BP1892">
        <v>0</v>
      </c>
      <c r="BW1892" t="str">
        <f>"18:56:05.435"</f>
        <v>18:56:05.435</v>
      </c>
      <c r="BZ1892">
        <v>0</v>
      </c>
      <c r="CA1892">
        <v>1312</v>
      </c>
      <c r="CB1892">
        <v>216</v>
      </c>
      <c r="CC1892">
        <v>593.4375</v>
      </c>
      <c r="CD1892">
        <v>1</v>
      </c>
      <c r="CE1892">
        <v>1</v>
      </c>
      <c r="CF1892">
        <v>0</v>
      </c>
      <c r="CG1892">
        <v>1</v>
      </c>
      <c r="CH1892">
        <v>0</v>
      </c>
      <c r="CI1892">
        <v>0</v>
      </c>
      <c r="CJ1892">
        <v>0</v>
      </c>
      <c r="CK1892">
        <v>2</v>
      </c>
      <c r="CL1892">
        <v>0</v>
      </c>
      <c r="CM1892">
        <v>2</v>
      </c>
      <c r="CN1892">
        <v>0</v>
      </c>
      <c r="CO1892">
        <v>2</v>
      </c>
      <c r="CP1892" t="s">
        <v>119</v>
      </c>
      <c r="CQ1892">
        <v>70</v>
      </c>
      <c r="CR1892">
        <v>1</v>
      </c>
      <c r="CW1892">
        <v>3683807</v>
      </c>
      <c r="CY1892">
        <v>0</v>
      </c>
      <c r="CZ1892">
        <v>0</v>
      </c>
      <c r="DA1892">
        <v>1</v>
      </c>
      <c r="DB1892">
        <v>0</v>
      </c>
      <c r="DC1892">
        <v>0</v>
      </c>
      <c r="DD1892">
        <v>0</v>
      </c>
      <c r="DE1892">
        <v>0</v>
      </c>
      <c r="DF1892">
        <v>0</v>
      </c>
      <c r="DG1892">
        <v>0</v>
      </c>
      <c r="DH1892">
        <v>0</v>
      </c>
      <c r="DI1892">
        <v>0</v>
      </c>
    </row>
    <row r="1893" spans="1:113" x14ac:dyDescent="0.3">
      <c r="A1893" t="str">
        <f>"02/13/2022 18:56:06.545"</f>
        <v>02/13/2022 18:56:06.545</v>
      </c>
      <c r="C1893" t="str">
        <f t="shared" si="181"/>
        <v>FFDFD7C0</v>
      </c>
      <c r="D1893" t="s">
        <v>113</v>
      </c>
      <c r="E1893">
        <v>3</v>
      </c>
      <c r="F1893">
        <v>1003</v>
      </c>
      <c r="G1893" t="s">
        <v>114</v>
      </c>
      <c r="J1893" t="s">
        <v>115</v>
      </c>
      <c r="K1893">
        <v>0</v>
      </c>
      <c r="L1893">
        <v>3</v>
      </c>
      <c r="M1893">
        <v>0</v>
      </c>
      <c r="N1893">
        <v>2</v>
      </c>
      <c r="O1893">
        <v>1</v>
      </c>
      <c r="P1893">
        <v>0</v>
      </c>
      <c r="Q1893">
        <v>0</v>
      </c>
      <c r="S1893" t="str">
        <f>"18:56:06.359"</f>
        <v>18:56:06.359</v>
      </c>
      <c r="T1893" t="str">
        <f>"18:56:05.959"</f>
        <v>18:56:05.959</v>
      </c>
      <c r="U1893" t="str">
        <f t="shared" si="183"/>
        <v>AAB6EE</v>
      </c>
      <c r="V1893">
        <v>0</v>
      </c>
      <c r="W1893">
        <v>0</v>
      </c>
      <c r="X1893">
        <v>4</v>
      </c>
      <c r="Z1893">
        <v>0</v>
      </c>
      <c r="AA1893">
        <v>8</v>
      </c>
      <c r="AB1893">
        <v>3</v>
      </c>
      <c r="AC1893">
        <v>0</v>
      </c>
      <c r="AD1893">
        <v>10</v>
      </c>
      <c r="AE1893">
        <v>0</v>
      </c>
      <c r="AF1893">
        <v>0</v>
      </c>
      <c r="AG1893">
        <v>2</v>
      </c>
      <c r="AH1893">
        <v>1</v>
      </c>
      <c r="AI1893" t="s">
        <v>1387</v>
      </c>
      <c r="AJ1893">
        <v>34.882879000000003</v>
      </c>
      <c r="AK1893" t="s">
        <v>1388</v>
      </c>
      <c r="AL1893">
        <v>-76.120340999999996</v>
      </c>
      <c r="AM1893">
        <v>25</v>
      </c>
      <c r="AN1893">
        <v>2925</v>
      </c>
      <c r="AO1893" t="s">
        <v>118</v>
      </c>
      <c r="AP1893">
        <v>-81</v>
      </c>
      <c r="AQ1893">
        <v>-117</v>
      </c>
      <c r="AR1893">
        <v>0</v>
      </c>
      <c r="AZ1893">
        <v>4516</v>
      </c>
      <c r="BA1893">
        <v>1</v>
      </c>
      <c r="BB1893" t="str">
        <f t="shared" si="182"/>
        <v xml:space="preserve">N79NX   </v>
      </c>
      <c r="BC1893">
        <v>1</v>
      </c>
      <c r="BE1893">
        <v>0</v>
      </c>
      <c r="BF1893">
        <v>0</v>
      </c>
      <c r="BG1893">
        <v>0</v>
      </c>
      <c r="BH1893">
        <v>2800</v>
      </c>
      <c r="BI1893">
        <v>0</v>
      </c>
      <c r="BJ1893">
        <v>0</v>
      </c>
      <c r="BK1893">
        <v>0</v>
      </c>
      <c r="BL1893">
        <v>0</v>
      </c>
      <c r="BO1893">
        <v>0</v>
      </c>
      <c r="BP1893">
        <v>0</v>
      </c>
      <c r="BW1893" t="str">
        <f>"18:56:06.365"</f>
        <v>18:56:06.365</v>
      </c>
      <c r="BZ1893">
        <v>0</v>
      </c>
      <c r="CA1893">
        <v>1312</v>
      </c>
      <c r="CB1893">
        <v>216</v>
      </c>
      <c r="CC1893">
        <v>593.4375</v>
      </c>
      <c r="CD1893">
        <v>1</v>
      </c>
      <c r="CE1893">
        <v>1</v>
      </c>
      <c r="CF1893">
        <v>0</v>
      </c>
      <c r="CG1893">
        <v>1</v>
      </c>
      <c r="CH1893">
        <v>0</v>
      </c>
      <c r="CI1893">
        <v>0</v>
      </c>
      <c r="CJ1893">
        <v>0</v>
      </c>
      <c r="CK1893">
        <v>2</v>
      </c>
      <c r="CL1893">
        <v>0</v>
      </c>
      <c r="CM1893">
        <v>2</v>
      </c>
      <c r="CN1893">
        <v>0</v>
      </c>
      <c r="CO1893">
        <v>1</v>
      </c>
      <c r="CP1893" t="s">
        <v>119</v>
      </c>
      <c r="CQ1893">
        <v>70</v>
      </c>
      <c r="CR1893">
        <v>1</v>
      </c>
      <c r="CW1893">
        <v>3684577</v>
      </c>
      <c r="CY1893">
        <v>0</v>
      </c>
      <c r="CZ1893">
        <v>0</v>
      </c>
      <c r="DA1893">
        <v>0</v>
      </c>
      <c r="DB1893">
        <v>0</v>
      </c>
      <c r="DC1893">
        <v>0</v>
      </c>
      <c r="DD1893">
        <v>0</v>
      </c>
      <c r="DE1893">
        <v>0</v>
      </c>
      <c r="DF1893">
        <v>0</v>
      </c>
      <c r="DG1893">
        <v>0</v>
      </c>
      <c r="DH1893">
        <v>0</v>
      </c>
      <c r="DI1893">
        <v>0</v>
      </c>
    </row>
    <row r="1894" spans="1:113" x14ac:dyDescent="0.3">
      <c r="A1894" t="str">
        <f>"02/13/2022 18:56:06.545"</f>
        <v>02/13/2022 18:56:06.545</v>
      </c>
      <c r="C1894" t="str">
        <f t="shared" si="181"/>
        <v>FFDFD7C0</v>
      </c>
      <c r="D1894" t="s">
        <v>113</v>
      </c>
      <c r="E1894">
        <v>4</v>
      </c>
      <c r="F1894">
        <v>1004</v>
      </c>
      <c r="G1894" t="s">
        <v>120</v>
      </c>
      <c r="J1894" t="s">
        <v>115</v>
      </c>
      <c r="K1894">
        <v>0</v>
      </c>
      <c r="L1894">
        <v>3</v>
      </c>
      <c r="M1894">
        <v>0</v>
      </c>
      <c r="N1894">
        <v>2</v>
      </c>
      <c r="O1894">
        <v>1</v>
      </c>
      <c r="P1894">
        <v>0</v>
      </c>
      <c r="Q1894">
        <v>0</v>
      </c>
      <c r="S1894" t="str">
        <f>"18:56:06.359"</f>
        <v>18:56:06.359</v>
      </c>
      <c r="T1894" t="str">
        <f>"18:56:05.959"</f>
        <v>18:56:05.959</v>
      </c>
      <c r="U1894" t="str">
        <f t="shared" si="183"/>
        <v>AAB6EE</v>
      </c>
      <c r="V1894">
        <v>0</v>
      </c>
      <c r="W1894">
        <v>0</v>
      </c>
      <c r="X1894">
        <v>4</v>
      </c>
      <c r="Z1894">
        <v>0</v>
      </c>
      <c r="AA1894">
        <v>8</v>
      </c>
      <c r="AB1894">
        <v>3</v>
      </c>
      <c r="AC1894">
        <v>0</v>
      </c>
      <c r="AD1894">
        <v>10</v>
      </c>
      <c r="AE1894">
        <v>0</v>
      </c>
      <c r="AF1894">
        <v>0</v>
      </c>
      <c r="AG1894">
        <v>2</v>
      </c>
      <c r="AH1894">
        <v>1</v>
      </c>
      <c r="AI1894" t="s">
        <v>1387</v>
      </c>
      <c r="AJ1894">
        <v>34.882879000000003</v>
      </c>
      <c r="AK1894" t="s">
        <v>1388</v>
      </c>
      <c r="AL1894">
        <v>-76.120340999999996</v>
      </c>
      <c r="AM1894">
        <v>25</v>
      </c>
      <c r="AN1894">
        <v>2925</v>
      </c>
      <c r="AO1894" t="s">
        <v>118</v>
      </c>
      <c r="AP1894">
        <v>-81</v>
      </c>
      <c r="AQ1894">
        <v>-117</v>
      </c>
      <c r="AR1894">
        <v>0</v>
      </c>
      <c r="AZ1894">
        <v>4516</v>
      </c>
      <c r="BA1894">
        <v>1</v>
      </c>
      <c r="BB1894" t="str">
        <f t="shared" si="182"/>
        <v xml:space="preserve">N79NX   </v>
      </c>
      <c r="BC1894">
        <v>1</v>
      </c>
      <c r="BE1894">
        <v>0</v>
      </c>
      <c r="BF1894">
        <v>0</v>
      </c>
      <c r="BG1894">
        <v>0</v>
      </c>
      <c r="BH1894">
        <v>2800</v>
      </c>
      <c r="BI1894">
        <v>0</v>
      </c>
      <c r="BJ1894">
        <v>0</v>
      </c>
      <c r="BK1894">
        <v>0</v>
      </c>
      <c r="BL1894">
        <v>0</v>
      </c>
      <c r="BO1894">
        <v>0</v>
      </c>
      <c r="BP1894">
        <v>0</v>
      </c>
      <c r="BW1894" t="str">
        <f>"18:56:06.365"</f>
        <v>18:56:06.365</v>
      </c>
      <c r="BZ1894">
        <v>0</v>
      </c>
      <c r="CA1894">
        <v>1312</v>
      </c>
      <c r="CB1894">
        <v>216</v>
      </c>
      <c r="CC1894">
        <v>593.4375</v>
      </c>
      <c r="CD1894">
        <v>1</v>
      </c>
      <c r="CE1894">
        <v>1</v>
      </c>
      <c r="CF1894">
        <v>0</v>
      </c>
      <c r="CG1894">
        <v>1</v>
      </c>
      <c r="CH1894">
        <v>0</v>
      </c>
      <c r="CI1894">
        <v>0</v>
      </c>
      <c r="CJ1894">
        <v>0</v>
      </c>
      <c r="CK1894">
        <v>2</v>
      </c>
      <c r="CL1894">
        <v>0</v>
      </c>
      <c r="CM1894">
        <v>2</v>
      </c>
      <c r="CN1894">
        <v>0</v>
      </c>
      <c r="CO1894">
        <v>1</v>
      </c>
      <c r="CP1894" t="s">
        <v>119</v>
      </c>
      <c r="CQ1894">
        <v>70</v>
      </c>
      <c r="CR1894">
        <v>1</v>
      </c>
      <c r="CW1894">
        <v>3684577</v>
      </c>
      <c r="CY1894">
        <v>0</v>
      </c>
      <c r="CZ1894">
        <v>0</v>
      </c>
      <c r="DA1894">
        <v>1</v>
      </c>
      <c r="DB1894">
        <v>0</v>
      </c>
      <c r="DC1894">
        <v>0</v>
      </c>
      <c r="DD1894">
        <v>0</v>
      </c>
      <c r="DE1894">
        <v>0</v>
      </c>
      <c r="DF1894">
        <v>0</v>
      </c>
      <c r="DG1894">
        <v>0</v>
      </c>
      <c r="DH1894">
        <v>0</v>
      </c>
      <c r="DI1894">
        <v>0</v>
      </c>
    </row>
    <row r="1895" spans="1:113" x14ac:dyDescent="0.3">
      <c r="A1895" t="str">
        <f>"02/13/2022 18:56:06.609"</f>
        <v>02/13/2022 18:56:06.609</v>
      </c>
      <c r="C1895" t="str">
        <f t="shared" si="181"/>
        <v>FFDFD7C0</v>
      </c>
      <c r="D1895" t="s">
        <v>121</v>
      </c>
      <c r="E1895">
        <v>2</v>
      </c>
      <c r="H1895">
        <v>158</v>
      </c>
      <c r="I1895" t="s">
        <v>120</v>
      </c>
      <c r="J1895" t="s">
        <v>122</v>
      </c>
      <c r="K1895">
        <v>0</v>
      </c>
      <c r="L1895">
        <v>3</v>
      </c>
      <c r="M1895">
        <v>0</v>
      </c>
      <c r="N1895">
        <v>2</v>
      </c>
      <c r="O1895">
        <v>1</v>
      </c>
      <c r="P1895">
        <v>0</v>
      </c>
      <c r="Q1895">
        <v>0</v>
      </c>
      <c r="S1895" t="str">
        <f>"18:56:06.359"</f>
        <v>18:56:06.359</v>
      </c>
      <c r="T1895" t="str">
        <f>"18:56:05.959"</f>
        <v>18:56:05.959</v>
      </c>
      <c r="U1895" t="str">
        <f t="shared" si="183"/>
        <v>AAB6EE</v>
      </c>
      <c r="V1895">
        <v>0</v>
      </c>
      <c r="W1895">
        <v>0</v>
      </c>
      <c r="X1895">
        <v>4</v>
      </c>
      <c r="Z1895">
        <v>0</v>
      </c>
      <c r="AA1895">
        <v>8</v>
      </c>
      <c r="AB1895">
        <v>3</v>
      </c>
      <c r="AC1895">
        <v>0</v>
      </c>
      <c r="AD1895">
        <v>10</v>
      </c>
      <c r="AE1895">
        <v>0</v>
      </c>
      <c r="AF1895">
        <v>0</v>
      </c>
      <c r="AG1895">
        <v>2</v>
      </c>
      <c r="AH1895">
        <v>1</v>
      </c>
      <c r="AI1895" t="s">
        <v>1387</v>
      </c>
      <c r="AJ1895">
        <v>34.882879000000003</v>
      </c>
      <c r="AK1895" t="s">
        <v>1388</v>
      </c>
      <c r="AL1895">
        <v>-76.120340999999996</v>
      </c>
      <c r="AM1895">
        <v>25</v>
      </c>
      <c r="AN1895">
        <v>2925</v>
      </c>
      <c r="AO1895" t="s">
        <v>118</v>
      </c>
      <c r="AP1895">
        <v>-81</v>
      </c>
      <c r="AQ1895">
        <v>-117</v>
      </c>
      <c r="AR1895">
        <v>0</v>
      </c>
      <c r="AZ1895">
        <v>4516</v>
      </c>
      <c r="BA1895">
        <v>1</v>
      </c>
      <c r="BB1895" t="str">
        <f t="shared" si="182"/>
        <v xml:space="preserve">N79NX   </v>
      </c>
      <c r="BC1895">
        <v>1</v>
      </c>
      <c r="BE1895">
        <v>0</v>
      </c>
      <c r="BF1895">
        <v>0</v>
      </c>
      <c r="BG1895">
        <v>0</v>
      </c>
      <c r="BH1895">
        <v>2800</v>
      </c>
      <c r="BI1895">
        <v>0</v>
      </c>
      <c r="BJ1895">
        <v>0</v>
      </c>
      <c r="BK1895">
        <v>0</v>
      </c>
      <c r="BL1895">
        <v>0</v>
      </c>
      <c r="BO1895">
        <v>0</v>
      </c>
      <c r="BP1895">
        <v>0</v>
      </c>
      <c r="BW1895" t="str">
        <f>"18:56:06.365"</f>
        <v>18:56:06.365</v>
      </c>
      <c r="BZ1895">
        <v>0</v>
      </c>
      <c r="CA1895">
        <v>1312</v>
      </c>
      <c r="CB1895">
        <v>216</v>
      </c>
      <c r="CC1895">
        <v>593.4375</v>
      </c>
      <c r="CD1895">
        <v>1</v>
      </c>
      <c r="CE1895">
        <v>1</v>
      </c>
      <c r="CF1895">
        <v>0</v>
      </c>
      <c r="CG1895">
        <v>1</v>
      </c>
      <c r="CH1895">
        <v>0</v>
      </c>
      <c r="CI1895">
        <v>0</v>
      </c>
      <c r="CJ1895">
        <v>0</v>
      </c>
      <c r="CK1895">
        <v>2</v>
      </c>
      <c r="CL1895">
        <v>0</v>
      </c>
      <c r="CM1895">
        <v>2</v>
      </c>
      <c r="CN1895">
        <v>0</v>
      </c>
      <c r="CO1895">
        <v>1</v>
      </c>
      <c r="CP1895" t="s">
        <v>119</v>
      </c>
      <c r="CQ1895">
        <v>70</v>
      </c>
      <c r="CR1895">
        <v>1</v>
      </c>
      <c r="CW1895">
        <v>3684577</v>
      </c>
      <c r="CY1895">
        <v>0</v>
      </c>
      <c r="CZ1895">
        <v>0</v>
      </c>
      <c r="DA1895">
        <v>1</v>
      </c>
      <c r="DB1895">
        <v>0</v>
      </c>
      <c r="DC1895">
        <v>0</v>
      </c>
      <c r="DD1895">
        <v>0</v>
      </c>
      <c r="DE1895">
        <v>0</v>
      </c>
      <c r="DF1895">
        <v>0</v>
      </c>
      <c r="DG1895">
        <v>0</v>
      </c>
      <c r="DH1895">
        <v>0</v>
      </c>
      <c r="DI1895">
        <v>0</v>
      </c>
    </row>
    <row r="1896" spans="1:113" x14ac:dyDescent="0.3">
      <c r="A1896" t="str">
        <f>"02/13/2022 18:56:07.562"</f>
        <v>02/13/2022 18:56:07.562</v>
      </c>
      <c r="C1896" t="str">
        <f t="shared" si="181"/>
        <v>FFDFD7C0</v>
      </c>
      <c r="D1896" t="s">
        <v>121</v>
      </c>
      <c r="E1896">
        <v>2</v>
      </c>
      <c r="H1896">
        <v>158</v>
      </c>
      <c r="I1896" t="s">
        <v>120</v>
      </c>
      <c r="J1896" t="s">
        <v>122</v>
      </c>
      <c r="K1896">
        <v>0</v>
      </c>
      <c r="L1896">
        <v>3</v>
      </c>
      <c r="M1896">
        <v>0</v>
      </c>
      <c r="N1896">
        <v>2</v>
      </c>
      <c r="O1896">
        <v>1</v>
      </c>
      <c r="P1896">
        <v>0</v>
      </c>
      <c r="Q1896">
        <v>0</v>
      </c>
      <c r="S1896" t="str">
        <f t="shared" ref="S1896:T1898" si="186">"18:56:07.305"</f>
        <v>18:56:07.305</v>
      </c>
      <c r="T1896" t="str">
        <f t="shared" si="186"/>
        <v>18:56:07.305</v>
      </c>
      <c r="U1896" t="str">
        <f t="shared" si="183"/>
        <v>AAB6EE</v>
      </c>
      <c r="V1896">
        <v>0</v>
      </c>
      <c r="W1896">
        <v>0</v>
      </c>
      <c r="X1896">
        <v>4</v>
      </c>
      <c r="Z1896">
        <v>0</v>
      </c>
      <c r="AA1896">
        <v>8</v>
      </c>
      <c r="AB1896">
        <v>3</v>
      </c>
      <c r="AC1896">
        <v>0</v>
      </c>
      <c r="AD1896">
        <v>10</v>
      </c>
      <c r="AE1896">
        <v>0</v>
      </c>
      <c r="AF1896">
        <v>0</v>
      </c>
      <c r="AG1896">
        <v>2</v>
      </c>
      <c r="AH1896">
        <v>1</v>
      </c>
      <c r="AI1896" t="s">
        <v>1389</v>
      </c>
      <c r="AJ1896">
        <v>34.882385999999997</v>
      </c>
      <c r="AK1896" t="s">
        <v>1390</v>
      </c>
      <c r="AL1896">
        <v>-76.120769999999993</v>
      </c>
      <c r="AM1896">
        <v>25</v>
      </c>
      <c r="AN1896">
        <v>2925</v>
      </c>
      <c r="AO1896" t="s">
        <v>118</v>
      </c>
      <c r="AP1896">
        <v>-81</v>
      </c>
      <c r="AQ1896">
        <v>-117</v>
      </c>
      <c r="AR1896">
        <v>-64</v>
      </c>
      <c r="AZ1896">
        <v>4516</v>
      </c>
      <c r="BA1896">
        <v>1</v>
      </c>
      <c r="BB1896" t="str">
        <f t="shared" si="182"/>
        <v xml:space="preserve">N79NX   </v>
      </c>
      <c r="BC1896">
        <v>1</v>
      </c>
      <c r="BE1896">
        <v>0</v>
      </c>
      <c r="BF1896">
        <v>0</v>
      </c>
      <c r="BG1896">
        <v>0</v>
      </c>
      <c r="BH1896">
        <v>2800</v>
      </c>
      <c r="BI1896">
        <v>0</v>
      </c>
      <c r="BJ1896">
        <v>0</v>
      </c>
      <c r="BK1896">
        <v>0</v>
      </c>
      <c r="BL1896">
        <v>0</v>
      </c>
      <c r="BO1896">
        <v>0</v>
      </c>
      <c r="BP1896">
        <v>0</v>
      </c>
      <c r="BW1896" t="str">
        <f>"18:56:07.305"</f>
        <v>18:56:07.305</v>
      </c>
      <c r="BZ1896">
        <v>0</v>
      </c>
      <c r="CA1896">
        <v>1600</v>
      </c>
      <c r="CB1896">
        <v>216</v>
      </c>
      <c r="CC1896">
        <v>593.4375</v>
      </c>
      <c r="CD1896">
        <v>1</v>
      </c>
      <c r="CE1896">
        <v>1</v>
      </c>
      <c r="CF1896">
        <v>0</v>
      </c>
      <c r="CG1896">
        <v>1</v>
      </c>
      <c r="CH1896">
        <v>0</v>
      </c>
      <c r="CI1896">
        <v>0</v>
      </c>
      <c r="CJ1896">
        <v>0</v>
      </c>
      <c r="CK1896">
        <v>2</v>
      </c>
      <c r="CL1896">
        <v>0</v>
      </c>
      <c r="CM1896">
        <v>2</v>
      </c>
      <c r="CN1896">
        <v>0</v>
      </c>
      <c r="CO1896">
        <v>2</v>
      </c>
      <c r="CP1896" t="s">
        <v>119</v>
      </c>
      <c r="CQ1896">
        <v>70</v>
      </c>
      <c r="CR1896">
        <v>1</v>
      </c>
      <c r="CW1896">
        <v>3685366</v>
      </c>
      <c r="CY1896">
        <v>0</v>
      </c>
      <c r="CZ1896">
        <v>0</v>
      </c>
      <c r="DA1896">
        <v>0</v>
      </c>
      <c r="DB1896">
        <v>0</v>
      </c>
      <c r="DC1896">
        <v>0</v>
      </c>
      <c r="DD1896">
        <v>0</v>
      </c>
      <c r="DE1896">
        <v>0</v>
      </c>
      <c r="DF1896">
        <v>0</v>
      </c>
      <c r="DG1896">
        <v>0</v>
      </c>
      <c r="DH1896">
        <v>0</v>
      </c>
      <c r="DI1896">
        <v>0</v>
      </c>
    </row>
    <row r="1897" spans="1:113" x14ac:dyDescent="0.3">
      <c r="A1897" t="str">
        <f>"02/13/2022 18:56:07.562"</f>
        <v>02/13/2022 18:56:07.562</v>
      </c>
      <c r="C1897" t="str">
        <f t="shared" si="181"/>
        <v>FFDFD7C0</v>
      </c>
      <c r="D1897" t="s">
        <v>113</v>
      </c>
      <c r="E1897">
        <v>3</v>
      </c>
      <c r="F1897">
        <v>1003</v>
      </c>
      <c r="G1897" t="s">
        <v>114</v>
      </c>
      <c r="J1897" t="s">
        <v>115</v>
      </c>
      <c r="K1897">
        <v>0</v>
      </c>
      <c r="L1897">
        <v>3</v>
      </c>
      <c r="M1897">
        <v>0</v>
      </c>
      <c r="N1897">
        <v>2</v>
      </c>
      <c r="O1897">
        <v>1</v>
      </c>
      <c r="P1897">
        <v>0</v>
      </c>
      <c r="Q1897">
        <v>0</v>
      </c>
      <c r="S1897" t="str">
        <f t="shared" si="186"/>
        <v>18:56:07.305</v>
      </c>
      <c r="T1897" t="str">
        <f t="shared" si="186"/>
        <v>18:56:07.305</v>
      </c>
      <c r="U1897" t="str">
        <f t="shared" si="183"/>
        <v>AAB6EE</v>
      </c>
      <c r="V1897">
        <v>0</v>
      </c>
      <c r="W1897">
        <v>0</v>
      </c>
      <c r="X1897">
        <v>4</v>
      </c>
      <c r="Z1897">
        <v>0</v>
      </c>
      <c r="AA1897">
        <v>8</v>
      </c>
      <c r="AB1897">
        <v>3</v>
      </c>
      <c r="AC1897">
        <v>0</v>
      </c>
      <c r="AD1897">
        <v>10</v>
      </c>
      <c r="AE1897">
        <v>0</v>
      </c>
      <c r="AF1897">
        <v>0</v>
      </c>
      <c r="AG1897">
        <v>2</v>
      </c>
      <c r="AH1897">
        <v>1</v>
      </c>
      <c r="AI1897" t="s">
        <v>1389</v>
      </c>
      <c r="AJ1897">
        <v>34.882385999999997</v>
      </c>
      <c r="AK1897" t="s">
        <v>1390</v>
      </c>
      <c r="AL1897">
        <v>-76.120769999999993</v>
      </c>
      <c r="AM1897">
        <v>25</v>
      </c>
      <c r="AN1897">
        <v>2925</v>
      </c>
      <c r="AO1897" t="s">
        <v>118</v>
      </c>
      <c r="AP1897">
        <v>-81</v>
      </c>
      <c r="AQ1897">
        <v>-117</v>
      </c>
      <c r="AR1897">
        <v>-64</v>
      </c>
      <c r="AZ1897">
        <v>4516</v>
      </c>
      <c r="BA1897">
        <v>1</v>
      </c>
      <c r="BB1897" t="str">
        <f t="shared" si="182"/>
        <v xml:space="preserve">N79NX   </v>
      </c>
      <c r="BC1897">
        <v>1</v>
      </c>
      <c r="BE1897">
        <v>0</v>
      </c>
      <c r="BF1897">
        <v>0</v>
      </c>
      <c r="BG1897">
        <v>0</v>
      </c>
      <c r="BH1897">
        <v>2800</v>
      </c>
      <c r="BI1897">
        <v>0</v>
      </c>
      <c r="BJ1897">
        <v>0</v>
      </c>
      <c r="BK1897">
        <v>0</v>
      </c>
      <c r="BL1897">
        <v>0</v>
      </c>
      <c r="BO1897">
        <v>0</v>
      </c>
      <c r="BP1897">
        <v>0</v>
      </c>
      <c r="BW1897" t="str">
        <f>"18:56:07.305"</f>
        <v>18:56:07.305</v>
      </c>
      <c r="BZ1897">
        <v>0</v>
      </c>
      <c r="CA1897">
        <v>1600</v>
      </c>
      <c r="CB1897">
        <v>216</v>
      </c>
      <c r="CC1897">
        <v>593.4375</v>
      </c>
      <c r="CD1897">
        <v>1</v>
      </c>
      <c r="CE1897">
        <v>1</v>
      </c>
      <c r="CF1897">
        <v>0</v>
      </c>
      <c r="CG1897">
        <v>1</v>
      </c>
      <c r="CH1897">
        <v>0</v>
      </c>
      <c r="CI1897">
        <v>0</v>
      </c>
      <c r="CJ1897">
        <v>0</v>
      </c>
      <c r="CK1897">
        <v>2</v>
      </c>
      <c r="CL1897">
        <v>0</v>
      </c>
      <c r="CM1897">
        <v>2</v>
      </c>
      <c r="CN1897">
        <v>0</v>
      </c>
      <c r="CO1897">
        <v>2</v>
      </c>
      <c r="CP1897" t="s">
        <v>119</v>
      </c>
      <c r="CQ1897">
        <v>70</v>
      </c>
      <c r="CR1897">
        <v>1</v>
      </c>
      <c r="CW1897">
        <v>3685366</v>
      </c>
      <c r="CY1897">
        <v>0</v>
      </c>
      <c r="CZ1897">
        <v>0</v>
      </c>
      <c r="DA1897">
        <v>1</v>
      </c>
      <c r="DB1897">
        <v>0</v>
      </c>
      <c r="DC1897">
        <v>0</v>
      </c>
      <c r="DD1897">
        <v>0</v>
      </c>
      <c r="DE1897">
        <v>0</v>
      </c>
      <c r="DF1897">
        <v>0</v>
      </c>
      <c r="DG1897">
        <v>0</v>
      </c>
      <c r="DH1897">
        <v>0</v>
      </c>
      <c r="DI1897">
        <v>0</v>
      </c>
    </row>
    <row r="1898" spans="1:113" x14ac:dyDescent="0.3">
      <c r="A1898" t="str">
        <f>"02/13/2022 18:56:07.562"</f>
        <v>02/13/2022 18:56:07.562</v>
      </c>
      <c r="C1898" t="str">
        <f t="shared" si="181"/>
        <v>FFDFD7C0</v>
      </c>
      <c r="D1898" t="s">
        <v>113</v>
      </c>
      <c r="E1898">
        <v>4</v>
      </c>
      <c r="F1898">
        <v>1004</v>
      </c>
      <c r="G1898" t="s">
        <v>120</v>
      </c>
      <c r="J1898" t="s">
        <v>115</v>
      </c>
      <c r="K1898">
        <v>0</v>
      </c>
      <c r="L1898">
        <v>3</v>
      </c>
      <c r="M1898">
        <v>0</v>
      </c>
      <c r="N1898">
        <v>2</v>
      </c>
      <c r="O1898">
        <v>1</v>
      </c>
      <c r="P1898">
        <v>0</v>
      </c>
      <c r="Q1898">
        <v>0</v>
      </c>
      <c r="S1898" t="str">
        <f t="shared" si="186"/>
        <v>18:56:07.305</v>
      </c>
      <c r="T1898" t="str">
        <f t="shared" si="186"/>
        <v>18:56:07.305</v>
      </c>
      <c r="U1898" t="str">
        <f t="shared" si="183"/>
        <v>AAB6EE</v>
      </c>
      <c r="V1898">
        <v>0</v>
      </c>
      <c r="W1898">
        <v>0</v>
      </c>
      <c r="X1898">
        <v>4</v>
      </c>
      <c r="Z1898">
        <v>0</v>
      </c>
      <c r="AA1898">
        <v>8</v>
      </c>
      <c r="AB1898">
        <v>3</v>
      </c>
      <c r="AC1898">
        <v>0</v>
      </c>
      <c r="AD1898">
        <v>10</v>
      </c>
      <c r="AE1898">
        <v>0</v>
      </c>
      <c r="AF1898">
        <v>0</v>
      </c>
      <c r="AG1898">
        <v>2</v>
      </c>
      <c r="AH1898">
        <v>1</v>
      </c>
      <c r="AI1898" t="s">
        <v>1389</v>
      </c>
      <c r="AJ1898">
        <v>34.882385999999997</v>
      </c>
      <c r="AK1898" t="s">
        <v>1390</v>
      </c>
      <c r="AL1898">
        <v>-76.120769999999993</v>
      </c>
      <c r="AM1898">
        <v>25</v>
      </c>
      <c r="AN1898">
        <v>2925</v>
      </c>
      <c r="AO1898" t="s">
        <v>118</v>
      </c>
      <c r="AP1898">
        <v>-81</v>
      </c>
      <c r="AQ1898">
        <v>-117</v>
      </c>
      <c r="AR1898">
        <v>-64</v>
      </c>
      <c r="AZ1898">
        <v>4516</v>
      </c>
      <c r="BA1898">
        <v>1</v>
      </c>
      <c r="BB1898" t="str">
        <f t="shared" si="182"/>
        <v xml:space="preserve">N79NX   </v>
      </c>
      <c r="BC1898">
        <v>1</v>
      </c>
      <c r="BE1898">
        <v>0</v>
      </c>
      <c r="BF1898">
        <v>0</v>
      </c>
      <c r="BG1898">
        <v>0</v>
      </c>
      <c r="BH1898">
        <v>2800</v>
      </c>
      <c r="BI1898">
        <v>0</v>
      </c>
      <c r="BJ1898">
        <v>0</v>
      </c>
      <c r="BK1898">
        <v>0</v>
      </c>
      <c r="BL1898">
        <v>0</v>
      </c>
      <c r="BO1898">
        <v>0</v>
      </c>
      <c r="BP1898">
        <v>0</v>
      </c>
      <c r="BW1898" t="str">
        <f>"18:56:07.305"</f>
        <v>18:56:07.305</v>
      </c>
      <c r="BZ1898">
        <v>0</v>
      </c>
      <c r="CA1898">
        <v>1600</v>
      </c>
      <c r="CB1898">
        <v>216</v>
      </c>
      <c r="CC1898">
        <v>593.4375</v>
      </c>
      <c r="CD1898">
        <v>1</v>
      </c>
      <c r="CE1898">
        <v>1</v>
      </c>
      <c r="CF1898">
        <v>0</v>
      </c>
      <c r="CG1898">
        <v>1</v>
      </c>
      <c r="CH1898">
        <v>0</v>
      </c>
      <c r="CI1898">
        <v>0</v>
      </c>
      <c r="CJ1898">
        <v>0</v>
      </c>
      <c r="CK1898">
        <v>2</v>
      </c>
      <c r="CL1898">
        <v>0</v>
      </c>
      <c r="CM1898">
        <v>2</v>
      </c>
      <c r="CN1898">
        <v>0</v>
      </c>
      <c r="CO1898">
        <v>2</v>
      </c>
      <c r="CP1898" t="s">
        <v>119</v>
      </c>
      <c r="CQ1898">
        <v>70</v>
      </c>
      <c r="CR1898">
        <v>1</v>
      </c>
      <c r="CW1898">
        <v>3685366</v>
      </c>
      <c r="CY1898">
        <v>0</v>
      </c>
      <c r="CZ1898">
        <v>0</v>
      </c>
      <c r="DA1898">
        <v>1</v>
      </c>
      <c r="DB1898">
        <v>0</v>
      </c>
      <c r="DC1898">
        <v>0</v>
      </c>
      <c r="DD1898">
        <v>0</v>
      </c>
      <c r="DE1898">
        <v>0</v>
      </c>
      <c r="DF1898">
        <v>0</v>
      </c>
      <c r="DG1898">
        <v>0</v>
      </c>
      <c r="DH1898">
        <v>0</v>
      </c>
      <c r="DI1898">
        <v>0</v>
      </c>
    </row>
    <row r="1899" spans="1:113" x14ac:dyDescent="0.3">
      <c r="A1899" t="str">
        <f>"02/13/2022 18:56:08.375"</f>
        <v>02/13/2022 18:56:08.375</v>
      </c>
      <c r="C1899" t="str">
        <f t="shared" si="181"/>
        <v>FFDFD7C0</v>
      </c>
      <c r="D1899" t="s">
        <v>113</v>
      </c>
      <c r="E1899">
        <v>3</v>
      </c>
      <c r="F1899">
        <v>1003</v>
      </c>
      <c r="G1899" t="s">
        <v>114</v>
      </c>
      <c r="J1899" t="s">
        <v>115</v>
      </c>
      <c r="K1899">
        <v>0</v>
      </c>
      <c r="L1899">
        <v>3</v>
      </c>
      <c r="M1899">
        <v>0</v>
      </c>
      <c r="N1899">
        <v>2</v>
      </c>
      <c r="O1899">
        <v>1</v>
      </c>
      <c r="P1899">
        <v>0</v>
      </c>
      <c r="Q1899">
        <v>0</v>
      </c>
      <c r="S1899" t="str">
        <f>"18:56:08.133"</f>
        <v>18:56:08.133</v>
      </c>
      <c r="T1899" t="str">
        <f>"18:56:07.833"</f>
        <v>18:56:07.833</v>
      </c>
      <c r="U1899" t="str">
        <f t="shared" si="183"/>
        <v>AAB6EE</v>
      </c>
      <c r="V1899">
        <v>0</v>
      </c>
      <c r="W1899">
        <v>0</v>
      </c>
      <c r="X1899">
        <v>4</v>
      </c>
      <c r="Z1899">
        <v>0</v>
      </c>
      <c r="AA1899">
        <v>8</v>
      </c>
      <c r="AB1899">
        <v>3</v>
      </c>
      <c r="AC1899">
        <v>0</v>
      </c>
      <c r="AD1899">
        <v>10</v>
      </c>
      <c r="AE1899">
        <v>0</v>
      </c>
      <c r="AF1899">
        <v>0</v>
      </c>
      <c r="AG1899">
        <v>2</v>
      </c>
      <c r="AH1899">
        <v>1</v>
      </c>
      <c r="AI1899" t="s">
        <v>1391</v>
      </c>
      <c r="AJ1899">
        <v>34.881870999999997</v>
      </c>
      <c r="AK1899" t="s">
        <v>1392</v>
      </c>
      <c r="AL1899">
        <v>-76.121178</v>
      </c>
      <c r="AM1899">
        <v>25</v>
      </c>
      <c r="AN1899">
        <v>2925</v>
      </c>
      <c r="AO1899" t="s">
        <v>118</v>
      </c>
      <c r="AP1899">
        <v>-81</v>
      </c>
      <c r="AQ1899">
        <v>-117</v>
      </c>
      <c r="AR1899">
        <v>0</v>
      </c>
      <c r="AZ1899">
        <v>4516</v>
      </c>
      <c r="BA1899">
        <v>1</v>
      </c>
      <c r="BB1899" t="str">
        <f t="shared" si="182"/>
        <v xml:space="preserve">N79NX   </v>
      </c>
      <c r="BC1899">
        <v>1</v>
      </c>
      <c r="BE1899">
        <v>0</v>
      </c>
      <c r="BF1899">
        <v>0</v>
      </c>
      <c r="BG1899">
        <v>0</v>
      </c>
      <c r="BH1899">
        <v>2800</v>
      </c>
      <c r="BI1899">
        <v>0</v>
      </c>
      <c r="BJ1899">
        <v>0</v>
      </c>
      <c r="BK1899">
        <v>0</v>
      </c>
      <c r="BL1899">
        <v>0</v>
      </c>
      <c r="BO1899">
        <v>0</v>
      </c>
      <c r="BP1899">
        <v>0</v>
      </c>
      <c r="BW1899" t="str">
        <f>"18:56:08.135"</f>
        <v>18:56:08.135</v>
      </c>
      <c r="BZ1899">
        <v>0</v>
      </c>
      <c r="CA1899">
        <v>1600</v>
      </c>
      <c r="CB1899">
        <v>216</v>
      </c>
      <c r="CC1899">
        <v>593.4375</v>
      </c>
      <c r="CD1899">
        <v>1</v>
      </c>
      <c r="CE1899">
        <v>1</v>
      </c>
      <c r="CF1899">
        <v>0</v>
      </c>
      <c r="CG1899">
        <v>1</v>
      </c>
      <c r="CH1899">
        <v>0</v>
      </c>
      <c r="CI1899">
        <v>0</v>
      </c>
      <c r="CJ1899">
        <v>0</v>
      </c>
      <c r="CK1899">
        <v>2</v>
      </c>
      <c r="CL1899">
        <v>0</v>
      </c>
      <c r="CM1899">
        <v>2</v>
      </c>
      <c r="CN1899">
        <v>0</v>
      </c>
      <c r="CO1899">
        <v>1</v>
      </c>
      <c r="CP1899" t="s">
        <v>119</v>
      </c>
      <c r="CQ1899">
        <v>70</v>
      </c>
      <c r="CR1899">
        <v>1</v>
      </c>
      <c r="CW1899">
        <v>3685970</v>
      </c>
      <c r="CY1899">
        <v>0</v>
      </c>
      <c r="CZ1899">
        <v>0</v>
      </c>
      <c r="DA1899">
        <v>0</v>
      </c>
      <c r="DB1899">
        <v>0</v>
      </c>
      <c r="DC1899">
        <v>0</v>
      </c>
      <c r="DD1899">
        <v>0</v>
      </c>
      <c r="DE1899">
        <v>0</v>
      </c>
      <c r="DF1899">
        <v>0</v>
      </c>
      <c r="DG1899">
        <v>0</v>
      </c>
      <c r="DH1899">
        <v>0</v>
      </c>
      <c r="DI1899">
        <v>0</v>
      </c>
    </row>
    <row r="1900" spans="1:113" x14ac:dyDescent="0.3">
      <c r="A1900" t="str">
        <f>"02/13/2022 18:56:08.375"</f>
        <v>02/13/2022 18:56:08.375</v>
      </c>
      <c r="C1900" t="str">
        <f t="shared" si="181"/>
        <v>FFDFD7C0</v>
      </c>
      <c r="D1900" t="s">
        <v>113</v>
      </c>
      <c r="E1900">
        <v>4</v>
      </c>
      <c r="F1900">
        <v>1004</v>
      </c>
      <c r="G1900" t="s">
        <v>120</v>
      </c>
      <c r="J1900" t="s">
        <v>115</v>
      </c>
      <c r="K1900">
        <v>0</v>
      </c>
      <c r="L1900">
        <v>3</v>
      </c>
      <c r="M1900">
        <v>0</v>
      </c>
      <c r="N1900">
        <v>2</v>
      </c>
      <c r="O1900">
        <v>1</v>
      </c>
      <c r="P1900">
        <v>0</v>
      </c>
      <c r="Q1900">
        <v>0</v>
      </c>
      <c r="S1900" t="str">
        <f>"18:56:08.133"</f>
        <v>18:56:08.133</v>
      </c>
      <c r="T1900" t="str">
        <f>"18:56:07.833"</f>
        <v>18:56:07.833</v>
      </c>
      <c r="U1900" t="str">
        <f t="shared" si="183"/>
        <v>AAB6EE</v>
      </c>
      <c r="V1900">
        <v>0</v>
      </c>
      <c r="W1900">
        <v>0</v>
      </c>
      <c r="X1900">
        <v>4</v>
      </c>
      <c r="Z1900">
        <v>0</v>
      </c>
      <c r="AA1900">
        <v>8</v>
      </c>
      <c r="AB1900">
        <v>3</v>
      </c>
      <c r="AC1900">
        <v>0</v>
      </c>
      <c r="AD1900">
        <v>10</v>
      </c>
      <c r="AE1900">
        <v>0</v>
      </c>
      <c r="AF1900">
        <v>0</v>
      </c>
      <c r="AG1900">
        <v>2</v>
      </c>
      <c r="AH1900">
        <v>1</v>
      </c>
      <c r="AI1900" t="s">
        <v>1391</v>
      </c>
      <c r="AJ1900">
        <v>34.881870999999997</v>
      </c>
      <c r="AK1900" t="s">
        <v>1392</v>
      </c>
      <c r="AL1900">
        <v>-76.121178</v>
      </c>
      <c r="AM1900">
        <v>25</v>
      </c>
      <c r="AN1900">
        <v>2925</v>
      </c>
      <c r="AO1900" t="s">
        <v>118</v>
      </c>
      <c r="AP1900">
        <v>-81</v>
      </c>
      <c r="AQ1900">
        <v>-117</v>
      </c>
      <c r="AR1900">
        <v>0</v>
      </c>
      <c r="AZ1900">
        <v>4516</v>
      </c>
      <c r="BA1900">
        <v>1</v>
      </c>
      <c r="BB1900" t="str">
        <f t="shared" si="182"/>
        <v xml:space="preserve">N79NX   </v>
      </c>
      <c r="BC1900">
        <v>1</v>
      </c>
      <c r="BE1900">
        <v>0</v>
      </c>
      <c r="BF1900">
        <v>0</v>
      </c>
      <c r="BG1900">
        <v>0</v>
      </c>
      <c r="BH1900">
        <v>2800</v>
      </c>
      <c r="BI1900">
        <v>0</v>
      </c>
      <c r="BJ1900">
        <v>0</v>
      </c>
      <c r="BK1900">
        <v>0</v>
      </c>
      <c r="BL1900">
        <v>0</v>
      </c>
      <c r="BO1900">
        <v>0</v>
      </c>
      <c r="BP1900">
        <v>0</v>
      </c>
      <c r="BW1900" t="str">
        <f>"18:56:08.135"</f>
        <v>18:56:08.135</v>
      </c>
      <c r="BZ1900">
        <v>0</v>
      </c>
      <c r="CA1900">
        <v>1600</v>
      </c>
      <c r="CB1900">
        <v>216</v>
      </c>
      <c r="CC1900">
        <v>593.4375</v>
      </c>
      <c r="CD1900">
        <v>1</v>
      </c>
      <c r="CE1900">
        <v>1</v>
      </c>
      <c r="CF1900">
        <v>0</v>
      </c>
      <c r="CG1900">
        <v>1</v>
      </c>
      <c r="CH1900">
        <v>0</v>
      </c>
      <c r="CI1900">
        <v>0</v>
      </c>
      <c r="CJ1900">
        <v>0</v>
      </c>
      <c r="CK1900">
        <v>2</v>
      </c>
      <c r="CL1900">
        <v>0</v>
      </c>
      <c r="CM1900">
        <v>2</v>
      </c>
      <c r="CN1900">
        <v>0</v>
      </c>
      <c r="CO1900">
        <v>1</v>
      </c>
      <c r="CP1900" t="s">
        <v>119</v>
      </c>
      <c r="CQ1900">
        <v>70</v>
      </c>
      <c r="CR1900">
        <v>1</v>
      </c>
      <c r="CW1900">
        <v>3685970</v>
      </c>
      <c r="CY1900">
        <v>0</v>
      </c>
      <c r="CZ1900">
        <v>0</v>
      </c>
      <c r="DA1900">
        <v>1</v>
      </c>
      <c r="DB1900">
        <v>0</v>
      </c>
      <c r="DC1900">
        <v>0</v>
      </c>
      <c r="DD1900">
        <v>0</v>
      </c>
      <c r="DE1900">
        <v>0</v>
      </c>
      <c r="DF1900">
        <v>0</v>
      </c>
      <c r="DG1900">
        <v>0</v>
      </c>
      <c r="DH1900">
        <v>0</v>
      </c>
      <c r="DI1900">
        <v>0</v>
      </c>
    </row>
    <row r="1901" spans="1:113" x14ac:dyDescent="0.3">
      <c r="A1901" t="str">
        <f>"02/13/2022 18:56:08.375"</f>
        <v>02/13/2022 18:56:08.375</v>
      </c>
      <c r="C1901" t="str">
        <f t="shared" si="181"/>
        <v>FFDFD7C0</v>
      </c>
      <c r="D1901" t="s">
        <v>121</v>
      </c>
      <c r="E1901">
        <v>2</v>
      </c>
      <c r="H1901">
        <v>158</v>
      </c>
      <c r="I1901" t="s">
        <v>120</v>
      </c>
      <c r="J1901" t="s">
        <v>122</v>
      </c>
      <c r="K1901">
        <v>0</v>
      </c>
      <c r="L1901">
        <v>3</v>
      </c>
      <c r="M1901">
        <v>0</v>
      </c>
      <c r="N1901">
        <v>2</v>
      </c>
      <c r="O1901">
        <v>1</v>
      </c>
      <c r="P1901">
        <v>0</v>
      </c>
      <c r="Q1901">
        <v>0</v>
      </c>
      <c r="S1901" t="str">
        <f>"18:56:08.133"</f>
        <v>18:56:08.133</v>
      </c>
      <c r="T1901" t="str">
        <f>"18:56:07.833"</f>
        <v>18:56:07.833</v>
      </c>
      <c r="U1901" t="str">
        <f t="shared" si="183"/>
        <v>AAB6EE</v>
      </c>
      <c r="V1901">
        <v>0</v>
      </c>
      <c r="W1901">
        <v>0</v>
      </c>
      <c r="X1901">
        <v>4</v>
      </c>
      <c r="Z1901">
        <v>0</v>
      </c>
      <c r="AA1901">
        <v>8</v>
      </c>
      <c r="AB1901">
        <v>3</v>
      </c>
      <c r="AC1901">
        <v>0</v>
      </c>
      <c r="AD1901">
        <v>10</v>
      </c>
      <c r="AE1901">
        <v>0</v>
      </c>
      <c r="AF1901">
        <v>0</v>
      </c>
      <c r="AG1901">
        <v>2</v>
      </c>
      <c r="AH1901">
        <v>1</v>
      </c>
      <c r="AI1901" t="s">
        <v>1391</v>
      </c>
      <c r="AJ1901">
        <v>34.881870999999997</v>
      </c>
      <c r="AK1901" t="s">
        <v>1392</v>
      </c>
      <c r="AL1901">
        <v>-76.121178</v>
      </c>
      <c r="AM1901">
        <v>25</v>
      </c>
      <c r="AN1901">
        <v>2925</v>
      </c>
      <c r="AO1901" t="s">
        <v>118</v>
      </c>
      <c r="AP1901">
        <v>-81</v>
      </c>
      <c r="AQ1901">
        <v>-117</v>
      </c>
      <c r="AR1901">
        <v>0</v>
      </c>
      <c r="AZ1901">
        <v>4516</v>
      </c>
      <c r="BA1901">
        <v>1</v>
      </c>
      <c r="BB1901" t="str">
        <f t="shared" si="182"/>
        <v xml:space="preserve">N79NX   </v>
      </c>
      <c r="BC1901">
        <v>1</v>
      </c>
      <c r="BE1901">
        <v>0</v>
      </c>
      <c r="BF1901">
        <v>0</v>
      </c>
      <c r="BG1901">
        <v>0</v>
      </c>
      <c r="BH1901">
        <v>2800</v>
      </c>
      <c r="BI1901">
        <v>0</v>
      </c>
      <c r="BJ1901">
        <v>0</v>
      </c>
      <c r="BK1901">
        <v>0</v>
      </c>
      <c r="BL1901">
        <v>0</v>
      </c>
      <c r="BO1901">
        <v>0</v>
      </c>
      <c r="BP1901">
        <v>0</v>
      </c>
      <c r="BW1901" t="str">
        <f>"18:56:08.135"</f>
        <v>18:56:08.135</v>
      </c>
      <c r="BZ1901">
        <v>0</v>
      </c>
      <c r="CA1901">
        <v>1600</v>
      </c>
      <c r="CB1901">
        <v>216</v>
      </c>
      <c r="CC1901">
        <v>593.4375</v>
      </c>
      <c r="CD1901">
        <v>1</v>
      </c>
      <c r="CE1901">
        <v>1</v>
      </c>
      <c r="CF1901">
        <v>0</v>
      </c>
      <c r="CG1901">
        <v>1</v>
      </c>
      <c r="CH1901">
        <v>0</v>
      </c>
      <c r="CI1901">
        <v>0</v>
      </c>
      <c r="CJ1901">
        <v>0</v>
      </c>
      <c r="CK1901">
        <v>2</v>
      </c>
      <c r="CL1901">
        <v>0</v>
      </c>
      <c r="CM1901">
        <v>2</v>
      </c>
      <c r="CN1901">
        <v>0</v>
      </c>
      <c r="CO1901">
        <v>1</v>
      </c>
      <c r="CP1901" t="s">
        <v>119</v>
      </c>
      <c r="CQ1901">
        <v>70</v>
      </c>
      <c r="CR1901">
        <v>1</v>
      </c>
      <c r="CW1901">
        <v>3685970</v>
      </c>
      <c r="CY1901">
        <v>0</v>
      </c>
      <c r="CZ1901">
        <v>0</v>
      </c>
      <c r="DA1901">
        <v>1</v>
      </c>
      <c r="DB1901">
        <v>0</v>
      </c>
      <c r="DC1901">
        <v>0</v>
      </c>
      <c r="DD1901">
        <v>0</v>
      </c>
      <c r="DE1901">
        <v>0</v>
      </c>
      <c r="DF1901">
        <v>0</v>
      </c>
      <c r="DG1901">
        <v>0</v>
      </c>
      <c r="DH1901">
        <v>0</v>
      </c>
      <c r="DI1901">
        <v>0</v>
      </c>
    </row>
    <row r="1902" spans="1:113" x14ac:dyDescent="0.3">
      <c r="A1902" t="str">
        <f>"02/13/2022 18:56:09.376"</f>
        <v>02/13/2022 18:56:09.376</v>
      </c>
      <c r="C1902" t="str">
        <f t="shared" si="181"/>
        <v>FFDFD7C0</v>
      </c>
      <c r="D1902" t="s">
        <v>121</v>
      </c>
      <c r="E1902">
        <v>2</v>
      </c>
      <c r="H1902">
        <v>158</v>
      </c>
      <c r="I1902" t="s">
        <v>120</v>
      </c>
      <c r="J1902" t="s">
        <v>122</v>
      </c>
      <c r="K1902">
        <v>0</v>
      </c>
      <c r="L1902">
        <v>3</v>
      </c>
      <c r="M1902">
        <v>0</v>
      </c>
      <c r="N1902">
        <v>2</v>
      </c>
      <c r="O1902">
        <v>1</v>
      </c>
      <c r="P1902">
        <v>0</v>
      </c>
      <c r="Q1902">
        <v>0</v>
      </c>
      <c r="S1902" t="str">
        <f t="shared" ref="S1902:T1904" si="187">"18:56:09.180"</f>
        <v>18:56:09.180</v>
      </c>
      <c r="T1902" t="str">
        <f t="shared" si="187"/>
        <v>18:56:09.180</v>
      </c>
      <c r="U1902" t="str">
        <f t="shared" si="183"/>
        <v>AAB6EE</v>
      </c>
      <c r="V1902">
        <v>0</v>
      </c>
      <c r="W1902">
        <v>0</v>
      </c>
      <c r="X1902">
        <v>4</v>
      </c>
      <c r="Z1902">
        <v>0</v>
      </c>
      <c r="AA1902">
        <v>8</v>
      </c>
      <c r="AB1902">
        <v>3</v>
      </c>
      <c r="AC1902">
        <v>0</v>
      </c>
      <c r="AD1902">
        <v>10</v>
      </c>
      <c r="AE1902">
        <v>0</v>
      </c>
      <c r="AF1902">
        <v>0</v>
      </c>
      <c r="AG1902">
        <v>2</v>
      </c>
      <c r="AH1902">
        <v>1</v>
      </c>
      <c r="AI1902" t="s">
        <v>1393</v>
      </c>
      <c r="AJ1902">
        <v>34.881312999999999</v>
      </c>
      <c r="AK1902" t="s">
        <v>1394</v>
      </c>
      <c r="AL1902">
        <v>-76.121628000000001</v>
      </c>
      <c r="AM1902">
        <v>25</v>
      </c>
      <c r="AN1902">
        <v>2925</v>
      </c>
      <c r="AO1902" t="s">
        <v>118</v>
      </c>
      <c r="AP1902">
        <v>-82</v>
      </c>
      <c r="AQ1902">
        <v>-117</v>
      </c>
      <c r="AR1902">
        <v>0</v>
      </c>
      <c r="AZ1902">
        <v>4516</v>
      </c>
      <c r="BA1902">
        <v>1</v>
      </c>
      <c r="BB1902" t="str">
        <f t="shared" si="182"/>
        <v xml:space="preserve">N79NX   </v>
      </c>
      <c r="BC1902">
        <v>1</v>
      </c>
      <c r="BE1902">
        <v>0</v>
      </c>
      <c r="BF1902">
        <v>0</v>
      </c>
      <c r="BG1902">
        <v>0</v>
      </c>
      <c r="BH1902">
        <v>2800</v>
      </c>
      <c r="BI1902">
        <v>0</v>
      </c>
      <c r="BJ1902">
        <v>0</v>
      </c>
      <c r="BK1902">
        <v>0</v>
      </c>
      <c r="BL1902">
        <v>0</v>
      </c>
      <c r="BO1902">
        <v>0</v>
      </c>
      <c r="BP1902">
        <v>0</v>
      </c>
      <c r="BW1902" t="str">
        <f>"18:56:09.185"</f>
        <v>18:56:09.185</v>
      </c>
      <c r="BZ1902">
        <v>0</v>
      </c>
      <c r="CA1902">
        <v>2208</v>
      </c>
      <c r="CB1902">
        <v>216</v>
      </c>
      <c r="CC1902">
        <v>593.4375</v>
      </c>
      <c r="CD1902">
        <v>1</v>
      </c>
      <c r="CE1902">
        <v>1</v>
      </c>
      <c r="CF1902">
        <v>0</v>
      </c>
      <c r="CG1902">
        <v>1</v>
      </c>
      <c r="CH1902">
        <v>0</v>
      </c>
      <c r="CI1902">
        <v>0</v>
      </c>
      <c r="CJ1902">
        <v>0</v>
      </c>
      <c r="CK1902">
        <v>2</v>
      </c>
      <c r="CL1902">
        <v>0</v>
      </c>
      <c r="CM1902">
        <v>2</v>
      </c>
      <c r="CN1902">
        <v>0</v>
      </c>
      <c r="CO1902">
        <v>2</v>
      </c>
      <c r="CP1902" t="s">
        <v>119</v>
      </c>
      <c r="CQ1902">
        <v>70</v>
      </c>
      <c r="CR1902">
        <v>1</v>
      </c>
      <c r="CW1902">
        <v>3686757</v>
      </c>
      <c r="CY1902">
        <v>0</v>
      </c>
      <c r="CZ1902">
        <v>0</v>
      </c>
      <c r="DA1902">
        <v>0</v>
      </c>
      <c r="DB1902">
        <v>0</v>
      </c>
      <c r="DC1902">
        <v>0</v>
      </c>
      <c r="DD1902">
        <v>0</v>
      </c>
      <c r="DE1902">
        <v>0</v>
      </c>
      <c r="DF1902">
        <v>0</v>
      </c>
      <c r="DG1902">
        <v>0</v>
      </c>
      <c r="DH1902">
        <v>0</v>
      </c>
      <c r="DI1902">
        <v>0</v>
      </c>
    </row>
    <row r="1903" spans="1:113" x14ac:dyDescent="0.3">
      <c r="A1903" t="str">
        <f>"02/13/2022 18:56:09.376"</f>
        <v>02/13/2022 18:56:09.376</v>
      </c>
      <c r="C1903" t="str">
        <f t="shared" si="181"/>
        <v>FFDFD7C0</v>
      </c>
      <c r="D1903" t="s">
        <v>113</v>
      </c>
      <c r="E1903">
        <v>3</v>
      </c>
      <c r="F1903">
        <v>1003</v>
      </c>
      <c r="G1903" t="s">
        <v>114</v>
      </c>
      <c r="J1903" t="s">
        <v>115</v>
      </c>
      <c r="K1903">
        <v>0</v>
      </c>
      <c r="L1903">
        <v>3</v>
      </c>
      <c r="M1903">
        <v>0</v>
      </c>
      <c r="N1903">
        <v>2</v>
      </c>
      <c r="O1903">
        <v>1</v>
      </c>
      <c r="P1903">
        <v>0</v>
      </c>
      <c r="Q1903">
        <v>0</v>
      </c>
      <c r="S1903" t="str">
        <f t="shared" si="187"/>
        <v>18:56:09.180</v>
      </c>
      <c r="T1903" t="str">
        <f t="shared" si="187"/>
        <v>18:56:09.180</v>
      </c>
      <c r="U1903" t="str">
        <f t="shared" si="183"/>
        <v>AAB6EE</v>
      </c>
      <c r="V1903">
        <v>0</v>
      </c>
      <c r="W1903">
        <v>0</v>
      </c>
      <c r="X1903">
        <v>4</v>
      </c>
      <c r="Z1903">
        <v>0</v>
      </c>
      <c r="AA1903">
        <v>8</v>
      </c>
      <c r="AB1903">
        <v>3</v>
      </c>
      <c r="AC1903">
        <v>0</v>
      </c>
      <c r="AD1903">
        <v>10</v>
      </c>
      <c r="AE1903">
        <v>0</v>
      </c>
      <c r="AF1903">
        <v>0</v>
      </c>
      <c r="AG1903">
        <v>2</v>
      </c>
      <c r="AH1903">
        <v>1</v>
      </c>
      <c r="AI1903" t="s">
        <v>1393</v>
      </c>
      <c r="AJ1903">
        <v>34.881312999999999</v>
      </c>
      <c r="AK1903" t="s">
        <v>1394</v>
      </c>
      <c r="AL1903">
        <v>-76.121628000000001</v>
      </c>
      <c r="AM1903">
        <v>25</v>
      </c>
      <c r="AN1903">
        <v>2925</v>
      </c>
      <c r="AO1903" t="s">
        <v>118</v>
      </c>
      <c r="AP1903">
        <v>-82</v>
      </c>
      <c r="AQ1903">
        <v>-117</v>
      </c>
      <c r="AR1903">
        <v>0</v>
      </c>
      <c r="AZ1903">
        <v>4516</v>
      </c>
      <c r="BA1903">
        <v>1</v>
      </c>
      <c r="BB1903" t="str">
        <f t="shared" si="182"/>
        <v xml:space="preserve">N79NX   </v>
      </c>
      <c r="BC1903">
        <v>1</v>
      </c>
      <c r="BE1903">
        <v>0</v>
      </c>
      <c r="BF1903">
        <v>0</v>
      </c>
      <c r="BG1903">
        <v>0</v>
      </c>
      <c r="BH1903">
        <v>2800</v>
      </c>
      <c r="BI1903">
        <v>0</v>
      </c>
      <c r="BJ1903">
        <v>0</v>
      </c>
      <c r="BK1903">
        <v>0</v>
      </c>
      <c r="BL1903">
        <v>0</v>
      </c>
      <c r="BO1903">
        <v>0</v>
      </c>
      <c r="BP1903">
        <v>0</v>
      </c>
      <c r="BW1903" t="str">
        <f>"18:56:09.185"</f>
        <v>18:56:09.185</v>
      </c>
      <c r="BZ1903">
        <v>0</v>
      </c>
      <c r="CA1903">
        <v>2208</v>
      </c>
      <c r="CB1903">
        <v>216</v>
      </c>
      <c r="CC1903">
        <v>593.4375</v>
      </c>
      <c r="CD1903">
        <v>1</v>
      </c>
      <c r="CE1903">
        <v>1</v>
      </c>
      <c r="CF1903">
        <v>0</v>
      </c>
      <c r="CG1903">
        <v>1</v>
      </c>
      <c r="CH1903">
        <v>0</v>
      </c>
      <c r="CI1903">
        <v>0</v>
      </c>
      <c r="CJ1903">
        <v>0</v>
      </c>
      <c r="CK1903">
        <v>2</v>
      </c>
      <c r="CL1903">
        <v>0</v>
      </c>
      <c r="CM1903">
        <v>2</v>
      </c>
      <c r="CN1903">
        <v>0</v>
      </c>
      <c r="CO1903">
        <v>2</v>
      </c>
      <c r="CP1903" t="s">
        <v>119</v>
      </c>
      <c r="CQ1903">
        <v>70</v>
      </c>
      <c r="CR1903">
        <v>1</v>
      </c>
      <c r="CW1903">
        <v>3686757</v>
      </c>
      <c r="CY1903">
        <v>0</v>
      </c>
      <c r="CZ1903">
        <v>0</v>
      </c>
      <c r="DA1903">
        <v>1</v>
      </c>
      <c r="DB1903">
        <v>0</v>
      </c>
      <c r="DC1903">
        <v>0</v>
      </c>
      <c r="DD1903">
        <v>0</v>
      </c>
      <c r="DE1903">
        <v>0</v>
      </c>
      <c r="DF1903">
        <v>0</v>
      </c>
      <c r="DG1903">
        <v>0</v>
      </c>
      <c r="DH1903">
        <v>0</v>
      </c>
      <c r="DI1903">
        <v>0</v>
      </c>
    </row>
    <row r="1904" spans="1:113" x14ac:dyDescent="0.3">
      <c r="A1904" t="str">
        <f>"02/13/2022 18:56:09.376"</f>
        <v>02/13/2022 18:56:09.376</v>
      </c>
      <c r="C1904" t="str">
        <f t="shared" si="181"/>
        <v>FFDFD7C0</v>
      </c>
      <c r="D1904" t="s">
        <v>113</v>
      </c>
      <c r="E1904">
        <v>4</v>
      </c>
      <c r="F1904">
        <v>1004</v>
      </c>
      <c r="G1904" t="s">
        <v>120</v>
      </c>
      <c r="J1904" t="s">
        <v>115</v>
      </c>
      <c r="K1904">
        <v>0</v>
      </c>
      <c r="L1904">
        <v>3</v>
      </c>
      <c r="M1904">
        <v>0</v>
      </c>
      <c r="N1904">
        <v>2</v>
      </c>
      <c r="O1904">
        <v>1</v>
      </c>
      <c r="P1904">
        <v>0</v>
      </c>
      <c r="Q1904">
        <v>0</v>
      </c>
      <c r="S1904" t="str">
        <f t="shared" si="187"/>
        <v>18:56:09.180</v>
      </c>
      <c r="T1904" t="str">
        <f t="shared" si="187"/>
        <v>18:56:09.180</v>
      </c>
      <c r="U1904" t="str">
        <f t="shared" si="183"/>
        <v>AAB6EE</v>
      </c>
      <c r="V1904">
        <v>0</v>
      </c>
      <c r="W1904">
        <v>0</v>
      </c>
      <c r="X1904">
        <v>4</v>
      </c>
      <c r="Z1904">
        <v>0</v>
      </c>
      <c r="AA1904">
        <v>8</v>
      </c>
      <c r="AB1904">
        <v>3</v>
      </c>
      <c r="AC1904">
        <v>0</v>
      </c>
      <c r="AD1904">
        <v>10</v>
      </c>
      <c r="AE1904">
        <v>0</v>
      </c>
      <c r="AF1904">
        <v>0</v>
      </c>
      <c r="AG1904">
        <v>2</v>
      </c>
      <c r="AH1904">
        <v>1</v>
      </c>
      <c r="AI1904" t="s">
        <v>1393</v>
      </c>
      <c r="AJ1904">
        <v>34.881312999999999</v>
      </c>
      <c r="AK1904" t="s">
        <v>1394</v>
      </c>
      <c r="AL1904">
        <v>-76.121628000000001</v>
      </c>
      <c r="AM1904">
        <v>25</v>
      </c>
      <c r="AN1904">
        <v>2925</v>
      </c>
      <c r="AO1904" t="s">
        <v>118</v>
      </c>
      <c r="AP1904">
        <v>-82</v>
      </c>
      <c r="AQ1904">
        <v>-117</v>
      </c>
      <c r="AR1904">
        <v>0</v>
      </c>
      <c r="AZ1904">
        <v>4516</v>
      </c>
      <c r="BA1904">
        <v>1</v>
      </c>
      <c r="BB1904" t="str">
        <f t="shared" si="182"/>
        <v xml:space="preserve">N79NX   </v>
      </c>
      <c r="BC1904">
        <v>1</v>
      </c>
      <c r="BE1904">
        <v>0</v>
      </c>
      <c r="BF1904">
        <v>0</v>
      </c>
      <c r="BG1904">
        <v>0</v>
      </c>
      <c r="BH1904">
        <v>2800</v>
      </c>
      <c r="BI1904">
        <v>0</v>
      </c>
      <c r="BJ1904">
        <v>0</v>
      </c>
      <c r="BK1904">
        <v>0</v>
      </c>
      <c r="BL1904">
        <v>0</v>
      </c>
      <c r="BO1904">
        <v>0</v>
      </c>
      <c r="BP1904">
        <v>0</v>
      </c>
      <c r="BW1904" t="str">
        <f>"18:56:09.185"</f>
        <v>18:56:09.185</v>
      </c>
      <c r="BZ1904">
        <v>0</v>
      </c>
      <c r="CA1904">
        <v>2208</v>
      </c>
      <c r="CB1904">
        <v>216</v>
      </c>
      <c r="CC1904">
        <v>593.4375</v>
      </c>
      <c r="CD1904">
        <v>1</v>
      </c>
      <c r="CE1904">
        <v>1</v>
      </c>
      <c r="CF1904">
        <v>0</v>
      </c>
      <c r="CG1904">
        <v>1</v>
      </c>
      <c r="CH1904">
        <v>0</v>
      </c>
      <c r="CI1904">
        <v>0</v>
      </c>
      <c r="CJ1904">
        <v>0</v>
      </c>
      <c r="CK1904">
        <v>2</v>
      </c>
      <c r="CL1904">
        <v>0</v>
      </c>
      <c r="CM1904">
        <v>2</v>
      </c>
      <c r="CN1904">
        <v>0</v>
      </c>
      <c r="CO1904">
        <v>2</v>
      </c>
      <c r="CP1904" t="s">
        <v>119</v>
      </c>
      <c r="CQ1904">
        <v>70</v>
      </c>
      <c r="CR1904">
        <v>1</v>
      </c>
      <c r="CW1904">
        <v>3686757</v>
      </c>
      <c r="CY1904">
        <v>0</v>
      </c>
      <c r="CZ1904">
        <v>0</v>
      </c>
      <c r="DA1904">
        <v>1</v>
      </c>
      <c r="DB1904">
        <v>0</v>
      </c>
      <c r="DC1904">
        <v>0</v>
      </c>
      <c r="DD1904">
        <v>0</v>
      </c>
      <c r="DE1904">
        <v>0</v>
      </c>
      <c r="DF1904">
        <v>0</v>
      </c>
      <c r="DG1904">
        <v>0</v>
      </c>
      <c r="DH1904">
        <v>0</v>
      </c>
      <c r="DI1904">
        <v>0</v>
      </c>
    </row>
    <row r="1905" spans="1:113" x14ac:dyDescent="0.3">
      <c r="A1905" t="str">
        <f>"02/13/2022 18:56:11.002"</f>
        <v>02/13/2022 18:56:11.002</v>
      </c>
      <c r="C1905" t="str">
        <f t="shared" si="181"/>
        <v>FFDFD7C0</v>
      </c>
      <c r="D1905" t="s">
        <v>113</v>
      </c>
      <c r="E1905">
        <v>3</v>
      </c>
      <c r="F1905">
        <v>1003</v>
      </c>
      <c r="G1905" t="s">
        <v>114</v>
      </c>
      <c r="J1905" t="s">
        <v>115</v>
      </c>
      <c r="K1905">
        <v>0</v>
      </c>
      <c r="L1905">
        <v>3</v>
      </c>
      <c r="M1905">
        <v>0</v>
      </c>
      <c r="N1905">
        <v>2</v>
      </c>
      <c r="O1905">
        <v>1</v>
      </c>
      <c r="P1905">
        <v>0</v>
      </c>
      <c r="Q1905">
        <v>0</v>
      </c>
      <c r="S1905" t="str">
        <f t="shared" ref="S1905:T1907" si="188">"18:56:10.789"</f>
        <v>18:56:10.789</v>
      </c>
      <c r="T1905" t="str">
        <f t="shared" si="188"/>
        <v>18:56:10.789</v>
      </c>
      <c r="U1905" t="str">
        <f t="shared" si="183"/>
        <v>AAB6EE</v>
      </c>
      <c r="V1905">
        <v>0</v>
      </c>
      <c r="W1905">
        <v>0</v>
      </c>
      <c r="X1905">
        <v>4</v>
      </c>
      <c r="Z1905">
        <v>0</v>
      </c>
      <c r="AA1905">
        <v>8</v>
      </c>
      <c r="AB1905">
        <v>3</v>
      </c>
      <c r="AC1905">
        <v>0</v>
      </c>
      <c r="AD1905">
        <v>10</v>
      </c>
      <c r="AE1905">
        <v>0</v>
      </c>
      <c r="AF1905">
        <v>0</v>
      </c>
      <c r="AG1905">
        <v>2</v>
      </c>
      <c r="AH1905">
        <v>1</v>
      </c>
      <c r="AI1905" t="s">
        <v>1395</v>
      </c>
      <c r="AJ1905">
        <v>34.880496999999998</v>
      </c>
      <c r="AK1905" t="s">
        <v>1396</v>
      </c>
      <c r="AL1905">
        <v>-76.122358000000006</v>
      </c>
      <c r="AM1905">
        <v>25</v>
      </c>
      <c r="AN1905">
        <v>2925</v>
      </c>
      <c r="AO1905" t="s">
        <v>118</v>
      </c>
      <c r="AP1905">
        <v>-82</v>
      </c>
      <c r="AQ1905">
        <v>-117</v>
      </c>
      <c r="AR1905">
        <v>0</v>
      </c>
      <c r="AZ1905">
        <v>4516</v>
      </c>
      <c r="BA1905">
        <v>1</v>
      </c>
      <c r="BB1905" t="str">
        <f t="shared" si="182"/>
        <v xml:space="preserve">N79NX   </v>
      </c>
      <c r="BC1905">
        <v>1</v>
      </c>
      <c r="BE1905">
        <v>0</v>
      </c>
      <c r="BF1905">
        <v>0</v>
      </c>
      <c r="BG1905">
        <v>0</v>
      </c>
      <c r="BH1905">
        <v>2800</v>
      </c>
      <c r="BI1905">
        <v>0</v>
      </c>
      <c r="BJ1905">
        <v>0</v>
      </c>
      <c r="BK1905">
        <v>0</v>
      </c>
      <c r="BL1905">
        <v>0</v>
      </c>
      <c r="BO1905">
        <v>0</v>
      </c>
      <c r="BP1905">
        <v>0</v>
      </c>
      <c r="BW1905" t="str">
        <f>"18:56:10.795"</f>
        <v>18:56:10.795</v>
      </c>
      <c r="BZ1905">
        <v>0</v>
      </c>
      <c r="CA1905">
        <v>2208</v>
      </c>
      <c r="CB1905">
        <v>216</v>
      </c>
      <c r="CC1905">
        <v>593.4375</v>
      </c>
      <c r="CD1905">
        <v>1</v>
      </c>
      <c r="CE1905">
        <v>1</v>
      </c>
      <c r="CF1905">
        <v>0</v>
      </c>
      <c r="CG1905">
        <v>1</v>
      </c>
      <c r="CH1905">
        <v>0</v>
      </c>
      <c r="CI1905">
        <v>0</v>
      </c>
      <c r="CJ1905">
        <v>0</v>
      </c>
      <c r="CK1905">
        <v>2</v>
      </c>
      <c r="CL1905">
        <v>0</v>
      </c>
      <c r="CM1905">
        <v>2</v>
      </c>
      <c r="CN1905">
        <v>0</v>
      </c>
      <c r="CO1905">
        <v>1</v>
      </c>
      <c r="CP1905" t="s">
        <v>119</v>
      </c>
      <c r="CQ1905">
        <v>70</v>
      </c>
      <c r="CR1905">
        <v>1</v>
      </c>
      <c r="CW1905">
        <v>3688088</v>
      </c>
      <c r="CY1905">
        <v>0</v>
      </c>
      <c r="CZ1905">
        <v>0</v>
      </c>
      <c r="DA1905">
        <v>0</v>
      </c>
      <c r="DB1905">
        <v>0</v>
      </c>
      <c r="DC1905">
        <v>0</v>
      </c>
      <c r="DD1905">
        <v>0</v>
      </c>
      <c r="DE1905">
        <v>0</v>
      </c>
      <c r="DF1905">
        <v>0</v>
      </c>
      <c r="DG1905">
        <v>0</v>
      </c>
      <c r="DH1905">
        <v>0</v>
      </c>
      <c r="DI1905">
        <v>0</v>
      </c>
    </row>
    <row r="1906" spans="1:113" x14ac:dyDescent="0.3">
      <c r="A1906" t="str">
        <f>"02/13/2022 18:56:11.002"</f>
        <v>02/13/2022 18:56:11.002</v>
      </c>
      <c r="C1906" t="str">
        <f t="shared" si="181"/>
        <v>FFDFD7C0</v>
      </c>
      <c r="D1906" t="s">
        <v>121</v>
      </c>
      <c r="E1906">
        <v>2</v>
      </c>
      <c r="H1906">
        <v>158</v>
      </c>
      <c r="I1906" t="s">
        <v>120</v>
      </c>
      <c r="J1906" t="s">
        <v>122</v>
      </c>
      <c r="K1906">
        <v>0</v>
      </c>
      <c r="L1906">
        <v>3</v>
      </c>
      <c r="M1906">
        <v>0</v>
      </c>
      <c r="N1906">
        <v>2</v>
      </c>
      <c r="O1906">
        <v>1</v>
      </c>
      <c r="P1906">
        <v>0</v>
      </c>
      <c r="Q1906">
        <v>0</v>
      </c>
      <c r="S1906" t="str">
        <f t="shared" si="188"/>
        <v>18:56:10.789</v>
      </c>
      <c r="T1906" t="str">
        <f t="shared" si="188"/>
        <v>18:56:10.789</v>
      </c>
      <c r="U1906" t="str">
        <f t="shared" si="183"/>
        <v>AAB6EE</v>
      </c>
      <c r="V1906">
        <v>0</v>
      </c>
      <c r="W1906">
        <v>0</v>
      </c>
      <c r="X1906">
        <v>4</v>
      </c>
      <c r="Z1906">
        <v>0</v>
      </c>
      <c r="AA1906">
        <v>8</v>
      </c>
      <c r="AB1906">
        <v>3</v>
      </c>
      <c r="AC1906">
        <v>0</v>
      </c>
      <c r="AD1906">
        <v>10</v>
      </c>
      <c r="AE1906">
        <v>0</v>
      </c>
      <c r="AF1906">
        <v>0</v>
      </c>
      <c r="AG1906">
        <v>2</v>
      </c>
      <c r="AH1906">
        <v>1</v>
      </c>
      <c r="AI1906" t="s">
        <v>1395</v>
      </c>
      <c r="AJ1906">
        <v>34.880496999999998</v>
      </c>
      <c r="AK1906" t="s">
        <v>1396</v>
      </c>
      <c r="AL1906">
        <v>-76.122358000000006</v>
      </c>
      <c r="AM1906">
        <v>25</v>
      </c>
      <c r="AN1906">
        <v>2925</v>
      </c>
      <c r="AO1906" t="s">
        <v>118</v>
      </c>
      <c r="AP1906">
        <v>-82</v>
      </c>
      <c r="AQ1906">
        <v>-117</v>
      </c>
      <c r="AR1906">
        <v>0</v>
      </c>
      <c r="AZ1906">
        <v>4516</v>
      </c>
      <c r="BA1906">
        <v>1</v>
      </c>
      <c r="BB1906" t="str">
        <f t="shared" si="182"/>
        <v xml:space="preserve">N79NX   </v>
      </c>
      <c r="BC1906">
        <v>1</v>
      </c>
      <c r="BE1906">
        <v>0</v>
      </c>
      <c r="BF1906">
        <v>0</v>
      </c>
      <c r="BG1906">
        <v>0</v>
      </c>
      <c r="BH1906">
        <v>2800</v>
      </c>
      <c r="BI1906">
        <v>0</v>
      </c>
      <c r="BJ1906">
        <v>0</v>
      </c>
      <c r="BK1906">
        <v>0</v>
      </c>
      <c r="BL1906">
        <v>0</v>
      </c>
      <c r="BO1906">
        <v>0</v>
      </c>
      <c r="BP1906">
        <v>0</v>
      </c>
      <c r="BW1906" t="str">
        <f>"18:56:10.795"</f>
        <v>18:56:10.795</v>
      </c>
      <c r="BZ1906">
        <v>0</v>
      </c>
      <c r="CA1906">
        <v>2208</v>
      </c>
      <c r="CB1906">
        <v>216</v>
      </c>
      <c r="CC1906">
        <v>593.4375</v>
      </c>
      <c r="CD1906">
        <v>1</v>
      </c>
      <c r="CE1906">
        <v>1</v>
      </c>
      <c r="CF1906">
        <v>0</v>
      </c>
      <c r="CG1906">
        <v>1</v>
      </c>
      <c r="CH1906">
        <v>0</v>
      </c>
      <c r="CI1906">
        <v>0</v>
      </c>
      <c r="CJ1906">
        <v>0</v>
      </c>
      <c r="CK1906">
        <v>2</v>
      </c>
      <c r="CL1906">
        <v>0</v>
      </c>
      <c r="CM1906">
        <v>2</v>
      </c>
      <c r="CN1906">
        <v>0</v>
      </c>
      <c r="CO1906">
        <v>1</v>
      </c>
      <c r="CP1906" t="s">
        <v>119</v>
      </c>
      <c r="CQ1906">
        <v>70</v>
      </c>
      <c r="CR1906">
        <v>1</v>
      </c>
      <c r="CW1906">
        <v>3688088</v>
      </c>
      <c r="CY1906">
        <v>0</v>
      </c>
      <c r="CZ1906">
        <v>0</v>
      </c>
      <c r="DA1906">
        <v>1</v>
      </c>
      <c r="DB1906">
        <v>0</v>
      </c>
      <c r="DC1906">
        <v>0</v>
      </c>
      <c r="DD1906">
        <v>0</v>
      </c>
      <c r="DE1906">
        <v>0</v>
      </c>
      <c r="DF1906">
        <v>0</v>
      </c>
      <c r="DG1906">
        <v>0</v>
      </c>
      <c r="DH1906">
        <v>0</v>
      </c>
      <c r="DI1906">
        <v>0</v>
      </c>
    </row>
    <row r="1907" spans="1:113" x14ac:dyDescent="0.3">
      <c r="A1907" t="str">
        <f>"02/13/2022 18:56:11.002"</f>
        <v>02/13/2022 18:56:11.002</v>
      </c>
      <c r="C1907" t="str">
        <f t="shared" si="181"/>
        <v>FFDFD7C0</v>
      </c>
      <c r="D1907" t="s">
        <v>113</v>
      </c>
      <c r="E1907">
        <v>4</v>
      </c>
      <c r="F1907">
        <v>1004</v>
      </c>
      <c r="G1907" t="s">
        <v>120</v>
      </c>
      <c r="J1907" t="s">
        <v>115</v>
      </c>
      <c r="K1907">
        <v>0</v>
      </c>
      <c r="L1907">
        <v>3</v>
      </c>
      <c r="M1907">
        <v>0</v>
      </c>
      <c r="N1907">
        <v>2</v>
      </c>
      <c r="O1907">
        <v>1</v>
      </c>
      <c r="P1907">
        <v>0</v>
      </c>
      <c r="Q1907">
        <v>0</v>
      </c>
      <c r="S1907" t="str">
        <f t="shared" si="188"/>
        <v>18:56:10.789</v>
      </c>
      <c r="T1907" t="str">
        <f t="shared" si="188"/>
        <v>18:56:10.789</v>
      </c>
      <c r="U1907" t="str">
        <f t="shared" si="183"/>
        <v>AAB6EE</v>
      </c>
      <c r="V1907">
        <v>0</v>
      </c>
      <c r="W1907">
        <v>0</v>
      </c>
      <c r="X1907">
        <v>4</v>
      </c>
      <c r="Z1907">
        <v>0</v>
      </c>
      <c r="AA1907">
        <v>8</v>
      </c>
      <c r="AB1907">
        <v>3</v>
      </c>
      <c r="AC1907">
        <v>0</v>
      </c>
      <c r="AD1907">
        <v>10</v>
      </c>
      <c r="AE1907">
        <v>0</v>
      </c>
      <c r="AF1907">
        <v>0</v>
      </c>
      <c r="AG1907">
        <v>2</v>
      </c>
      <c r="AH1907">
        <v>1</v>
      </c>
      <c r="AI1907" t="s">
        <v>1395</v>
      </c>
      <c r="AJ1907">
        <v>34.880496999999998</v>
      </c>
      <c r="AK1907" t="s">
        <v>1396</v>
      </c>
      <c r="AL1907">
        <v>-76.122358000000006</v>
      </c>
      <c r="AM1907">
        <v>25</v>
      </c>
      <c r="AN1907">
        <v>2925</v>
      </c>
      <c r="AO1907" t="s">
        <v>118</v>
      </c>
      <c r="AP1907">
        <v>-82</v>
      </c>
      <c r="AQ1907">
        <v>-117</v>
      </c>
      <c r="AR1907">
        <v>0</v>
      </c>
      <c r="AZ1907">
        <v>4516</v>
      </c>
      <c r="BA1907">
        <v>1</v>
      </c>
      <c r="BB1907" t="str">
        <f t="shared" si="182"/>
        <v xml:space="preserve">N79NX   </v>
      </c>
      <c r="BC1907">
        <v>1</v>
      </c>
      <c r="BE1907">
        <v>0</v>
      </c>
      <c r="BF1907">
        <v>0</v>
      </c>
      <c r="BG1907">
        <v>0</v>
      </c>
      <c r="BH1907">
        <v>2800</v>
      </c>
      <c r="BI1907">
        <v>0</v>
      </c>
      <c r="BJ1907">
        <v>0</v>
      </c>
      <c r="BK1907">
        <v>0</v>
      </c>
      <c r="BL1907">
        <v>0</v>
      </c>
      <c r="BO1907">
        <v>0</v>
      </c>
      <c r="BP1907">
        <v>0</v>
      </c>
      <c r="BW1907" t="str">
        <f>"18:56:10.795"</f>
        <v>18:56:10.795</v>
      </c>
      <c r="BZ1907">
        <v>0</v>
      </c>
      <c r="CA1907">
        <v>2208</v>
      </c>
      <c r="CB1907">
        <v>216</v>
      </c>
      <c r="CC1907">
        <v>593.4375</v>
      </c>
      <c r="CD1907">
        <v>1</v>
      </c>
      <c r="CE1907">
        <v>1</v>
      </c>
      <c r="CF1907">
        <v>0</v>
      </c>
      <c r="CG1907">
        <v>1</v>
      </c>
      <c r="CH1907">
        <v>0</v>
      </c>
      <c r="CI1907">
        <v>0</v>
      </c>
      <c r="CJ1907">
        <v>0</v>
      </c>
      <c r="CK1907">
        <v>2</v>
      </c>
      <c r="CL1907">
        <v>0</v>
      </c>
      <c r="CM1907">
        <v>2</v>
      </c>
      <c r="CN1907">
        <v>0</v>
      </c>
      <c r="CO1907">
        <v>1</v>
      </c>
      <c r="CP1907" t="s">
        <v>119</v>
      </c>
      <c r="CQ1907">
        <v>70</v>
      </c>
      <c r="CR1907">
        <v>1</v>
      </c>
      <c r="CW1907">
        <v>3688088</v>
      </c>
      <c r="CY1907">
        <v>0</v>
      </c>
      <c r="CZ1907">
        <v>0</v>
      </c>
      <c r="DA1907">
        <v>1</v>
      </c>
      <c r="DB1907">
        <v>0</v>
      </c>
      <c r="DC1907">
        <v>0</v>
      </c>
      <c r="DD1907">
        <v>0</v>
      </c>
      <c r="DE1907">
        <v>0</v>
      </c>
      <c r="DF1907">
        <v>0</v>
      </c>
      <c r="DG1907">
        <v>0</v>
      </c>
      <c r="DH1907">
        <v>0</v>
      </c>
      <c r="DI1907">
        <v>0</v>
      </c>
    </row>
    <row r="1908" spans="1:113" x14ac:dyDescent="0.3">
      <c r="A1908" t="str">
        <f>"02/13/2022 18:56:12.206"</f>
        <v>02/13/2022 18:56:12.206</v>
      </c>
      <c r="C1908" t="str">
        <f t="shared" si="181"/>
        <v>FFDFD7C0</v>
      </c>
      <c r="D1908" t="s">
        <v>113</v>
      </c>
      <c r="E1908">
        <v>3</v>
      </c>
      <c r="F1908">
        <v>1003</v>
      </c>
      <c r="G1908" t="s">
        <v>114</v>
      </c>
      <c r="J1908" t="s">
        <v>115</v>
      </c>
      <c r="K1908">
        <v>0</v>
      </c>
      <c r="L1908">
        <v>3</v>
      </c>
      <c r="M1908">
        <v>0</v>
      </c>
      <c r="N1908">
        <v>2</v>
      </c>
      <c r="O1908">
        <v>1</v>
      </c>
      <c r="P1908">
        <v>0</v>
      </c>
      <c r="Q1908">
        <v>0</v>
      </c>
      <c r="S1908" t="str">
        <f t="shared" ref="S1908:T1910" si="189">"18:56:11.953"</f>
        <v>18:56:11.953</v>
      </c>
      <c r="T1908" t="str">
        <f t="shared" si="189"/>
        <v>18:56:11.953</v>
      </c>
      <c r="U1908" t="str">
        <f t="shared" si="183"/>
        <v>AAB6EE</v>
      </c>
      <c r="V1908">
        <v>0</v>
      </c>
      <c r="W1908">
        <v>0</v>
      </c>
      <c r="X1908">
        <v>4</v>
      </c>
      <c r="Z1908">
        <v>0</v>
      </c>
      <c r="AA1908">
        <v>8</v>
      </c>
      <c r="AB1908">
        <v>3</v>
      </c>
      <c r="AC1908">
        <v>0</v>
      </c>
      <c r="AD1908">
        <v>10</v>
      </c>
      <c r="AE1908">
        <v>0</v>
      </c>
      <c r="AF1908">
        <v>0</v>
      </c>
      <c r="AG1908">
        <v>2</v>
      </c>
      <c r="AH1908">
        <v>1</v>
      </c>
      <c r="AI1908" t="s">
        <v>1397</v>
      </c>
      <c r="AJ1908">
        <v>34.879810999999997</v>
      </c>
      <c r="AK1908" t="s">
        <v>1398</v>
      </c>
      <c r="AL1908">
        <v>-76.122916000000004</v>
      </c>
      <c r="AM1908">
        <v>25</v>
      </c>
      <c r="AN1908">
        <v>2925</v>
      </c>
      <c r="AO1908" t="s">
        <v>118</v>
      </c>
      <c r="AP1908">
        <v>-82</v>
      </c>
      <c r="AQ1908">
        <v>-116</v>
      </c>
      <c r="AR1908">
        <v>0</v>
      </c>
      <c r="AZ1908">
        <v>4516</v>
      </c>
      <c r="BA1908">
        <v>1</v>
      </c>
      <c r="BB1908" t="str">
        <f t="shared" si="182"/>
        <v xml:space="preserve">N79NX   </v>
      </c>
      <c r="BC1908">
        <v>1</v>
      </c>
      <c r="BE1908">
        <v>0</v>
      </c>
      <c r="BF1908">
        <v>0</v>
      </c>
      <c r="BG1908">
        <v>0</v>
      </c>
      <c r="BH1908">
        <v>2800</v>
      </c>
      <c r="BI1908">
        <v>0</v>
      </c>
      <c r="BJ1908">
        <v>0</v>
      </c>
      <c r="BK1908">
        <v>0</v>
      </c>
      <c r="BL1908">
        <v>0</v>
      </c>
      <c r="BO1908">
        <v>0</v>
      </c>
      <c r="BP1908">
        <v>0</v>
      </c>
      <c r="BW1908" t="str">
        <f>"18:56:11.955"</f>
        <v>18:56:11.955</v>
      </c>
      <c r="BZ1908">
        <v>0</v>
      </c>
      <c r="CA1908">
        <v>2208</v>
      </c>
      <c r="CB1908">
        <v>216</v>
      </c>
      <c r="CC1908">
        <v>593.4375</v>
      </c>
      <c r="CD1908">
        <v>1</v>
      </c>
      <c r="CE1908">
        <v>1</v>
      </c>
      <c r="CF1908">
        <v>0</v>
      </c>
      <c r="CG1908">
        <v>1</v>
      </c>
      <c r="CH1908">
        <v>0</v>
      </c>
      <c r="CI1908">
        <v>0</v>
      </c>
      <c r="CJ1908">
        <v>0</v>
      </c>
      <c r="CK1908">
        <v>2</v>
      </c>
      <c r="CL1908">
        <v>0</v>
      </c>
      <c r="CM1908">
        <v>2</v>
      </c>
      <c r="CN1908">
        <v>0</v>
      </c>
      <c r="CO1908">
        <v>1</v>
      </c>
      <c r="CP1908" t="s">
        <v>119</v>
      </c>
      <c r="CQ1908">
        <v>70</v>
      </c>
      <c r="CR1908">
        <v>1</v>
      </c>
      <c r="CW1908">
        <v>3689063</v>
      </c>
      <c r="CY1908">
        <v>0</v>
      </c>
      <c r="CZ1908">
        <v>0</v>
      </c>
      <c r="DA1908">
        <v>0</v>
      </c>
      <c r="DB1908">
        <v>0</v>
      </c>
      <c r="DC1908">
        <v>0</v>
      </c>
      <c r="DD1908">
        <v>0</v>
      </c>
      <c r="DE1908">
        <v>0</v>
      </c>
      <c r="DF1908">
        <v>0</v>
      </c>
      <c r="DG1908">
        <v>0</v>
      </c>
      <c r="DH1908">
        <v>0</v>
      </c>
      <c r="DI1908">
        <v>0</v>
      </c>
    </row>
    <row r="1909" spans="1:113" x14ac:dyDescent="0.3">
      <c r="A1909" t="str">
        <f>"02/13/2022 18:56:12.206"</f>
        <v>02/13/2022 18:56:12.206</v>
      </c>
      <c r="C1909" t="str">
        <f t="shared" si="181"/>
        <v>FFDFD7C0</v>
      </c>
      <c r="D1909" t="s">
        <v>121</v>
      </c>
      <c r="E1909">
        <v>2</v>
      </c>
      <c r="H1909">
        <v>158</v>
      </c>
      <c r="I1909" t="s">
        <v>120</v>
      </c>
      <c r="J1909" t="s">
        <v>122</v>
      </c>
      <c r="K1909">
        <v>0</v>
      </c>
      <c r="L1909">
        <v>3</v>
      </c>
      <c r="M1909">
        <v>0</v>
      </c>
      <c r="N1909">
        <v>2</v>
      </c>
      <c r="O1909">
        <v>1</v>
      </c>
      <c r="P1909">
        <v>0</v>
      </c>
      <c r="Q1909">
        <v>0</v>
      </c>
      <c r="S1909" t="str">
        <f t="shared" si="189"/>
        <v>18:56:11.953</v>
      </c>
      <c r="T1909" t="str">
        <f t="shared" si="189"/>
        <v>18:56:11.953</v>
      </c>
      <c r="U1909" t="str">
        <f t="shared" si="183"/>
        <v>AAB6EE</v>
      </c>
      <c r="V1909">
        <v>0</v>
      </c>
      <c r="W1909">
        <v>0</v>
      </c>
      <c r="X1909">
        <v>4</v>
      </c>
      <c r="Z1909">
        <v>0</v>
      </c>
      <c r="AA1909">
        <v>8</v>
      </c>
      <c r="AB1909">
        <v>3</v>
      </c>
      <c r="AC1909">
        <v>0</v>
      </c>
      <c r="AD1909">
        <v>10</v>
      </c>
      <c r="AE1909">
        <v>0</v>
      </c>
      <c r="AF1909">
        <v>0</v>
      </c>
      <c r="AG1909">
        <v>2</v>
      </c>
      <c r="AH1909">
        <v>1</v>
      </c>
      <c r="AI1909" t="s">
        <v>1397</v>
      </c>
      <c r="AJ1909">
        <v>34.879810999999997</v>
      </c>
      <c r="AK1909" t="s">
        <v>1398</v>
      </c>
      <c r="AL1909">
        <v>-76.122916000000004</v>
      </c>
      <c r="AM1909">
        <v>25</v>
      </c>
      <c r="AN1909">
        <v>2925</v>
      </c>
      <c r="AO1909" t="s">
        <v>118</v>
      </c>
      <c r="AP1909">
        <v>-82</v>
      </c>
      <c r="AQ1909">
        <v>-116</v>
      </c>
      <c r="AR1909">
        <v>0</v>
      </c>
      <c r="AZ1909">
        <v>4516</v>
      </c>
      <c r="BA1909">
        <v>1</v>
      </c>
      <c r="BB1909" t="str">
        <f t="shared" si="182"/>
        <v xml:space="preserve">N79NX   </v>
      </c>
      <c r="BC1909">
        <v>1</v>
      </c>
      <c r="BE1909">
        <v>0</v>
      </c>
      <c r="BF1909">
        <v>0</v>
      </c>
      <c r="BG1909">
        <v>0</v>
      </c>
      <c r="BH1909">
        <v>2800</v>
      </c>
      <c r="BI1909">
        <v>0</v>
      </c>
      <c r="BJ1909">
        <v>0</v>
      </c>
      <c r="BK1909">
        <v>0</v>
      </c>
      <c r="BL1909">
        <v>0</v>
      </c>
      <c r="BO1909">
        <v>0</v>
      </c>
      <c r="BP1909">
        <v>0</v>
      </c>
      <c r="BW1909" t="str">
        <f>"18:56:11.955"</f>
        <v>18:56:11.955</v>
      </c>
      <c r="BZ1909">
        <v>0</v>
      </c>
      <c r="CA1909">
        <v>2208</v>
      </c>
      <c r="CB1909">
        <v>216</v>
      </c>
      <c r="CC1909">
        <v>593.4375</v>
      </c>
      <c r="CD1909">
        <v>1</v>
      </c>
      <c r="CE1909">
        <v>1</v>
      </c>
      <c r="CF1909">
        <v>0</v>
      </c>
      <c r="CG1909">
        <v>1</v>
      </c>
      <c r="CH1909">
        <v>0</v>
      </c>
      <c r="CI1909">
        <v>0</v>
      </c>
      <c r="CJ1909">
        <v>0</v>
      </c>
      <c r="CK1909">
        <v>2</v>
      </c>
      <c r="CL1909">
        <v>0</v>
      </c>
      <c r="CM1909">
        <v>2</v>
      </c>
      <c r="CN1909">
        <v>0</v>
      </c>
      <c r="CO1909">
        <v>1</v>
      </c>
      <c r="CP1909" t="s">
        <v>119</v>
      </c>
      <c r="CQ1909">
        <v>70</v>
      </c>
      <c r="CR1909">
        <v>1</v>
      </c>
      <c r="CW1909">
        <v>3689063</v>
      </c>
      <c r="CY1909">
        <v>0</v>
      </c>
      <c r="CZ1909">
        <v>0</v>
      </c>
      <c r="DA1909">
        <v>1</v>
      </c>
      <c r="DB1909">
        <v>0</v>
      </c>
      <c r="DC1909">
        <v>0</v>
      </c>
      <c r="DD1909">
        <v>0</v>
      </c>
      <c r="DE1909">
        <v>0</v>
      </c>
      <c r="DF1909">
        <v>0</v>
      </c>
      <c r="DG1909">
        <v>0</v>
      </c>
      <c r="DH1909">
        <v>0</v>
      </c>
      <c r="DI1909">
        <v>0</v>
      </c>
    </row>
    <row r="1910" spans="1:113" x14ac:dyDescent="0.3">
      <c r="A1910" t="str">
        <f>"02/13/2022 18:56:12.206"</f>
        <v>02/13/2022 18:56:12.206</v>
      </c>
      <c r="C1910" t="str">
        <f t="shared" si="181"/>
        <v>FFDFD7C0</v>
      </c>
      <c r="D1910" t="s">
        <v>113</v>
      </c>
      <c r="E1910">
        <v>4</v>
      </c>
      <c r="F1910">
        <v>1004</v>
      </c>
      <c r="G1910" t="s">
        <v>120</v>
      </c>
      <c r="J1910" t="s">
        <v>115</v>
      </c>
      <c r="K1910">
        <v>0</v>
      </c>
      <c r="L1910">
        <v>3</v>
      </c>
      <c r="M1910">
        <v>0</v>
      </c>
      <c r="N1910">
        <v>2</v>
      </c>
      <c r="O1910">
        <v>1</v>
      </c>
      <c r="P1910">
        <v>0</v>
      </c>
      <c r="Q1910">
        <v>0</v>
      </c>
      <c r="S1910" t="str">
        <f t="shared" si="189"/>
        <v>18:56:11.953</v>
      </c>
      <c r="T1910" t="str">
        <f t="shared" si="189"/>
        <v>18:56:11.953</v>
      </c>
      <c r="U1910" t="str">
        <f t="shared" si="183"/>
        <v>AAB6EE</v>
      </c>
      <c r="V1910">
        <v>0</v>
      </c>
      <c r="W1910">
        <v>0</v>
      </c>
      <c r="X1910">
        <v>4</v>
      </c>
      <c r="Z1910">
        <v>0</v>
      </c>
      <c r="AA1910">
        <v>8</v>
      </c>
      <c r="AB1910">
        <v>3</v>
      </c>
      <c r="AC1910">
        <v>0</v>
      </c>
      <c r="AD1910">
        <v>10</v>
      </c>
      <c r="AE1910">
        <v>0</v>
      </c>
      <c r="AF1910">
        <v>0</v>
      </c>
      <c r="AG1910">
        <v>2</v>
      </c>
      <c r="AH1910">
        <v>1</v>
      </c>
      <c r="AI1910" t="s">
        <v>1397</v>
      </c>
      <c r="AJ1910">
        <v>34.879810999999997</v>
      </c>
      <c r="AK1910" t="s">
        <v>1398</v>
      </c>
      <c r="AL1910">
        <v>-76.122916000000004</v>
      </c>
      <c r="AM1910">
        <v>25</v>
      </c>
      <c r="AN1910">
        <v>2925</v>
      </c>
      <c r="AO1910" t="s">
        <v>118</v>
      </c>
      <c r="AP1910">
        <v>-82</v>
      </c>
      <c r="AQ1910">
        <v>-116</v>
      </c>
      <c r="AR1910">
        <v>0</v>
      </c>
      <c r="AZ1910">
        <v>4516</v>
      </c>
      <c r="BA1910">
        <v>1</v>
      </c>
      <c r="BB1910" t="str">
        <f t="shared" si="182"/>
        <v xml:space="preserve">N79NX   </v>
      </c>
      <c r="BC1910">
        <v>1</v>
      </c>
      <c r="BE1910">
        <v>0</v>
      </c>
      <c r="BF1910">
        <v>0</v>
      </c>
      <c r="BG1910">
        <v>0</v>
      </c>
      <c r="BH1910">
        <v>2800</v>
      </c>
      <c r="BI1910">
        <v>0</v>
      </c>
      <c r="BJ1910">
        <v>0</v>
      </c>
      <c r="BK1910">
        <v>0</v>
      </c>
      <c r="BL1910">
        <v>0</v>
      </c>
      <c r="BO1910">
        <v>0</v>
      </c>
      <c r="BP1910">
        <v>0</v>
      </c>
      <c r="BW1910" t="str">
        <f>"18:56:11.955"</f>
        <v>18:56:11.955</v>
      </c>
      <c r="BZ1910">
        <v>0</v>
      </c>
      <c r="CA1910">
        <v>2208</v>
      </c>
      <c r="CB1910">
        <v>216</v>
      </c>
      <c r="CC1910">
        <v>593.4375</v>
      </c>
      <c r="CD1910">
        <v>1</v>
      </c>
      <c r="CE1910">
        <v>1</v>
      </c>
      <c r="CF1910">
        <v>0</v>
      </c>
      <c r="CG1910">
        <v>1</v>
      </c>
      <c r="CH1910">
        <v>0</v>
      </c>
      <c r="CI1910">
        <v>0</v>
      </c>
      <c r="CJ1910">
        <v>0</v>
      </c>
      <c r="CK1910">
        <v>2</v>
      </c>
      <c r="CL1910">
        <v>0</v>
      </c>
      <c r="CM1910">
        <v>2</v>
      </c>
      <c r="CN1910">
        <v>0</v>
      </c>
      <c r="CO1910">
        <v>1</v>
      </c>
      <c r="CP1910" t="s">
        <v>119</v>
      </c>
      <c r="CQ1910">
        <v>70</v>
      </c>
      <c r="CR1910">
        <v>1</v>
      </c>
      <c r="CW1910">
        <v>3689063</v>
      </c>
      <c r="CY1910">
        <v>0</v>
      </c>
      <c r="CZ1910">
        <v>0</v>
      </c>
      <c r="DA1910">
        <v>1</v>
      </c>
      <c r="DB1910">
        <v>0</v>
      </c>
      <c r="DC1910">
        <v>0</v>
      </c>
      <c r="DD1910">
        <v>0</v>
      </c>
      <c r="DE1910">
        <v>0</v>
      </c>
      <c r="DF1910">
        <v>0</v>
      </c>
      <c r="DG1910">
        <v>0</v>
      </c>
      <c r="DH1910">
        <v>0</v>
      </c>
      <c r="DI1910">
        <v>0</v>
      </c>
    </row>
    <row r="1911" spans="1:113" x14ac:dyDescent="0.3">
      <c r="A1911" t="str">
        <f>"02/13/2022 18:56:13.160"</f>
        <v>02/13/2022 18:56:13.160</v>
      </c>
      <c r="C1911" t="str">
        <f t="shared" si="181"/>
        <v>FFDFD7C0</v>
      </c>
      <c r="D1911" t="s">
        <v>113</v>
      </c>
      <c r="E1911">
        <v>3</v>
      </c>
      <c r="F1911">
        <v>1003</v>
      </c>
      <c r="G1911" t="s">
        <v>114</v>
      </c>
      <c r="J1911" t="s">
        <v>115</v>
      </c>
      <c r="K1911">
        <v>0</v>
      </c>
      <c r="L1911">
        <v>3</v>
      </c>
      <c r="M1911">
        <v>0</v>
      </c>
      <c r="N1911">
        <v>2</v>
      </c>
      <c r="O1911">
        <v>1</v>
      </c>
      <c r="P1911">
        <v>0</v>
      </c>
      <c r="Q1911">
        <v>0</v>
      </c>
      <c r="S1911" t="str">
        <f>"18:56:12.922"</f>
        <v>18:56:12.922</v>
      </c>
      <c r="T1911" t="str">
        <f>"18:56:12.522"</f>
        <v>18:56:12.522</v>
      </c>
      <c r="U1911" t="str">
        <f t="shared" si="183"/>
        <v>AAB6EE</v>
      </c>
      <c r="V1911">
        <v>0</v>
      </c>
      <c r="W1911">
        <v>0</v>
      </c>
      <c r="X1911">
        <v>4</v>
      </c>
      <c r="Z1911">
        <v>0</v>
      </c>
      <c r="AA1911">
        <v>8</v>
      </c>
      <c r="AB1911">
        <v>3</v>
      </c>
      <c r="AC1911">
        <v>0</v>
      </c>
      <c r="AD1911">
        <v>10</v>
      </c>
      <c r="AE1911">
        <v>0</v>
      </c>
      <c r="AF1911">
        <v>0</v>
      </c>
      <c r="AG1911">
        <v>2</v>
      </c>
      <c r="AH1911">
        <v>1</v>
      </c>
      <c r="AI1911" t="s">
        <v>1399</v>
      </c>
      <c r="AJ1911">
        <v>34.879295999999997</v>
      </c>
      <c r="AK1911" t="s">
        <v>1400</v>
      </c>
      <c r="AL1911">
        <v>-76.123366000000004</v>
      </c>
      <c r="AM1911">
        <v>25</v>
      </c>
      <c r="AN1911">
        <v>2925</v>
      </c>
      <c r="AO1911" t="s">
        <v>118</v>
      </c>
      <c r="AP1911">
        <v>-82</v>
      </c>
      <c r="AQ1911">
        <v>-116</v>
      </c>
      <c r="AR1911">
        <v>0</v>
      </c>
      <c r="AZ1911">
        <v>4516</v>
      </c>
      <c r="BA1911">
        <v>1</v>
      </c>
      <c r="BB1911" t="str">
        <f t="shared" si="182"/>
        <v xml:space="preserve">N79NX   </v>
      </c>
      <c r="BC1911">
        <v>1</v>
      </c>
      <c r="BE1911">
        <v>0</v>
      </c>
      <c r="BF1911">
        <v>0</v>
      </c>
      <c r="BG1911">
        <v>0</v>
      </c>
      <c r="BH1911">
        <v>2800</v>
      </c>
      <c r="BI1911">
        <v>0</v>
      </c>
      <c r="BJ1911">
        <v>0</v>
      </c>
      <c r="BK1911">
        <v>0</v>
      </c>
      <c r="BL1911">
        <v>0</v>
      </c>
      <c r="BO1911">
        <v>0</v>
      </c>
      <c r="BP1911">
        <v>0</v>
      </c>
      <c r="BW1911" t="str">
        <f>"18:56:12.925"</f>
        <v>18:56:12.925</v>
      </c>
      <c r="BZ1911">
        <v>0</v>
      </c>
      <c r="CA1911">
        <v>1792</v>
      </c>
      <c r="CB1911">
        <v>216</v>
      </c>
      <c r="CC1911">
        <v>593.4375</v>
      </c>
      <c r="CD1911">
        <v>1</v>
      </c>
      <c r="CE1911">
        <v>1</v>
      </c>
      <c r="CF1911">
        <v>0</v>
      </c>
      <c r="CG1911">
        <v>1</v>
      </c>
      <c r="CH1911">
        <v>0</v>
      </c>
      <c r="CI1911">
        <v>0</v>
      </c>
      <c r="CJ1911">
        <v>0</v>
      </c>
      <c r="CK1911">
        <v>2</v>
      </c>
      <c r="CL1911">
        <v>0</v>
      </c>
      <c r="CM1911">
        <v>2</v>
      </c>
      <c r="CN1911">
        <v>0</v>
      </c>
      <c r="CO1911">
        <v>1</v>
      </c>
      <c r="CP1911" t="s">
        <v>119</v>
      </c>
      <c r="CQ1911">
        <v>70</v>
      </c>
      <c r="CR1911">
        <v>1</v>
      </c>
      <c r="CW1911">
        <v>3689760</v>
      </c>
      <c r="CY1911">
        <v>0</v>
      </c>
      <c r="CZ1911">
        <v>0</v>
      </c>
      <c r="DA1911">
        <v>0</v>
      </c>
      <c r="DB1911">
        <v>0</v>
      </c>
      <c r="DC1911">
        <v>0</v>
      </c>
      <c r="DD1911">
        <v>0</v>
      </c>
      <c r="DE1911">
        <v>0</v>
      </c>
      <c r="DF1911">
        <v>0</v>
      </c>
      <c r="DG1911">
        <v>0</v>
      </c>
      <c r="DH1911">
        <v>0</v>
      </c>
      <c r="DI1911">
        <v>0</v>
      </c>
    </row>
    <row r="1912" spans="1:113" x14ac:dyDescent="0.3">
      <c r="A1912" t="str">
        <f>"02/13/2022 18:56:13.160"</f>
        <v>02/13/2022 18:56:13.160</v>
      </c>
      <c r="C1912" t="str">
        <f t="shared" si="181"/>
        <v>FFDFD7C0</v>
      </c>
      <c r="D1912" t="s">
        <v>113</v>
      </c>
      <c r="E1912">
        <v>4</v>
      </c>
      <c r="F1912">
        <v>1004</v>
      </c>
      <c r="G1912" t="s">
        <v>120</v>
      </c>
      <c r="J1912" t="s">
        <v>115</v>
      </c>
      <c r="K1912">
        <v>0</v>
      </c>
      <c r="L1912">
        <v>3</v>
      </c>
      <c r="M1912">
        <v>0</v>
      </c>
      <c r="N1912">
        <v>2</v>
      </c>
      <c r="O1912">
        <v>1</v>
      </c>
      <c r="P1912">
        <v>0</v>
      </c>
      <c r="Q1912">
        <v>0</v>
      </c>
      <c r="S1912" t="str">
        <f>"18:56:12.922"</f>
        <v>18:56:12.922</v>
      </c>
      <c r="T1912" t="str">
        <f>"18:56:12.522"</f>
        <v>18:56:12.522</v>
      </c>
      <c r="U1912" t="str">
        <f t="shared" si="183"/>
        <v>AAB6EE</v>
      </c>
      <c r="V1912">
        <v>0</v>
      </c>
      <c r="W1912">
        <v>0</v>
      </c>
      <c r="X1912">
        <v>4</v>
      </c>
      <c r="Z1912">
        <v>0</v>
      </c>
      <c r="AA1912">
        <v>8</v>
      </c>
      <c r="AB1912">
        <v>3</v>
      </c>
      <c r="AC1912">
        <v>0</v>
      </c>
      <c r="AD1912">
        <v>10</v>
      </c>
      <c r="AE1912">
        <v>0</v>
      </c>
      <c r="AF1912">
        <v>0</v>
      </c>
      <c r="AG1912">
        <v>2</v>
      </c>
      <c r="AH1912">
        <v>1</v>
      </c>
      <c r="AI1912" t="s">
        <v>1399</v>
      </c>
      <c r="AJ1912">
        <v>34.879295999999997</v>
      </c>
      <c r="AK1912" t="s">
        <v>1400</v>
      </c>
      <c r="AL1912">
        <v>-76.123366000000004</v>
      </c>
      <c r="AM1912">
        <v>25</v>
      </c>
      <c r="AN1912">
        <v>2925</v>
      </c>
      <c r="AO1912" t="s">
        <v>118</v>
      </c>
      <c r="AP1912">
        <v>-82</v>
      </c>
      <c r="AQ1912">
        <v>-116</v>
      </c>
      <c r="AR1912">
        <v>0</v>
      </c>
      <c r="AZ1912">
        <v>4516</v>
      </c>
      <c r="BA1912">
        <v>1</v>
      </c>
      <c r="BB1912" t="str">
        <f t="shared" si="182"/>
        <v xml:space="preserve">N79NX   </v>
      </c>
      <c r="BC1912">
        <v>1</v>
      </c>
      <c r="BE1912">
        <v>0</v>
      </c>
      <c r="BF1912">
        <v>0</v>
      </c>
      <c r="BG1912">
        <v>0</v>
      </c>
      <c r="BH1912">
        <v>2800</v>
      </c>
      <c r="BI1912">
        <v>0</v>
      </c>
      <c r="BJ1912">
        <v>0</v>
      </c>
      <c r="BK1912">
        <v>0</v>
      </c>
      <c r="BL1912">
        <v>0</v>
      </c>
      <c r="BO1912">
        <v>0</v>
      </c>
      <c r="BP1912">
        <v>0</v>
      </c>
      <c r="BW1912" t="str">
        <f>"18:56:12.925"</f>
        <v>18:56:12.925</v>
      </c>
      <c r="BZ1912">
        <v>0</v>
      </c>
      <c r="CA1912">
        <v>1792</v>
      </c>
      <c r="CB1912">
        <v>216</v>
      </c>
      <c r="CC1912">
        <v>593.4375</v>
      </c>
      <c r="CD1912">
        <v>1</v>
      </c>
      <c r="CE1912">
        <v>1</v>
      </c>
      <c r="CF1912">
        <v>0</v>
      </c>
      <c r="CG1912">
        <v>1</v>
      </c>
      <c r="CH1912">
        <v>0</v>
      </c>
      <c r="CI1912">
        <v>0</v>
      </c>
      <c r="CJ1912">
        <v>0</v>
      </c>
      <c r="CK1912">
        <v>2</v>
      </c>
      <c r="CL1912">
        <v>0</v>
      </c>
      <c r="CM1912">
        <v>2</v>
      </c>
      <c r="CN1912">
        <v>0</v>
      </c>
      <c r="CO1912">
        <v>1</v>
      </c>
      <c r="CP1912" t="s">
        <v>119</v>
      </c>
      <c r="CQ1912">
        <v>70</v>
      </c>
      <c r="CR1912">
        <v>1</v>
      </c>
      <c r="CW1912">
        <v>3689760</v>
      </c>
      <c r="CY1912">
        <v>0</v>
      </c>
      <c r="CZ1912">
        <v>0</v>
      </c>
      <c r="DA1912">
        <v>1</v>
      </c>
      <c r="DB1912">
        <v>0</v>
      </c>
      <c r="DC1912">
        <v>0</v>
      </c>
      <c r="DD1912">
        <v>0</v>
      </c>
      <c r="DE1912">
        <v>0</v>
      </c>
      <c r="DF1912">
        <v>0</v>
      </c>
      <c r="DG1912">
        <v>0</v>
      </c>
      <c r="DH1912">
        <v>0</v>
      </c>
      <c r="DI1912">
        <v>0</v>
      </c>
    </row>
    <row r="1913" spans="1:113" x14ac:dyDescent="0.3">
      <c r="A1913" t="str">
        <f>"02/13/2022 18:56:13.160"</f>
        <v>02/13/2022 18:56:13.160</v>
      </c>
      <c r="C1913" t="str">
        <f t="shared" si="181"/>
        <v>FFDFD7C0</v>
      </c>
      <c r="D1913" t="s">
        <v>121</v>
      </c>
      <c r="E1913">
        <v>2</v>
      </c>
      <c r="H1913">
        <v>158</v>
      </c>
      <c r="I1913" t="s">
        <v>120</v>
      </c>
      <c r="J1913" t="s">
        <v>122</v>
      </c>
      <c r="K1913">
        <v>0</v>
      </c>
      <c r="L1913">
        <v>3</v>
      </c>
      <c r="M1913">
        <v>0</v>
      </c>
      <c r="N1913">
        <v>2</v>
      </c>
      <c r="O1913">
        <v>1</v>
      </c>
      <c r="P1913">
        <v>0</v>
      </c>
      <c r="Q1913">
        <v>0</v>
      </c>
      <c r="S1913" t="str">
        <f>"18:56:12.922"</f>
        <v>18:56:12.922</v>
      </c>
      <c r="T1913" t="str">
        <f>"18:56:12.522"</f>
        <v>18:56:12.522</v>
      </c>
      <c r="U1913" t="str">
        <f t="shared" si="183"/>
        <v>AAB6EE</v>
      </c>
      <c r="V1913">
        <v>0</v>
      </c>
      <c r="W1913">
        <v>0</v>
      </c>
      <c r="X1913">
        <v>4</v>
      </c>
      <c r="Z1913">
        <v>0</v>
      </c>
      <c r="AA1913">
        <v>8</v>
      </c>
      <c r="AB1913">
        <v>3</v>
      </c>
      <c r="AC1913">
        <v>0</v>
      </c>
      <c r="AD1913">
        <v>10</v>
      </c>
      <c r="AE1913">
        <v>0</v>
      </c>
      <c r="AF1913">
        <v>0</v>
      </c>
      <c r="AG1913">
        <v>2</v>
      </c>
      <c r="AH1913">
        <v>1</v>
      </c>
      <c r="AI1913" t="s">
        <v>1399</v>
      </c>
      <c r="AJ1913">
        <v>34.879295999999997</v>
      </c>
      <c r="AK1913" t="s">
        <v>1400</v>
      </c>
      <c r="AL1913">
        <v>-76.123366000000004</v>
      </c>
      <c r="AM1913">
        <v>25</v>
      </c>
      <c r="AN1913">
        <v>2925</v>
      </c>
      <c r="AO1913" t="s">
        <v>118</v>
      </c>
      <c r="AP1913">
        <v>-82</v>
      </c>
      <c r="AQ1913">
        <v>-116</v>
      </c>
      <c r="AR1913">
        <v>0</v>
      </c>
      <c r="AZ1913">
        <v>4516</v>
      </c>
      <c r="BA1913">
        <v>1</v>
      </c>
      <c r="BB1913" t="str">
        <f t="shared" si="182"/>
        <v xml:space="preserve">N79NX   </v>
      </c>
      <c r="BC1913">
        <v>1</v>
      </c>
      <c r="BE1913">
        <v>0</v>
      </c>
      <c r="BF1913">
        <v>0</v>
      </c>
      <c r="BG1913">
        <v>0</v>
      </c>
      <c r="BH1913">
        <v>2800</v>
      </c>
      <c r="BI1913">
        <v>0</v>
      </c>
      <c r="BJ1913">
        <v>0</v>
      </c>
      <c r="BK1913">
        <v>0</v>
      </c>
      <c r="BL1913">
        <v>0</v>
      </c>
      <c r="BO1913">
        <v>0</v>
      </c>
      <c r="BP1913">
        <v>0</v>
      </c>
      <c r="BW1913" t="str">
        <f>"18:56:12.925"</f>
        <v>18:56:12.925</v>
      </c>
      <c r="BZ1913">
        <v>0</v>
      </c>
      <c r="CA1913">
        <v>1792</v>
      </c>
      <c r="CB1913">
        <v>216</v>
      </c>
      <c r="CC1913">
        <v>593.4375</v>
      </c>
      <c r="CD1913">
        <v>1</v>
      </c>
      <c r="CE1913">
        <v>1</v>
      </c>
      <c r="CF1913">
        <v>0</v>
      </c>
      <c r="CG1913">
        <v>1</v>
      </c>
      <c r="CH1913">
        <v>0</v>
      </c>
      <c r="CI1913">
        <v>0</v>
      </c>
      <c r="CJ1913">
        <v>0</v>
      </c>
      <c r="CK1913">
        <v>2</v>
      </c>
      <c r="CL1913">
        <v>0</v>
      </c>
      <c r="CM1913">
        <v>2</v>
      </c>
      <c r="CN1913">
        <v>0</v>
      </c>
      <c r="CO1913">
        <v>1</v>
      </c>
      <c r="CP1913" t="s">
        <v>119</v>
      </c>
      <c r="CQ1913">
        <v>70</v>
      </c>
      <c r="CR1913">
        <v>1</v>
      </c>
      <c r="CW1913">
        <v>3689760</v>
      </c>
      <c r="CY1913">
        <v>0</v>
      </c>
      <c r="CZ1913">
        <v>0</v>
      </c>
      <c r="DA1913">
        <v>1</v>
      </c>
      <c r="DB1913">
        <v>0</v>
      </c>
      <c r="DC1913">
        <v>0</v>
      </c>
      <c r="DD1913">
        <v>0</v>
      </c>
      <c r="DE1913">
        <v>0</v>
      </c>
      <c r="DF1913">
        <v>0</v>
      </c>
      <c r="DG1913">
        <v>0</v>
      </c>
      <c r="DH1913">
        <v>0</v>
      </c>
      <c r="DI1913">
        <v>0</v>
      </c>
    </row>
    <row r="1914" spans="1:113" x14ac:dyDescent="0.3">
      <c r="A1914" t="str">
        <f>"02/13/2022 18:56:14.207"</f>
        <v>02/13/2022 18:56:14.207</v>
      </c>
      <c r="C1914" t="str">
        <f t="shared" si="181"/>
        <v>FFDFD7C0</v>
      </c>
      <c r="D1914" t="s">
        <v>113</v>
      </c>
      <c r="E1914">
        <v>3</v>
      </c>
      <c r="F1914">
        <v>1003</v>
      </c>
      <c r="G1914" t="s">
        <v>114</v>
      </c>
      <c r="J1914" t="s">
        <v>115</v>
      </c>
      <c r="K1914">
        <v>0</v>
      </c>
      <c r="L1914">
        <v>3</v>
      </c>
      <c r="M1914">
        <v>0</v>
      </c>
      <c r="N1914">
        <v>2</v>
      </c>
      <c r="O1914">
        <v>1</v>
      </c>
      <c r="P1914">
        <v>0</v>
      </c>
      <c r="Q1914">
        <v>0</v>
      </c>
      <c r="S1914" t="str">
        <f t="shared" ref="S1914:T1916" si="190">"18:56:13.914"</f>
        <v>18:56:13.914</v>
      </c>
      <c r="T1914" t="str">
        <f t="shared" si="190"/>
        <v>18:56:13.914</v>
      </c>
      <c r="U1914" t="str">
        <f t="shared" si="183"/>
        <v>AAB6EE</v>
      </c>
      <c r="V1914">
        <v>0</v>
      </c>
      <c r="W1914">
        <v>0</v>
      </c>
      <c r="X1914">
        <v>4</v>
      </c>
      <c r="Z1914">
        <v>0</v>
      </c>
      <c r="AA1914">
        <v>8</v>
      </c>
      <c r="AB1914">
        <v>3</v>
      </c>
      <c r="AC1914">
        <v>0</v>
      </c>
      <c r="AD1914">
        <v>10</v>
      </c>
      <c r="AE1914">
        <v>0</v>
      </c>
      <c r="AF1914">
        <v>0</v>
      </c>
      <c r="AG1914">
        <v>2</v>
      </c>
      <c r="AH1914">
        <v>1</v>
      </c>
      <c r="AI1914" t="s">
        <v>1401</v>
      </c>
      <c r="AJ1914">
        <v>34.878759000000002</v>
      </c>
      <c r="AK1914" t="s">
        <v>1402</v>
      </c>
      <c r="AL1914">
        <v>-76.123880999999997</v>
      </c>
      <c r="AM1914">
        <v>25</v>
      </c>
      <c r="AN1914">
        <v>2925</v>
      </c>
      <c r="AO1914" t="s">
        <v>118</v>
      </c>
      <c r="AP1914">
        <v>-82</v>
      </c>
      <c r="AQ1914">
        <v>-116</v>
      </c>
      <c r="AR1914">
        <v>64</v>
      </c>
      <c r="AZ1914">
        <v>4516</v>
      </c>
      <c r="BA1914">
        <v>1</v>
      </c>
      <c r="BB1914" t="str">
        <f t="shared" si="182"/>
        <v xml:space="preserve">N79NX   </v>
      </c>
      <c r="BC1914">
        <v>1</v>
      </c>
      <c r="BE1914">
        <v>0</v>
      </c>
      <c r="BF1914">
        <v>0</v>
      </c>
      <c r="BG1914">
        <v>0</v>
      </c>
      <c r="BH1914">
        <v>2800</v>
      </c>
      <c r="BI1914">
        <v>0</v>
      </c>
      <c r="BJ1914">
        <v>0</v>
      </c>
      <c r="BK1914">
        <v>0</v>
      </c>
      <c r="BL1914">
        <v>0</v>
      </c>
      <c r="BO1914">
        <v>0</v>
      </c>
      <c r="BP1914">
        <v>0</v>
      </c>
      <c r="BW1914" t="str">
        <f>"18:56:13.915"</f>
        <v>18:56:13.915</v>
      </c>
      <c r="BZ1914">
        <v>0</v>
      </c>
      <c r="CA1914">
        <v>1792</v>
      </c>
      <c r="CB1914">
        <v>216</v>
      </c>
      <c r="CC1914">
        <v>593.4375</v>
      </c>
      <c r="CD1914">
        <v>1</v>
      </c>
      <c r="CE1914">
        <v>1</v>
      </c>
      <c r="CF1914">
        <v>0</v>
      </c>
      <c r="CG1914">
        <v>1</v>
      </c>
      <c r="CH1914">
        <v>0</v>
      </c>
      <c r="CI1914">
        <v>0</v>
      </c>
      <c r="CJ1914">
        <v>0</v>
      </c>
      <c r="CK1914">
        <v>2</v>
      </c>
      <c r="CL1914">
        <v>0</v>
      </c>
      <c r="CM1914">
        <v>2</v>
      </c>
      <c r="CN1914">
        <v>0</v>
      </c>
      <c r="CO1914">
        <v>1</v>
      </c>
      <c r="CP1914" t="s">
        <v>119</v>
      </c>
      <c r="CQ1914">
        <v>70</v>
      </c>
      <c r="CR1914">
        <v>1</v>
      </c>
      <c r="CW1914">
        <v>3690515</v>
      </c>
      <c r="CY1914">
        <v>0</v>
      </c>
      <c r="CZ1914">
        <v>0</v>
      </c>
      <c r="DA1914">
        <v>0</v>
      </c>
      <c r="DB1914">
        <v>0</v>
      </c>
      <c r="DC1914">
        <v>0</v>
      </c>
      <c r="DD1914">
        <v>0</v>
      </c>
      <c r="DE1914">
        <v>0</v>
      </c>
      <c r="DF1914">
        <v>0</v>
      </c>
      <c r="DG1914">
        <v>0</v>
      </c>
      <c r="DH1914">
        <v>0</v>
      </c>
      <c r="DI1914">
        <v>0</v>
      </c>
    </row>
    <row r="1915" spans="1:113" x14ac:dyDescent="0.3">
      <c r="A1915" t="str">
        <f>"02/13/2022 18:56:14.207"</f>
        <v>02/13/2022 18:56:14.207</v>
      </c>
      <c r="C1915" t="str">
        <f t="shared" si="181"/>
        <v>FFDFD7C0</v>
      </c>
      <c r="D1915" t="s">
        <v>113</v>
      </c>
      <c r="E1915">
        <v>4</v>
      </c>
      <c r="F1915">
        <v>1004</v>
      </c>
      <c r="G1915" t="s">
        <v>120</v>
      </c>
      <c r="J1915" t="s">
        <v>115</v>
      </c>
      <c r="K1915">
        <v>0</v>
      </c>
      <c r="L1915">
        <v>3</v>
      </c>
      <c r="M1915">
        <v>0</v>
      </c>
      <c r="N1915">
        <v>2</v>
      </c>
      <c r="O1915">
        <v>1</v>
      </c>
      <c r="P1915">
        <v>0</v>
      </c>
      <c r="Q1915">
        <v>0</v>
      </c>
      <c r="S1915" t="str">
        <f t="shared" si="190"/>
        <v>18:56:13.914</v>
      </c>
      <c r="T1915" t="str">
        <f t="shared" si="190"/>
        <v>18:56:13.914</v>
      </c>
      <c r="U1915" t="str">
        <f t="shared" si="183"/>
        <v>AAB6EE</v>
      </c>
      <c r="V1915">
        <v>0</v>
      </c>
      <c r="W1915">
        <v>0</v>
      </c>
      <c r="X1915">
        <v>4</v>
      </c>
      <c r="Z1915">
        <v>0</v>
      </c>
      <c r="AA1915">
        <v>8</v>
      </c>
      <c r="AB1915">
        <v>3</v>
      </c>
      <c r="AC1915">
        <v>0</v>
      </c>
      <c r="AD1915">
        <v>10</v>
      </c>
      <c r="AE1915">
        <v>0</v>
      </c>
      <c r="AF1915">
        <v>0</v>
      </c>
      <c r="AG1915">
        <v>2</v>
      </c>
      <c r="AH1915">
        <v>1</v>
      </c>
      <c r="AI1915" t="s">
        <v>1401</v>
      </c>
      <c r="AJ1915">
        <v>34.878759000000002</v>
      </c>
      <c r="AK1915" t="s">
        <v>1402</v>
      </c>
      <c r="AL1915">
        <v>-76.123880999999997</v>
      </c>
      <c r="AM1915">
        <v>25</v>
      </c>
      <c r="AN1915">
        <v>2925</v>
      </c>
      <c r="AO1915" t="s">
        <v>118</v>
      </c>
      <c r="AP1915">
        <v>-82</v>
      </c>
      <c r="AQ1915">
        <v>-116</v>
      </c>
      <c r="AR1915">
        <v>64</v>
      </c>
      <c r="AZ1915">
        <v>4516</v>
      </c>
      <c r="BA1915">
        <v>1</v>
      </c>
      <c r="BB1915" t="str">
        <f t="shared" si="182"/>
        <v xml:space="preserve">N79NX   </v>
      </c>
      <c r="BC1915">
        <v>1</v>
      </c>
      <c r="BE1915">
        <v>0</v>
      </c>
      <c r="BF1915">
        <v>0</v>
      </c>
      <c r="BG1915">
        <v>0</v>
      </c>
      <c r="BH1915">
        <v>2800</v>
      </c>
      <c r="BI1915">
        <v>0</v>
      </c>
      <c r="BJ1915">
        <v>0</v>
      </c>
      <c r="BK1915">
        <v>0</v>
      </c>
      <c r="BL1915">
        <v>0</v>
      </c>
      <c r="BO1915">
        <v>0</v>
      </c>
      <c r="BP1915">
        <v>0</v>
      </c>
      <c r="BW1915" t="str">
        <f>"18:56:13.915"</f>
        <v>18:56:13.915</v>
      </c>
      <c r="BZ1915">
        <v>0</v>
      </c>
      <c r="CA1915">
        <v>1792</v>
      </c>
      <c r="CB1915">
        <v>216</v>
      </c>
      <c r="CC1915">
        <v>593.4375</v>
      </c>
      <c r="CD1915">
        <v>1</v>
      </c>
      <c r="CE1915">
        <v>1</v>
      </c>
      <c r="CF1915">
        <v>0</v>
      </c>
      <c r="CG1915">
        <v>1</v>
      </c>
      <c r="CH1915">
        <v>0</v>
      </c>
      <c r="CI1915">
        <v>0</v>
      </c>
      <c r="CJ1915">
        <v>0</v>
      </c>
      <c r="CK1915">
        <v>2</v>
      </c>
      <c r="CL1915">
        <v>0</v>
      </c>
      <c r="CM1915">
        <v>2</v>
      </c>
      <c r="CN1915">
        <v>0</v>
      </c>
      <c r="CO1915">
        <v>1</v>
      </c>
      <c r="CP1915" t="s">
        <v>119</v>
      </c>
      <c r="CQ1915">
        <v>70</v>
      </c>
      <c r="CR1915">
        <v>1</v>
      </c>
      <c r="CW1915">
        <v>3690515</v>
      </c>
      <c r="CY1915">
        <v>0</v>
      </c>
      <c r="CZ1915">
        <v>0</v>
      </c>
      <c r="DA1915">
        <v>1</v>
      </c>
      <c r="DB1915">
        <v>0</v>
      </c>
      <c r="DC1915">
        <v>0</v>
      </c>
      <c r="DD1915">
        <v>0</v>
      </c>
      <c r="DE1915">
        <v>0</v>
      </c>
      <c r="DF1915">
        <v>0</v>
      </c>
      <c r="DG1915">
        <v>0</v>
      </c>
      <c r="DH1915">
        <v>0</v>
      </c>
      <c r="DI1915">
        <v>0</v>
      </c>
    </row>
    <row r="1916" spans="1:113" x14ac:dyDescent="0.3">
      <c r="A1916" t="str">
        <f>"02/13/2022 18:56:14.207"</f>
        <v>02/13/2022 18:56:14.207</v>
      </c>
      <c r="C1916" t="str">
        <f t="shared" si="181"/>
        <v>FFDFD7C0</v>
      </c>
      <c r="D1916" t="s">
        <v>121</v>
      </c>
      <c r="E1916">
        <v>2</v>
      </c>
      <c r="H1916">
        <v>158</v>
      </c>
      <c r="I1916" t="s">
        <v>120</v>
      </c>
      <c r="J1916" t="s">
        <v>122</v>
      </c>
      <c r="K1916">
        <v>0</v>
      </c>
      <c r="L1916">
        <v>3</v>
      </c>
      <c r="M1916">
        <v>0</v>
      </c>
      <c r="N1916">
        <v>2</v>
      </c>
      <c r="O1916">
        <v>1</v>
      </c>
      <c r="P1916">
        <v>0</v>
      </c>
      <c r="Q1916">
        <v>0</v>
      </c>
      <c r="S1916" t="str">
        <f t="shared" si="190"/>
        <v>18:56:13.914</v>
      </c>
      <c r="T1916" t="str">
        <f t="shared" si="190"/>
        <v>18:56:13.914</v>
      </c>
      <c r="U1916" t="str">
        <f t="shared" si="183"/>
        <v>AAB6EE</v>
      </c>
      <c r="V1916">
        <v>0</v>
      </c>
      <c r="W1916">
        <v>0</v>
      </c>
      <c r="X1916">
        <v>4</v>
      </c>
      <c r="Z1916">
        <v>0</v>
      </c>
      <c r="AA1916">
        <v>8</v>
      </c>
      <c r="AB1916">
        <v>3</v>
      </c>
      <c r="AC1916">
        <v>0</v>
      </c>
      <c r="AD1916">
        <v>10</v>
      </c>
      <c r="AE1916">
        <v>0</v>
      </c>
      <c r="AF1916">
        <v>0</v>
      </c>
      <c r="AG1916">
        <v>2</v>
      </c>
      <c r="AH1916">
        <v>1</v>
      </c>
      <c r="AI1916" t="s">
        <v>1401</v>
      </c>
      <c r="AJ1916">
        <v>34.878759000000002</v>
      </c>
      <c r="AK1916" t="s">
        <v>1402</v>
      </c>
      <c r="AL1916">
        <v>-76.123880999999997</v>
      </c>
      <c r="AM1916">
        <v>25</v>
      </c>
      <c r="AN1916">
        <v>2925</v>
      </c>
      <c r="AO1916" t="s">
        <v>118</v>
      </c>
      <c r="AP1916">
        <v>-82</v>
      </c>
      <c r="AQ1916">
        <v>-116</v>
      </c>
      <c r="AR1916">
        <v>64</v>
      </c>
      <c r="AZ1916">
        <v>4516</v>
      </c>
      <c r="BA1916">
        <v>1</v>
      </c>
      <c r="BB1916" t="str">
        <f t="shared" si="182"/>
        <v xml:space="preserve">N79NX   </v>
      </c>
      <c r="BC1916">
        <v>1</v>
      </c>
      <c r="BE1916">
        <v>0</v>
      </c>
      <c r="BF1916">
        <v>0</v>
      </c>
      <c r="BG1916">
        <v>0</v>
      </c>
      <c r="BH1916">
        <v>2800</v>
      </c>
      <c r="BI1916">
        <v>0</v>
      </c>
      <c r="BJ1916">
        <v>0</v>
      </c>
      <c r="BK1916">
        <v>0</v>
      </c>
      <c r="BL1916">
        <v>0</v>
      </c>
      <c r="BO1916">
        <v>0</v>
      </c>
      <c r="BP1916">
        <v>0</v>
      </c>
      <c r="BW1916" t="str">
        <f>"18:56:13.915"</f>
        <v>18:56:13.915</v>
      </c>
      <c r="BZ1916">
        <v>0</v>
      </c>
      <c r="CA1916">
        <v>1792</v>
      </c>
      <c r="CB1916">
        <v>216</v>
      </c>
      <c r="CC1916">
        <v>593.4375</v>
      </c>
      <c r="CD1916">
        <v>1</v>
      </c>
      <c r="CE1916">
        <v>1</v>
      </c>
      <c r="CF1916">
        <v>0</v>
      </c>
      <c r="CG1916">
        <v>1</v>
      </c>
      <c r="CH1916">
        <v>0</v>
      </c>
      <c r="CI1916">
        <v>0</v>
      </c>
      <c r="CJ1916">
        <v>0</v>
      </c>
      <c r="CK1916">
        <v>2</v>
      </c>
      <c r="CL1916">
        <v>0</v>
      </c>
      <c r="CM1916">
        <v>2</v>
      </c>
      <c r="CN1916">
        <v>0</v>
      </c>
      <c r="CO1916">
        <v>1</v>
      </c>
      <c r="CP1916" t="s">
        <v>119</v>
      </c>
      <c r="CQ1916">
        <v>70</v>
      </c>
      <c r="CR1916">
        <v>1</v>
      </c>
      <c r="CW1916">
        <v>3690515</v>
      </c>
      <c r="CY1916">
        <v>0</v>
      </c>
      <c r="CZ1916">
        <v>0</v>
      </c>
      <c r="DA1916">
        <v>1</v>
      </c>
      <c r="DB1916">
        <v>0</v>
      </c>
      <c r="DC1916">
        <v>0</v>
      </c>
      <c r="DD1916">
        <v>0</v>
      </c>
      <c r="DE1916">
        <v>0</v>
      </c>
      <c r="DF1916">
        <v>0</v>
      </c>
      <c r="DG1916">
        <v>0</v>
      </c>
      <c r="DH1916">
        <v>0</v>
      </c>
      <c r="DI1916">
        <v>0</v>
      </c>
    </row>
    <row r="1917" spans="1:113" x14ac:dyDescent="0.3">
      <c r="A1917" t="str">
        <f>"02/13/2022 18:56:15.037"</f>
        <v>02/13/2022 18:56:15.037</v>
      </c>
      <c r="C1917" t="str">
        <f t="shared" si="181"/>
        <v>FFDFD7C0</v>
      </c>
      <c r="D1917" t="s">
        <v>121</v>
      </c>
      <c r="E1917">
        <v>2</v>
      </c>
      <c r="H1917">
        <v>158</v>
      </c>
      <c r="I1917" t="s">
        <v>120</v>
      </c>
      <c r="J1917" t="s">
        <v>122</v>
      </c>
      <c r="K1917">
        <v>0</v>
      </c>
      <c r="L1917">
        <v>3</v>
      </c>
      <c r="M1917">
        <v>0</v>
      </c>
      <c r="N1917">
        <v>2</v>
      </c>
      <c r="O1917">
        <v>1</v>
      </c>
      <c r="P1917">
        <v>0</v>
      </c>
      <c r="Q1917">
        <v>0</v>
      </c>
      <c r="S1917" t="str">
        <f>"18:56:14.852"</f>
        <v>18:56:14.852</v>
      </c>
      <c r="T1917" t="str">
        <f>"18:56:14.452"</f>
        <v>18:56:14.452</v>
      </c>
      <c r="U1917" t="str">
        <f t="shared" si="183"/>
        <v>AAB6EE</v>
      </c>
      <c r="V1917">
        <v>0</v>
      </c>
      <c r="W1917">
        <v>0</v>
      </c>
      <c r="X1917">
        <v>4</v>
      </c>
      <c r="Z1917">
        <v>0</v>
      </c>
      <c r="AA1917">
        <v>8</v>
      </c>
      <c r="AB1917">
        <v>3</v>
      </c>
      <c r="AC1917">
        <v>0</v>
      </c>
      <c r="AD1917">
        <v>10</v>
      </c>
      <c r="AE1917">
        <v>0</v>
      </c>
      <c r="AF1917">
        <v>0</v>
      </c>
      <c r="AG1917">
        <v>2</v>
      </c>
      <c r="AH1917">
        <v>1</v>
      </c>
      <c r="AI1917" t="s">
        <v>1403</v>
      </c>
      <c r="AJ1917">
        <v>34.878244000000002</v>
      </c>
      <c r="AK1917" t="s">
        <v>1404</v>
      </c>
      <c r="AL1917">
        <v>-76.124268000000001</v>
      </c>
      <c r="AM1917">
        <v>25</v>
      </c>
      <c r="AN1917">
        <v>2925</v>
      </c>
      <c r="AO1917" t="s">
        <v>118</v>
      </c>
      <c r="AP1917">
        <v>-82</v>
      </c>
      <c r="AQ1917">
        <v>-116</v>
      </c>
      <c r="AR1917">
        <v>64</v>
      </c>
      <c r="AZ1917">
        <v>4516</v>
      </c>
      <c r="BA1917">
        <v>1</v>
      </c>
      <c r="BB1917" t="str">
        <f t="shared" si="182"/>
        <v xml:space="preserve">N79NX   </v>
      </c>
      <c r="BC1917">
        <v>1</v>
      </c>
      <c r="BE1917">
        <v>0</v>
      </c>
      <c r="BF1917">
        <v>0</v>
      </c>
      <c r="BG1917">
        <v>0</v>
      </c>
      <c r="BH1917">
        <v>2800</v>
      </c>
      <c r="BI1917">
        <v>0</v>
      </c>
      <c r="BJ1917">
        <v>0</v>
      </c>
      <c r="BK1917">
        <v>0</v>
      </c>
      <c r="BL1917">
        <v>0</v>
      </c>
      <c r="BO1917">
        <v>0</v>
      </c>
      <c r="BP1917">
        <v>0</v>
      </c>
      <c r="BW1917" t="str">
        <f>"18:56:14.855"</f>
        <v>18:56:14.855</v>
      </c>
      <c r="BZ1917">
        <v>0</v>
      </c>
      <c r="CA1917">
        <v>1792</v>
      </c>
      <c r="CB1917">
        <v>216</v>
      </c>
      <c r="CC1917">
        <v>593.4375</v>
      </c>
      <c r="CD1917">
        <v>1</v>
      </c>
      <c r="CE1917">
        <v>1</v>
      </c>
      <c r="CF1917">
        <v>0</v>
      </c>
      <c r="CG1917">
        <v>1</v>
      </c>
      <c r="CH1917">
        <v>0</v>
      </c>
      <c r="CI1917">
        <v>0</v>
      </c>
      <c r="CJ1917">
        <v>0</v>
      </c>
      <c r="CK1917">
        <v>2</v>
      </c>
      <c r="CL1917">
        <v>0</v>
      </c>
      <c r="CM1917">
        <v>2</v>
      </c>
      <c r="CN1917">
        <v>0</v>
      </c>
      <c r="CO1917">
        <v>2</v>
      </c>
      <c r="CP1917" t="s">
        <v>119</v>
      </c>
      <c r="CQ1917">
        <v>70</v>
      </c>
      <c r="CR1917">
        <v>1</v>
      </c>
      <c r="CW1917">
        <v>3691273</v>
      </c>
      <c r="CY1917">
        <v>0</v>
      </c>
      <c r="CZ1917">
        <v>0</v>
      </c>
      <c r="DA1917">
        <v>0</v>
      </c>
      <c r="DB1917">
        <v>0</v>
      </c>
      <c r="DC1917">
        <v>0</v>
      </c>
      <c r="DD1917">
        <v>0</v>
      </c>
      <c r="DE1917">
        <v>0</v>
      </c>
      <c r="DF1917">
        <v>0</v>
      </c>
      <c r="DG1917">
        <v>0</v>
      </c>
      <c r="DH1917">
        <v>0</v>
      </c>
      <c r="DI1917">
        <v>0</v>
      </c>
    </row>
    <row r="1918" spans="1:113" x14ac:dyDescent="0.3">
      <c r="A1918" t="str">
        <f>"02/13/2022 18:56:15.099"</f>
        <v>02/13/2022 18:56:15.099</v>
      </c>
      <c r="C1918" t="str">
        <f t="shared" si="181"/>
        <v>FFDFD7C0</v>
      </c>
      <c r="D1918" t="s">
        <v>113</v>
      </c>
      <c r="E1918">
        <v>3</v>
      </c>
      <c r="F1918">
        <v>1003</v>
      </c>
      <c r="G1918" t="s">
        <v>114</v>
      </c>
      <c r="J1918" t="s">
        <v>115</v>
      </c>
      <c r="K1918">
        <v>0</v>
      </c>
      <c r="L1918">
        <v>3</v>
      </c>
      <c r="M1918">
        <v>0</v>
      </c>
      <c r="N1918">
        <v>2</v>
      </c>
      <c r="O1918">
        <v>1</v>
      </c>
      <c r="P1918">
        <v>0</v>
      </c>
      <c r="Q1918">
        <v>0</v>
      </c>
      <c r="S1918" t="str">
        <f>"18:56:14.852"</f>
        <v>18:56:14.852</v>
      </c>
      <c r="T1918" t="str">
        <f>"18:56:14.452"</f>
        <v>18:56:14.452</v>
      </c>
      <c r="U1918" t="str">
        <f t="shared" si="183"/>
        <v>AAB6EE</v>
      </c>
      <c r="V1918">
        <v>0</v>
      </c>
      <c r="W1918">
        <v>0</v>
      </c>
      <c r="X1918">
        <v>4</v>
      </c>
      <c r="Z1918">
        <v>0</v>
      </c>
      <c r="AA1918">
        <v>8</v>
      </c>
      <c r="AB1918">
        <v>3</v>
      </c>
      <c r="AC1918">
        <v>0</v>
      </c>
      <c r="AD1918">
        <v>10</v>
      </c>
      <c r="AE1918">
        <v>0</v>
      </c>
      <c r="AF1918">
        <v>0</v>
      </c>
      <c r="AG1918">
        <v>2</v>
      </c>
      <c r="AH1918">
        <v>1</v>
      </c>
      <c r="AI1918" t="s">
        <v>1403</v>
      </c>
      <c r="AJ1918">
        <v>34.878244000000002</v>
      </c>
      <c r="AK1918" t="s">
        <v>1404</v>
      </c>
      <c r="AL1918">
        <v>-76.124268000000001</v>
      </c>
      <c r="AM1918">
        <v>25</v>
      </c>
      <c r="AN1918">
        <v>2925</v>
      </c>
      <c r="AO1918" t="s">
        <v>118</v>
      </c>
      <c r="AP1918">
        <v>-82</v>
      </c>
      <c r="AQ1918">
        <v>-116</v>
      </c>
      <c r="AR1918">
        <v>64</v>
      </c>
      <c r="AZ1918">
        <v>4516</v>
      </c>
      <c r="BA1918">
        <v>1</v>
      </c>
      <c r="BB1918" t="str">
        <f t="shared" si="182"/>
        <v xml:space="preserve">N79NX   </v>
      </c>
      <c r="BC1918">
        <v>1</v>
      </c>
      <c r="BE1918">
        <v>0</v>
      </c>
      <c r="BF1918">
        <v>0</v>
      </c>
      <c r="BG1918">
        <v>0</v>
      </c>
      <c r="BH1918">
        <v>2800</v>
      </c>
      <c r="BI1918">
        <v>0</v>
      </c>
      <c r="BJ1918">
        <v>0</v>
      </c>
      <c r="BK1918">
        <v>0</v>
      </c>
      <c r="BL1918">
        <v>0</v>
      </c>
      <c r="BO1918">
        <v>0</v>
      </c>
      <c r="BP1918">
        <v>0</v>
      </c>
      <c r="BW1918" t="str">
        <f>"18:56:14.855"</f>
        <v>18:56:14.855</v>
      </c>
      <c r="BZ1918">
        <v>0</v>
      </c>
      <c r="CA1918">
        <v>1792</v>
      </c>
      <c r="CB1918">
        <v>216</v>
      </c>
      <c r="CC1918">
        <v>593.4375</v>
      </c>
      <c r="CD1918">
        <v>1</v>
      </c>
      <c r="CE1918">
        <v>1</v>
      </c>
      <c r="CF1918">
        <v>0</v>
      </c>
      <c r="CG1918">
        <v>1</v>
      </c>
      <c r="CH1918">
        <v>0</v>
      </c>
      <c r="CI1918">
        <v>0</v>
      </c>
      <c r="CJ1918">
        <v>0</v>
      </c>
      <c r="CK1918">
        <v>2</v>
      </c>
      <c r="CL1918">
        <v>0</v>
      </c>
      <c r="CM1918">
        <v>2</v>
      </c>
      <c r="CN1918">
        <v>0</v>
      </c>
      <c r="CO1918">
        <v>2</v>
      </c>
      <c r="CP1918" t="s">
        <v>119</v>
      </c>
      <c r="CQ1918">
        <v>70</v>
      </c>
      <c r="CR1918">
        <v>1</v>
      </c>
      <c r="CW1918">
        <v>3691273</v>
      </c>
      <c r="CY1918">
        <v>0</v>
      </c>
      <c r="CZ1918">
        <v>0</v>
      </c>
      <c r="DA1918">
        <v>1</v>
      </c>
      <c r="DB1918">
        <v>0</v>
      </c>
      <c r="DC1918">
        <v>0</v>
      </c>
      <c r="DD1918">
        <v>0</v>
      </c>
      <c r="DE1918">
        <v>0</v>
      </c>
      <c r="DF1918">
        <v>0</v>
      </c>
      <c r="DG1918">
        <v>0</v>
      </c>
      <c r="DH1918">
        <v>0</v>
      </c>
      <c r="DI1918">
        <v>0</v>
      </c>
    </row>
    <row r="1919" spans="1:113" x14ac:dyDescent="0.3">
      <c r="A1919" t="str">
        <f>"02/13/2022 18:56:15.099"</f>
        <v>02/13/2022 18:56:15.099</v>
      </c>
      <c r="C1919" t="str">
        <f t="shared" si="181"/>
        <v>FFDFD7C0</v>
      </c>
      <c r="D1919" t="s">
        <v>113</v>
      </c>
      <c r="E1919">
        <v>4</v>
      </c>
      <c r="F1919">
        <v>1004</v>
      </c>
      <c r="G1919" t="s">
        <v>120</v>
      </c>
      <c r="J1919" t="s">
        <v>115</v>
      </c>
      <c r="K1919">
        <v>0</v>
      </c>
      <c r="L1919">
        <v>3</v>
      </c>
      <c r="M1919">
        <v>0</v>
      </c>
      <c r="N1919">
        <v>2</v>
      </c>
      <c r="O1919">
        <v>1</v>
      </c>
      <c r="P1919">
        <v>0</v>
      </c>
      <c r="Q1919">
        <v>0</v>
      </c>
      <c r="S1919" t="str">
        <f>"18:56:14.852"</f>
        <v>18:56:14.852</v>
      </c>
      <c r="T1919" t="str">
        <f>"18:56:14.452"</f>
        <v>18:56:14.452</v>
      </c>
      <c r="U1919" t="str">
        <f t="shared" si="183"/>
        <v>AAB6EE</v>
      </c>
      <c r="V1919">
        <v>0</v>
      </c>
      <c r="W1919">
        <v>0</v>
      </c>
      <c r="X1919">
        <v>4</v>
      </c>
      <c r="Z1919">
        <v>0</v>
      </c>
      <c r="AA1919">
        <v>8</v>
      </c>
      <c r="AB1919">
        <v>3</v>
      </c>
      <c r="AC1919">
        <v>0</v>
      </c>
      <c r="AD1919">
        <v>10</v>
      </c>
      <c r="AE1919">
        <v>0</v>
      </c>
      <c r="AF1919">
        <v>0</v>
      </c>
      <c r="AG1919">
        <v>2</v>
      </c>
      <c r="AH1919">
        <v>1</v>
      </c>
      <c r="AI1919" t="s">
        <v>1403</v>
      </c>
      <c r="AJ1919">
        <v>34.878244000000002</v>
      </c>
      <c r="AK1919" t="s">
        <v>1404</v>
      </c>
      <c r="AL1919">
        <v>-76.124268000000001</v>
      </c>
      <c r="AM1919">
        <v>25</v>
      </c>
      <c r="AN1919">
        <v>2925</v>
      </c>
      <c r="AO1919" t="s">
        <v>118</v>
      </c>
      <c r="AP1919">
        <v>-82</v>
      </c>
      <c r="AQ1919">
        <v>-116</v>
      </c>
      <c r="AR1919">
        <v>64</v>
      </c>
      <c r="AZ1919">
        <v>4516</v>
      </c>
      <c r="BA1919">
        <v>1</v>
      </c>
      <c r="BB1919" t="str">
        <f t="shared" si="182"/>
        <v xml:space="preserve">N79NX   </v>
      </c>
      <c r="BC1919">
        <v>1</v>
      </c>
      <c r="BE1919">
        <v>0</v>
      </c>
      <c r="BF1919">
        <v>0</v>
      </c>
      <c r="BG1919">
        <v>0</v>
      </c>
      <c r="BH1919">
        <v>2800</v>
      </c>
      <c r="BI1919">
        <v>0</v>
      </c>
      <c r="BJ1919">
        <v>0</v>
      </c>
      <c r="BK1919">
        <v>0</v>
      </c>
      <c r="BL1919">
        <v>0</v>
      </c>
      <c r="BO1919">
        <v>0</v>
      </c>
      <c r="BP1919">
        <v>0</v>
      </c>
      <c r="BW1919" t="str">
        <f>"18:56:14.855"</f>
        <v>18:56:14.855</v>
      </c>
      <c r="BZ1919">
        <v>0</v>
      </c>
      <c r="CA1919">
        <v>1792</v>
      </c>
      <c r="CB1919">
        <v>216</v>
      </c>
      <c r="CC1919">
        <v>593.4375</v>
      </c>
      <c r="CD1919">
        <v>1</v>
      </c>
      <c r="CE1919">
        <v>1</v>
      </c>
      <c r="CF1919">
        <v>0</v>
      </c>
      <c r="CG1919">
        <v>1</v>
      </c>
      <c r="CH1919">
        <v>0</v>
      </c>
      <c r="CI1919">
        <v>0</v>
      </c>
      <c r="CJ1919">
        <v>0</v>
      </c>
      <c r="CK1919">
        <v>2</v>
      </c>
      <c r="CL1919">
        <v>0</v>
      </c>
      <c r="CM1919">
        <v>2</v>
      </c>
      <c r="CN1919">
        <v>0</v>
      </c>
      <c r="CO1919">
        <v>2</v>
      </c>
      <c r="CP1919" t="s">
        <v>119</v>
      </c>
      <c r="CQ1919">
        <v>70</v>
      </c>
      <c r="CR1919">
        <v>1</v>
      </c>
      <c r="CW1919">
        <v>3691273</v>
      </c>
      <c r="CY1919">
        <v>0</v>
      </c>
      <c r="CZ1919">
        <v>0</v>
      </c>
      <c r="DA1919">
        <v>1</v>
      </c>
      <c r="DB1919">
        <v>0</v>
      </c>
      <c r="DC1919">
        <v>0</v>
      </c>
      <c r="DD1919">
        <v>0</v>
      </c>
      <c r="DE1919">
        <v>0</v>
      </c>
      <c r="DF1919">
        <v>0</v>
      </c>
      <c r="DG1919">
        <v>0</v>
      </c>
      <c r="DH1919">
        <v>0</v>
      </c>
      <c r="DI1919">
        <v>0</v>
      </c>
    </row>
    <row r="1920" spans="1:113" x14ac:dyDescent="0.3">
      <c r="A1920" t="str">
        <f>"02/13/2022 18:56:15.959"</f>
        <v>02/13/2022 18:56:15.959</v>
      </c>
      <c r="C1920" t="str">
        <f t="shared" si="181"/>
        <v>FFDFD7C0</v>
      </c>
      <c r="D1920" t="s">
        <v>121</v>
      </c>
      <c r="E1920">
        <v>2</v>
      </c>
      <c r="H1920">
        <v>158</v>
      </c>
      <c r="I1920" t="s">
        <v>120</v>
      </c>
      <c r="J1920" t="s">
        <v>122</v>
      </c>
      <c r="K1920">
        <v>0</v>
      </c>
      <c r="L1920">
        <v>3</v>
      </c>
      <c r="M1920">
        <v>0</v>
      </c>
      <c r="N1920">
        <v>2</v>
      </c>
      <c r="O1920">
        <v>1</v>
      </c>
      <c r="P1920">
        <v>0</v>
      </c>
      <c r="Q1920">
        <v>0</v>
      </c>
      <c r="S1920" t="str">
        <f>"18:56:15.758"</f>
        <v>18:56:15.758</v>
      </c>
      <c r="T1920" t="str">
        <f>"18:56:15.358"</f>
        <v>18:56:15.358</v>
      </c>
      <c r="U1920" t="str">
        <f t="shared" si="183"/>
        <v>AAB6EE</v>
      </c>
      <c r="V1920">
        <v>0</v>
      </c>
      <c r="W1920">
        <v>0</v>
      </c>
      <c r="X1920">
        <v>4</v>
      </c>
      <c r="Z1920">
        <v>0</v>
      </c>
      <c r="AA1920">
        <v>8</v>
      </c>
      <c r="AB1920">
        <v>3</v>
      </c>
      <c r="AC1920">
        <v>0</v>
      </c>
      <c r="AD1920">
        <v>10</v>
      </c>
      <c r="AE1920">
        <v>0</v>
      </c>
      <c r="AF1920">
        <v>0</v>
      </c>
      <c r="AG1920">
        <v>2</v>
      </c>
      <c r="AH1920">
        <v>1</v>
      </c>
      <c r="AI1920" t="s">
        <v>1405</v>
      </c>
      <c r="AJ1920">
        <v>34.877794000000002</v>
      </c>
      <c r="AK1920" t="s">
        <v>1406</v>
      </c>
      <c r="AL1920">
        <v>-76.124654000000007</v>
      </c>
      <c r="AM1920">
        <v>25</v>
      </c>
      <c r="AN1920">
        <v>2925</v>
      </c>
      <c r="AO1920" t="s">
        <v>118</v>
      </c>
      <c r="AP1920">
        <v>-82</v>
      </c>
      <c r="AQ1920">
        <v>-116</v>
      </c>
      <c r="AR1920">
        <v>0</v>
      </c>
      <c r="AZ1920">
        <v>4516</v>
      </c>
      <c r="BA1920">
        <v>1</v>
      </c>
      <c r="BB1920" t="str">
        <f t="shared" si="182"/>
        <v xml:space="preserve">N79NX   </v>
      </c>
      <c r="BC1920">
        <v>1</v>
      </c>
      <c r="BE1920">
        <v>0</v>
      </c>
      <c r="BF1920">
        <v>0</v>
      </c>
      <c r="BG1920">
        <v>0</v>
      </c>
      <c r="BH1920">
        <v>2800</v>
      </c>
      <c r="BI1920">
        <v>0</v>
      </c>
      <c r="BJ1920">
        <v>0</v>
      </c>
      <c r="BK1920">
        <v>0</v>
      </c>
      <c r="BL1920">
        <v>0</v>
      </c>
      <c r="BO1920">
        <v>0</v>
      </c>
      <c r="BP1920">
        <v>0</v>
      </c>
      <c r="BW1920" t="str">
        <f>"18:56:15.765"</f>
        <v>18:56:15.765</v>
      </c>
      <c r="BZ1920">
        <v>0</v>
      </c>
      <c r="CA1920">
        <v>1792</v>
      </c>
      <c r="CB1920">
        <v>216</v>
      </c>
      <c r="CC1920">
        <v>593.4375</v>
      </c>
      <c r="CD1920">
        <v>1</v>
      </c>
      <c r="CE1920">
        <v>1</v>
      </c>
      <c r="CF1920">
        <v>0</v>
      </c>
      <c r="CG1920">
        <v>1</v>
      </c>
      <c r="CH1920">
        <v>0</v>
      </c>
      <c r="CI1920">
        <v>0</v>
      </c>
      <c r="CJ1920">
        <v>0</v>
      </c>
      <c r="CK1920">
        <v>2</v>
      </c>
      <c r="CL1920">
        <v>0</v>
      </c>
      <c r="CM1920">
        <v>2</v>
      </c>
      <c r="CN1920">
        <v>0</v>
      </c>
      <c r="CO1920">
        <v>1</v>
      </c>
      <c r="CP1920" t="s">
        <v>119</v>
      </c>
      <c r="CQ1920">
        <v>70</v>
      </c>
      <c r="CR1920">
        <v>1</v>
      </c>
      <c r="CW1920">
        <v>3692052</v>
      </c>
      <c r="CY1920">
        <v>0</v>
      </c>
      <c r="CZ1920">
        <v>0</v>
      </c>
      <c r="DA1920">
        <v>0</v>
      </c>
      <c r="DB1920">
        <v>0</v>
      </c>
      <c r="DC1920">
        <v>0</v>
      </c>
      <c r="DD1920">
        <v>0</v>
      </c>
      <c r="DE1920">
        <v>0</v>
      </c>
      <c r="DF1920">
        <v>0</v>
      </c>
      <c r="DG1920">
        <v>0</v>
      </c>
      <c r="DH1920">
        <v>0</v>
      </c>
      <c r="DI1920">
        <v>0</v>
      </c>
    </row>
    <row r="1921" spans="1:113" x14ac:dyDescent="0.3">
      <c r="A1921" t="str">
        <f>"02/13/2022 18:56:16.037"</f>
        <v>02/13/2022 18:56:16.037</v>
      </c>
      <c r="C1921" t="str">
        <f t="shared" ref="C1921:C1984" si="191">"FFDFD7C0"</f>
        <v>FFDFD7C0</v>
      </c>
      <c r="D1921" t="s">
        <v>113</v>
      </c>
      <c r="E1921">
        <v>3</v>
      </c>
      <c r="F1921">
        <v>1003</v>
      </c>
      <c r="G1921" t="s">
        <v>114</v>
      </c>
      <c r="J1921" t="s">
        <v>115</v>
      </c>
      <c r="K1921">
        <v>0</v>
      </c>
      <c r="L1921">
        <v>3</v>
      </c>
      <c r="M1921">
        <v>0</v>
      </c>
      <c r="N1921">
        <v>2</v>
      </c>
      <c r="O1921">
        <v>1</v>
      </c>
      <c r="P1921">
        <v>0</v>
      </c>
      <c r="Q1921">
        <v>0</v>
      </c>
      <c r="S1921" t="str">
        <f>"18:56:15.758"</f>
        <v>18:56:15.758</v>
      </c>
      <c r="T1921" t="str">
        <f>"18:56:15.358"</f>
        <v>18:56:15.358</v>
      </c>
      <c r="U1921" t="str">
        <f t="shared" si="183"/>
        <v>AAB6EE</v>
      </c>
      <c r="V1921">
        <v>0</v>
      </c>
      <c r="W1921">
        <v>0</v>
      </c>
      <c r="X1921">
        <v>4</v>
      </c>
      <c r="Z1921">
        <v>0</v>
      </c>
      <c r="AA1921">
        <v>8</v>
      </c>
      <c r="AB1921">
        <v>3</v>
      </c>
      <c r="AC1921">
        <v>0</v>
      </c>
      <c r="AD1921">
        <v>10</v>
      </c>
      <c r="AE1921">
        <v>0</v>
      </c>
      <c r="AF1921">
        <v>0</v>
      </c>
      <c r="AG1921">
        <v>2</v>
      </c>
      <c r="AH1921">
        <v>1</v>
      </c>
      <c r="AI1921" t="s">
        <v>1405</v>
      </c>
      <c r="AJ1921">
        <v>34.877794000000002</v>
      </c>
      <c r="AK1921" t="s">
        <v>1406</v>
      </c>
      <c r="AL1921">
        <v>-76.124654000000007</v>
      </c>
      <c r="AM1921">
        <v>25</v>
      </c>
      <c r="AN1921">
        <v>2925</v>
      </c>
      <c r="AO1921" t="s">
        <v>118</v>
      </c>
      <c r="AP1921">
        <v>-82</v>
      </c>
      <c r="AQ1921">
        <v>-116</v>
      </c>
      <c r="AR1921">
        <v>0</v>
      </c>
      <c r="AZ1921">
        <v>4516</v>
      </c>
      <c r="BA1921">
        <v>1</v>
      </c>
      <c r="BB1921" t="str">
        <f t="shared" ref="BB1921:BB1984" si="192">"N79NX   "</f>
        <v xml:space="preserve">N79NX   </v>
      </c>
      <c r="BC1921">
        <v>1</v>
      </c>
      <c r="BE1921">
        <v>0</v>
      </c>
      <c r="BF1921">
        <v>0</v>
      </c>
      <c r="BG1921">
        <v>0</v>
      </c>
      <c r="BH1921">
        <v>2800</v>
      </c>
      <c r="BI1921">
        <v>0</v>
      </c>
      <c r="BJ1921">
        <v>0</v>
      </c>
      <c r="BK1921">
        <v>0</v>
      </c>
      <c r="BL1921">
        <v>0</v>
      </c>
      <c r="BO1921">
        <v>0</v>
      </c>
      <c r="BP1921">
        <v>0</v>
      </c>
      <c r="BW1921" t="str">
        <f>"18:56:15.765"</f>
        <v>18:56:15.765</v>
      </c>
      <c r="BZ1921">
        <v>0</v>
      </c>
      <c r="CA1921">
        <v>1792</v>
      </c>
      <c r="CB1921">
        <v>216</v>
      </c>
      <c r="CC1921">
        <v>593.4375</v>
      </c>
      <c r="CD1921">
        <v>1</v>
      </c>
      <c r="CE1921">
        <v>1</v>
      </c>
      <c r="CF1921">
        <v>0</v>
      </c>
      <c r="CG1921">
        <v>1</v>
      </c>
      <c r="CH1921">
        <v>0</v>
      </c>
      <c r="CI1921">
        <v>0</v>
      </c>
      <c r="CJ1921">
        <v>0</v>
      </c>
      <c r="CK1921">
        <v>2</v>
      </c>
      <c r="CL1921">
        <v>0</v>
      </c>
      <c r="CM1921">
        <v>2</v>
      </c>
      <c r="CN1921">
        <v>0</v>
      </c>
      <c r="CO1921">
        <v>1</v>
      </c>
      <c r="CP1921" t="s">
        <v>119</v>
      </c>
      <c r="CQ1921">
        <v>70</v>
      </c>
      <c r="CR1921">
        <v>1</v>
      </c>
      <c r="CW1921">
        <v>3692052</v>
      </c>
      <c r="CY1921">
        <v>0</v>
      </c>
      <c r="CZ1921">
        <v>0</v>
      </c>
      <c r="DA1921">
        <v>1</v>
      </c>
      <c r="DB1921">
        <v>0</v>
      </c>
      <c r="DC1921">
        <v>0</v>
      </c>
      <c r="DD1921">
        <v>0</v>
      </c>
      <c r="DE1921">
        <v>0</v>
      </c>
      <c r="DF1921">
        <v>0</v>
      </c>
      <c r="DG1921">
        <v>0</v>
      </c>
      <c r="DH1921">
        <v>0</v>
      </c>
      <c r="DI1921">
        <v>0</v>
      </c>
    </row>
    <row r="1922" spans="1:113" x14ac:dyDescent="0.3">
      <c r="A1922" t="str">
        <f>"02/13/2022 18:56:16.037"</f>
        <v>02/13/2022 18:56:16.037</v>
      </c>
      <c r="C1922" t="str">
        <f t="shared" si="191"/>
        <v>FFDFD7C0</v>
      </c>
      <c r="D1922" t="s">
        <v>113</v>
      </c>
      <c r="E1922">
        <v>4</v>
      </c>
      <c r="F1922">
        <v>1004</v>
      </c>
      <c r="G1922" t="s">
        <v>120</v>
      </c>
      <c r="J1922" t="s">
        <v>115</v>
      </c>
      <c r="K1922">
        <v>0</v>
      </c>
      <c r="L1922">
        <v>3</v>
      </c>
      <c r="M1922">
        <v>0</v>
      </c>
      <c r="N1922">
        <v>2</v>
      </c>
      <c r="O1922">
        <v>1</v>
      </c>
      <c r="P1922">
        <v>0</v>
      </c>
      <c r="Q1922">
        <v>0</v>
      </c>
      <c r="S1922" t="str">
        <f>"18:56:15.758"</f>
        <v>18:56:15.758</v>
      </c>
      <c r="T1922" t="str">
        <f>"18:56:15.358"</f>
        <v>18:56:15.358</v>
      </c>
      <c r="U1922" t="str">
        <f t="shared" ref="U1922:U1985" si="193">"AAB6EE"</f>
        <v>AAB6EE</v>
      </c>
      <c r="V1922">
        <v>0</v>
      </c>
      <c r="W1922">
        <v>0</v>
      </c>
      <c r="X1922">
        <v>4</v>
      </c>
      <c r="Z1922">
        <v>0</v>
      </c>
      <c r="AA1922">
        <v>8</v>
      </c>
      <c r="AB1922">
        <v>3</v>
      </c>
      <c r="AC1922">
        <v>0</v>
      </c>
      <c r="AD1922">
        <v>10</v>
      </c>
      <c r="AE1922">
        <v>0</v>
      </c>
      <c r="AF1922">
        <v>0</v>
      </c>
      <c r="AG1922">
        <v>2</v>
      </c>
      <c r="AH1922">
        <v>1</v>
      </c>
      <c r="AI1922" t="s">
        <v>1405</v>
      </c>
      <c r="AJ1922">
        <v>34.877794000000002</v>
      </c>
      <c r="AK1922" t="s">
        <v>1406</v>
      </c>
      <c r="AL1922">
        <v>-76.124654000000007</v>
      </c>
      <c r="AM1922">
        <v>25</v>
      </c>
      <c r="AN1922">
        <v>2925</v>
      </c>
      <c r="AO1922" t="s">
        <v>118</v>
      </c>
      <c r="AP1922">
        <v>-82</v>
      </c>
      <c r="AQ1922">
        <v>-116</v>
      </c>
      <c r="AR1922">
        <v>0</v>
      </c>
      <c r="AZ1922">
        <v>4516</v>
      </c>
      <c r="BA1922">
        <v>1</v>
      </c>
      <c r="BB1922" t="str">
        <f t="shared" si="192"/>
        <v xml:space="preserve">N79NX   </v>
      </c>
      <c r="BC1922">
        <v>1</v>
      </c>
      <c r="BE1922">
        <v>0</v>
      </c>
      <c r="BF1922">
        <v>0</v>
      </c>
      <c r="BG1922">
        <v>0</v>
      </c>
      <c r="BH1922">
        <v>2800</v>
      </c>
      <c r="BI1922">
        <v>0</v>
      </c>
      <c r="BJ1922">
        <v>0</v>
      </c>
      <c r="BK1922">
        <v>0</v>
      </c>
      <c r="BL1922">
        <v>0</v>
      </c>
      <c r="BO1922">
        <v>0</v>
      </c>
      <c r="BP1922">
        <v>0</v>
      </c>
      <c r="BW1922" t="str">
        <f>"18:56:15.765"</f>
        <v>18:56:15.765</v>
      </c>
      <c r="BZ1922">
        <v>0</v>
      </c>
      <c r="CA1922">
        <v>1792</v>
      </c>
      <c r="CB1922">
        <v>216</v>
      </c>
      <c r="CC1922">
        <v>593.4375</v>
      </c>
      <c r="CD1922">
        <v>1</v>
      </c>
      <c r="CE1922">
        <v>1</v>
      </c>
      <c r="CF1922">
        <v>0</v>
      </c>
      <c r="CG1922">
        <v>1</v>
      </c>
      <c r="CH1922">
        <v>0</v>
      </c>
      <c r="CI1922">
        <v>0</v>
      </c>
      <c r="CJ1922">
        <v>0</v>
      </c>
      <c r="CK1922">
        <v>2</v>
      </c>
      <c r="CL1922">
        <v>0</v>
      </c>
      <c r="CM1922">
        <v>2</v>
      </c>
      <c r="CN1922">
        <v>0</v>
      </c>
      <c r="CO1922">
        <v>1</v>
      </c>
      <c r="CP1922" t="s">
        <v>119</v>
      </c>
      <c r="CQ1922">
        <v>70</v>
      </c>
      <c r="CR1922">
        <v>1</v>
      </c>
      <c r="CW1922">
        <v>3692052</v>
      </c>
      <c r="CY1922">
        <v>0</v>
      </c>
      <c r="CZ1922">
        <v>0</v>
      </c>
      <c r="DA1922">
        <v>1</v>
      </c>
      <c r="DB1922">
        <v>0</v>
      </c>
      <c r="DC1922">
        <v>0</v>
      </c>
      <c r="DD1922">
        <v>0</v>
      </c>
      <c r="DE1922">
        <v>0</v>
      </c>
      <c r="DF1922">
        <v>0</v>
      </c>
      <c r="DG1922">
        <v>0</v>
      </c>
      <c r="DH1922">
        <v>0</v>
      </c>
      <c r="DI1922">
        <v>0</v>
      </c>
    </row>
    <row r="1923" spans="1:113" x14ac:dyDescent="0.3">
      <c r="A1923" t="str">
        <f>"02/13/2022 18:56:17.069"</f>
        <v>02/13/2022 18:56:17.069</v>
      </c>
      <c r="C1923" t="str">
        <f t="shared" si="191"/>
        <v>FFDFD7C0</v>
      </c>
      <c r="D1923" t="s">
        <v>113</v>
      </c>
      <c r="E1923">
        <v>3</v>
      </c>
      <c r="F1923">
        <v>1003</v>
      </c>
      <c r="G1923" t="s">
        <v>114</v>
      </c>
      <c r="J1923" t="s">
        <v>115</v>
      </c>
      <c r="K1923">
        <v>0</v>
      </c>
      <c r="L1923">
        <v>3</v>
      </c>
      <c r="M1923">
        <v>0</v>
      </c>
      <c r="N1923">
        <v>2</v>
      </c>
      <c r="O1923">
        <v>1</v>
      </c>
      <c r="P1923">
        <v>0</v>
      </c>
      <c r="Q1923">
        <v>0</v>
      </c>
      <c r="S1923" t="str">
        <f>"18:56:16.813"</f>
        <v>18:56:16.813</v>
      </c>
      <c r="T1923" t="str">
        <f>"18:56:16.413"</f>
        <v>18:56:16.413</v>
      </c>
      <c r="U1923" t="str">
        <f t="shared" si="193"/>
        <v>AAB6EE</v>
      </c>
      <c r="V1923">
        <v>0</v>
      </c>
      <c r="W1923">
        <v>0</v>
      </c>
      <c r="X1923">
        <v>4</v>
      </c>
      <c r="Z1923">
        <v>0</v>
      </c>
      <c r="AA1923">
        <v>8</v>
      </c>
      <c r="AB1923">
        <v>3</v>
      </c>
      <c r="AC1923">
        <v>0</v>
      </c>
      <c r="AD1923">
        <v>10</v>
      </c>
      <c r="AE1923">
        <v>0</v>
      </c>
      <c r="AF1923">
        <v>0</v>
      </c>
      <c r="AG1923">
        <v>2</v>
      </c>
      <c r="AH1923">
        <v>1</v>
      </c>
      <c r="AI1923" t="s">
        <v>1407</v>
      </c>
      <c r="AJ1923">
        <v>34.877172000000002</v>
      </c>
      <c r="AK1923" t="s">
        <v>1408</v>
      </c>
      <c r="AL1923">
        <v>-76.125190000000003</v>
      </c>
      <c r="AM1923">
        <v>25</v>
      </c>
      <c r="AN1923">
        <v>2925</v>
      </c>
      <c r="AO1923" t="s">
        <v>118</v>
      </c>
      <c r="AP1923">
        <v>-82</v>
      </c>
      <c r="AQ1923">
        <v>-116</v>
      </c>
      <c r="AR1923">
        <v>-64</v>
      </c>
      <c r="AZ1923">
        <v>4516</v>
      </c>
      <c r="BA1923">
        <v>1</v>
      </c>
      <c r="BB1923" t="str">
        <f t="shared" si="192"/>
        <v xml:space="preserve">N79NX   </v>
      </c>
      <c r="BC1923">
        <v>1</v>
      </c>
      <c r="BE1923">
        <v>0</v>
      </c>
      <c r="BF1923">
        <v>0</v>
      </c>
      <c r="BG1923">
        <v>0</v>
      </c>
      <c r="BH1923">
        <v>2800</v>
      </c>
      <c r="BI1923">
        <v>0</v>
      </c>
      <c r="BJ1923">
        <v>0</v>
      </c>
      <c r="BK1923">
        <v>0</v>
      </c>
      <c r="BL1923">
        <v>0</v>
      </c>
      <c r="BO1923">
        <v>0</v>
      </c>
      <c r="BP1923">
        <v>0</v>
      </c>
      <c r="BW1923" t="str">
        <f>"18:56:16.815"</f>
        <v>18:56:16.815</v>
      </c>
      <c r="BZ1923">
        <v>0</v>
      </c>
      <c r="CA1923">
        <v>1792</v>
      </c>
      <c r="CB1923">
        <v>216</v>
      </c>
      <c r="CC1923">
        <v>593.4375</v>
      </c>
      <c r="CD1923">
        <v>1</v>
      </c>
      <c r="CE1923">
        <v>1</v>
      </c>
      <c r="CF1923">
        <v>0</v>
      </c>
      <c r="CG1923">
        <v>0</v>
      </c>
      <c r="CH1923">
        <v>0</v>
      </c>
      <c r="CI1923">
        <v>0</v>
      </c>
      <c r="CJ1923">
        <v>0</v>
      </c>
      <c r="CK1923">
        <v>2</v>
      </c>
      <c r="CL1923">
        <v>0</v>
      </c>
      <c r="CM1923">
        <v>2</v>
      </c>
      <c r="CN1923">
        <v>0</v>
      </c>
      <c r="CO1923">
        <v>1</v>
      </c>
      <c r="CP1923" t="s">
        <v>119</v>
      </c>
      <c r="CQ1923">
        <v>70</v>
      </c>
      <c r="CR1923">
        <v>1</v>
      </c>
      <c r="CW1923">
        <v>3692924</v>
      </c>
      <c r="CY1923">
        <v>0</v>
      </c>
      <c r="CZ1923">
        <v>0</v>
      </c>
      <c r="DA1923">
        <v>0</v>
      </c>
      <c r="DB1923">
        <v>0</v>
      </c>
      <c r="DC1923">
        <v>0</v>
      </c>
      <c r="DD1923">
        <v>0</v>
      </c>
      <c r="DE1923">
        <v>0</v>
      </c>
      <c r="DF1923">
        <v>0</v>
      </c>
      <c r="DG1923">
        <v>0</v>
      </c>
      <c r="DH1923">
        <v>0</v>
      </c>
      <c r="DI1923">
        <v>0</v>
      </c>
    </row>
    <row r="1924" spans="1:113" x14ac:dyDescent="0.3">
      <c r="A1924" t="str">
        <f>"02/13/2022 18:56:17.069"</f>
        <v>02/13/2022 18:56:17.069</v>
      </c>
      <c r="C1924" t="str">
        <f t="shared" si="191"/>
        <v>FFDFD7C0</v>
      </c>
      <c r="D1924" t="s">
        <v>113</v>
      </c>
      <c r="E1924">
        <v>4</v>
      </c>
      <c r="F1924">
        <v>1004</v>
      </c>
      <c r="G1924" t="s">
        <v>120</v>
      </c>
      <c r="J1924" t="s">
        <v>115</v>
      </c>
      <c r="K1924">
        <v>0</v>
      </c>
      <c r="L1924">
        <v>3</v>
      </c>
      <c r="M1924">
        <v>0</v>
      </c>
      <c r="N1924">
        <v>2</v>
      </c>
      <c r="O1924">
        <v>1</v>
      </c>
      <c r="P1924">
        <v>0</v>
      </c>
      <c r="Q1924">
        <v>0</v>
      </c>
      <c r="S1924" t="str">
        <f>"18:56:16.813"</f>
        <v>18:56:16.813</v>
      </c>
      <c r="T1924" t="str">
        <f>"18:56:16.413"</f>
        <v>18:56:16.413</v>
      </c>
      <c r="U1924" t="str">
        <f t="shared" si="193"/>
        <v>AAB6EE</v>
      </c>
      <c r="V1924">
        <v>0</v>
      </c>
      <c r="W1924">
        <v>0</v>
      </c>
      <c r="X1924">
        <v>4</v>
      </c>
      <c r="Z1924">
        <v>0</v>
      </c>
      <c r="AA1924">
        <v>8</v>
      </c>
      <c r="AB1924">
        <v>3</v>
      </c>
      <c r="AC1924">
        <v>0</v>
      </c>
      <c r="AD1924">
        <v>10</v>
      </c>
      <c r="AE1924">
        <v>0</v>
      </c>
      <c r="AF1924">
        <v>0</v>
      </c>
      <c r="AG1924">
        <v>2</v>
      </c>
      <c r="AH1924">
        <v>1</v>
      </c>
      <c r="AI1924" t="s">
        <v>1407</v>
      </c>
      <c r="AJ1924">
        <v>34.877172000000002</v>
      </c>
      <c r="AK1924" t="s">
        <v>1408</v>
      </c>
      <c r="AL1924">
        <v>-76.125190000000003</v>
      </c>
      <c r="AM1924">
        <v>25</v>
      </c>
      <c r="AN1924">
        <v>2925</v>
      </c>
      <c r="AO1924" t="s">
        <v>118</v>
      </c>
      <c r="AP1924">
        <v>-82</v>
      </c>
      <c r="AQ1924">
        <v>-116</v>
      </c>
      <c r="AR1924">
        <v>-64</v>
      </c>
      <c r="AZ1924">
        <v>4516</v>
      </c>
      <c r="BA1924">
        <v>1</v>
      </c>
      <c r="BB1924" t="str">
        <f t="shared" si="192"/>
        <v xml:space="preserve">N79NX   </v>
      </c>
      <c r="BC1924">
        <v>1</v>
      </c>
      <c r="BE1924">
        <v>0</v>
      </c>
      <c r="BF1924">
        <v>0</v>
      </c>
      <c r="BG1924">
        <v>0</v>
      </c>
      <c r="BH1924">
        <v>2800</v>
      </c>
      <c r="BI1924">
        <v>0</v>
      </c>
      <c r="BJ1924">
        <v>0</v>
      </c>
      <c r="BK1924">
        <v>0</v>
      </c>
      <c r="BL1924">
        <v>0</v>
      </c>
      <c r="BO1924">
        <v>0</v>
      </c>
      <c r="BP1924">
        <v>0</v>
      </c>
      <c r="BW1924" t="str">
        <f>"18:56:16.815"</f>
        <v>18:56:16.815</v>
      </c>
      <c r="BZ1924">
        <v>0</v>
      </c>
      <c r="CA1924">
        <v>1792</v>
      </c>
      <c r="CB1924">
        <v>216</v>
      </c>
      <c r="CC1924">
        <v>593.4375</v>
      </c>
      <c r="CD1924">
        <v>1</v>
      </c>
      <c r="CE1924">
        <v>1</v>
      </c>
      <c r="CF1924">
        <v>0</v>
      </c>
      <c r="CG1924">
        <v>0</v>
      </c>
      <c r="CH1924">
        <v>0</v>
      </c>
      <c r="CI1924">
        <v>0</v>
      </c>
      <c r="CJ1924">
        <v>0</v>
      </c>
      <c r="CK1924">
        <v>2</v>
      </c>
      <c r="CL1924">
        <v>0</v>
      </c>
      <c r="CM1924">
        <v>2</v>
      </c>
      <c r="CN1924">
        <v>0</v>
      </c>
      <c r="CO1924">
        <v>1</v>
      </c>
      <c r="CP1924" t="s">
        <v>119</v>
      </c>
      <c r="CQ1924">
        <v>70</v>
      </c>
      <c r="CR1924">
        <v>1</v>
      </c>
      <c r="CW1924">
        <v>3692924</v>
      </c>
      <c r="CY1924">
        <v>0</v>
      </c>
      <c r="CZ1924">
        <v>0</v>
      </c>
      <c r="DA1924">
        <v>1</v>
      </c>
      <c r="DB1924">
        <v>0</v>
      </c>
      <c r="DC1924">
        <v>0</v>
      </c>
      <c r="DD1924">
        <v>0</v>
      </c>
      <c r="DE1924">
        <v>0</v>
      </c>
      <c r="DF1924">
        <v>0</v>
      </c>
      <c r="DG1924">
        <v>0</v>
      </c>
      <c r="DH1924">
        <v>0</v>
      </c>
      <c r="DI1924">
        <v>0</v>
      </c>
    </row>
    <row r="1925" spans="1:113" x14ac:dyDescent="0.3">
      <c r="A1925" t="str">
        <f>"02/13/2022 18:56:17.085"</f>
        <v>02/13/2022 18:56:17.085</v>
      </c>
      <c r="C1925" t="str">
        <f t="shared" si="191"/>
        <v>FFDFD7C0</v>
      </c>
      <c r="D1925" t="s">
        <v>121</v>
      </c>
      <c r="E1925">
        <v>2</v>
      </c>
      <c r="H1925">
        <v>158</v>
      </c>
      <c r="I1925" t="s">
        <v>120</v>
      </c>
      <c r="J1925" t="s">
        <v>122</v>
      </c>
      <c r="K1925">
        <v>0</v>
      </c>
      <c r="L1925">
        <v>3</v>
      </c>
      <c r="M1925">
        <v>0</v>
      </c>
      <c r="N1925">
        <v>2</v>
      </c>
      <c r="O1925">
        <v>1</v>
      </c>
      <c r="P1925">
        <v>0</v>
      </c>
      <c r="Q1925">
        <v>0</v>
      </c>
      <c r="S1925" t="str">
        <f>"18:56:16.813"</f>
        <v>18:56:16.813</v>
      </c>
      <c r="T1925" t="str">
        <f>"18:56:16.413"</f>
        <v>18:56:16.413</v>
      </c>
      <c r="U1925" t="str">
        <f t="shared" si="193"/>
        <v>AAB6EE</v>
      </c>
      <c r="V1925">
        <v>0</v>
      </c>
      <c r="W1925">
        <v>0</v>
      </c>
      <c r="X1925">
        <v>4</v>
      </c>
      <c r="Z1925">
        <v>0</v>
      </c>
      <c r="AA1925">
        <v>8</v>
      </c>
      <c r="AB1925">
        <v>3</v>
      </c>
      <c r="AC1925">
        <v>0</v>
      </c>
      <c r="AD1925">
        <v>10</v>
      </c>
      <c r="AE1925">
        <v>0</v>
      </c>
      <c r="AF1925">
        <v>0</v>
      </c>
      <c r="AG1925">
        <v>2</v>
      </c>
      <c r="AH1925">
        <v>1</v>
      </c>
      <c r="AI1925" t="s">
        <v>1407</v>
      </c>
      <c r="AJ1925">
        <v>34.877172000000002</v>
      </c>
      <c r="AK1925" t="s">
        <v>1408</v>
      </c>
      <c r="AL1925">
        <v>-76.125190000000003</v>
      </c>
      <c r="AM1925">
        <v>25</v>
      </c>
      <c r="AN1925">
        <v>2925</v>
      </c>
      <c r="AO1925" t="s">
        <v>118</v>
      </c>
      <c r="AP1925">
        <v>-82</v>
      </c>
      <c r="AQ1925">
        <v>-116</v>
      </c>
      <c r="AR1925">
        <v>-64</v>
      </c>
      <c r="AZ1925">
        <v>4516</v>
      </c>
      <c r="BA1925">
        <v>1</v>
      </c>
      <c r="BB1925" t="str">
        <f t="shared" si="192"/>
        <v xml:space="preserve">N79NX   </v>
      </c>
      <c r="BC1925">
        <v>1</v>
      </c>
      <c r="BE1925">
        <v>0</v>
      </c>
      <c r="BF1925">
        <v>0</v>
      </c>
      <c r="BG1925">
        <v>0</v>
      </c>
      <c r="BH1925">
        <v>2800</v>
      </c>
      <c r="BI1925">
        <v>0</v>
      </c>
      <c r="BJ1925">
        <v>0</v>
      </c>
      <c r="BK1925">
        <v>0</v>
      </c>
      <c r="BL1925">
        <v>0</v>
      </c>
      <c r="BO1925">
        <v>0</v>
      </c>
      <c r="BP1925">
        <v>0</v>
      </c>
      <c r="BW1925" t="str">
        <f>"18:56:16.815"</f>
        <v>18:56:16.815</v>
      </c>
      <c r="BZ1925">
        <v>0</v>
      </c>
      <c r="CA1925">
        <v>1792</v>
      </c>
      <c r="CB1925">
        <v>216</v>
      </c>
      <c r="CC1925">
        <v>593.4375</v>
      </c>
      <c r="CD1925">
        <v>1</v>
      </c>
      <c r="CE1925">
        <v>1</v>
      </c>
      <c r="CF1925">
        <v>0</v>
      </c>
      <c r="CG1925">
        <v>0</v>
      </c>
      <c r="CH1925">
        <v>0</v>
      </c>
      <c r="CI1925">
        <v>0</v>
      </c>
      <c r="CJ1925">
        <v>0</v>
      </c>
      <c r="CK1925">
        <v>2</v>
      </c>
      <c r="CL1925">
        <v>0</v>
      </c>
      <c r="CM1925">
        <v>2</v>
      </c>
      <c r="CN1925">
        <v>0</v>
      </c>
      <c r="CO1925">
        <v>1</v>
      </c>
      <c r="CP1925" t="s">
        <v>119</v>
      </c>
      <c r="CQ1925">
        <v>70</v>
      </c>
      <c r="CR1925">
        <v>1</v>
      </c>
      <c r="CW1925">
        <v>3692924</v>
      </c>
      <c r="CY1925">
        <v>0</v>
      </c>
      <c r="CZ1925">
        <v>0</v>
      </c>
      <c r="DA1925">
        <v>1</v>
      </c>
      <c r="DB1925">
        <v>0</v>
      </c>
      <c r="DC1925">
        <v>0</v>
      </c>
      <c r="DD1925">
        <v>0</v>
      </c>
      <c r="DE1925">
        <v>0</v>
      </c>
      <c r="DF1925">
        <v>0</v>
      </c>
      <c r="DG1925">
        <v>0</v>
      </c>
      <c r="DH1925">
        <v>0</v>
      </c>
      <c r="DI1925">
        <v>0</v>
      </c>
    </row>
    <row r="1926" spans="1:113" x14ac:dyDescent="0.3">
      <c r="A1926" t="str">
        <f>"02/13/2022 18:56:17.898"</f>
        <v>02/13/2022 18:56:17.898</v>
      </c>
      <c r="C1926" t="str">
        <f t="shared" si="191"/>
        <v>FFDFD7C0</v>
      </c>
      <c r="D1926" t="s">
        <v>121</v>
      </c>
      <c r="E1926">
        <v>2</v>
      </c>
      <c r="H1926">
        <v>158</v>
      </c>
      <c r="I1926" t="s">
        <v>120</v>
      </c>
      <c r="J1926" t="s">
        <v>122</v>
      </c>
      <c r="K1926">
        <v>0</v>
      </c>
      <c r="L1926">
        <v>3</v>
      </c>
      <c r="M1926">
        <v>0</v>
      </c>
      <c r="N1926">
        <v>2</v>
      </c>
      <c r="O1926">
        <v>1</v>
      </c>
      <c r="P1926">
        <v>0</v>
      </c>
      <c r="Q1926">
        <v>0</v>
      </c>
      <c r="S1926" t="str">
        <f>"18:56:17.742"</f>
        <v>18:56:17.742</v>
      </c>
      <c r="T1926" t="str">
        <f>"18:56:17.342"</f>
        <v>18:56:17.342</v>
      </c>
      <c r="U1926" t="str">
        <f t="shared" si="193"/>
        <v>AAB6EE</v>
      </c>
      <c r="V1926">
        <v>0</v>
      </c>
      <c r="W1926">
        <v>0</v>
      </c>
      <c r="X1926">
        <v>4</v>
      </c>
      <c r="Z1926">
        <v>0</v>
      </c>
      <c r="AA1926">
        <v>8</v>
      </c>
      <c r="AB1926">
        <v>3</v>
      </c>
      <c r="AC1926">
        <v>0</v>
      </c>
      <c r="AD1926">
        <v>10</v>
      </c>
      <c r="AE1926">
        <v>0</v>
      </c>
      <c r="AF1926">
        <v>0</v>
      </c>
      <c r="AG1926">
        <v>2</v>
      </c>
      <c r="AH1926">
        <v>1</v>
      </c>
      <c r="AI1926" t="s">
        <v>1409</v>
      </c>
      <c r="AJ1926">
        <v>34.876699000000002</v>
      </c>
      <c r="AK1926" t="s">
        <v>1410</v>
      </c>
      <c r="AL1926">
        <v>-76.125619</v>
      </c>
      <c r="AM1926">
        <v>25</v>
      </c>
      <c r="AN1926">
        <v>2925</v>
      </c>
      <c r="AO1926" t="s">
        <v>118</v>
      </c>
      <c r="AP1926">
        <v>-82</v>
      </c>
      <c r="AQ1926">
        <v>-116</v>
      </c>
      <c r="AR1926">
        <v>-128</v>
      </c>
      <c r="AZ1926">
        <v>4516</v>
      </c>
      <c r="BA1926">
        <v>1</v>
      </c>
      <c r="BB1926" t="str">
        <f t="shared" si="192"/>
        <v xml:space="preserve">N79NX   </v>
      </c>
      <c r="BC1926">
        <v>1</v>
      </c>
      <c r="BE1926">
        <v>0</v>
      </c>
      <c r="BF1926">
        <v>0</v>
      </c>
      <c r="BG1926">
        <v>0</v>
      </c>
      <c r="BH1926">
        <v>2800</v>
      </c>
      <c r="BI1926">
        <v>0</v>
      </c>
      <c r="BJ1926">
        <v>0</v>
      </c>
      <c r="BK1926">
        <v>0</v>
      </c>
      <c r="BL1926">
        <v>0</v>
      </c>
      <c r="BO1926">
        <v>0</v>
      </c>
      <c r="BP1926">
        <v>0</v>
      </c>
      <c r="BW1926" t="str">
        <f>"18:56:17.745"</f>
        <v>18:56:17.745</v>
      </c>
      <c r="BZ1926">
        <v>0</v>
      </c>
      <c r="CA1926">
        <v>1792</v>
      </c>
      <c r="CB1926">
        <v>216</v>
      </c>
      <c r="CC1926">
        <v>593.4375</v>
      </c>
      <c r="CD1926">
        <v>1</v>
      </c>
      <c r="CE1926">
        <v>1</v>
      </c>
      <c r="CF1926">
        <v>0</v>
      </c>
      <c r="CG1926">
        <v>0</v>
      </c>
      <c r="CH1926">
        <v>0</v>
      </c>
      <c r="CI1926">
        <v>0</v>
      </c>
      <c r="CJ1926">
        <v>0</v>
      </c>
      <c r="CK1926">
        <v>2</v>
      </c>
      <c r="CL1926">
        <v>0</v>
      </c>
      <c r="CM1926">
        <v>2</v>
      </c>
      <c r="CN1926">
        <v>0</v>
      </c>
      <c r="CO1926">
        <v>1</v>
      </c>
      <c r="CP1926" t="s">
        <v>119</v>
      </c>
      <c r="CQ1926">
        <v>70</v>
      </c>
      <c r="CR1926">
        <v>1</v>
      </c>
      <c r="CW1926">
        <v>3693581</v>
      </c>
      <c r="CY1926">
        <v>0</v>
      </c>
      <c r="CZ1926">
        <v>0</v>
      </c>
      <c r="DA1926">
        <v>0</v>
      </c>
      <c r="DB1926">
        <v>0</v>
      </c>
      <c r="DC1926">
        <v>0</v>
      </c>
      <c r="DD1926">
        <v>0</v>
      </c>
      <c r="DE1926">
        <v>0</v>
      </c>
      <c r="DF1926">
        <v>0</v>
      </c>
      <c r="DG1926">
        <v>0</v>
      </c>
      <c r="DH1926">
        <v>0</v>
      </c>
      <c r="DI1926">
        <v>0</v>
      </c>
    </row>
    <row r="1927" spans="1:113" x14ac:dyDescent="0.3">
      <c r="A1927" t="str">
        <f>"02/13/2022 18:56:17.945"</f>
        <v>02/13/2022 18:56:17.945</v>
      </c>
      <c r="C1927" t="str">
        <f t="shared" si="191"/>
        <v>FFDFD7C0</v>
      </c>
      <c r="D1927" t="s">
        <v>113</v>
      </c>
      <c r="E1927">
        <v>3</v>
      </c>
      <c r="F1927">
        <v>1003</v>
      </c>
      <c r="G1927" t="s">
        <v>114</v>
      </c>
      <c r="J1927" t="s">
        <v>115</v>
      </c>
      <c r="K1927">
        <v>0</v>
      </c>
      <c r="L1927">
        <v>3</v>
      </c>
      <c r="M1927">
        <v>0</v>
      </c>
      <c r="N1927">
        <v>2</v>
      </c>
      <c r="O1927">
        <v>1</v>
      </c>
      <c r="P1927">
        <v>0</v>
      </c>
      <c r="Q1927">
        <v>0</v>
      </c>
      <c r="S1927" t="str">
        <f>"18:56:17.742"</f>
        <v>18:56:17.742</v>
      </c>
      <c r="T1927" t="str">
        <f>"18:56:17.342"</f>
        <v>18:56:17.342</v>
      </c>
      <c r="U1927" t="str">
        <f t="shared" si="193"/>
        <v>AAB6EE</v>
      </c>
      <c r="V1927">
        <v>0</v>
      </c>
      <c r="W1927">
        <v>0</v>
      </c>
      <c r="X1927">
        <v>4</v>
      </c>
      <c r="Z1927">
        <v>0</v>
      </c>
      <c r="AA1927">
        <v>8</v>
      </c>
      <c r="AB1927">
        <v>3</v>
      </c>
      <c r="AC1927">
        <v>0</v>
      </c>
      <c r="AD1927">
        <v>10</v>
      </c>
      <c r="AE1927">
        <v>0</v>
      </c>
      <c r="AF1927">
        <v>0</v>
      </c>
      <c r="AG1927">
        <v>2</v>
      </c>
      <c r="AH1927">
        <v>1</v>
      </c>
      <c r="AI1927" t="s">
        <v>1409</v>
      </c>
      <c r="AJ1927">
        <v>34.876699000000002</v>
      </c>
      <c r="AK1927" t="s">
        <v>1410</v>
      </c>
      <c r="AL1927">
        <v>-76.125619</v>
      </c>
      <c r="AM1927">
        <v>25</v>
      </c>
      <c r="AN1927">
        <v>2925</v>
      </c>
      <c r="AO1927" t="s">
        <v>118</v>
      </c>
      <c r="AP1927">
        <v>-82</v>
      </c>
      <c r="AQ1927">
        <v>-116</v>
      </c>
      <c r="AR1927">
        <v>-128</v>
      </c>
      <c r="AZ1927">
        <v>4516</v>
      </c>
      <c r="BA1927">
        <v>1</v>
      </c>
      <c r="BB1927" t="str">
        <f t="shared" si="192"/>
        <v xml:space="preserve">N79NX   </v>
      </c>
      <c r="BC1927">
        <v>1</v>
      </c>
      <c r="BE1927">
        <v>0</v>
      </c>
      <c r="BF1927">
        <v>0</v>
      </c>
      <c r="BG1927">
        <v>0</v>
      </c>
      <c r="BH1927">
        <v>2800</v>
      </c>
      <c r="BI1927">
        <v>0</v>
      </c>
      <c r="BJ1927">
        <v>0</v>
      </c>
      <c r="BK1927">
        <v>0</v>
      </c>
      <c r="BL1927">
        <v>0</v>
      </c>
      <c r="BO1927">
        <v>0</v>
      </c>
      <c r="BP1927">
        <v>0</v>
      </c>
      <c r="BW1927" t="str">
        <f>"18:56:17.745"</f>
        <v>18:56:17.745</v>
      </c>
      <c r="BZ1927">
        <v>0</v>
      </c>
      <c r="CA1927">
        <v>1792</v>
      </c>
      <c r="CB1927">
        <v>216</v>
      </c>
      <c r="CC1927">
        <v>593.4375</v>
      </c>
      <c r="CD1927">
        <v>1</v>
      </c>
      <c r="CE1927">
        <v>1</v>
      </c>
      <c r="CF1927">
        <v>0</v>
      </c>
      <c r="CG1927">
        <v>0</v>
      </c>
      <c r="CH1927">
        <v>0</v>
      </c>
      <c r="CI1927">
        <v>0</v>
      </c>
      <c r="CJ1927">
        <v>0</v>
      </c>
      <c r="CK1927">
        <v>2</v>
      </c>
      <c r="CL1927">
        <v>0</v>
      </c>
      <c r="CM1927">
        <v>2</v>
      </c>
      <c r="CN1927">
        <v>0</v>
      </c>
      <c r="CO1927">
        <v>1</v>
      </c>
      <c r="CP1927" t="s">
        <v>119</v>
      </c>
      <c r="CQ1927">
        <v>70</v>
      </c>
      <c r="CR1927">
        <v>1</v>
      </c>
      <c r="CW1927">
        <v>3693581</v>
      </c>
      <c r="CY1927">
        <v>0</v>
      </c>
      <c r="CZ1927">
        <v>0</v>
      </c>
      <c r="DA1927">
        <v>1</v>
      </c>
      <c r="DB1927">
        <v>0</v>
      </c>
      <c r="DC1927">
        <v>0</v>
      </c>
      <c r="DD1927">
        <v>0</v>
      </c>
      <c r="DE1927">
        <v>0</v>
      </c>
      <c r="DF1927">
        <v>0</v>
      </c>
      <c r="DG1927">
        <v>0</v>
      </c>
      <c r="DH1927">
        <v>0</v>
      </c>
      <c r="DI1927">
        <v>0</v>
      </c>
    </row>
    <row r="1928" spans="1:113" x14ac:dyDescent="0.3">
      <c r="A1928" t="str">
        <f>"02/13/2022 18:56:17.945"</f>
        <v>02/13/2022 18:56:17.945</v>
      </c>
      <c r="C1928" t="str">
        <f t="shared" si="191"/>
        <v>FFDFD7C0</v>
      </c>
      <c r="D1928" t="s">
        <v>113</v>
      </c>
      <c r="E1928">
        <v>4</v>
      </c>
      <c r="F1928">
        <v>1004</v>
      </c>
      <c r="G1928" t="s">
        <v>120</v>
      </c>
      <c r="J1928" t="s">
        <v>115</v>
      </c>
      <c r="K1928">
        <v>0</v>
      </c>
      <c r="L1928">
        <v>3</v>
      </c>
      <c r="M1928">
        <v>0</v>
      </c>
      <c r="N1928">
        <v>2</v>
      </c>
      <c r="O1928">
        <v>1</v>
      </c>
      <c r="P1928">
        <v>0</v>
      </c>
      <c r="Q1928">
        <v>0</v>
      </c>
      <c r="S1928" t="str">
        <f>"18:56:17.742"</f>
        <v>18:56:17.742</v>
      </c>
      <c r="T1928" t="str">
        <f>"18:56:17.342"</f>
        <v>18:56:17.342</v>
      </c>
      <c r="U1928" t="str">
        <f t="shared" si="193"/>
        <v>AAB6EE</v>
      </c>
      <c r="V1928">
        <v>0</v>
      </c>
      <c r="W1928">
        <v>0</v>
      </c>
      <c r="X1928">
        <v>4</v>
      </c>
      <c r="Z1928">
        <v>0</v>
      </c>
      <c r="AA1928">
        <v>8</v>
      </c>
      <c r="AB1928">
        <v>3</v>
      </c>
      <c r="AC1928">
        <v>0</v>
      </c>
      <c r="AD1928">
        <v>10</v>
      </c>
      <c r="AE1928">
        <v>0</v>
      </c>
      <c r="AF1928">
        <v>0</v>
      </c>
      <c r="AG1928">
        <v>2</v>
      </c>
      <c r="AH1928">
        <v>1</v>
      </c>
      <c r="AI1928" t="s">
        <v>1409</v>
      </c>
      <c r="AJ1928">
        <v>34.876699000000002</v>
      </c>
      <c r="AK1928" t="s">
        <v>1410</v>
      </c>
      <c r="AL1928">
        <v>-76.125619</v>
      </c>
      <c r="AM1928">
        <v>25</v>
      </c>
      <c r="AN1928">
        <v>2925</v>
      </c>
      <c r="AO1928" t="s">
        <v>118</v>
      </c>
      <c r="AP1928">
        <v>-82</v>
      </c>
      <c r="AQ1928">
        <v>-116</v>
      </c>
      <c r="AR1928">
        <v>-128</v>
      </c>
      <c r="AZ1928">
        <v>4516</v>
      </c>
      <c r="BA1928">
        <v>1</v>
      </c>
      <c r="BB1928" t="str">
        <f t="shared" si="192"/>
        <v xml:space="preserve">N79NX   </v>
      </c>
      <c r="BC1928">
        <v>1</v>
      </c>
      <c r="BE1928">
        <v>0</v>
      </c>
      <c r="BF1928">
        <v>0</v>
      </c>
      <c r="BG1928">
        <v>0</v>
      </c>
      <c r="BH1928">
        <v>2800</v>
      </c>
      <c r="BI1928">
        <v>0</v>
      </c>
      <c r="BJ1928">
        <v>0</v>
      </c>
      <c r="BK1928">
        <v>0</v>
      </c>
      <c r="BL1928">
        <v>0</v>
      </c>
      <c r="BO1928">
        <v>0</v>
      </c>
      <c r="BP1928">
        <v>0</v>
      </c>
      <c r="BW1928" t="str">
        <f>"18:56:17.745"</f>
        <v>18:56:17.745</v>
      </c>
      <c r="BZ1928">
        <v>0</v>
      </c>
      <c r="CA1928">
        <v>1792</v>
      </c>
      <c r="CB1928">
        <v>216</v>
      </c>
      <c r="CC1928">
        <v>593.4375</v>
      </c>
      <c r="CD1928">
        <v>1</v>
      </c>
      <c r="CE1928">
        <v>1</v>
      </c>
      <c r="CF1928">
        <v>0</v>
      </c>
      <c r="CG1928">
        <v>0</v>
      </c>
      <c r="CH1928">
        <v>0</v>
      </c>
      <c r="CI1928">
        <v>0</v>
      </c>
      <c r="CJ1928">
        <v>0</v>
      </c>
      <c r="CK1928">
        <v>2</v>
      </c>
      <c r="CL1928">
        <v>0</v>
      </c>
      <c r="CM1928">
        <v>2</v>
      </c>
      <c r="CN1928">
        <v>0</v>
      </c>
      <c r="CO1928">
        <v>1</v>
      </c>
      <c r="CP1928" t="s">
        <v>119</v>
      </c>
      <c r="CQ1928">
        <v>70</v>
      </c>
      <c r="CR1928">
        <v>1</v>
      </c>
      <c r="CW1928">
        <v>3693581</v>
      </c>
      <c r="CY1928">
        <v>0</v>
      </c>
      <c r="CZ1928">
        <v>0</v>
      </c>
      <c r="DA1928">
        <v>1</v>
      </c>
      <c r="DB1928">
        <v>0</v>
      </c>
      <c r="DC1928">
        <v>0</v>
      </c>
      <c r="DD1928">
        <v>0</v>
      </c>
      <c r="DE1928">
        <v>0</v>
      </c>
      <c r="DF1928">
        <v>0</v>
      </c>
      <c r="DG1928">
        <v>0</v>
      </c>
      <c r="DH1928">
        <v>0</v>
      </c>
      <c r="DI1928">
        <v>0</v>
      </c>
    </row>
    <row r="1929" spans="1:113" x14ac:dyDescent="0.3">
      <c r="A1929" t="str">
        <f>"02/13/2022 18:56:18.913"</f>
        <v>02/13/2022 18:56:18.913</v>
      </c>
      <c r="C1929" t="str">
        <f t="shared" si="191"/>
        <v>FFDFD7C0</v>
      </c>
      <c r="D1929" t="s">
        <v>113</v>
      </c>
      <c r="E1929">
        <v>3</v>
      </c>
      <c r="F1929">
        <v>1003</v>
      </c>
      <c r="G1929" t="s">
        <v>114</v>
      </c>
      <c r="J1929" t="s">
        <v>115</v>
      </c>
      <c r="K1929">
        <v>0</v>
      </c>
      <c r="L1929">
        <v>3</v>
      </c>
      <c r="M1929">
        <v>0</v>
      </c>
      <c r="N1929">
        <v>2</v>
      </c>
      <c r="O1929">
        <v>1</v>
      </c>
      <c r="P1929">
        <v>0</v>
      </c>
      <c r="Q1929">
        <v>0</v>
      </c>
      <c r="S1929" t="str">
        <f>"18:56:18.680"</f>
        <v>18:56:18.680</v>
      </c>
      <c r="T1929" t="str">
        <f>"18:56:18.280"</f>
        <v>18:56:18.280</v>
      </c>
      <c r="U1929" t="str">
        <f t="shared" si="193"/>
        <v>AAB6EE</v>
      </c>
      <c r="V1929">
        <v>0</v>
      </c>
      <c r="W1929">
        <v>0</v>
      </c>
      <c r="X1929">
        <v>4</v>
      </c>
      <c r="Z1929">
        <v>0</v>
      </c>
      <c r="AA1929">
        <v>8</v>
      </c>
      <c r="AB1929">
        <v>3</v>
      </c>
      <c r="AC1929">
        <v>0</v>
      </c>
      <c r="AD1929">
        <v>10</v>
      </c>
      <c r="AE1929">
        <v>0</v>
      </c>
      <c r="AF1929">
        <v>0</v>
      </c>
      <c r="AG1929">
        <v>2</v>
      </c>
      <c r="AH1929">
        <v>1</v>
      </c>
      <c r="AI1929" t="s">
        <v>1411</v>
      </c>
      <c r="AJ1929">
        <v>34.876184000000002</v>
      </c>
      <c r="AK1929" t="s">
        <v>1412</v>
      </c>
      <c r="AL1929">
        <v>-76.126048999999995</v>
      </c>
      <c r="AM1929">
        <v>25</v>
      </c>
      <c r="AN1929">
        <v>2925</v>
      </c>
      <c r="AO1929" t="s">
        <v>118</v>
      </c>
      <c r="AP1929">
        <v>-82</v>
      </c>
      <c r="AQ1929">
        <v>-116</v>
      </c>
      <c r="AR1929">
        <v>-128</v>
      </c>
      <c r="AZ1929">
        <v>4516</v>
      </c>
      <c r="BA1929">
        <v>1</v>
      </c>
      <c r="BB1929" t="str">
        <f t="shared" si="192"/>
        <v xml:space="preserve">N79NX   </v>
      </c>
      <c r="BC1929">
        <v>1</v>
      </c>
      <c r="BE1929">
        <v>0</v>
      </c>
      <c r="BF1929">
        <v>0</v>
      </c>
      <c r="BG1929">
        <v>0</v>
      </c>
      <c r="BH1929">
        <v>2800</v>
      </c>
      <c r="BI1929">
        <v>0</v>
      </c>
      <c r="BJ1929">
        <v>0</v>
      </c>
      <c r="BK1929">
        <v>0</v>
      </c>
      <c r="BL1929">
        <v>0</v>
      </c>
      <c r="BO1929">
        <v>0</v>
      </c>
      <c r="BP1929">
        <v>0</v>
      </c>
      <c r="BW1929" t="str">
        <f>"18:56:18.685"</f>
        <v>18:56:18.685</v>
      </c>
      <c r="BZ1929">
        <v>0</v>
      </c>
      <c r="CA1929">
        <v>1792</v>
      </c>
      <c r="CB1929">
        <v>216</v>
      </c>
      <c r="CC1929">
        <v>593.4375</v>
      </c>
      <c r="CD1929">
        <v>1</v>
      </c>
      <c r="CE1929">
        <v>1</v>
      </c>
      <c r="CF1929">
        <v>0</v>
      </c>
      <c r="CG1929">
        <v>0</v>
      </c>
      <c r="CH1929">
        <v>0</v>
      </c>
      <c r="CI1929">
        <v>0</v>
      </c>
      <c r="CJ1929">
        <v>0</v>
      </c>
      <c r="CK1929">
        <v>2</v>
      </c>
      <c r="CL1929">
        <v>0</v>
      </c>
      <c r="CM1929">
        <v>2</v>
      </c>
      <c r="CN1929">
        <v>0</v>
      </c>
      <c r="CO1929">
        <v>1</v>
      </c>
      <c r="CP1929" t="s">
        <v>119</v>
      </c>
      <c r="CQ1929">
        <v>70</v>
      </c>
      <c r="CR1929">
        <v>1</v>
      </c>
      <c r="CW1929">
        <v>3694301</v>
      </c>
      <c r="CY1929">
        <v>0</v>
      </c>
      <c r="CZ1929">
        <v>0</v>
      </c>
      <c r="DA1929">
        <v>0</v>
      </c>
      <c r="DB1929">
        <v>0</v>
      </c>
      <c r="DC1929">
        <v>0</v>
      </c>
      <c r="DD1929">
        <v>0</v>
      </c>
      <c r="DE1929">
        <v>0</v>
      </c>
      <c r="DF1929">
        <v>0</v>
      </c>
      <c r="DG1929">
        <v>0</v>
      </c>
      <c r="DH1929">
        <v>0</v>
      </c>
      <c r="DI1929">
        <v>0</v>
      </c>
    </row>
    <row r="1930" spans="1:113" x14ac:dyDescent="0.3">
      <c r="A1930" t="str">
        <f>"02/13/2022 18:56:18.913"</f>
        <v>02/13/2022 18:56:18.913</v>
      </c>
      <c r="C1930" t="str">
        <f t="shared" si="191"/>
        <v>FFDFD7C0</v>
      </c>
      <c r="D1930" t="s">
        <v>113</v>
      </c>
      <c r="E1930">
        <v>4</v>
      </c>
      <c r="F1930">
        <v>1004</v>
      </c>
      <c r="G1930" t="s">
        <v>120</v>
      </c>
      <c r="J1930" t="s">
        <v>115</v>
      </c>
      <c r="K1930">
        <v>0</v>
      </c>
      <c r="L1930">
        <v>3</v>
      </c>
      <c r="M1930">
        <v>0</v>
      </c>
      <c r="N1930">
        <v>2</v>
      </c>
      <c r="O1930">
        <v>1</v>
      </c>
      <c r="P1930">
        <v>0</v>
      </c>
      <c r="Q1930">
        <v>0</v>
      </c>
      <c r="S1930" t="str">
        <f>"18:56:18.680"</f>
        <v>18:56:18.680</v>
      </c>
      <c r="T1930" t="str">
        <f>"18:56:18.280"</f>
        <v>18:56:18.280</v>
      </c>
      <c r="U1930" t="str">
        <f t="shared" si="193"/>
        <v>AAB6EE</v>
      </c>
      <c r="V1930">
        <v>0</v>
      </c>
      <c r="W1930">
        <v>0</v>
      </c>
      <c r="X1930">
        <v>4</v>
      </c>
      <c r="Z1930">
        <v>0</v>
      </c>
      <c r="AA1930">
        <v>8</v>
      </c>
      <c r="AB1930">
        <v>3</v>
      </c>
      <c r="AC1930">
        <v>0</v>
      </c>
      <c r="AD1930">
        <v>10</v>
      </c>
      <c r="AE1930">
        <v>0</v>
      </c>
      <c r="AF1930">
        <v>0</v>
      </c>
      <c r="AG1930">
        <v>2</v>
      </c>
      <c r="AH1930">
        <v>1</v>
      </c>
      <c r="AI1930" t="s">
        <v>1411</v>
      </c>
      <c r="AJ1930">
        <v>34.876184000000002</v>
      </c>
      <c r="AK1930" t="s">
        <v>1412</v>
      </c>
      <c r="AL1930">
        <v>-76.126048999999995</v>
      </c>
      <c r="AM1930">
        <v>25</v>
      </c>
      <c r="AN1930">
        <v>2925</v>
      </c>
      <c r="AO1930" t="s">
        <v>118</v>
      </c>
      <c r="AP1930">
        <v>-82</v>
      </c>
      <c r="AQ1930">
        <v>-116</v>
      </c>
      <c r="AR1930">
        <v>-128</v>
      </c>
      <c r="AZ1930">
        <v>4516</v>
      </c>
      <c r="BA1930">
        <v>1</v>
      </c>
      <c r="BB1930" t="str">
        <f t="shared" si="192"/>
        <v xml:space="preserve">N79NX   </v>
      </c>
      <c r="BC1930">
        <v>1</v>
      </c>
      <c r="BE1930">
        <v>0</v>
      </c>
      <c r="BF1930">
        <v>0</v>
      </c>
      <c r="BG1930">
        <v>0</v>
      </c>
      <c r="BH1930">
        <v>2800</v>
      </c>
      <c r="BI1930">
        <v>0</v>
      </c>
      <c r="BJ1930">
        <v>0</v>
      </c>
      <c r="BK1930">
        <v>0</v>
      </c>
      <c r="BL1930">
        <v>0</v>
      </c>
      <c r="BO1930">
        <v>0</v>
      </c>
      <c r="BP1930">
        <v>0</v>
      </c>
      <c r="BW1930" t="str">
        <f>"18:56:18.685"</f>
        <v>18:56:18.685</v>
      </c>
      <c r="BZ1930">
        <v>0</v>
      </c>
      <c r="CA1930">
        <v>1792</v>
      </c>
      <c r="CB1930">
        <v>216</v>
      </c>
      <c r="CC1930">
        <v>593.4375</v>
      </c>
      <c r="CD1930">
        <v>1</v>
      </c>
      <c r="CE1930">
        <v>1</v>
      </c>
      <c r="CF1930">
        <v>0</v>
      </c>
      <c r="CG1930">
        <v>0</v>
      </c>
      <c r="CH1930">
        <v>0</v>
      </c>
      <c r="CI1930">
        <v>0</v>
      </c>
      <c r="CJ1930">
        <v>0</v>
      </c>
      <c r="CK1930">
        <v>2</v>
      </c>
      <c r="CL1930">
        <v>0</v>
      </c>
      <c r="CM1930">
        <v>2</v>
      </c>
      <c r="CN1930">
        <v>0</v>
      </c>
      <c r="CO1930">
        <v>1</v>
      </c>
      <c r="CP1930" t="s">
        <v>119</v>
      </c>
      <c r="CQ1930">
        <v>70</v>
      </c>
      <c r="CR1930">
        <v>1</v>
      </c>
      <c r="CW1930">
        <v>3694301</v>
      </c>
      <c r="CY1930">
        <v>0</v>
      </c>
      <c r="CZ1930">
        <v>0</v>
      </c>
      <c r="DA1930">
        <v>1</v>
      </c>
      <c r="DB1930">
        <v>0</v>
      </c>
      <c r="DC1930">
        <v>0</v>
      </c>
      <c r="DD1930">
        <v>0</v>
      </c>
      <c r="DE1930">
        <v>0</v>
      </c>
      <c r="DF1930">
        <v>0</v>
      </c>
      <c r="DG1930">
        <v>0</v>
      </c>
      <c r="DH1930">
        <v>0</v>
      </c>
      <c r="DI1930">
        <v>0</v>
      </c>
    </row>
    <row r="1931" spans="1:113" x14ac:dyDescent="0.3">
      <c r="A1931" t="str">
        <f>"02/13/2022 18:56:18.929"</f>
        <v>02/13/2022 18:56:18.929</v>
      </c>
      <c r="C1931" t="str">
        <f t="shared" si="191"/>
        <v>FFDFD7C0</v>
      </c>
      <c r="D1931" t="s">
        <v>121</v>
      </c>
      <c r="E1931">
        <v>2</v>
      </c>
      <c r="H1931">
        <v>158</v>
      </c>
      <c r="I1931" t="s">
        <v>120</v>
      </c>
      <c r="J1931" t="s">
        <v>122</v>
      </c>
      <c r="K1931">
        <v>0</v>
      </c>
      <c r="L1931">
        <v>3</v>
      </c>
      <c r="M1931">
        <v>0</v>
      </c>
      <c r="N1931">
        <v>2</v>
      </c>
      <c r="O1931">
        <v>1</v>
      </c>
      <c r="P1931">
        <v>0</v>
      </c>
      <c r="Q1931">
        <v>0</v>
      </c>
      <c r="S1931" t="str">
        <f>"18:56:18.680"</f>
        <v>18:56:18.680</v>
      </c>
      <c r="T1931" t="str">
        <f>"18:56:18.280"</f>
        <v>18:56:18.280</v>
      </c>
      <c r="U1931" t="str">
        <f t="shared" si="193"/>
        <v>AAB6EE</v>
      </c>
      <c r="V1931">
        <v>0</v>
      </c>
      <c r="W1931">
        <v>0</v>
      </c>
      <c r="X1931">
        <v>4</v>
      </c>
      <c r="Z1931">
        <v>0</v>
      </c>
      <c r="AA1931">
        <v>8</v>
      </c>
      <c r="AB1931">
        <v>3</v>
      </c>
      <c r="AC1931">
        <v>0</v>
      </c>
      <c r="AD1931">
        <v>10</v>
      </c>
      <c r="AE1931">
        <v>0</v>
      </c>
      <c r="AF1931">
        <v>0</v>
      </c>
      <c r="AG1931">
        <v>2</v>
      </c>
      <c r="AH1931">
        <v>1</v>
      </c>
      <c r="AI1931" t="s">
        <v>1411</v>
      </c>
      <c r="AJ1931">
        <v>34.876184000000002</v>
      </c>
      <c r="AK1931" t="s">
        <v>1412</v>
      </c>
      <c r="AL1931">
        <v>-76.126048999999995</v>
      </c>
      <c r="AM1931">
        <v>25</v>
      </c>
      <c r="AN1931">
        <v>2925</v>
      </c>
      <c r="AO1931" t="s">
        <v>118</v>
      </c>
      <c r="AP1931">
        <v>-82</v>
      </c>
      <c r="AQ1931">
        <v>-116</v>
      </c>
      <c r="AR1931">
        <v>-128</v>
      </c>
      <c r="AZ1931">
        <v>4516</v>
      </c>
      <c r="BA1931">
        <v>1</v>
      </c>
      <c r="BB1931" t="str">
        <f t="shared" si="192"/>
        <v xml:space="preserve">N79NX   </v>
      </c>
      <c r="BC1931">
        <v>1</v>
      </c>
      <c r="BE1931">
        <v>0</v>
      </c>
      <c r="BF1931">
        <v>0</v>
      </c>
      <c r="BG1931">
        <v>0</v>
      </c>
      <c r="BH1931">
        <v>2800</v>
      </c>
      <c r="BI1931">
        <v>0</v>
      </c>
      <c r="BJ1931">
        <v>0</v>
      </c>
      <c r="BK1931">
        <v>0</v>
      </c>
      <c r="BL1931">
        <v>0</v>
      </c>
      <c r="BO1931">
        <v>0</v>
      </c>
      <c r="BP1931">
        <v>0</v>
      </c>
      <c r="BW1931" t="str">
        <f>"18:56:18.685"</f>
        <v>18:56:18.685</v>
      </c>
      <c r="BZ1931">
        <v>0</v>
      </c>
      <c r="CA1931">
        <v>1792</v>
      </c>
      <c r="CB1931">
        <v>216</v>
      </c>
      <c r="CC1931">
        <v>593.4375</v>
      </c>
      <c r="CD1931">
        <v>1</v>
      </c>
      <c r="CE1931">
        <v>1</v>
      </c>
      <c r="CF1931">
        <v>0</v>
      </c>
      <c r="CG1931">
        <v>0</v>
      </c>
      <c r="CH1931">
        <v>0</v>
      </c>
      <c r="CI1931">
        <v>0</v>
      </c>
      <c r="CJ1931">
        <v>0</v>
      </c>
      <c r="CK1931">
        <v>2</v>
      </c>
      <c r="CL1931">
        <v>0</v>
      </c>
      <c r="CM1931">
        <v>2</v>
      </c>
      <c r="CN1931">
        <v>0</v>
      </c>
      <c r="CO1931">
        <v>1</v>
      </c>
      <c r="CP1931" t="s">
        <v>119</v>
      </c>
      <c r="CQ1931">
        <v>70</v>
      </c>
      <c r="CR1931">
        <v>1</v>
      </c>
      <c r="CW1931">
        <v>3694301</v>
      </c>
      <c r="CY1931">
        <v>0</v>
      </c>
      <c r="CZ1931">
        <v>0</v>
      </c>
      <c r="DA1931">
        <v>1</v>
      </c>
      <c r="DB1931">
        <v>0</v>
      </c>
      <c r="DC1931">
        <v>0</v>
      </c>
      <c r="DD1931">
        <v>0</v>
      </c>
      <c r="DE1931">
        <v>0</v>
      </c>
      <c r="DF1931">
        <v>0</v>
      </c>
      <c r="DG1931">
        <v>0</v>
      </c>
      <c r="DH1931">
        <v>0</v>
      </c>
      <c r="DI1931">
        <v>0</v>
      </c>
    </row>
    <row r="1932" spans="1:113" x14ac:dyDescent="0.3">
      <c r="A1932" t="str">
        <f>"02/13/2022 18:56:19.776"</f>
        <v>02/13/2022 18:56:19.776</v>
      </c>
      <c r="C1932" t="str">
        <f t="shared" si="191"/>
        <v>FFDFD7C0</v>
      </c>
      <c r="D1932" t="s">
        <v>121</v>
      </c>
      <c r="E1932">
        <v>2</v>
      </c>
      <c r="H1932">
        <v>158</v>
      </c>
      <c r="I1932" t="s">
        <v>120</v>
      </c>
      <c r="J1932" t="s">
        <v>122</v>
      </c>
      <c r="K1932">
        <v>0</v>
      </c>
      <c r="L1932">
        <v>3</v>
      </c>
      <c r="M1932">
        <v>0</v>
      </c>
      <c r="N1932">
        <v>2</v>
      </c>
      <c r="O1932">
        <v>1</v>
      </c>
      <c r="P1932">
        <v>0</v>
      </c>
      <c r="Q1932">
        <v>0</v>
      </c>
      <c r="S1932" t="str">
        <f>"18:56:19.508"</f>
        <v>18:56:19.508</v>
      </c>
      <c r="T1932" t="str">
        <f>"18:56:19.208"</f>
        <v>18:56:19.208</v>
      </c>
      <c r="U1932" t="str">
        <f t="shared" si="193"/>
        <v>AAB6EE</v>
      </c>
      <c r="V1932">
        <v>0</v>
      </c>
      <c r="W1932">
        <v>0</v>
      </c>
      <c r="X1932">
        <v>4</v>
      </c>
      <c r="Z1932">
        <v>0</v>
      </c>
      <c r="AA1932">
        <v>8</v>
      </c>
      <c r="AB1932">
        <v>3</v>
      </c>
      <c r="AC1932">
        <v>0</v>
      </c>
      <c r="AD1932">
        <v>10</v>
      </c>
      <c r="AE1932">
        <v>0</v>
      </c>
      <c r="AF1932">
        <v>0</v>
      </c>
      <c r="AG1932">
        <v>2</v>
      </c>
      <c r="AH1932">
        <v>1</v>
      </c>
      <c r="AI1932" t="s">
        <v>1413</v>
      </c>
      <c r="AJ1932">
        <v>34.875734000000001</v>
      </c>
      <c r="AK1932" t="s">
        <v>1414</v>
      </c>
      <c r="AL1932">
        <v>-76.126456000000005</v>
      </c>
      <c r="AM1932">
        <v>25</v>
      </c>
      <c r="AN1932">
        <v>2925</v>
      </c>
      <c r="AO1932" t="s">
        <v>118</v>
      </c>
      <c r="AP1932">
        <v>-83</v>
      </c>
      <c r="AQ1932">
        <v>-117</v>
      </c>
      <c r="AR1932">
        <v>-128</v>
      </c>
      <c r="AZ1932">
        <v>4516</v>
      </c>
      <c r="BA1932">
        <v>1</v>
      </c>
      <c r="BB1932" t="str">
        <f t="shared" si="192"/>
        <v xml:space="preserve">N79NX   </v>
      </c>
      <c r="BC1932">
        <v>1</v>
      </c>
      <c r="BE1932">
        <v>0</v>
      </c>
      <c r="BF1932">
        <v>0</v>
      </c>
      <c r="BG1932">
        <v>0</v>
      </c>
      <c r="BH1932">
        <v>2800</v>
      </c>
      <c r="BI1932">
        <v>0</v>
      </c>
      <c r="BJ1932">
        <v>0</v>
      </c>
      <c r="BK1932">
        <v>0</v>
      </c>
      <c r="BL1932">
        <v>0</v>
      </c>
      <c r="BO1932">
        <v>0</v>
      </c>
      <c r="BP1932">
        <v>0</v>
      </c>
      <c r="BW1932" t="str">
        <f>"18:56:19.515"</f>
        <v>18:56:19.515</v>
      </c>
      <c r="BZ1932">
        <v>0</v>
      </c>
      <c r="CA1932">
        <v>1792</v>
      </c>
      <c r="CB1932">
        <v>216</v>
      </c>
      <c r="CC1932">
        <v>593.4375</v>
      </c>
      <c r="CD1932">
        <v>1</v>
      </c>
      <c r="CE1932">
        <v>1</v>
      </c>
      <c r="CF1932">
        <v>0</v>
      </c>
      <c r="CG1932">
        <v>0</v>
      </c>
      <c r="CH1932">
        <v>0</v>
      </c>
      <c r="CI1932">
        <v>0</v>
      </c>
      <c r="CJ1932">
        <v>0</v>
      </c>
      <c r="CK1932">
        <v>2</v>
      </c>
      <c r="CL1932">
        <v>0</v>
      </c>
      <c r="CM1932">
        <v>2</v>
      </c>
      <c r="CN1932">
        <v>0</v>
      </c>
      <c r="CO1932">
        <v>1</v>
      </c>
      <c r="CP1932" t="s">
        <v>119</v>
      </c>
      <c r="CQ1932">
        <v>70</v>
      </c>
      <c r="CR1932">
        <v>1</v>
      </c>
      <c r="CW1932">
        <v>3694965</v>
      </c>
      <c r="CY1932">
        <v>0</v>
      </c>
      <c r="CZ1932">
        <v>0</v>
      </c>
      <c r="DA1932">
        <v>0</v>
      </c>
      <c r="DB1932">
        <v>0</v>
      </c>
      <c r="DC1932">
        <v>0</v>
      </c>
      <c r="DD1932">
        <v>0</v>
      </c>
      <c r="DE1932">
        <v>0</v>
      </c>
      <c r="DF1932">
        <v>0</v>
      </c>
      <c r="DG1932">
        <v>0</v>
      </c>
      <c r="DH1932">
        <v>0</v>
      </c>
      <c r="DI1932">
        <v>0</v>
      </c>
    </row>
    <row r="1933" spans="1:113" x14ac:dyDescent="0.3">
      <c r="A1933" t="str">
        <f>"02/13/2022 18:56:19.901"</f>
        <v>02/13/2022 18:56:19.901</v>
      </c>
      <c r="C1933" t="str">
        <f t="shared" si="191"/>
        <v>FFDFD7C0</v>
      </c>
      <c r="D1933" t="s">
        <v>113</v>
      </c>
      <c r="E1933">
        <v>3</v>
      </c>
      <c r="F1933">
        <v>1003</v>
      </c>
      <c r="G1933" t="s">
        <v>114</v>
      </c>
      <c r="J1933" t="s">
        <v>115</v>
      </c>
      <c r="K1933">
        <v>0</v>
      </c>
      <c r="L1933">
        <v>3</v>
      </c>
      <c r="M1933">
        <v>0</v>
      </c>
      <c r="N1933">
        <v>2</v>
      </c>
      <c r="O1933">
        <v>1</v>
      </c>
      <c r="P1933">
        <v>0</v>
      </c>
      <c r="Q1933">
        <v>0</v>
      </c>
      <c r="S1933" t="str">
        <f>"18:56:19.508"</f>
        <v>18:56:19.508</v>
      </c>
      <c r="T1933" t="str">
        <f>"18:56:19.208"</f>
        <v>18:56:19.208</v>
      </c>
      <c r="U1933" t="str">
        <f t="shared" si="193"/>
        <v>AAB6EE</v>
      </c>
      <c r="V1933">
        <v>0</v>
      </c>
      <c r="W1933">
        <v>0</v>
      </c>
      <c r="X1933">
        <v>4</v>
      </c>
      <c r="Z1933">
        <v>0</v>
      </c>
      <c r="AA1933">
        <v>8</v>
      </c>
      <c r="AB1933">
        <v>3</v>
      </c>
      <c r="AC1933">
        <v>0</v>
      </c>
      <c r="AD1933">
        <v>10</v>
      </c>
      <c r="AE1933">
        <v>0</v>
      </c>
      <c r="AF1933">
        <v>0</v>
      </c>
      <c r="AG1933">
        <v>2</v>
      </c>
      <c r="AH1933">
        <v>1</v>
      </c>
      <c r="AI1933" t="s">
        <v>1413</v>
      </c>
      <c r="AJ1933">
        <v>34.875734000000001</v>
      </c>
      <c r="AK1933" t="s">
        <v>1414</v>
      </c>
      <c r="AL1933">
        <v>-76.126456000000005</v>
      </c>
      <c r="AM1933">
        <v>25</v>
      </c>
      <c r="AN1933">
        <v>2925</v>
      </c>
      <c r="AO1933" t="s">
        <v>118</v>
      </c>
      <c r="AP1933">
        <v>-83</v>
      </c>
      <c r="AQ1933">
        <v>-117</v>
      </c>
      <c r="AR1933">
        <v>-128</v>
      </c>
      <c r="AZ1933">
        <v>4516</v>
      </c>
      <c r="BA1933">
        <v>1</v>
      </c>
      <c r="BB1933" t="str">
        <f t="shared" si="192"/>
        <v xml:space="preserve">N79NX   </v>
      </c>
      <c r="BC1933">
        <v>1</v>
      </c>
      <c r="BE1933">
        <v>0</v>
      </c>
      <c r="BF1933">
        <v>0</v>
      </c>
      <c r="BG1933">
        <v>0</v>
      </c>
      <c r="BH1933">
        <v>2800</v>
      </c>
      <c r="BI1933">
        <v>0</v>
      </c>
      <c r="BJ1933">
        <v>0</v>
      </c>
      <c r="BK1933">
        <v>0</v>
      </c>
      <c r="BL1933">
        <v>0</v>
      </c>
      <c r="BO1933">
        <v>0</v>
      </c>
      <c r="BP1933">
        <v>0</v>
      </c>
      <c r="BW1933" t="str">
        <f>"18:56:19.515"</f>
        <v>18:56:19.515</v>
      </c>
      <c r="BZ1933">
        <v>0</v>
      </c>
      <c r="CA1933">
        <v>1792</v>
      </c>
      <c r="CB1933">
        <v>216</v>
      </c>
      <c r="CC1933">
        <v>593.4375</v>
      </c>
      <c r="CD1933">
        <v>1</v>
      </c>
      <c r="CE1933">
        <v>1</v>
      </c>
      <c r="CF1933">
        <v>0</v>
      </c>
      <c r="CG1933">
        <v>0</v>
      </c>
      <c r="CH1933">
        <v>0</v>
      </c>
      <c r="CI1933">
        <v>0</v>
      </c>
      <c r="CJ1933">
        <v>0</v>
      </c>
      <c r="CK1933">
        <v>2</v>
      </c>
      <c r="CL1933">
        <v>0</v>
      </c>
      <c r="CM1933">
        <v>2</v>
      </c>
      <c r="CN1933">
        <v>0</v>
      </c>
      <c r="CO1933">
        <v>1</v>
      </c>
      <c r="CP1933" t="s">
        <v>119</v>
      </c>
      <c r="CQ1933">
        <v>70</v>
      </c>
      <c r="CR1933">
        <v>1</v>
      </c>
      <c r="CW1933">
        <v>3694965</v>
      </c>
      <c r="CY1933">
        <v>0</v>
      </c>
      <c r="CZ1933">
        <v>0</v>
      </c>
      <c r="DA1933">
        <v>1</v>
      </c>
      <c r="DB1933">
        <v>0</v>
      </c>
      <c r="DC1933">
        <v>0</v>
      </c>
      <c r="DD1933">
        <v>0</v>
      </c>
      <c r="DE1933">
        <v>0</v>
      </c>
      <c r="DF1933">
        <v>0</v>
      </c>
      <c r="DG1933">
        <v>0</v>
      </c>
      <c r="DH1933">
        <v>0</v>
      </c>
      <c r="DI1933">
        <v>0</v>
      </c>
    </row>
    <row r="1934" spans="1:113" x14ac:dyDescent="0.3">
      <c r="A1934" t="str">
        <f>"02/13/2022 18:56:19.901"</f>
        <v>02/13/2022 18:56:19.901</v>
      </c>
      <c r="C1934" t="str">
        <f t="shared" si="191"/>
        <v>FFDFD7C0</v>
      </c>
      <c r="D1934" t="s">
        <v>113</v>
      </c>
      <c r="E1934">
        <v>4</v>
      </c>
      <c r="F1934">
        <v>1004</v>
      </c>
      <c r="G1934" t="s">
        <v>120</v>
      </c>
      <c r="J1934" t="s">
        <v>115</v>
      </c>
      <c r="K1934">
        <v>0</v>
      </c>
      <c r="L1934">
        <v>3</v>
      </c>
      <c r="M1934">
        <v>0</v>
      </c>
      <c r="N1934">
        <v>2</v>
      </c>
      <c r="O1934">
        <v>1</v>
      </c>
      <c r="P1934">
        <v>0</v>
      </c>
      <c r="Q1934">
        <v>0</v>
      </c>
      <c r="S1934" t="str">
        <f>"18:56:19.508"</f>
        <v>18:56:19.508</v>
      </c>
      <c r="T1934" t="str">
        <f>"18:56:19.208"</f>
        <v>18:56:19.208</v>
      </c>
      <c r="U1934" t="str">
        <f t="shared" si="193"/>
        <v>AAB6EE</v>
      </c>
      <c r="V1934">
        <v>0</v>
      </c>
      <c r="W1934">
        <v>0</v>
      </c>
      <c r="X1934">
        <v>4</v>
      </c>
      <c r="Z1934">
        <v>0</v>
      </c>
      <c r="AA1934">
        <v>8</v>
      </c>
      <c r="AB1934">
        <v>3</v>
      </c>
      <c r="AC1934">
        <v>0</v>
      </c>
      <c r="AD1934">
        <v>10</v>
      </c>
      <c r="AE1934">
        <v>0</v>
      </c>
      <c r="AF1934">
        <v>0</v>
      </c>
      <c r="AG1934">
        <v>2</v>
      </c>
      <c r="AH1934">
        <v>1</v>
      </c>
      <c r="AI1934" t="s">
        <v>1413</v>
      </c>
      <c r="AJ1934">
        <v>34.875734000000001</v>
      </c>
      <c r="AK1934" t="s">
        <v>1414</v>
      </c>
      <c r="AL1934">
        <v>-76.126456000000005</v>
      </c>
      <c r="AM1934">
        <v>25</v>
      </c>
      <c r="AN1934">
        <v>2925</v>
      </c>
      <c r="AO1934" t="s">
        <v>118</v>
      </c>
      <c r="AP1934">
        <v>-83</v>
      </c>
      <c r="AQ1934">
        <v>-117</v>
      </c>
      <c r="AR1934">
        <v>-128</v>
      </c>
      <c r="AZ1934">
        <v>4516</v>
      </c>
      <c r="BA1934">
        <v>1</v>
      </c>
      <c r="BB1934" t="str">
        <f t="shared" si="192"/>
        <v xml:space="preserve">N79NX   </v>
      </c>
      <c r="BC1934">
        <v>1</v>
      </c>
      <c r="BE1934">
        <v>0</v>
      </c>
      <c r="BF1934">
        <v>0</v>
      </c>
      <c r="BG1934">
        <v>0</v>
      </c>
      <c r="BH1934">
        <v>2800</v>
      </c>
      <c r="BI1934">
        <v>0</v>
      </c>
      <c r="BJ1934">
        <v>0</v>
      </c>
      <c r="BK1934">
        <v>0</v>
      </c>
      <c r="BL1934">
        <v>0</v>
      </c>
      <c r="BO1934">
        <v>0</v>
      </c>
      <c r="BP1934">
        <v>0</v>
      </c>
      <c r="BW1934" t="str">
        <f>"18:56:19.515"</f>
        <v>18:56:19.515</v>
      </c>
      <c r="BZ1934">
        <v>0</v>
      </c>
      <c r="CA1934">
        <v>1792</v>
      </c>
      <c r="CB1934">
        <v>216</v>
      </c>
      <c r="CC1934">
        <v>593.4375</v>
      </c>
      <c r="CD1934">
        <v>1</v>
      </c>
      <c r="CE1934">
        <v>1</v>
      </c>
      <c r="CF1934">
        <v>0</v>
      </c>
      <c r="CG1934">
        <v>0</v>
      </c>
      <c r="CH1934">
        <v>0</v>
      </c>
      <c r="CI1934">
        <v>0</v>
      </c>
      <c r="CJ1934">
        <v>0</v>
      </c>
      <c r="CK1934">
        <v>2</v>
      </c>
      <c r="CL1934">
        <v>0</v>
      </c>
      <c r="CM1934">
        <v>2</v>
      </c>
      <c r="CN1934">
        <v>0</v>
      </c>
      <c r="CO1934">
        <v>1</v>
      </c>
      <c r="CP1934" t="s">
        <v>119</v>
      </c>
      <c r="CQ1934">
        <v>70</v>
      </c>
      <c r="CR1934">
        <v>1</v>
      </c>
      <c r="CW1934">
        <v>3694965</v>
      </c>
      <c r="CY1934">
        <v>0</v>
      </c>
      <c r="CZ1934">
        <v>0</v>
      </c>
      <c r="DA1934">
        <v>1</v>
      </c>
      <c r="DB1934">
        <v>0</v>
      </c>
      <c r="DC1934">
        <v>0</v>
      </c>
      <c r="DD1934">
        <v>0</v>
      </c>
      <c r="DE1934">
        <v>0</v>
      </c>
      <c r="DF1934">
        <v>0</v>
      </c>
      <c r="DG1934">
        <v>0</v>
      </c>
      <c r="DH1934">
        <v>0</v>
      </c>
      <c r="DI1934">
        <v>0</v>
      </c>
    </row>
    <row r="1935" spans="1:113" x14ac:dyDescent="0.3">
      <c r="A1935" t="str">
        <f>"02/13/2022 18:56:20.807"</f>
        <v>02/13/2022 18:56:20.807</v>
      </c>
      <c r="C1935" t="str">
        <f t="shared" si="191"/>
        <v>FFDFD7C0</v>
      </c>
      <c r="D1935" t="s">
        <v>113</v>
      </c>
      <c r="E1935">
        <v>3</v>
      </c>
      <c r="F1935">
        <v>1003</v>
      </c>
      <c r="G1935" t="s">
        <v>114</v>
      </c>
      <c r="J1935" t="s">
        <v>115</v>
      </c>
      <c r="K1935">
        <v>0</v>
      </c>
      <c r="L1935">
        <v>3</v>
      </c>
      <c r="M1935">
        <v>0</v>
      </c>
      <c r="N1935">
        <v>2</v>
      </c>
      <c r="O1935">
        <v>1</v>
      </c>
      <c r="P1935">
        <v>0</v>
      </c>
      <c r="Q1935">
        <v>0</v>
      </c>
      <c r="S1935" t="str">
        <f>"18:56:20.563"</f>
        <v>18:56:20.563</v>
      </c>
      <c r="T1935" t="str">
        <f>"18:56:20.363"</f>
        <v>18:56:20.363</v>
      </c>
      <c r="U1935" t="str">
        <f t="shared" si="193"/>
        <v>AAB6EE</v>
      </c>
      <c r="V1935">
        <v>0</v>
      </c>
      <c r="W1935">
        <v>0</v>
      </c>
      <c r="X1935">
        <v>4</v>
      </c>
      <c r="Z1935">
        <v>0</v>
      </c>
      <c r="AA1935">
        <v>8</v>
      </c>
      <c r="AB1935">
        <v>3</v>
      </c>
      <c r="AC1935">
        <v>0</v>
      </c>
      <c r="AD1935">
        <v>10</v>
      </c>
      <c r="AE1935">
        <v>0</v>
      </c>
      <c r="AF1935">
        <v>0</v>
      </c>
      <c r="AG1935">
        <v>2</v>
      </c>
      <c r="AH1935">
        <v>1</v>
      </c>
      <c r="AI1935" t="s">
        <v>1415</v>
      </c>
      <c r="AJ1935">
        <v>34.875176000000003</v>
      </c>
      <c r="AK1935" t="s">
        <v>1416</v>
      </c>
      <c r="AL1935">
        <v>-76.126907000000003</v>
      </c>
      <c r="AM1935">
        <v>25</v>
      </c>
      <c r="AN1935">
        <v>2925</v>
      </c>
      <c r="AO1935" t="s">
        <v>118</v>
      </c>
      <c r="AP1935">
        <v>-83</v>
      </c>
      <c r="AQ1935">
        <v>-117</v>
      </c>
      <c r="AR1935">
        <v>-128</v>
      </c>
      <c r="AZ1935">
        <v>4516</v>
      </c>
      <c r="BA1935">
        <v>1</v>
      </c>
      <c r="BB1935" t="str">
        <f t="shared" si="192"/>
        <v xml:space="preserve">N79NX   </v>
      </c>
      <c r="BC1935">
        <v>1</v>
      </c>
      <c r="BE1935">
        <v>0</v>
      </c>
      <c r="BF1935">
        <v>0</v>
      </c>
      <c r="BG1935">
        <v>0</v>
      </c>
      <c r="BH1935">
        <v>2800</v>
      </c>
      <c r="BI1935">
        <v>0</v>
      </c>
      <c r="BJ1935">
        <v>0</v>
      </c>
      <c r="BK1935">
        <v>0</v>
      </c>
      <c r="BL1935">
        <v>0</v>
      </c>
      <c r="BO1935">
        <v>0</v>
      </c>
      <c r="BP1935">
        <v>0</v>
      </c>
      <c r="BW1935" t="str">
        <f>"18:56:20.565"</f>
        <v>18:56:20.565</v>
      </c>
      <c r="BZ1935">
        <v>0</v>
      </c>
      <c r="CA1935">
        <v>1792</v>
      </c>
      <c r="CB1935">
        <v>216</v>
      </c>
      <c r="CC1935">
        <v>593.4375</v>
      </c>
      <c r="CD1935">
        <v>1</v>
      </c>
      <c r="CE1935">
        <v>1</v>
      </c>
      <c r="CF1935">
        <v>0</v>
      </c>
      <c r="CG1935">
        <v>0</v>
      </c>
      <c r="CH1935">
        <v>0</v>
      </c>
      <c r="CI1935">
        <v>0</v>
      </c>
      <c r="CJ1935">
        <v>0</v>
      </c>
      <c r="CK1935">
        <v>2</v>
      </c>
      <c r="CL1935">
        <v>0</v>
      </c>
      <c r="CM1935">
        <v>2</v>
      </c>
      <c r="CN1935">
        <v>0</v>
      </c>
      <c r="CO1935">
        <v>1</v>
      </c>
      <c r="CP1935" t="s">
        <v>119</v>
      </c>
      <c r="CQ1935">
        <v>70</v>
      </c>
      <c r="CR1935">
        <v>1</v>
      </c>
      <c r="CW1935">
        <v>3695872</v>
      </c>
      <c r="CY1935">
        <v>0</v>
      </c>
      <c r="CZ1935">
        <v>0</v>
      </c>
      <c r="DA1935">
        <v>0</v>
      </c>
      <c r="DB1935">
        <v>0</v>
      </c>
      <c r="DC1935">
        <v>0</v>
      </c>
      <c r="DD1935">
        <v>0</v>
      </c>
      <c r="DE1935">
        <v>0</v>
      </c>
      <c r="DF1935">
        <v>0</v>
      </c>
      <c r="DG1935">
        <v>0</v>
      </c>
      <c r="DH1935">
        <v>0</v>
      </c>
      <c r="DI1935">
        <v>0</v>
      </c>
    </row>
    <row r="1936" spans="1:113" x14ac:dyDescent="0.3">
      <c r="A1936" t="str">
        <f>"02/13/2022 18:56:20.807"</f>
        <v>02/13/2022 18:56:20.807</v>
      </c>
      <c r="C1936" t="str">
        <f t="shared" si="191"/>
        <v>FFDFD7C0</v>
      </c>
      <c r="D1936" t="s">
        <v>113</v>
      </c>
      <c r="E1936">
        <v>4</v>
      </c>
      <c r="F1936">
        <v>1004</v>
      </c>
      <c r="G1936" t="s">
        <v>120</v>
      </c>
      <c r="J1936" t="s">
        <v>115</v>
      </c>
      <c r="K1936">
        <v>0</v>
      </c>
      <c r="L1936">
        <v>3</v>
      </c>
      <c r="M1936">
        <v>0</v>
      </c>
      <c r="N1936">
        <v>2</v>
      </c>
      <c r="O1936">
        <v>1</v>
      </c>
      <c r="P1936">
        <v>0</v>
      </c>
      <c r="Q1936">
        <v>0</v>
      </c>
      <c r="S1936" t="str">
        <f>"18:56:20.563"</f>
        <v>18:56:20.563</v>
      </c>
      <c r="T1936" t="str">
        <f>"18:56:20.363"</f>
        <v>18:56:20.363</v>
      </c>
      <c r="U1936" t="str">
        <f t="shared" si="193"/>
        <v>AAB6EE</v>
      </c>
      <c r="V1936">
        <v>0</v>
      </c>
      <c r="W1936">
        <v>0</v>
      </c>
      <c r="X1936">
        <v>4</v>
      </c>
      <c r="Z1936">
        <v>0</v>
      </c>
      <c r="AA1936">
        <v>8</v>
      </c>
      <c r="AB1936">
        <v>3</v>
      </c>
      <c r="AC1936">
        <v>0</v>
      </c>
      <c r="AD1936">
        <v>10</v>
      </c>
      <c r="AE1936">
        <v>0</v>
      </c>
      <c r="AF1936">
        <v>0</v>
      </c>
      <c r="AG1936">
        <v>2</v>
      </c>
      <c r="AH1936">
        <v>1</v>
      </c>
      <c r="AI1936" t="s">
        <v>1415</v>
      </c>
      <c r="AJ1936">
        <v>34.875176000000003</v>
      </c>
      <c r="AK1936" t="s">
        <v>1416</v>
      </c>
      <c r="AL1936">
        <v>-76.126907000000003</v>
      </c>
      <c r="AM1936">
        <v>25</v>
      </c>
      <c r="AN1936">
        <v>2925</v>
      </c>
      <c r="AO1936" t="s">
        <v>118</v>
      </c>
      <c r="AP1936">
        <v>-83</v>
      </c>
      <c r="AQ1936">
        <v>-117</v>
      </c>
      <c r="AR1936">
        <v>-128</v>
      </c>
      <c r="AZ1936">
        <v>4516</v>
      </c>
      <c r="BA1936">
        <v>1</v>
      </c>
      <c r="BB1936" t="str">
        <f t="shared" si="192"/>
        <v xml:space="preserve">N79NX   </v>
      </c>
      <c r="BC1936">
        <v>1</v>
      </c>
      <c r="BE1936">
        <v>0</v>
      </c>
      <c r="BF1936">
        <v>0</v>
      </c>
      <c r="BG1936">
        <v>0</v>
      </c>
      <c r="BH1936">
        <v>2800</v>
      </c>
      <c r="BI1936">
        <v>0</v>
      </c>
      <c r="BJ1936">
        <v>0</v>
      </c>
      <c r="BK1936">
        <v>0</v>
      </c>
      <c r="BL1936">
        <v>0</v>
      </c>
      <c r="BO1936">
        <v>0</v>
      </c>
      <c r="BP1936">
        <v>0</v>
      </c>
      <c r="BW1936" t="str">
        <f>"18:56:20.565"</f>
        <v>18:56:20.565</v>
      </c>
      <c r="BZ1936">
        <v>0</v>
      </c>
      <c r="CA1936">
        <v>1792</v>
      </c>
      <c r="CB1936">
        <v>216</v>
      </c>
      <c r="CC1936">
        <v>593.4375</v>
      </c>
      <c r="CD1936">
        <v>1</v>
      </c>
      <c r="CE1936">
        <v>1</v>
      </c>
      <c r="CF1936">
        <v>0</v>
      </c>
      <c r="CG1936">
        <v>0</v>
      </c>
      <c r="CH1936">
        <v>0</v>
      </c>
      <c r="CI1936">
        <v>0</v>
      </c>
      <c r="CJ1936">
        <v>0</v>
      </c>
      <c r="CK1936">
        <v>2</v>
      </c>
      <c r="CL1936">
        <v>0</v>
      </c>
      <c r="CM1936">
        <v>2</v>
      </c>
      <c r="CN1936">
        <v>0</v>
      </c>
      <c r="CO1936">
        <v>1</v>
      </c>
      <c r="CP1936" t="s">
        <v>119</v>
      </c>
      <c r="CQ1936">
        <v>70</v>
      </c>
      <c r="CR1936">
        <v>1</v>
      </c>
      <c r="CW1936">
        <v>3695872</v>
      </c>
      <c r="CY1936">
        <v>0</v>
      </c>
      <c r="CZ1936">
        <v>0</v>
      </c>
      <c r="DA1936">
        <v>1</v>
      </c>
      <c r="DB1936">
        <v>0</v>
      </c>
      <c r="DC1936">
        <v>0</v>
      </c>
      <c r="DD1936">
        <v>0</v>
      </c>
      <c r="DE1936">
        <v>0</v>
      </c>
      <c r="DF1936">
        <v>0</v>
      </c>
      <c r="DG1936">
        <v>0</v>
      </c>
      <c r="DH1936">
        <v>0</v>
      </c>
      <c r="DI1936">
        <v>0</v>
      </c>
    </row>
    <row r="1937" spans="1:113" x14ac:dyDescent="0.3">
      <c r="A1937" t="str">
        <f>"02/13/2022 18:56:20.870"</f>
        <v>02/13/2022 18:56:20.870</v>
      </c>
      <c r="C1937" t="str">
        <f t="shared" si="191"/>
        <v>FFDFD7C0</v>
      </c>
      <c r="D1937" t="s">
        <v>121</v>
      </c>
      <c r="E1937">
        <v>2</v>
      </c>
      <c r="H1937">
        <v>158</v>
      </c>
      <c r="I1937" t="s">
        <v>120</v>
      </c>
      <c r="J1937" t="s">
        <v>122</v>
      </c>
      <c r="K1937">
        <v>0</v>
      </c>
      <c r="L1937">
        <v>3</v>
      </c>
      <c r="M1937">
        <v>0</v>
      </c>
      <c r="N1937">
        <v>2</v>
      </c>
      <c r="O1937">
        <v>1</v>
      </c>
      <c r="P1937">
        <v>0</v>
      </c>
      <c r="Q1937">
        <v>0</v>
      </c>
      <c r="S1937" t="str">
        <f>"18:56:20.563"</f>
        <v>18:56:20.563</v>
      </c>
      <c r="T1937" t="str">
        <f>"18:56:20.363"</f>
        <v>18:56:20.363</v>
      </c>
      <c r="U1937" t="str">
        <f t="shared" si="193"/>
        <v>AAB6EE</v>
      </c>
      <c r="V1937">
        <v>0</v>
      </c>
      <c r="W1937">
        <v>0</v>
      </c>
      <c r="X1937">
        <v>4</v>
      </c>
      <c r="Z1937">
        <v>0</v>
      </c>
      <c r="AA1937">
        <v>8</v>
      </c>
      <c r="AB1937">
        <v>3</v>
      </c>
      <c r="AC1937">
        <v>0</v>
      </c>
      <c r="AD1937">
        <v>10</v>
      </c>
      <c r="AE1937">
        <v>0</v>
      </c>
      <c r="AF1937">
        <v>0</v>
      </c>
      <c r="AG1937">
        <v>2</v>
      </c>
      <c r="AH1937">
        <v>1</v>
      </c>
      <c r="AI1937" t="s">
        <v>1415</v>
      </c>
      <c r="AJ1937">
        <v>34.875176000000003</v>
      </c>
      <c r="AK1937" t="s">
        <v>1416</v>
      </c>
      <c r="AL1937">
        <v>-76.126907000000003</v>
      </c>
      <c r="AM1937">
        <v>25</v>
      </c>
      <c r="AN1937">
        <v>2925</v>
      </c>
      <c r="AO1937" t="s">
        <v>118</v>
      </c>
      <c r="AP1937">
        <v>-83</v>
      </c>
      <c r="AQ1937">
        <v>-117</v>
      </c>
      <c r="AR1937">
        <v>-128</v>
      </c>
      <c r="AZ1937">
        <v>4516</v>
      </c>
      <c r="BA1937">
        <v>1</v>
      </c>
      <c r="BB1937" t="str">
        <f t="shared" si="192"/>
        <v xml:space="preserve">N79NX   </v>
      </c>
      <c r="BC1937">
        <v>1</v>
      </c>
      <c r="BE1937">
        <v>0</v>
      </c>
      <c r="BF1937">
        <v>0</v>
      </c>
      <c r="BG1937">
        <v>0</v>
      </c>
      <c r="BH1937">
        <v>2800</v>
      </c>
      <c r="BI1937">
        <v>0</v>
      </c>
      <c r="BJ1937">
        <v>0</v>
      </c>
      <c r="BK1937">
        <v>0</v>
      </c>
      <c r="BL1937">
        <v>0</v>
      </c>
      <c r="BO1937">
        <v>0</v>
      </c>
      <c r="BP1937">
        <v>0</v>
      </c>
      <c r="BW1937" t="str">
        <f>"18:56:20.565"</f>
        <v>18:56:20.565</v>
      </c>
      <c r="BZ1937">
        <v>0</v>
      </c>
      <c r="CA1937">
        <v>1792</v>
      </c>
      <c r="CB1937">
        <v>216</v>
      </c>
      <c r="CC1937">
        <v>593.4375</v>
      </c>
      <c r="CD1937">
        <v>1</v>
      </c>
      <c r="CE1937">
        <v>1</v>
      </c>
      <c r="CF1937">
        <v>0</v>
      </c>
      <c r="CG1937">
        <v>0</v>
      </c>
      <c r="CH1937">
        <v>0</v>
      </c>
      <c r="CI1937">
        <v>0</v>
      </c>
      <c r="CJ1937">
        <v>0</v>
      </c>
      <c r="CK1937">
        <v>2</v>
      </c>
      <c r="CL1937">
        <v>0</v>
      </c>
      <c r="CM1937">
        <v>2</v>
      </c>
      <c r="CN1937">
        <v>0</v>
      </c>
      <c r="CO1937">
        <v>1</v>
      </c>
      <c r="CP1937" t="s">
        <v>119</v>
      </c>
      <c r="CQ1937">
        <v>70</v>
      </c>
      <c r="CR1937">
        <v>1</v>
      </c>
      <c r="CW1937">
        <v>3695872</v>
      </c>
      <c r="CY1937">
        <v>0</v>
      </c>
      <c r="CZ1937">
        <v>0</v>
      </c>
      <c r="DA1937">
        <v>1</v>
      </c>
      <c r="DB1937">
        <v>0</v>
      </c>
      <c r="DC1937">
        <v>0</v>
      </c>
      <c r="DD1937">
        <v>0</v>
      </c>
      <c r="DE1937">
        <v>0</v>
      </c>
      <c r="DF1937">
        <v>0</v>
      </c>
      <c r="DG1937">
        <v>0</v>
      </c>
      <c r="DH1937">
        <v>0</v>
      </c>
      <c r="DI1937">
        <v>0</v>
      </c>
    </row>
    <row r="1938" spans="1:113" x14ac:dyDescent="0.3">
      <c r="A1938" t="str">
        <f>"02/13/2022 18:56:22.434"</f>
        <v>02/13/2022 18:56:22.434</v>
      </c>
      <c r="C1938" t="str">
        <f t="shared" si="191"/>
        <v>FFDFD7C0</v>
      </c>
      <c r="D1938" t="s">
        <v>113</v>
      </c>
      <c r="E1938">
        <v>3</v>
      </c>
      <c r="F1938">
        <v>1003</v>
      </c>
      <c r="G1938" t="s">
        <v>114</v>
      </c>
      <c r="J1938" t="s">
        <v>115</v>
      </c>
      <c r="K1938">
        <v>0</v>
      </c>
      <c r="L1938">
        <v>3</v>
      </c>
      <c r="M1938">
        <v>0</v>
      </c>
      <c r="N1938">
        <v>2</v>
      </c>
      <c r="O1938">
        <v>1</v>
      </c>
      <c r="P1938">
        <v>0</v>
      </c>
      <c r="Q1938">
        <v>0</v>
      </c>
      <c r="S1938" t="str">
        <f>"18:56:22.172"</f>
        <v>18:56:22.172</v>
      </c>
      <c r="T1938" t="str">
        <f>"18:56:21.872"</f>
        <v>18:56:21.872</v>
      </c>
      <c r="U1938" t="str">
        <f t="shared" si="193"/>
        <v>AAB6EE</v>
      </c>
      <c r="V1938">
        <v>0</v>
      </c>
      <c r="W1938">
        <v>0</v>
      </c>
      <c r="X1938">
        <v>4</v>
      </c>
      <c r="Z1938">
        <v>0</v>
      </c>
      <c r="AA1938">
        <v>8</v>
      </c>
      <c r="AB1938">
        <v>3</v>
      </c>
      <c r="AC1938">
        <v>0</v>
      </c>
      <c r="AD1938">
        <v>10</v>
      </c>
      <c r="AE1938">
        <v>0</v>
      </c>
      <c r="AF1938">
        <v>0</v>
      </c>
      <c r="AG1938">
        <v>2</v>
      </c>
      <c r="AH1938">
        <v>1</v>
      </c>
      <c r="AI1938" t="s">
        <v>1417</v>
      </c>
      <c r="AJ1938">
        <v>34.874318000000002</v>
      </c>
      <c r="AK1938" t="s">
        <v>1418</v>
      </c>
      <c r="AL1938">
        <v>-76.127635999999995</v>
      </c>
      <c r="AM1938">
        <v>25</v>
      </c>
      <c r="AN1938">
        <v>2925</v>
      </c>
      <c r="AO1938" t="s">
        <v>118</v>
      </c>
      <c r="AP1938">
        <v>-83</v>
      </c>
      <c r="AQ1938">
        <v>-117</v>
      </c>
      <c r="AR1938">
        <v>-128</v>
      </c>
      <c r="AZ1938">
        <v>4516</v>
      </c>
      <c r="BA1938">
        <v>1</v>
      </c>
      <c r="BB1938" t="str">
        <f t="shared" si="192"/>
        <v xml:space="preserve">N79NX   </v>
      </c>
      <c r="BC1938">
        <v>1</v>
      </c>
      <c r="BE1938">
        <v>0</v>
      </c>
      <c r="BF1938">
        <v>0</v>
      </c>
      <c r="BG1938">
        <v>0</v>
      </c>
      <c r="BH1938">
        <v>2800</v>
      </c>
      <c r="BI1938">
        <v>0</v>
      </c>
      <c r="BJ1938">
        <v>0</v>
      </c>
      <c r="BK1938">
        <v>0</v>
      </c>
      <c r="BL1938">
        <v>0</v>
      </c>
      <c r="BO1938">
        <v>0</v>
      </c>
      <c r="BP1938">
        <v>0</v>
      </c>
      <c r="BW1938" t="str">
        <f>"18:56:22.175"</f>
        <v>18:56:22.175</v>
      </c>
      <c r="BZ1938">
        <v>0</v>
      </c>
      <c r="CA1938">
        <v>1792</v>
      </c>
      <c r="CB1938">
        <v>216</v>
      </c>
      <c r="CC1938">
        <v>593.4375</v>
      </c>
      <c r="CD1938">
        <v>1</v>
      </c>
      <c r="CE1938">
        <v>1</v>
      </c>
      <c r="CF1938">
        <v>0</v>
      </c>
      <c r="CG1938">
        <v>0</v>
      </c>
      <c r="CH1938">
        <v>0</v>
      </c>
      <c r="CI1938">
        <v>0</v>
      </c>
      <c r="CJ1938">
        <v>0</v>
      </c>
      <c r="CK1938">
        <v>2</v>
      </c>
      <c r="CL1938">
        <v>0</v>
      </c>
      <c r="CM1938">
        <v>2</v>
      </c>
      <c r="CN1938">
        <v>0</v>
      </c>
      <c r="CO1938">
        <v>1</v>
      </c>
      <c r="CP1938" t="s">
        <v>119</v>
      </c>
      <c r="CQ1938">
        <v>70</v>
      </c>
      <c r="CR1938">
        <v>1</v>
      </c>
      <c r="CW1938">
        <v>3697079</v>
      </c>
      <c r="CY1938">
        <v>0</v>
      </c>
      <c r="CZ1938">
        <v>0</v>
      </c>
      <c r="DA1938">
        <v>0</v>
      </c>
      <c r="DB1938">
        <v>0</v>
      </c>
      <c r="DC1938">
        <v>0</v>
      </c>
      <c r="DD1938">
        <v>0</v>
      </c>
      <c r="DE1938">
        <v>0</v>
      </c>
      <c r="DF1938">
        <v>0</v>
      </c>
      <c r="DG1938">
        <v>0</v>
      </c>
      <c r="DH1938">
        <v>0</v>
      </c>
      <c r="DI1938">
        <v>0</v>
      </c>
    </row>
    <row r="1939" spans="1:113" x14ac:dyDescent="0.3">
      <c r="A1939" t="str">
        <f>"02/13/2022 18:56:22.434"</f>
        <v>02/13/2022 18:56:22.434</v>
      </c>
      <c r="C1939" t="str">
        <f t="shared" si="191"/>
        <v>FFDFD7C0</v>
      </c>
      <c r="D1939" t="s">
        <v>113</v>
      </c>
      <c r="E1939">
        <v>4</v>
      </c>
      <c r="F1939">
        <v>1004</v>
      </c>
      <c r="G1939" t="s">
        <v>120</v>
      </c>
      <c r="J1939" t="s">
        <v>115</v>
      </c>
      <c r="K1939">
        <v>0</v>
      </c>
      <c r="L1939">
        <v>3</v>
      </c>
      <c r="M1939">
        <v>0</v>
      </c>
      <c r="N1939">
        <v>2</v>
      </c>
      <c r="O1939">
        <v>1</v>
      </c>
      <c r="P1939">
        <v>0</v>
      </c>
      <c r="Q1939">
        <v>0</v>
      </c>
      <c r="S1939" t="str">
        <f>"18:56:22.172"</f>
        <v>18:56:22.172</v>
      </c>
      <c r="T1939" t="str">
        <f>"18:56:21.872"</f>
        <v>18:56:21.872</v>
      </c>
      <c r="U1939" t="str">
        <f t="shared" si="193"/>
        <v>AAB6EE</v>
      </c>
      <c r="V1939">
        <v>0</v>
      </c>
      <c r="W1939">
        <v>0</v>
      </c>
      <c r="X1939">
        <v>4</v>
      </c>
      <c r="Z1939">
        <v>0</v>
      </c>
      <c r="AA1939">
        <v>8</v>
      </c>
      <c r="AB1939">
        <v>3</v>
      </c>
      <c r="AC1939">
        <v>0</v>
      </c>
      <c r="AD1939">
        <v>10</v>
      </c>
      <c r="AE1939">
        <v>0</v>
      </c>
      <c r="AF1939">
        <v>0</v>
      </c>
      <c r="AG1939">
        <v>2</v>
      </c>
      <c r="AH1939">
        <v>1</v>
      </c>
      <c r="AI1939" t="s">
        <v>1417</v>
      </c>
      <c r="AJ1939">
        <v>34.874318000000002</v>
      </c>
      <c r="AK1939" t="s">
        <v>1418</v>
      </c>
      <c r="AL1939">
        <v>-76.127635999999995</v>
      </c>
      <c r="AM1939">
        <v>25</v>
      </c>
      <c r="AN1939">
        <v>2925</v>
      </c>
      <c r="AO1939" t="s">
        <v>118</v>
      </c>
      <c r="AP1939">
        <v>-83</v>
      </c>
      <c r="AQ1939">
        <v>-117</v>
      </c>
      <c r="AR1939">
        <v>-128</v>
      </c>
      <c r="AZ1939">
        <v>4516</v>
      </c>
      <c r="BA1939">
        <v>1</v>
      </c>
      <c r="BB1939" t="str">
        <f t="shared" si="192"/>
        <v xml:space="preserve">N79NX   </v>
      </c>
      <c r="BC1939">
        <v>1</v>
      </c>
      <c r="BE1939">
        <v>0</v>
      </c>
      <c r="BF1939">
        <v>0</v>
      </c>
      <c r="BG1939">
        <v>0</v>
      </c>
      <c r="BH1939">
        <v>2800</v>
      </c>
      <c r="BI1939">
        <v>0</v>
      </c>
      <c r="BJ1939">
        <v>0</v>
      </c>
      <c r="BK1939">
        <v>0</v>
      </c>
      <c r="BL1939">
        <v>0</v>
      </c>
      <c r="BO1939">
        <v>0</v>
      </c>
      <c r="BP1939">
        <v>0</v>
      </c>
      <c r="BW1939" t="str">
        <f>"18:56:22.175"</f>
        <v>18:56:22.175</v>
      </c>
      <c r="BZ1939">
        <v>0</v>
      </c>
      <c r="CA1939">
        <v>1792</v>
      </c>
      <c r="CB1939">
        <v>216</v>
      </c>
      <c r="CC1939">
        <v>593.4375</v>
      </c>
      <c r="CD1939">
        <v>1</v>
      </c>
      <c r="CE1939">
        <v>1</v>
      </c>
      <c r="CF1939">
        <v>0</v>
      </c>
      <c r="CG1939">
        <v>0</v>
      </c>
      <c r="CH1939">
        <v>0</v>
      </c>
      <c r="CI1939">
        <v>0</v>
      </c>
      <c r="CJ1939">
        <v>0</v>
      </c>
      <c r="CK1939">
        <v>2</v>
      </c>
      <c r="CL1939">
        <v>0</v>
      </c>
      <c r="CM1939">
        <v>2</v>
      </c>
      <c r="CN1939">
        <v>0</v>
      </c>
      <c r="CO1939">
        <v>1</v>
      </c>
      <c r="CP1939" t="s">
        <v>119</v>
      </c>
      <c r="CQ1939">
        <v>70</v>
      </c>
      <c r="CR1939">
        <v>1</v>
      </c>
      <c r="CW1939">
        <v>3697079</v>
      </c>
      <c r="CY1939">
        <v>0</v>
      </c>
      <c r="CZ1939">
        <v>0</v>
      </c>
      <c r="DA1939">
        <v>1</v>
      </c>
      <c r="DB1939">
        <v>0</v>
      </c>
      <c r="DC1939">
        <v>0</v>
      </c>
      <c r="DD1939">
        <v>0</v>
      </c>
      <c r="DE1939">
        <v>0</v>
      </c>
      <c r="DF1939">
        <v>0</v>
      </c>
      <c r="DG1939">
        <v>0</v>
      </c>
      <c r="DH1939">
        <v>0</v>
      </c>
      <c r="DI1939">
        <v>0</v>
      </c>
    </row>
    <row r="1940" spans="1:113" x14ac:dyDescent="0.3">
      <c r="A1940" t="str">
        <f>"02/13/2022 18:56:22.434"</f>
        <v>02/13/2022 18:56:22.434</v>
      </c>
      <c r="C1940" t="str">
        <f t="shared" si="191"/>
        <v>FFDFD7C0</v>
      </c>
      <c r="D1940" t="s">
        <v>121</v>
      </c>
      <c r="E1940">
        <v>2</v>
      </c>
      <c r="H1940">
        <v>158</v>
      </c>
      <c r="I1940" t="s">
        <v>120</v>
      </c>
      <c r="J1940" t="s">
        <v>122</v>
      </c>
      <c r="K1940">
        <v>0</v>
      </c>
      <c r="L1940">
        <v>3</v>
      </c>
      <c r="M1940">
        <v>0</v>
      </c>
      <c r="N1940">
        <v>2</v>
      </c>
      <c r="O1940">
        <v>1</v>
      </c>
      <c r="P1940">
        <v>0</v>
      </c>
      <c r="Q1940">
        <v>0</v>
      </c>
      <c r="S1940" t="str">
        <f>"18:56:22.172"</f>
        <v>18:56:22.172</v>
      </c>
      <c r="T1940" t="str">
        <f>"18:56:21.872"</f>
        <v>18:56:21.872</v>
      </c>
      <c r="U1940" t="str">
        <f t="shared" si="193"/>
        <v>AAB6EE</v>
      </c>
      <c r="V1940">
        <v>0</v>
      </c>
      <c r="W1940">
        <v>0</v>
      </c>
      <c r="X1940">
        <v>4</v>
      </c>
      <c r="Z1940">
        <v>0</v>
      </c>
      <c r="AA1940">
        <v>8</v>
      </c>
      <c r="AB1940">
        <v>3</v>
      </c>
      <c r="AC1940">
        <v>0</v>
      </c>
      <c r="AD1940">
        <v>10</v>
      </c>
      <c r="AE1940">
        <v>0</v>
      </c>
      <c r="AF1940">
        <v>0</v>
      </c>
      <c r="AG1940">
        <v>2</v>
      </c>
      <c r="AH1940">
        <v>1</v>
      </c>
      <c r="AI1940" t="s">
        <v>1417</v>
      </c>
      <c r="AJ1940">
        <v>34.874318000000002</v>
      </c>
      <c r="AK1940" t="s">
        <v>1418</v>
      </c>
      <c r="AL1940">
        <v>-76.127635999999995</v>
      </c>
      <c r="AM1940">
        <v>25</v>
      </c>
      <c r="AN1940">
        <v>2925</v>
      </c>
      <c r="AO1940" t="s">
        <v>118</v>
      </c>
      <c r="AP1940">
        <v>-83</v>
      </c>
      <c r="AQ1940">
        <v>-117</v>
      </c>
      <c r="AR1940">
        <v>-128</v>
      </c>
      <c r="AZ1940">
        <v>4516</v>
      </c>
      <c r="BA1940">
        <v>1</v>
      </c>
      <c r="BB1940" t="str">
        <f t="shared" si="192"/>
        <v xml:space="preserve">N79NX   </v>
      </c>
      <c r="BC1940">
        <v>1</v>
      </c>
      <c r="BE1940">
        <v>0</v>
      </c>
      <c r="BF1940">
        <v>0</v>
      </c>
      <c r="BG1940">
        <v>0</v>
      </c>
      <c r="BH1940">
        <v>2800</v>
      </c>
      <c r="BI1940">
        <v>0</v>
      </c>
      <c r="BJ1940">
        <v>0</v>
      </c>
      <c r="BK1940">
        <v>0</v>
      </c>
      <c r="BL1940">
        <v>0</v>
      </c>
      <c r="BO1940">
        <v>0</v>
      </c>
      <c r="BP1940">
        <v>0</v>
      </c>
      <c r="BW1940" t="str">
        <f>"18:56:22.175"</f>
        <v>18:56:22.175</v>
      </c>
      <c r="BZ1940">
        <v>0</v>
      </c>
      <c r="CA1940">
        <v>1792</v>
      </c>
      <c r="CB1940">
        <v>216</v>
      </c>
      <c r="CC1940">
        <v>593.4375</v>
      </c>
      <c r="CD1940">
        <v>1</v>
      </c>
      <c r="CE1940">
        <v>1</v>
      </c>
      <c r="CF1940">
        <v>0</v>
      </c>
      <c r="CG1940">
        <v>0</v>
      </c>
      <c r="CH1940">
        <v>0</v>
      </c>
      <c r="CI1940">
        <v>0</v>
      </c>
      <c r="CJ1940">
        <v>0</v>
      </c>
      <c r="CK1940">
        <v>2</v>
      </c>
      <c r="CL1940">
        <v>0</v>
      </c>
      <c r="CM1940">
        <v>2</v>
      </c>
      <c r="CN1940">
        <v>0</v>
      </c>
      <c r="CO1940">
        <v>1</v>
      </c>
      <c r="CP1940" t="s">
        <v>119</v>
      </c>
      <c r="CQ1940">
        <v>70</v>
      </c>
      <c r="CR1940">
        <v>1</v>
      </c>
      <c r="CW1940">
        <v>3697079</v>
      </c>
      <c r="CY1940">
        <v>0</v>
      </c>
      <c r="CZ1940">
        <v>0</v>
      </c>
      <c r="DA1940">
        <v>1</v>
      </c>
      <c r="DB1940">
        <v>0</v>
      </c>
      <c r="DC1940">
        <v>0</v>
      </c>
      <c r="DD1940">
        <v>0</v>
      </c>
      <c r="DE1940">
        <v>0</v>
      </c>
      <c r="DF1940">
        <v>0</v>
      </c>
      <c r="DG1940">
        <v>0</v>
      </c>
      <c r="DH1940">
        <v>0</v>
      </c>
      <c r="DI1940">
        <v>0</v>
      </c>
    </row>
    <row r="1941" spans="1:113" x14ac:dyDescent="0.3">
      <c r="A1941" t="str">
        <f>"02/13/2022 18:56:24.184"</f>
        <v>02/13/2022 18:56:24.184</v>
      </c>
      <c r="C1941" t="str">
        <f t="shared" si="191"/>
        <v>FFDFD7C0</v>
      </c>
      <c r="D1941" t="s">
        <v>113</v>
      </c>
      <c r="E1941">
        <v>3</v>
      </c>
      <c r="F1941">
        <v>1003</v>
      </c>
      <c r="G1941" t="s">
        <v>114</v>
      </c>
      <c r="J1941" t="s">
        <v>115</v>
      </c>
      <c r="K1941">
        <v>0</v>
      </c>
      <c r="L1941">
        <v>3</v>
      </c>
      <c r="M1941">
        <v>0</v>
      </c>
      <c r="N1941">
        <v>2</v>
      </c>
      <c r="O1941">
        <v>1</v>
      </c>
      <c r="P1941">
        <v>0</v>
      </c>
      <c r="Q1941">
        <v>0</v>
      </c>
      <c r="S1941" t="str">
        <f>"18:56:23.891"</f>
        <v>18:56:23.891</v>
      </c>
      <c r="T1941" t="str">
        <f>"18:56:23.091"</f>
        <v>18:56:23.091</v>
      </c>
      <c r="U1941" t="str">
        <f t="shared" si="193"/>
        <v>AAB6EE</v>
      </c>
      <c r="V1941">
        <v>0</v>
      </c>
      <c r="W1941">
        <v>0</v>
      </c>
      <c r="X1941">
        <v>4</v>
      </c>
      <c r="Z1941">
        <v>0</v>
      </c>
      <c r="AA1941">
        <v>8</v>
      </c>
      <c r="AB1941">
        <v>3</v>
      </c>
      <c r="AC1941">
        <v>0</v>
      </c>
      <c r="AD1941">
        <v>10</v>
      </c>
      <c r="AE1941">
        <v>0</v>
      </c>
      <c r="AF1941">
        <v>0</v>
      </c>
      <c r="AG1941">
        <v>2</v>
      </c>
      <c r="AH1941">
        <v>1</v>
      </c>
      <c r="AI1941" t="s">
        <v>1419</v>
      </c>
      <c r="AJ1941">
        <v>34.873395000000002</v>
      </c>
      <c r="AK1941" t="s">
        <v>1420</v>
      </c>
      <c r="AL1941">
        <v>-76.128451999999996</v>
      </c>
      <c r="AM1941">
        <v>25</v>
      </c>
      <c r="AN1941">
        <v>2900</v>
      </c>
      <c r="AO1941" t="s">
        <v>118</v>
      </c>
      <c r="AP1941">
        <v>-83</v>
      </c>
      <c r="AQ1941">
        <v>-117</v>
      </c>
      <c r="AR1941">
        <v>-384</v>
      </c>
      <c r="AZ1941">
        <v>4516</v>
      </c>
      <c r="BA1941">
        <v>1</v>
      </c>
      <c r="BB1941" t="str">
        <f t="shared" si="192"/>
        <v xml:space="preserve">N79NX   </v>
      </c>
      <c r="BC1941">
        <v>1</v>
      </c>
      <c r="BE1941">
        <v>0</v>
      </c>
      <c r="BF1941">
        <v>0</v>
      </c>
      <c r="BG1941">
        <v>0</v>
      </c>
      <c r="BH1941">
        <v>2800</v>
      </c>
      <c r="BI1941">
        <v>0</v>
      </c>
      <c r="BJ1941">
        <v>0</v>
      </c>
      <c r="BK1941">
        <v>0</v>
      </c>
      <c r="BL1941">
        <v>0</v>
      </c>
      <c r="BO1941">
        <v>0</v>
      </c>
      <c r="BP1941">
        <v>0</v>
      </c>
      <c r="BW1941" t="str">
        <f>"18:56:23.895"</f>
        <v>18:56:23.895</v>
      </c>
      <c r="BZ1941">
        <v>0</v>
      </c>
      <c r="CA1941">
        <v>1792</v>
      </c>
      <c r="CB1941">
        <v>216</v>
      </c>
      <c r="CC1941">
        <v>593.4375</v>
      </c>
      <c r="CD1941">
        <v>1</v>
      </c>
      <c r="CE1941">
        <v>1</v>
      </c>
      <c r="CF1941">
        <v>0</v>
      </c>
      <c r="CG1941">
        <v>0</v>
      </c>
      <c r="CH1941">
        <v>0</v>
      </c>
      <c r="CI1941">
        <v>0</v>
      </c>
      <c r="CJ1941">
        <v>0</v>
      </c>
      <c r="CK1941">
        <v>2</v>
      </c>
      <c r="CL1941">
        <v>0</v>
      </c>
      <c r="CM1941">
        <v>2</v>
      </c>
      <c r="CN1941">
        <v>0</v>
      </c>
      <c r="CO1941">
        <v>1</v>
      </c>
      <c r="CP1941" t="s">
        <v>119</v>
      </c>
      <c r="CQ1941">
        <v>70</v>
      </c>
      <c r="CR1941">
        <v>1</v>
      </c>
      <c r="CW1941">
        <v>3698387</v>
      </c>
      <c r="CY1941">
        <v>0</v>
      </c>
      <c r="CZ1941">
        <v>0</v>
      </c>
      <c r="DA1941">
        <v>0</v>
      </c>
      <c r="DB1941">
        <v>0</v>
      </c>
      <c r="DC1941">
        <v>0</v>
      </c>
      <c r="DD1941">
        <v>0</v>
      </c>
      <c r="DE1941">
        <v>0</v>
      </c>
      <c r="DF1941">
        <v>0</v>
      </c>
      <c r="DG1941">
        <v>0</v>
      </c>
      <c r="DH1941">
        <v>0</v>
      </c>
      <c r="DI1941">
        <v>0</v>
      </c>
    </row>
    <row r="1942" spans="1:113" x14ac:dyDescent="0.3">
      <c r="A1942" t="str">
        <f>"02/13/2022 18:56:24.184"</f>
        <v>02/13/2022 18:56:24.184</v>
      </c>
      <c r="C1942" t="str">
        <f t="shared" si="191"/>
        <v>FFDFD7C0</v>
      </c>
      <c r="D1942" t="s">
        <v>113</v>
      </c>
      <c r="E1942">
        <v>4</v>
      </c>
      <c r="F1942">
        <v>1004</v>
      </c>
      <c r="G1942" t="s">
        <v>120</v>
      </c>
      <c r="J1942" t="s">
        <v>115</v>
      </c>
      <c r="K1942">
        <v>0</v>
      </c>
      <c r="L1942">
        <v>3</v>
      </c>
      <c r="M1942">
        <v>0</v>
      </c>
      <c r="N1942">
        <v>2</v>
      </c>
      <c r="O1942">
        <v>1</v>
      </c>
      <c r="P1942">
        <v>0</v>
      </c>
      <c r="Q1942">
        <v>0</v>
      </c>
      <c r="S1942" t="str">
        <f>"18:56:23.891"</f>
        <v>18:56:23.891</v>
      </c>
      <c r="T1942" t="str">
        <f>"18:56:23.091"</f>
        <v>18:56:23.091</v>
      </c>
      <c r="U1942" t="str">
        <f t="shared" si="193"/>
        <v>AAB6EE</v>
      </c>
      <c r="V1942">
        <v>0</v>
      </c>
      <c r="W1942">
        <v>0</v>
      </c>
      <c r="X1942">
        <v>4</v>
      </c>
      <c r="Z1942">
        <v>0</v>
      </c>
      <c r="AA1942">
        <v>8</v>
      </c>
      <c r="AB1942">
        <v>3</v>
      </c>
      <c r="AC1942">
        <v>0</v>
      </c>
      <c r="AD1942">
        <v>10</v>
      </c>
      <c r="AE1942">
        <v>0</v>
      </c>
      <c r="AF1942">
        <v>0</v>
      </c>
      <c r="AG1942">
        <v>2</v>
      </c>
      <c r="AH1942">
        <v>1</v>
      </c>
      <c r="AI1942" t="s">
        <v>1419</v>
      </c>
      <c r="AJ1942">
        <v>34.873395000000002</v>
      </c>
      <c r="AK1942" t="s">
        <v>1420</v>
      </c>
      <c r="AL1942">
        <v>-76.128451999999996</v>
      </c>
      <c r="AM1942">
        <v>25</v>
      </c>
      <c r="AN1942">
        <v>2900</v>
      </c>
      <c r="AO1942" t="s">
        <v>118</v>
      </c>
      <c r="AP1942">
        <v>-83</v>
      </c>
      <c r="AQ1942">
        <v>-117</v>
      </c>
      <c r="AR1942">
        <v>-384</v>
      </c>
      <c r="AZ1942">
        <v>4516</v>
      </c>
      <c r="BA1942">
        <v>1</v>
      </c>
      <c r="BB1942" t="str">
        <f t="shared" si="192"/>
        <v xml:space="preserve">N79NX   </v>
      </c>
      <c r="BC1942">
        <v>1</v>
      </c>
      <c r="BE1942">
        <v>0</v>
      </c>
      <c r="BF1942">
        <v>0</v>
      </c>
      <c r="BG1942">
        <v>0</v>
      </c>
      <c r="BH1942">
        <v>2800</v>
      </c>
      <c r="BI1942">
        <v>0</v>
      </c>
      <c r="BJ1942">
        <v>0</v>
      </c>
      <c r="BK1942">
        <v>0</v>
      </c>
      <c r="BL1942">
        <v>0</v>
      </c>
      <c r="BO1942">
        <v>0</v>
      </c>
      <c r="BP1942">
        <v>0</v>
      </c>
      <c r="BW1942" t="str">
        <f>"18:56:23.895"</f>
        <v>18:56:23.895</v>
      </c>
      <c r="BZ1942">
        <v>0</v>
      </c>
      <c r="CA1942">
        <v>1792</v>
      </c>
      <c r="CB1942">
        <v>216</v>
      </c>
      <c r="CC1942">
        <v>593.4375</v>
      </c>
      <c r="CD1942">
        <v>1</v>
      </c>
      <c r="CE1942">
        <v>1</v>
      </c>
      <c r="CF1942">
        <v>0</v>
      </c>
      <c r="CG1942">
        <v>0</v>
      </c>
      <c r="CH1942">
        <v>0</v>
      </c>
      <c r="CI1942">
        <v>0</v>
      </c>
      <c r="CJ1942">
        <v>0</v>
      </c>
      <c r="CK1942">
        <v>2</v>
      </c>
      <c r="CL1942">
        <v>0</v>
      </c>
      <c r="CM1942">
        <v>2</v>
      </c>
      <c r="CN1942">
        <v>0</v>
      </c>
      <c r="CO1942">
        <v>1</v>
      </c>
      <c r="CP1942" t="s">
        <v>119</v>
      </c>
      <c r="CQ1942">
        <v>70</v>
      </c>
      <c r="CR1942">
        <v>1</v>
      </c>
      <c r="CW1942">
        <v>3698387</v>
      </c>
      <c r="CY1942">
        <v>0</v>
      </c>
      <c r="CZ1942">
        <v>0</v>
      </c>
      <c r="DA1942">
        <v>1</v>
      </c>
      <c r="DB1942">
        <v>0</v>
      </c>
      <c r="DC1942">
        <v>0</v>
      </c>
      <c r="DD1942">
        <v>0</v>
      </c>
      <c r="DE1942">
        <v>0</v>
      </c>
      <c r="DF1942">
        <v>0</v>
      </c>
      <c r="DG1942">
        <v>0</v>
      </c>
      <c r="DH1942">
        <v>0</v>
      </c>
      <c r="DI1942">
        <v>0</v>
      </c>
    </row>
    <row r="1943" spans="1:113" x14ac:dyDescent="0.3">
      <c r="A1943" t="str">
        <f>"02/13/2022 18:56:24.184"</f>
        <v>02/13/2022 18:56:24.184</v>
      </c>
      <c r="C1943" t="str">
        <f t="shared" si="191"/>
        <v>FFDFD7C0</v>
      </c>
      <c r="D1943" t="s">
        <v>121</v>
      </c>
      <c r="E1943">
        <v>2</v>
      </c>
      <c r="H1943">
        <v>158</v>
      </c>
      <c r="I1943" t="s">
        <v>120</v>
      </c>
      <c r="J1943" t="s">
        <v>122</v>
      </c>
      <c r="K1943">
        <v>0</v>
      </c>
      <c r="L1943">
        <v>3</v>
      </c>
      <c r="M1943">
        <v>0</v>
      </c>
      <c r="N1943">
        <v>2</v>
      </c>
      <c r="O1943">
        <v>1</v>
      </c>
      <c r="P1943">
        <v>0</v>
      </c>
      <c r="Q1943">
        <v>0</v>
      </c>
      <c r="S1943" t="str">
        <f>"18:56:23.891"</f>
        <v>18:56:23.891</v>
      </c>
      <c r="T1943" t="str">
        <f>"18:56:23.091"</f>
        <v>18:56:23.091</v>
      </c>
      <c r="U1943" t="str">
        <f t="shared" si="193"/>
        <v>AAB6EE</v>
      </c>
      <c r="V1943">
        <v>0</v>
      </c>
      <c r="W1943">
        <v>0</v>
      </c>
      <c r="X1943">
        <v>4</v>
      </c>
      <c r="Z1943">
        <v>0</v>
      </c>
      <c r="AA1943">
        <v>8</v>
      </c>
      <c r="AB1943">
        <v>3</v>
      </c>
      <c r="AC1943">
        <v>0</v>
      </c>
      <c r="AD1943">
        <v>10</v>
      </c>
      <c r="AE1943">
        <v>0</v>
      </c>
      <c r="AF1943">
        <v>0</v>
      </c>
      <c r="AG1943">
        <v>2</v>
      </c>
      <c r="AH1943">
        <v>1</v>
      </c>
      <c r="AI1943" t="s">
        <v>1419</v>
      </c>
      <c r="AJ1943">
        <v>34.873395000000002</v>
      </c>
      <c r="AK1943" t="s">
        <v>1420</v>
      </c>
      <c r="AL1943">
        <v>-76.128451999999996</v>
      </c>
      <c r="AM1943">
        <v>25</v>
      </c>
      <c r="AN1943">
        <v>2900</v>
      </c>
      <c r="AO1943" t="s">
        <v>118</v>
      </c>
      <c r="AP1943">
        <v>-83</v>
      </c>
      <c r="AQ1943">
        <v>-117</v>
      </c>
      <c r="AR1943">
        <v>-384</v>
      </c>
      <c r="AZ1943">
        <v>4516</v>
      </c>
      <c r="BA1943">
        <v>1</v>
      </c>
      <c r="BB1943" t="str">
        <f t="shared" si="192"/>
        <v xml:space="preserve">N79NX   </v>
      </c>
      <c r="BC1943">
        <v>1</v>
      </c>
      <c r="BE1943">
        <v>0</v>
      </c>
      <c r="BF1943">
        <v>0</v>
      </c>
      <c r="BG1943">
        <v>0</v>
      </c>
      <c r="BH1943">
        <v>2800</v>
      </c>
      <c r="BI1943">
        <v>0</v>
      </c>
      <c r="BJ1943">
        <v>0</v>
      </c>
      <c r="BK1943">
        <v>0</v>
      </c>
      <c r="BL1943">
        <v>0</v>
      </c>
      <c r="BO1943">
        <v>0</v>
      </c>
      <c r="BP1943">
        <v>0</v>
      </c>
      <c r="BW1943" t="str">
        <f>"18:56:23.895"</f>
        <v>18:56:23.895</v>
      </c>
      <c r="BZ1943">
        <v>0</v>
      </c>
      <c r="CA1943">
        <v>1792</v>
      </c>
      <c r="CB1943">
        <v>216</v>
      </c>
      <c r="CC1943">
        <v>593.4375</v>
      </c>
      <c r="CD1943">
        <v>1</v>
      </c>
      <c r="CE1943">
        <v>1</v>
      </c>
      <c r="CF1943">
        <v>0</v>
      </c>
      <c r="CG1943">
        <v>0</v>
      </c>
      <c r="CH1943">
        <v>0</v>
      </c>
      <c r="CI1943">
        <v>0</v>
      </c>
      <c r="CJ1943">
        <v>0</v>
      </c>
      <c r="CK1943">
        <v>2</v>
      </c>
      <c r="CL1943">
        <v>0</v>
      </c>
      <c r="CM1943">
        <v>2</v>
      </c>
      <c r="CN1943">
        <v>0</v>
      </c>
      <c r="CO1943">
        <v>1</v>
      </c>
      <c r="CP1943" t="s">
        <v>119</v>
      </c>
      <c r="CQ1943">
        <v>70</v>
      </c>
      <c r="CR1943">
        <v>1</v>
      </c>
      <c r="CW1943">
        <v>3698387</v>
      </c>
      <c r="CY1943">
        <v>0</v>
      </c>
      <c r="CZ1943">
        <v>0</v>
      </c>
      <c r="DA1943">
        <v>1</v>
      </c>
      <c r="DB1943">
        <v>0</v>
      </c>
      <c r="DC1943">
        <v>0</v>
      </c>
      <c r="DD1943">
        <v>0</v>
      </c>
      <c r="DE1943">
        <v>0</v>
      </c>
      <c r="DF1943">
        <v>0</v>
      </c>
      <c r="DG1943">
        <v>0</v>
      </c>
      <c r="DH1943">
        <v>0</v>
      </c>
      <c r="DI1943">
        <v>0</v>
      </c>
    </row>
    <row r="1944" spans="1:113" x14ac:dyDescent="0.3">
      <c r="A1944" t="str">
        <f>"02/13/2022 18:56:25.108"</f>
        <v>02/13/2022 18:56:25.108</v>
      </c>
      <c r="C1944" t="str">
        <f t="shared" si="191"/>
        <v>FFDFD7C0</v>
      </c>
      <c r="D1944" t="s">
        <v>113</v>
      </c>
      <c r="E1944">
        <v>3</v>
      </c>
      <c r="F1944">
        <v>1003</v>
      </c>
      <c r="G1944" t="s">
        <v>114</v>
      </c>
      <c r="J1944" t="s">
        <v>115</v>
      </c>
      <c r="K1944">
        <v>0</v>
      </c>
      <c r="L1944">
        <v>3</v>
      </c>
      <c r="M1944">
        <v>0</v>
      </c>
      <c r="N1944">
        <v>2</v>
      </c>
      <c r="O1944">
        <v>1</v>
      </c>
      <c r="P1944">
        <v>0</v>
      </c>
      <c r="Q1944">
        <v>0</v>
      </c>
      <c r="S1944" t="str">
        <f>"18:56:24.852"</f>
        <v>18:56:24.852</v>
      </c>
      <c r="T1944" t="str">
        <f>"18:56:23.052"</f>
        <v>18:56:23.052</v>
      </c>
      <c r="U1944" t="str">
        <f t="shared" si="193"/>
        <v>AAB6EE</v>
      </c>
      <c r="V1944">
        <v>0</v>
      </c>
      <c r="W1944">
        <v>0</v>
      </c>
      <c r="X1944">
        <v>4</v>
      </c>
      <c r="Z1944">
        <v>0</v>
      </c>
      <c r="AA1944">
        <v>8</v>
      </c>
      <c r="AB1944">
        <v>3</v>
      </c>
      <c r="AC1944">
        <v>0</v>
      </c>
      <c r="AD1944">
        <v>10</v>
      </c>
      <c r="AE1944">
        <v>0</v>
      </c>
      <c r="AF1944">
        <v>0</v>
      </c>
      <c r="AG1944">
        <v>2</v>
      </c>
      <c r="AH1944">
        <v>1</v>
      </c>
      <c r="AI1944" t="s">
        <v>1421</v>
      </c>
      <c r="AJ1944">
        <v>34.872836999999997</v>
      </c>
      <c r="AK1944" t="s">
        <v>1422</v>
      </c>
      <c r="AL1944">
        <v>-76.128901999999997</v>
      </c>
      <c r="AM1944">
        <v>25</v>
      </c>
      <c r="AN1944">
        <v>2900</v>
      </c>
      <c r="AO1944" t="s">
        <v>118</v>
      </c>
      <c r="AP1944">
        <v>-83</v>
      </c>
      <c r="AQ1944">
        <v>-117</v>
      </c>
      <c r="AR1944">
        <v>-384</v>
      </c>
      <c r="AZ1944">
        <v>4516</v>
      </c>
      <c r="BA1944">
        <v>1</v>
      </c>
      <c r="BB1944" t="str">
        <f t="shared" si="192"/>
        <v xml:space="preserve">N79NX   </v>
      </c>
      <c r="BC1944">
        <v>1</v>
      </c>
      <c r="BE1944">
        <v>0</v>
      </c>
      <c r="BF1944">
        <v>0</v>
      </c>
      <c r="BG1944">
        <v>0</v>
      </c>
      <c r="BH1944">
        <v>2800</v>
      </c>
      <c r="BI1944">
        <v>0</v>
      </c>
      <c r="BJ1944">
        <v>0</v>
      </c>
      <c r="BK1944">
        <v>0</v>
      </c>
      <c r="BL1944">
        <v>0</v>
      </c>
      <c r="BO1944">
        <v>0</v>
      </c>
      <c r="BP1944">
        <v>0</v>
      </c>
      <c r="BW1944" t="str">
        <f>"18:56:24.855"</f>
        <v>18:56:24.855</v>
      </c>
      <c r="BZ1944">
        <v>0</v>
      </c>
      <c r="CA1944">
        <v>1792</v>
      </c>
      <c r="CB1944">
        <v>216</v>
      </c>
      <c r="CC1944">
        <v>593.4375</v>
      </c>
      <c r="CD1944">
        <v>1</v>
      </c>
      <c r="CE1944">
        <v>1</v>
      </c>
      <c r="CF1944">
        <v>0</v>
      </c>
      <c r="CG1944">
        <v>0</v>
      </c>
      <c r="CH1944">
        <v>0</v>
      </c>
      <c r="CI1944">
        <v>0</v>
      </c>
      <c r="CJ1944">
        <v>0</v>
      </c>
      <c r="CK1944">
        <v>2</v>
      </c>
      <c r="CL1944">
        <v>0</v>
      </c>
      <c r="CM1944">
        <v>2</v>
      </c>
      <c r="CN1944">
        <v>0</v>
      </c>
      <c r="CO1944">
        <v>1</v>
      </c>
      <c r="CP1944" t="s">
        <v>119</v>
      </c>
      <c r="CQ1944">
        <v>70</v>
      </c>
      <c r="CR1944">
        <v>1</v>
      </c>
      <c r="CW1944">
        <v>3699206</v>
      </c>
      <c r="CY1944">
        <v>0</v>
      </c>
      <c r="CZ1944">
        <v>0</v>
      </c>
      <c r="DA1944">
        <v>0</v>
      </c>
      <c r="DB1944">
        <v>0</v>
      </c>
      <c r="DC1944">
        <v>0</v>
      </c>
      <c r="DD1944">
        <v>0</v>
      </c>
      <c r="DE1944">
        <v>0</v>
      </c>
      <c r="DF1944">
        <v>0</v>
      </c>
      <c r="DG1944">
        <v>0</v>
      </c>
      <c r="DH1944">
        <v>0</v>
      </c>
      <c r="DI1944">
        <v>0</v>
      </c>
    </row>
    <row r="1945" spans="1:113" x14ac:dyDescent="0.3">
      <c r="A1945" t="str">
        <f>"02/13/2022 18:56:25.123"</f>
        <v>02/13/2022 18:56:25.123</v>
      </c>
      <c r="C1945" t="str">
        <f t="shared" si="191"/>
        <v>FFDFD7C0</v>
      </c>
      <c r="D1945" t="s">
        <v>121</v>
      </c>
      <c r="E1945">
        <v>2</v>
      </c>
      <c r="H1945">
        <v>158</v>
      </c>
      <c r="I1945" t="s">
        <v>120</v>
      </c>
      <c r="J1945" t="s">
        <v>122</v>
      </c>
      <c r="K1945">
        <v>0</v>
      </c>
      <c r="L1945">
        <v>3</v>
      </c>
      <c r="M1945">
        <v>0</v>
      </c>
      <c r="N1945">
        <v>2</v>
      </c>
      <c r="O1945">
        <v>1</v>
      </c>
      <c r="P1945">
        <v>0</v>
      </c>
      <c r="Q1945">
        <v>0</v>
      </c>
      <c r="S1945" t="str">
        <f>"18:56:24.852"</f>
        <v>18:56:24.852</v>
      </c>
      <c r="T1945" t="str">
        <f>"18:56:23.052"</f>
        <v>18:56:23.052</v>
      </c>
      <c r="U1945" t="str">
        <f t="shared" si="193"/>
        <v>AAB6EE</v>
      </c>
      <c r="V1945">
        <v>0</v>
      </c>
      <c r="W1945">
        <v>0</v>
      </c>
      <c r="X1945">
        <v>4</v>
      </c>
      <c r="Z1945">
        <v>0</v>
      </c>
      <c r="AA1945">
        <v>8</v>
      </c>
      <c r="AB1945">
        <v>3</v>
      </c>
      <c r="AC1945">
        <v>0</v>
      </c>
      <c r="AD1945">
        <v>10</v>
      </c>
      <c r="AE1945">
        <v>0</v>
      </c>
      <c r="AF1945">
        <v>0</v>
      </c>
      <c r="AG1945">
        <v>2</v>
      </c>
      <c r="AH1945">
        <v>1</v>
      </c>
      <c r="AI1945" t="s">
        <v>1421</v>
      </c>
      <c r="AJ1945">
        <v>34.872836999999997</v>
      </c>
      <c r="AK1945" t="s">
        <v>1422</v>
      </c>
      <c r="AL1945">
        <v>-76.128901999999997</v>
      </c>
      <c r="AM1945">
        <v>25</v>
      </c>
      <c r="AN1945">
        <v>2900</v>
      </c>
      <c r="AO1945" t="s">
        <v>118</v>
      </c>
      <c r="AP1945">
        <v>-83</v>
      </c>
      <c r="AQ1945">
        <v>-117</v>
      </c>
      <c r="AR1945">
        <v>-384</v>
      </c>
      <c r="AZ1945">
        <v>4516</v>
      </c>
      <c r="BA1945">
        <v>1</v>
      </c>
      <c r="BB1945" t="str">
        <f t="shared" si="192"/>
        <v xml:space="preserve">N79NX   </v>
      </c>
      <c r="BC1945">
        <v>1</v>
      </c>
      <c r="BE1945">
        <v>0</v>
      </c>
      <c r="BF1945">
        <v>0</v>
      </c>
      <c r="BG1945">
        <v>0</v>
      </c>
      <c r="BH1945">
        <v>2800</v>
      </c>
      <c r="BI1945">
        <v>0</v>
      </c>
      <c r="BJ1945">
        <v>0</v>
      </c>
      <c r="BK1945">
        <v>0</v>
      </c>
      <c r="BL1945">
        <v>0</v>
      </c>
      <c r="BO1945">
        <v>0</v>
      </c>
      <c r="BP1945">
        <v>0</v>
      </c>
      <c r="BW1945" t="str">
        <f>"18:56:24.855"</f>
        <v>18:56:24.855</v>
      </c>
      <c r="BZ1945">
        <v>0</v>
      </c>
      <c r="CA1945">
        <v>1792</v>
      </c>
      <c r="CB1945">
        <v>216</v>
      </c>
      <c r="CC1945">
        <v>593.4375</v>
      </c>
      <c r="CD1945">
        <v>1</v>
      </c>
      <c r="CE1945">
        <v>1</v>
      </c>
      <c r="CF1945">
        <v>0</v>
      </c>
      <c r="CG1945">
        <v>0</v>
      </c>
      <c r="CH1945">
        <v>0</v>
      </c>
      <c r="CI1945">
        <v>0</v>
      </c>
      <c r="CJ1945">
        <v>0</v>
      </c>
      <c r="CK1945">
        <v>2</v>
      </c>
      <c r="CL1945">
        <v>0</v>
      </c>
      <c r="CM1945">
        <v>2</v>
      </c>
      <c r="CN1945">
        <v>0</v>
      </c>
      <c r="CO1945">
        <v>1</v>
      </c>
      <c r="CP1945" t="s">
        <v>119</v>
      </c>
      <c r="CQ1945">
        <v>70</v>
      </c>
      <c r="CR1945">
        <v>1</v>
      </c>
      <c r="CW1945">
        <v>3699206</v>
      </c>
      <c r="CY1945">
        <v>0</v>
      </c>
      <c r="CZ1945">
        <v>0</v>
      </c>
      <c r="DA1945">
        <v>1</v>
      </c>
      <c r="DB1945">
        <v>0</v>
      </c>
      <c r="DC1945">
        <v>0</v>
      </c>
      <c r="DD1945">
        <v>0</v>
      </c>
      <c r="DE1945">
        <v>0</v>
      </c>
      <c r="DF1945">
        <v>0</v>
      </c>
      <c r="DG1945">
        <v>0</v>
      </c>
      <c r="DH1945">
        <v>0</v>
      </c>
      <c r="DI1945">
        <v>0</v>
      </c>
    </row>
    <row r="1946" spans="1:113" x14ac:dyDescent="0.3">
      <c r="A1946" t="str">
        <f>"02/13/2022 18:56:25.108"</f>
        <v>02/13/2022 18:56:25.108</v>
      </c>
      <c r="C1946" t="str">
        <f t="shared" si="191"/>
        <v>FFDFD7C0</v>
      </c>
      <c r="D1946" t="s">
        <v>113</v>
      </c>
      <c r="E1946">
        <v>4</v>
      </c>
      <c r="F1946">
        <v>1004</v>
      </c>
      <c r="G1946" t="s">
        <v>120</v>
      </c>
      <c r="J1946" t="s">
        <v>115</v>
      </c>
      <c r="K1946">
        <v>0</v>
      </c>
      <c r="L1946">
        <v>3</v>
      </c>
      <c r="M1946">
        <v>0</v>
      </c>
      <c r="N1946">
        <v>2</v>
      </c>
      <c r="O1946">
        <v>1</v>
      </c>
      <c r="P1946">
        <v>0</v>
      </c>
      <c r="Q1946">
        <v>0</v>
      </c>
      <c r="S1946" t="str">
        <f>"18:56:24.852"</f>
        <v>18:56:24.852</v>
      </c>
      <c r="T1946" t="str">
        <f>"18:56:23.052"</f>
        <v>18:56:23.052</v>
      </c>
      <c r="U1946" t="str">
        <f t="shared" si="193"/>
        <v>AAB6EE</v>
      </c>
      <c r="V1946">
        <v>0</v>
      </c>
      <c r="W1946">
        <v>0</v>
      </c>
      <c r="X1946">
        <v>4</v>
      </c>
      <c r="Z1946">
        <v>0</v>
      </c>
      <c r="AA1946">
        <v>8</v>
      </c>
      <c r="AB1946">
        <v>3</v>
      </c>
      <c r="AC1946">
        <v>0</v>
      </c>
      <c r="AD1946">
        <v>10</v>
      </c>
      <c r="AE1946">
        <v>0</v>
      </c>
      <c r="AF1946">
        <v>0</v>
      </c>
      <c r="AG1946">
        <v>2</v>
      </c>
      <c r="AH1946">
        <v>1</v>
      </c>
      <c r="AI1946" t="s">
        <v>1421</v>
      </c>
      <c r="AJ1946">
        <v>34.872836999999997</v>
      </c>
      <c r="AK1946" t="s">
        <v>1422</v>
      </c>
      <c r="AL1946">
        <v>-76.128901999999997</v>
      </c>
      <c r="AM1946">
        <v>25</v>
      </c>
      <c r="AN1946">
        <v>2900</v>
      </c>
      <c r="AO1946" t="s">
        <v>118</v>
      </c>
      <c r="AP1946">
        <v>-83</v>
      </c>
      <c r="AQ1946">
        <v>-117</v>
      </c>
      <c r="AR1946">
        <v>-384</v>
      </c>
      <c r="AZ1946">
        <v>4516</v>
      </c>
      <c r="BA1946">
        <v>1</v>
      </c>
      <c r="BB1946" t="str">
        <f t="shared" si="192"/>
        <v xml:space="preserve">N79NX   </v>
      </c>
      <c r="BC1946">
        <v>1</v>
      </c>
      <c r="BE1946">
        <v>0</v>
      </c>
      <c r="BF1946">
        <v>0</v>
      </c>
      <c r="BG1946">
        <v>0</v>
      </c>
      <c r="BH1946">
        <v>2800</v>
      </c>
      <c r="BI1946">
        <v>0</v>
      </c>
      <c r="BJ1946">
        <v>0</v>
      </c>
      <c r="BK1946">
        <v>0</v>
      </c>
      <c r="BL1946">
        <v>0</v>
      </c>
      <c r="BO1946">
        <v>0</v>
      </c>
      <c r="BP1946">
        <v>0</v>
      </c>
      <c r="BW1946" t="str">
        <f>"18:56:24.855"</f>
        <v>18:56:24.855</v>
      </c>
      <c r="BZ1946">
        <v>0</v>
      </c>
      <c r="CA1946">
        <v>1792</v>
      </c>
      <c r="CB1946">
        <v>216</v>
      </c>
      <c r="CC1946">
        <v>593.4375</v>
      </c>
      <c r="CD1946">
        <v>1</v>
      </c>
      <c r="CE1946">
        <v>1</v>
      </c>
      <c r="CF1946">
        <v>0</v>
      </c>
      <c r="CG1946">
        <v>0</v>
      </c>
      <c r="CH1946">
        <v>0</v>
      </c>
      <c r="CI1946">
        <v>0</v>
      </c>
      <c r="CJ1946">
        <v>0</v>
      </c>
      <c r="CK1946">
        <v>2</v>
      </c>
      <c r="CL1946">
        <v>0</v>
      </c>
      <c r="CM1946">
        <v>2</v>
      </c>
      <c r="CN1946">
        <v>0</v>
      </c>
      <c r="CO1946">
        <v>1</v>
      </c>
      <c r="CP1946" t="s">
        <v>119</v>
      </c>
      <c r="CQ1946">
        <v>70</v>
      </c>
      <c r="CR1946">
        <v>1</v>
      </c>
      <c r="CW1946">
        <v>3699206</v>
      </c>
      <c r="CY1946">
        <v>0</v>
      </c>
      <c r="CZ1946">
        <v>0</v>
      </c>
      <c r="DA1946">
        <v>1</v>
      </c>
      <c r="DB1946">
        <v>0</v>
      </c>
      <c r="DC1946">
        <v>0</v>
      </c>
      <c r="DD1946">
        <v>0</v>
      </c>
      <c r="DE1946">
        <v>0</v>
      </c>
      <c r="DF1946">
        <v>0</v>
      </c>
      <c r="DG1946">
        <v>0</v>
      </c>
      <c r="DH1946">
        <v>0</v>
      </c>
      <c r="DI1946">
        <v>0</v>
      </c>
    </row>
    <row r="1947" spans="1:113" x14ac:dyDescent="0.3">
      <c r="A1947" t="str">
        <f>"02/13/2022 18:56:26.014"</f>
        <v>02/13/2022 18:56:26.014</v>
      </c>
      <c r="C1947" t="str">
        <f t="shared" si="191"/>
        <v>FFDFD7C0</v>
      </c>
      <c r="D1947" t="s">
        <v>113</v>
      </c>
      <c r="E1947">
        <v>3</v>
      </c>
      <c r="F1947">
        <v>1003</v>
      </c>
      <c r="G1947" t="s">
        <v>114</v>
      </c>
      <c r="J1947" t="s">
        <v>115</v>
      </c>
      <c r="K1947">
        <v>0</v>
      </c>
      <c r="L1947">
        <v>3</v>
      </c>
      <c r="M1947">
        <v>0</v>
      </c>
      <c r="N1947">
        <v>2</v>
      </c>
      <c r="O1947">
        <v>1</v>
      </c>
      <c r="P1947">
        <v>0</v>
      </c>
      <c r="Q1947">
        <v>0</v>
      </c>
      <c r="S1947" t="str">
        <f>"18:56:25.789"</f>
        <v>18:56:25.789</v>
      </c>
      <c r="T1947" t="str">
        <f>"18:56:25.389"</f>
        <v>18:56:25.389</v>
      </c>
      <c r="U1947" t="str">
        <f t="shared" si="193"/>
        <v>AAB6EE</v>
      </c>
      <c r="V1947">
        <v>0</v>
      </c>
      <c r="W1947">
        <v>0</v>
      </c>
      <c r="X1947">
        <v>4</v>
      </c>
      <c r="Z1947">
        <v>0</v>
      </c>
      <c r="AA1947">
        <v>8</v>
      </c>
      <c r="AB1947">
        <v>3</v>
      </c>
      <c r="AC1947">
        <v>0</v>
      </c>
      <c r="AD1947">
        <v>10</v>
      </c>
      <c r="AE1947">
        <v>0</v>
      </c>
      <c r="AF1947">
        <v>0</v>
      </c>
      <c r="AG1947">
        <v>2</v>
      </c>
      <c r="AH1947">
        <v>1</v>
      </c>
      <c r="AI1947" t="s">
        <v>1423</v>
      </c>
      <c r="AJ1947">
        <v>34.872343999999998</v>
      </c>
      <c r="AK1947" t="s">
        <v>1424</v>
      </c>
      <c r="AL1947">
        <v>-76.129374999999996</v>
      </c>
      <c r="AM1947">
        <v>25</v>
      </c>
      <c r="AN1947">
        <v>2875</v>
      </c>
      <c r="AO1947" t="s">
        <v>118</v>
      </c>
      <c r="AP1947">
        <v>-84</v>
      </c>
      <c r="AQ1947">
        <v>-118</v>
      </c>
      <c r="AR1947">
        <v>-768</v>
      </c>
      <c r="AZ1947">
        <v>4516</v>
      </c>
      <c r="BA1947">
        <v>1</v>
      </c>
      <c r="BB1947" t="str">
        <f t="shared" si="192"/>
        <v xml:space="preserve">N79NX   </v>
      </c>
      <c r="BC1947">
        <v>1</v>
      </c>
      <c r="BE1947">
        <v>0</v>
      </c>
      <c r="BF1947">
        <v>0</v>
      </c>
      <c r="BG1947">
        <v>0</v>
      </c>
      <c r="BH1947">
        <v>2775</v>
      </c>
      <c r="BI1947">
        <v>0</v>
      </c>
      <c r="BJ1947">
        <v>0</v>
      </c>
      <c r="BK1947">
        <v>0</v>
      </c>
      <c r="BL1947">
        <v>0</v>
      </c>
      <c r="BO1947">
        <v>0</v>
      </c>
      <c r="BP1947">
        <v>0</v>
      </c>
      <c r="BW1947" t="str">
        <f>"18:56:25.795"</f>
        <v>18:56:25.795</v>
      </c>
      <c r="BZ1947">
        <v>0</v>
      </c>
      <c r="CA1947">
        <v>1792</v>
      </c>
      <c r="CB1947">
        <v>216</v>
      </c>
      <c r="CC1947">
        <v>593.4375</v>
      </c>
      <c r="CD1947">
        <v>1</v>
      </c>
      <c r="CE1947">
        <v>1</v>
      </c>
      <c r="CF1947">
        <v>0</v>
      </c>
      <c r="CG1947">
        <v>0</v>
      </c>
      <c r="CH1947">
        <v>0</v>
      </c>
      <c r="CI1947">
        <v>0</v>
      </c>
      <c r="CJ1947">
        <v>0</v>
      </c>
      <c r="CK1947">
        <v>2</v>
      </c>
      <c r="CL1947">
        <v>0</v>
      </c>
      <c r="CM1947">
        <v>2</v>
      </c>
      <c r="CN1947">
        <v>0</v>
      </c>
      <c r="CO1947">
        <v>2</v>
      </c>
      <c r="CP1947" t="s">
        <v>119</v>
      </c>
      <c r="CQ1947">
        <v>70</v>
      </c>
      <c r="CR1947">
        <v>1</v>
      </c>
      <c r="CW1947">
        <v>3699988</v>
      </c>
      <c r="CY1947">
        <v>0</v>
      </c>
      <c r="CZ1947">
        <v>0</v>
      </c>
      <c r="DA1947">
        <v>0</v>
      </c>
      <c r="DB1947">
        <v>0</v>
      </c>
      <c r="DC1947">
        <v>0</v>
      </c>
      <c r="DD1947">
        <v>0</v>
      </c>
      <c r="DE1947">
        <v>0</v>
      </c>
      <c r="DF1947">
        <v>0</v>
      </c>
      <c r="DG1947">
        <v>0</v>
      </c>
      <c r="DH1947">
        <v>0</v>
      </c>
      <c r="DI1947">
        <v>0</v>
      </c>
    </row>
    <row r="1948" spans="1:113" x14ac:dyDescent="0.3">
      <c r="A1948" t="str">
        <f>"02/13/2022 18:56:26.014"</f>
        <v>02/13/2022 18:56:26.014</v>
      </c>
      <c r="C1948" t="str">
        <f t="shared" si="191"/>
        <v>FFDFD7C0</v>
      </c>
      <c r="D1948" t="s">
        <v>113</v>
      </c>
      <c r="E1948">
        <v>4</v>
      </c>
      <c r="F1948">
        <v>1004</v>
      </c>
      <c r="G1948" t="s">
        <v>120</v>
      </c>
      <c r="J1948" t="s">
        <v>115</v>
      </c>
      <c r="K1948">
        <v>0</v>
      </c>
      <c r="L1948">
        <v>3</v>
      </c>
      <c r="M1948">
        <v>0</v>
      </c>
      <c r="N1948">
        <v>2</v>
      </c>
      <c r="O1948">
        <v>1</v>
      </c>
      <c r="P1948">
        <v>0</v>
      </c>
      <c r="Q1948">
        <v>0</v>
      </c>
      <c r="S1948" t="str">
        <f>"18:56:25.789"</f>
        <v>18:56:25.789</v>
      </c>
      <c r="T1948" t="str">
        <f>"18:56:25.389"</f>
        <v>18:56:25.389</v>
      </c>
      <c r="U1948" t="str">
        <f t="shared" si="193"/>
        <v>AAB6EE</v>
      </c>
      <c r="V1948">
        <v>0</v>
      </c>
      <c r="W1948">
        <v>0</v>
      </c>
      <c r="X1948">
        <v>4</v>
      </c>
      <c r="Z1948">
        <v>0</v>
      </c>
      <c r="AA1948">
        <v>8</v>
      </c>
      <c r="AB1948">
        <v>3</v>
      </c>
      <c r="AC1948">
        <v>0</v>
      </c>
      <c r="AD1948">
        <v>10</v>
      </c>
      <c r="AE1948">
        <v>0</v>
      </c>
      <c r="AF1948">
        <v>0</v>
      </c>
      <c r="AG1948">
        <v>2</v>
      </c>
      <c r="AH1948">
        <v>1</v>
      </c>
      <c r="AI1948" t="s">
        <v>1423</v>
      </c>
      <c r="AJ1948">
        <v>34.872343999999998</v>
      </c>
      <c r="AK1948" t="s">
        <v>1424</v>
      </c>
      <c r="AL1948">
        <v>-76.129374999999996</v>
      </c>
      <c r="AM1948">
        <v>25</v>
      </c>
      <c r="AN1948">
        <v>2875</v>
      </c>
      <c r="AO1948" t="s">
        <v>118</v>
      </c>
      <c r="AP1948">
        <v>-84</v>
      </c>
      <c r="AQ1948">
        <v>-118</v>
      </c>
      <c r="AR1948">
        <v>-768</v>
      </c>
      <c r="AZ1948">
        <v>4516</v>
      </c>
      <c r="BA1948">
        <v>1</v>
      </c>
      <c r="BB1948" t="str">
        <f t="shared" si="192"/>
        <v xml:space="preserve">N79NX   </v>
      </c>
      <c r="BC1948">
        <v>1</v>
      </c>
      <c r="BE1948">
        <v>0</v>
      </c>
      <c r="BF1948">
        <v>0</v>
      </c>
      <c r="BG1948">
        <v>0</v>
      </c>
      <c r="BH1948">
        <v>2775</v>
      </c>
      <c r="BI1948">
        <v>0</v>
      </c>
      <c r="BJ1948">
        <v>0</v>
      </c>
      <c r="BK1948">
        <v>0</v>
      </c>
      <c r="BL1948">
        <v>0</v>
      </c>
      <c r="BO1948">
        <v>0</v>
      </c>
      <c r="BP1948">
        <v>0</v>
      </c>
      <c r="BW1948" t="str">
        <f>"18:56:25.795"</f>
        <v>18:56:25.795</v>
      </c>
      <c r="BZ1948">
        <v>0</v>
      </c>
      <c r="CA1948">
        <v>1792</v>
      </c>
      <c r="CB1948">
        <v>216</v>
      </c>
      <c r="CC1948">
        <v>593.4375</v>
      </c>
      <c r="CD1948">
        <v>1</v>
      </c>
      <c r="CE1948">
        <v>1</v>
      </c>
      <c r="CF1948">
        <v>0</v>
      </c>
      <c r="CG1948">
        <v>0</v>
      </c>
      <c r="CH1948">
        <v>0</v>
      </c>
      <c r="CI1948">
        <v>0</v>
      </c>
      <c r="CJ1948">
        <v>0</v>
      </c>
      <c r="CK1948">
        <v>2</v>
      </c>
      <c r="CL1948">
        <v>0</v>
      </c>
      <c r="CM1948">
        <v>2</v>
      </c>
      <c r="CN1948">
        <v>0</v>
      </c>
      <c r="CO1948">
        <v>2</v>
      </c>
      <c r="CP1948" t="s">
        <v>119</v>
      </c>
      <c r="CQ1948">
        <v>70</v>
      </c>
      <c r="CR1948">
        <v>1</v>
      </c>
      <c r="CW1948">
        <v>3699988</v>
      </c>
      <c r="CY1948">
        <v>0</v>
      </c>
      <c r="CZ1948">
        <v>0</v>
      </c>
      <c r="DA1948">
        <v>1</v>
      </c>
      <c r="DB1948">
        <v>0</v>
      </c>
      <c r="DC1948">
        <v>0</v>
      </c>
      <c r="DD1948">
        <v>0</v>
      </c>
      <c r="DE1948">
        <v>0</v>
      </c>
      <c r="DF1948">
        <v>0</v>
      </c>
      <c r="DG1948">
        <v>0</v>
      </c>
      <c r="DH1948">
        <v>0</v>
      </c>
      <c r="DI1948">
        <v>0</v>
      </c>
    </row>
    <row r="1949" spans="1:113" x14ac:dyDescent="0.3">
      <c r="A1949" t="str">
        <f>"02/13/2022 18:56:26.030"</f>
        <v>02/13/2022 18:56:26.030</v>
      </c>
      <c r="C1949" t="str">
        <f t="shared" si="191"/>
        <v>FFDFD7C0</v>
      </c>
      <c r="D1949" t="s">
        <v>121</v>
      </c>
      <c r="E1949">
        <v>2</v>
      </c>
      <c r="H1949">
        <v>158</v>
      </c>
      <c r="I1949" t="s">
        <v>120</v>
      </c>
      <c r="J1949" t="s">
        <v>122</v>
      </c>
      <c r="K1949">
        <v>0</v>
      </c>
      <c r="L1949">
        <v>3</v>
      </c>
      <c r="M1949">
        <v>0</v>
      </c>
      <c r="N1949">
        <v>2</v>
      </c>
      <c r="O1949">
        <v>1</v>
      </c>
      <c r="P1949">
        <v>0</v>
      </c>
      <c r="Q1949">
        <v>0</v>
      </c>
      <c r="S1949" t="str">
        <f>"18:56:25.789"</f>
        <v>18:56:25.789</v>
      </c>
      <c r="T1949" t="str">
        <f>"18:56:25.389"</f>
        <v>18:56:25.389</v>
      </c>
      <c r="U1949" t="str">
        <f t="shared" si="193"/>
        <v>AAB6EE</v>
      </c>
      <c r="V1949">
        <v>0</v>
      </c>
      <c r="W1949">
        <v>0</v>
      </c>
      <c r="X1949">
        <v>4</v>
      </c>
      <c r="Z1949">
        <v>0</v>
      </c>
      <c r="AA1949">
        <v>8</v>
      </c>
      <c r="AB1949">
        <v>3</v>
      </c>
      <c r="AC1949">
        <v>0</v>
      </c>
      <c r="AD1949">
        <v>10</v>
      </c>
      <c r="AE1949">
        <v>0</v>
      </c>
      <c r="AF1949">
        <v>0</v>
      </c>
      <c r="AG1949">
        <v>2</v>
      </c>
      <c r="AH1949">
        <v>1</v>
      </c>
      <c r="AI1949" t="s">
        <v>1423</v>
      </c>
      <c r="AJ1949">
        <v>34.872343999999998</v>
      </c>
      <c r="AK1949" t="s">
        <v>1424</v>
      </c>
      <c r="AL1949">
        <v>-76.129374999999996</v>
      </c>
      <c r="AM1949">
        <v>25</v>
      </c>
      <c r="AN1949">
        <v>2875</v>
      </c>
      <c r="AO1949" t="s">
        <v>118</v>
      </c>
      <c r="AP1949">
        <v>-84</v>
      </c>
      <c r="AQ1949">
        <v>-118</v>
      </c>
      <c r="AR1949">
        <v>-768</v>
      </c>
      <c r="AZ1949">
        <v>4516</v>
      </c>
      <c r="BA1949">
        <v>1</v>
      </c>
      <c r="BB1949" t="str">
        <f t="shared" si="192"/>
        <v xml:space="preserve">N79NX   </v>
      </c>
      <c r="BC1949">
        <v>1</v>
      </c>
      <c r="BE1949">
        <v>0</v>
      </c>
      <c r="BF1949">
        <v>0</v>
      </c>
      <c r="BG1949">
        <v>0</v>
      </c>
      <c r="BH1949">
        <v>2775</v>
      </c>
      <c r="BI1949">
        <v>0</v>
      </c>
      <c r="BJ1949">
        <v>0</v>
      </c>
      <c r="BK1949">
        <v>0</v>
      </c>
      <c r="BL1949">
        <v>0</v>
      </c>
      <c r="BO1949">
        <v>0</v>
      </c>
      <c r="BP1949">
        <v>0</v>
      </c>
      <c r="BW1949" t="str">
        <f>"18:56:25.795"</f>
        <v>18:56:25.795</v>
      </c>
      <c r="BZ1949">
        <v>0</v>
      </c>
      <c r="CA1949">
        <v>1792</v>
      </c>
      <c r="CB1949">
        <v>216</v>
      </c>
      <c r="CC1949">
        <v>593.4375</v>
      </c>
      <c r="CD1949">
        <v>1</v>
      </c>
      <c r="CE1949">
        <v>1</v>
      </c>
      <c r="CF1949">
        <v>0</v>
      </c>
      <c r="CG1949">
        <v>0</v>
      </c>
      <c r="CH1949">
        <v>0</v>
      </c>
      <c r="CI1949">
        <v>0</v>
      </c>
      <c r="CJ1949">
        <v>0</v>
      </c>
      <c r="CK1949">
        <v>2</v>
      </c>
      <c r="CL1949">
        <v>0</v>
      </c>
      <c r="CM1949">
        <v>2</v>
      </c>
      <c r="CN1949">
        <v>0</v>
      </c>
      <c r="CO1949">
        <v>2</v>
      </c>
      <c r="CP1949" t="s">
        <v>119</v>
      </c>
      <c r="CQ1949">
        <v>70</v>
      </c>
      <c r="CR1949">
        <v>1</v>
      </c>
      <c r="CW1949">
        <v>3699988</v>
      </c>
      <c r="CY1949">
        <v>0</v>
      </c>
      <c r="CZ1949">
        <v>0</v>
      </c>
      <c r="DA1949">
        <v>1</v>
      </c>
      <c r="DB1949">
        <v>0</v>
      </c>
      <c r="DC1949">
        <v>0</v>
      </c>
      <c r="DD1949">
        <v>0</v>
      </c>
      <c r="DE1949">
        <v>0</v>
      </c>
      <c r="DF1949">
        <v>0</v>
      </c>
      <c r="DG1949">
        <v>0</v>
      </c>
      <c r="DH1949">
        <v>0</v>
      </c>
      <c r="DI1949">
        <v>0</v>
      </c>
    </row>
    <row r="1950" spans="1:113" x14ac:dyDescent="0.3">
      <c r="A1950" t="str">
        <f>"02/13/2022 18:56:26.828"</f>
        <v>02/13/2022 18:56:26.828</v>
      </c>
      <c r="C1950" t="str">
        <f t="shared" si="191"/>
        <v>FFDFD7C0</v>
      </c>
      <c r="D1950" t="s">
        <v>113</v>
      </c>
      <c r="E1950">
        <v>3</v>
      </c>
      <c r="F1950">
        <v>1003</v>
      </c>
      <c r="G1950" t="s">
        <v>114</v>
      </c>
      <c r="J1950" t="s">
        <v>115</v>
      </c>
      <c r="K1950">
        <v>0</v>
      </c>
      <c r="L1950">
        <v>3</v>
      </c>
      <c r="M1950">
        <v>0</v>
      </c>
      <c r="N1950">
        <v>2</v>
      </c>
      <c r="O1950">
        <v>1</v>
      </c>
      <c r="P1950">
        <v>0</v>
      </c>
      <c r="Q1950">
        <v>0</v>
      </c>
      <c r="S1950" t="str">
        <f>"18:56:26.617"</f>
        <v>18:56:26.617</v>
      </c>
      <c r="T1950" t="str">
        <f>"18:56:26.417"</f>
        <v>18:56:26.417</v>
      </c>
      <c r="U1950" t="str">
        <f t="shared" si="193"/>
        <v>AAB6EE</v>
      </c>
      <c r="V1950">
        <v>0</v>
      </c>
      <c r="W1950">
        <v>0</v>
      </c>
      <c r="X1950">
        <v>4</v>
      </c>
      <c r="Z1950">
        <v>0</v>
      </c>
      <c r="AA1950">
        <v>8</v>
      </c>
      <c r="AB1950">
        <v>3</v>
      </c>
      <c r="AC1950">
        <v>0</v>
      </c>
      <c r="AD1950">
        <v>10</v>
      </c>
      <c r="AE1950">
        <v>0</v>
      </c>
      <c r="AF1950">
        <v>0</v>
      </c>
      <c r="AG1950">
        <v>2</v>
      </c>
      <c r="AH1950">
        <v>1</v>
      </c>
      <c r="AI1950" t="s">
        <v>1425</v>
      </c>
      <c r="AJ1950">
        <v>34.871870999999999</v>
      </c>
      <c r="AK1950" t="s">
        <v>1426</v>
      </c>
      <c r="AL1950">
        <v>-76.129761000000002</v>
      </c>
      <c r="AM1950">
        <v>25</v>
      </c>
      <c r="AN1950">
        <v>2875</v>
      </c>
      <c r="AO1950" t="s">
        <v>118</v>
      </c>
      <c r="AP1950">
        <v>-85</v>
      </c>
      <c r="AQ1950">
        <v>-119</v>
      </c>
      <c r="AR1950">
        <v>-960</v>
      </c>
      <c r="AZ1950">
        <v>4516</v>
      </c>
      <c r="BA1950">
        <v>1</v>
      </c>
      <c r="BB1950" t="str">
        <f t="shared" si="192"/>
        <v xml:space="preserve">N79NX   </v>
      </c>
      <c r="BC1950">
        <v>1</v>
      </c>
      <c r="BE1950">
        <v>0</v>
      </c>
      <c r="BF1950">
        <v>0</v>
      </c>
      <c r="BG1950">
        <v>0</v>
      </c>
      <c r="BH1950">
        <v>2750</v>
      </c>
      <c r="BI1950">
        <v>0</v>
      </c>
      <c r="BJ1950">
        <v>0</v>
      </c>
      <c r="BK1950">
        <v>0</v>
      </c>
      <c r="BL1950">
        <v>0</v>
      </c>
      <c r="BO1950">
        <v>0</v>
      </c>
      <c r="BP1950">
        <v>0</v>
      </c>
      <c r="BW1950" t="str">
        <f>"18:56:26.625"</f>
        <v>18:56:26.625</v>
      </c>
      <c r="BZ1950">
        <v>0</v>
      </c>
      <c r="CA1950">
        <v>1792</v>
      </c>
      <c r="CB1950">
        <v>216</v>
      </c>
      <c r="CC1950">
        <v>593.4375</v>
      </c>
      <c r="CD1950">
        <v>1</v>
      </c>
      <c r="CE1950">
        <v>1</v>
      </c>
      <c r="CF1950">
        <v>0</v>
      </c>
      <c r="CG1950">
        <v>0</v>
      </c>
      <c r="CH1950">
        <v>0</v>
      </c>
      <c r="CI1950">
        <v>0</v>
      </c>
      <c r="CJ1950">
        <v>0</v>
      </c>
      <c r="CK1950">
        <v>2</v>
      </c>
      <c r="CL1950">
        <v>0</v>
      </c>
      <c r="CM1950">
        <v>2</v>
      </c>
      <c r="CN1950">
        <v>0</v>
      </c>
      <c r="CO1950">
        <v>2</v>
      </c>
      <c r="CP1950" t="s">
        <v>119</v>
      </c>
      <c r="CQ1950">
        <v>70</v>
      </c>
      <c r="CR1950">
        <v>1</v>
      </c>
      <c r="CW1950">
        <v>3700638</v>
      </c>
      <c r="CY1950">
        <v>0</v>
      </c>
      <c r="CZ1950">
        <v>0</v>
      </c>
      <c r="DA1950">
        <v>0</v>
      </c>
      <c r="DB1950">
        <v>0</v>
      </c>
      <c r="DC1950">
        <v>0</v>
      </c>
      <c r="DD1950">
        <v>0</v>
      </c>
      <c r="DE1950">
        <v>0</v>
      </c>
      <c r="DF1950">
        <v>0</v>
      </c>
      <c r="DG1950">
        <v>0</v>
      </c>
      <c r="DH1950">
        <v>0</v>
      </c>
      <c r="DI1950">
        <v>0</v>
      </c>
    </row>
    <row r="1951" spans="1:113" x14ac:dyDescent="0.3">
      <c r="A1951" t="str">
        <f>"02/13/2022 18:56:26.828"</f>
        <v>02/13/2022 18:56:26.828</v>
      </c>
      <c r="C1951" t="str">
        <f t="shared" si="191"/>
        <v>FFDFD7C0</v>
      </c>
      <c r="D1951" t="s">
        <v>113</v>
      </c>
      <c r="E1951">
        <v>4</v>
      </c>
      <c r="F1951">
        <v>1004</v>
      </c>
      <c r="G1951" t="s">
        <v>120</v>
      </c>
      <c r="J1951" t="s">
        <v>115</v>
      </c>
      <c r="K1951">
        <v>0</v>
      </c>
      <c r="L1951">
        <v>3</v>
      </c>
      <c r="M1951">
        <v>0</v>
      </c>
      <c r="N1951">
        <v>2</v>
      </c>
      <c r="O1951">
        <v>1</v>
      </c>
      <c r="P1951">
        <v>0</v>
      </c>
      <c r="Q1951">
        <v>0</v>
      </c>
      <c r="S1951" t="str">
        <f>"18:56:26.617"</f>
        <v>18:56:26.617</v>
      </c>
      <c r="T1951" t="str">
        <f>"18:56:26.417"</f>
        <v>18:56:26.417</v>
      </c>
      <c r="U1951" t="str">
        <f t="shared" si="193"/>
        <v>AAB6EE</v>
      </c>
      <c r="V1951">
        <v>0</v>
      </c>
      <c r="W1951">
        <v>0</v>
      </c>
      <c r="X1951">
        <v>4</v>
      </c>
      <c r="Z1951">
        <v>0</v>
      </c>
      <c r="AA1951">
        <v>8</v>
      </c>
      <c r="AB1951">
        <v>3</v>
      </c>
      <c r="AC1951">
        <v>0</v>
      </c>
      <c r="AD1951">
        <v>10</v>
      </c>
      <c r="AE1951">
        <v>0</v>
      </c>
      <c r="AF1951">
        <v>0</v>
      </c>
      <c r="AG1951">
        <v>2</v>
      </c>
      <c r="AH1951">
        <v>1</v>
      </c>
      <c r="AI1951" t="s">
        <v>1425</v>
      </c>
      <c r="AJ1951">
        <v>34.871870999999999</v>
      </c>
      <c r="AK1951" t="s">
        <v>1426</v>
      </c>
      <c r="AL1951">
        <v>-76.129761000000002</v>
      </c>
      <c r="AM1951">
        <v>25</v>
      </c>
      <c r="AN1951">
        <v>2875</v>
      </c>
      <c r="AO1951" t="s">
        <v>118</v>
      </c>
      <c r="AP1951">
        <v>-85</v>
      </c>
      <c r="AQ1951">
        <v>-119</v>
      </c>
      <c r="AR1951">
        <v>-960</v>
      </c>
      <c r="AZ1951">
        <v>4516</v>
      </c>
      <c r="BA1951">
        <v>1</v>
      </c>
      <c r="BB1951" t="str">
        <f t="shared" si="192"/>
        <v xml:space="preserve">N79NX   </v>
      </c>
      <c r="BC1951">
        <v>1</v>
      </c>
      <c r="BE1951">
        <v>0</v>
      </c>
      <c r="BF1951">
        <v>0</v>
      </c>
      <c r="BG1951">
        <v>0</v>
      </c>
      <c r="BH1951">
        <v>2750</v>
      </c>
      <c r="BI1951">
        <v>0</v>
      </c>
      <c r="BJ1951">
        <v>0</v>
      </c>
      <c r="BK1951">
        <v>0</v>
      </c>
      <c r="BL1951">
        <v>0</v>
      </c>
      <c r="BO1951">
        <v>0</v>
      </c>
      <c r="BP1951">
        <v>0</v>
      </c>
      <c r="BW1951" t="str">
        <f>"18:56:26.625"</f>
        <v>18:56:26.625</v>
      </c>
      <c r="BZ1951">
        <v>0</v>
      </c>
      <c r="CA1951">
        <v>1792</v>
      </c>
      <c r="CB1951">
        <v>216</v>
      </c>
      <c r="CC1951">
        <v>593.4375</v>
      </c>
      <c r="CD1951">
        <v>1</v>
      </c>
      <c r="CE1951">
        <v>1</v>
      </c>
      <c r="CF1951">
        <v>0</v>
      </c>
      <c r="CG1951">
        <v>0</v>
      </c>
      <c r="CH1951">
        <v>0</v>
      </c>
      <c r="CI1951">
        <v>0</v>
      </c>
      <c r="CJ1951">
        <v>0</v>
      </c>
      <c r="CK1951">
        <v>2</v>
      </c>
      <c r="CL1951">
        <v>0</v>
      </c>
      <c r="CM1951">
        <v>2</v>
      </c>
      <c r="CN1951">
        <v>0</v>
      </c>
      <c r="CO1951">
        <v>2</v>
      </c>
      <c r="CP1951" t="s">
        <v>119</v>
      </c>
      <c r="CQ1951">
        <v>70</v>
      </c>
      <c r="CR1951">
        <v>1</v>
      </c>
      <c r="CW1951">
        <v>3700638</v>
      </c>
      <c r="CY1951">
        <v>0</v>
      </c>
      <c r="CZ1951">
        <v>0</v>
      </c>
      <c r="DA1951">
        <v>1</v>
      </c>
      <c r="DB1951">
        <v>0</v>
      </c>
      <c r="DC1951">
        <v>0</v>
      </c>
      <c r="DD1951">
        <v>0</v>
      </c>
      <c r="DE1951">
        <v>0</v>
      </c>
      <c r="DF1951">
        <v>0</v>
      </c>
      <c r="DG1951">
        <v>0</v>
      </c>
      <c r="DH1951">
        <v>0</v>
      </c>
      <c r="DI1951">
        <v>0</v>
      </c>
    </row>
    <row r="1952" spans="1:113" x14ac:dyDescent="0.3">
      <c r="A1952" t="str">
        <f>"02/13/2022 18:56:26.890"</f>
        <v>02/13/2022 18:56:26.890</v>
      </c>
      <c r="C1952" t="str">
        <f t="shared" si="191"/>
        <v>FFDFD7C0</v>
      </c>
      <c r="D1952" t="s">
        <v>121</v>
      </c>
      <c r="E1952">
        <v>2</v>
      </c>
      <c r="H1952">
        <v>158</v>
      </c>
      <c r="I1952" t="s">
        <v>120</v>
      </c>
      <c r="J1952" t="s">
        <v>122</v>
      </c>
      <c r="K1952">
        <v>0</v>
      </c>
      <c r="L1952">
        <v>3</v>
      </c>
      <c r="M1952">
        <v>0</v>
      </c>
      <c r="N1952">
        <v>2</v>
      </c>
      <c r="O1952">
        <v>1</v>
      </c>
      <c r="P1952">
        <v>0</v>
      </c>
      <c r="Q1952">
        <v>0</v>
      </c>
      <c r="S1952" t="str">
        <f>"18:56:26.617"</f>
        <v>18:56:26.617</v>
      </c>
      <c r="T1952" t="str">
        <f>"18:56:26.417"</f>
        <v>18:56:26.417</v>
      </c>
      <c r="U1952" t="str">
        <f t="shared" si="193"/>
        <v>AAB6EE</v>
      </c>
      <c r="V1952">
        <v>0</v>
      </c>
      <c r="W1952">
        <v>0</v>
      </c>
      <c r="X1952">
        <v>4</v>
      </c>
      <c r="Z1952">
        <v>0</v>
      </c>
      <c r="AA1952">
        <v>8</v>
      </c>
      <c r="AB1952">
        <v>3</v>
      </c>
      <c r="AC1952">
        <v>0</v>
      </c>
      <c r="AD1952">
        <v>10</v>
      </c>
      <c r="AE1952">
        <v>0</v>
      </c>
      <c r="AF1952">
        <v>0</v>
      </c>
      <c r="AG1952">
        <v>2</v>
      </c>
      <c r="AH1952">
        <v>1</v>
      </c>
      <c r="AI1952" t="s">
        <v>1425</v>
      </c>
      <c r="AJ1952">
        <v>34.871870999999999</v>
      </c>
      <c r="AK1952" t="s">
        <v>1426</v>
      </c>
      <c r="AL1952">
        <v>-76.129761000000002</v>
      </c>
      <c r="AM1952">
        <v>25</v>
      </c>
      <c r="AN1952">
        <v>2875</v>
      </c>
      <c r="AO1952" t="s">
        <v>118</v>
      </c>
      <c r="AP1952">
        <v>-85</v>
      </c>
      <c r="AQ1952">
        <v>-119</v>
      </c>
      <c r="AR1952">
        <v>-960</v>
      </c>
      <c r="AZ1952">
        <v>4516</v>
      </c>
      <c r="BA1952">
        <v>1</v>
      </c>
      <c r="BB1952" t="str">
        <f t="shared" si="192"/>
        <v xml:space="preserve">N79NX   </v>
      </c>
      <c r="BC1952">
        <v>1</v>
      </c>
      <c r="BE1952">
        <v>0</v>
      </c>
      <c r="BF1952">
        <v>0</v>
      </c>
      <c r="BG1952">
        <v>0</v>
      </c>
      <c r="BH1952">
        <v>2750</v>
      </c>
      <c r="BI1952">
        <v>0</v>
      </c>
      <c r="BJ1952">
        <v>0</v>
      </c>
      <c r="BK1952">
        <v>0</v>
      </c>
      <c r="BL1952">
        <v>0</v>
      </c>
      <c r="BO1952">
        <v>0</v>
      </c>
      <c r="BP1952">
        <v>0</v>
      </c>
      <c r="BW1952" t="str">
        <f>"18:56:26.625"</f>
        <v>18:56:26.625</v>
      </c>
      <c r="BZ1952">
        <v>0</v>
      </c>
      <c r="CA1952">
        <v>1792</v>
      </c>
      <c r="CB1952">
        <v>216</v>
      </c>
      <c r="CC1952">
        <v>593.4375</v>
      </c>
      <c r="CD1952">
        <v>1</v>
      </c>
      <c r="CE1952">
        <v>1</v>
      </c>
      <c r="CF1952">
        <v>0</v>
      </c>
      <c r="CG1952">
        <v>0</v>
      </c>
      <c r="CH1952">
        <v>0</v>
      </c>
      <c r="CI1952">
        <v>0</v>
      </c>
      <c r="CJ1952">
        <v>0</v>
      </c>
      <c r="CK1952">
        <v>2</v>
      </c>
      <c r="CL1952">
        <v>0</v>
      </c>
      <c r="CM1952">
        <v>2</v>
      </c>
      <c r="CN1952">
        <v>0</v>
      </c>
      <c r="CO1952">
        <v>2</v>
      </c>
      <c r="CP1952" t="s">
        <v>119</v>
      </c>
      <c r="CQ1952">
        <v>70</v>
      </c>
      <c r="CR1952">
        <v>1</v>
      </c>
      <c r="CW1952">
        <v>3700638</v>
      </c>
      <c r="CY1952">
        <v>0</v>
      </c>
      <c r="CZ1952">
        <v>0</v>
      </c>
      <c r="DA1952">
        <v>1</v>
      </c>
      <c r="DB1952">
        <v>0</v>
      </c>
      <c r="DC1952">
        <v>0</v>
      </c>
      <c r="DD1952">
        <v>0</v>
      </c>
      <c r="DE1952">
        <v>0</v>
      </c>
      <c r="DF1952">
        <v>0</v>
      </c>
      <c r="DG1952">
        <v>0</v>
      </c>
      <c r="DH1952">
        <v>0</v>
      </c>
      <c r="DI1952">
        <v>0</v>
      </c>
    </row>
    <row r="1953" spans="1:113" x14ac:dyDescent="0.3">
      <c r="A1953" t="str">
        <f>"02/13/2022 18:56:27.843"</f>
        <v>02/13/2022 18:56:27.843</v>
      </c>
      <c r="C1953" t="str">
        <f t="shared" si="191"/>
        <v>FFDFD7C0</v>
      </c>
      <c r="D1953" t="s">
        <v>113</v>
      </c>
      <c r="E1953">
        <v>3</v>
      </c>
      <c r="F1953">
        <v>1003</v>
      </c>
      <c r="G1953" t="s">
        <v>114</v>
      </c>
      <c r="J1953" t="s">
        <v>115</v>
      </c>
      <c r="K1953">
        <v>0</v>
      </c>
      <c r="L1953">
        <v>3</v>
      </c>
      <c r="M1953">
        <v>0</v>
      </c>
      <c r="N1953">
        <v>2</v>
      </c>
      <c r="O1953">
        <v>1</v>
      </c>
      <c r="P1953">
        <v>0</v>
      </c>
      <c r="Q1953">
        <v>0</v>
      </c>
      <c r="S1953" t="str">
        <f>"18:56:27.672"</f>
        <v>18:56:27.672</v>
      </c>
      <c r="T1953" t="str">
        <f>"18:56:26.972"</f>
        <v>18:56:26.972</v>
      </c>
      <c r="U1953" t="str">
        <f t="shared" si="193"/>
        <v>AAB6EE</v>
      </c>
      <c r="V1953">
        <v>0</v>
      </c>
      <c r="W1953">
        <v>0</v>
      </c>
      <c r="X1953">
        <v>4</v>
      </c>
      <c r="Z1953">
        <v>0</v>
      </c>
      <c r="AA1953">
        <v>8</v>
      </c>
      <c r="AB1953">
        <v>3</v>
      </c>
      <c r="AC1953">
        <v>0</v>
      </c>
      <c r="AD1953">
        <v>10</v>
      </c>
      <c r="AE1953">
        <v>0</v>
      </c>
      <c r="AF1953">
        <v>0</v>
      </c>
      <c r="AG1953">
        <v>2</v>
      </c>
      <c r="AH1953">
        <v>1</v>
      </c>
      <c r="AI1953" t="s">
        <v>1427</v>
      </c>
      <c r="AJ1953">
        <v>34.871313999999998</v>
      </c>
      <c r="AK1953" t="s">
        <v>1428</v>
      </c>
      <c r="AL1953">
        <v>-76.130275999999995</v>
      </c>
      <c r="AM1953">
        <v>25</v>
      </c>
      <c r="AN1953">
        <v>2850</v>
      </c>
      <c r="AO1953" t="s">
        <v>118</v>
      </c>
      <c r="AP1953">
        <v>-85</v>
      </c>
      <c r="AQ1953">
        <v>-120</v>
      </c>
      <c r="AR1953">
        <v>-1024</v>
      </c>
      <c r="AZ1953">
        <v>4516</v>
      </c>
      <c r="BA1953">
        <v>1</v>
      </c>
      <c r="BB1953" t="str">
        <f t="shared" si="192"/>
        <v xml:space="preserve">N79NX   </v>
      </c>
      <c r="BC1953">
        <v>1</v>
      </c>
      <c r="BE1953">
        <v>0</v>
      </c>
      <c r="BF1953">
        <v>0</v>
      </c>
      <c r="BG1953">
        <v>0</v>
      </c>
      <c r="BH1953">
        <v>2750</v>
      </c>
      <c r="BI1953">
        <v>0</v>
      </c>
      <c r="BJ1953">
        <v>0</v>
      </c>
      <c r="BK1953">
        <v>0</v>
      </c>
      <c r="BL1953">
        <v>0</v>
      </c>
      <c r="BO1953">
        <v>0</v>
      </c>
      <c r="BP1953">
        <v>0</v>
      </c>
      <c r="BW1953" t="str">
        <f>"18:56:27.675"</f>
        <v>18:56:27.675</v>
      </c>
      <c r="BZ1953">
        <v>0</v>
      </c>
      <c r="CA1953">
        <v>1792</v>
      </c>
      <c r="CB1953">
        <v>216</v>
      </c>
      <c r="CC1953">
        <v>593.4375</v>
      </c>
      <c r="CD1953">
        <v>1</v>
      </c>
      <c r="CE1953">
        <v>1</v>
      </c>
      <c r="CF1953">
        <v>0</v>
      </c>
      <c r="CG1953">
        <v>0</v>
      </c>
      <c r="CH1953">
        <v>0</v>
      </c>
      <c r="CI1953">
        <v>0</v>
      </c>
      <c r="CJ1953">
        <v>0</v>
      </c>
      <c r="CK1953">
        <v>2</v>
      </c>
      <c r="CL1953">
        <v>0</v>
      </c>
      <c r="CM1953">
        <v>2</v>
      </c>
      <c r="CN1953">
        <v>0</v>
      </c>
      <c r="CO1953">
        <v>1</v>
      </c>
      <c r="CP1953" t="s">
        <v>119</v>
      </c>
      <c r="CQ1953">
        <v>70</v>
      </c>
      <c r="CR1953">
        <v>1</v>
      </c>
      <c r="CW1953">
        <v>3701378</v>
      </c>
      <c r="CY1953">
        <v>0</v>
      </c>
      <c r="CZ1953">
        <v>0</v>
      </c>
      <c r="DA1953">
        <v>0</v>
      </c>
      <c r="DB1953">
        <v>0</v>
      </c>
      <c r="DC1953">
        <v>0</v>
      </c>
      <c r="DD1953">
        <v>0</v>
      </c>
      <c r="DE1953">
        <v>0</v>
      </c>
      <c r="DF1953">
        <v>0</v>
      </c>
      <c r="DG1953">
        <v>0</v>
      </c>
      <c r="DH1953">
        <v>0</v>
      </c>
      <c r="DI1953">
        <v>0</v>
      </c>
    </row>
    <row r="1954" spans="1:113" x14ac:dyDescent="0.3">
      <c r="A1954" t="str">
        <f>"02/13/2022 18:56:27.843"</f>
        <v>02/13/2022 18:56:27.843</v>
      </c>
      <c r="C1954" t="str">
        <f t="shared" si="191"/>
        <v>FFDFD7C0</v>
      </c>
      <c r="D1954" t="s">
        <v>113</v>
      </c>
      <c r="E1954">
        <v>4</v>
      </c>
      <c r="F1954">
        <v>1004</v>
      </c>
      <c r="G1954" t="s">
        <v>120</v>
      </c>
      <c r="J1954" t="s">
        <v>115</v>
      </c>
      <c r="K1954">
        <v>0</v>
      </c>
      <c r="L1954">
        <v>3</v>
      </c>
      <c r="M1954">
        <v>0</v>
      </c>
      <c r="N1954">
        <v>2</v>
      </c>
      <c r="O1954">
        <v>1</v>
      </c>
      <c r="P1954">
        <v>0</v>
      </c>
      <c r="Q1954">
        <v>0</v>
      </c>
      <c r="S1954" t="str">
        <f>"18:56:27.672"</f>
        <v>18:56:27.672</v>
      </c>
      <c r="T1954" t="str">
        <f>"18:56:26.972"</f>
        <v>18:56:26.972</v>
      </c>
      <c r="U1954" t="str">
        <f t="shared" si="193"/>
        <v>AAB6EE</v>
      </c>
      <c r="V1954">
        <v>0</v>
      </c>
      <c r="W1954">
        <v>0</v>
      </c>
      <c r="X1954">
        <v>4</v>
      </c>
      <c r="Z1954">
        <v>0</v>
      </c>
      <c r="AA1954">
        <v>8</v>
      </c>
      <c r="AB1954">
        <v>3</v>
      </c>
      <c r="AC1954">
        <v>0</v>
      </c>
      <c r="AD1954">
        <v>10</v>
      </c>
      <c r="AE1954">
        <v>0</v>
      </c>
      <c r="AF1954">
        <v>0</v>
      </c>
      <c r="AG1954">
        <v>2</v>
      </c>
      <c r="AH1954">
        <v>1</v>
      </c>
      <c r="AI1954" t="s">
        <v>1427</v>
      </c>
      <c r="AJ1954">
        <v>34.871313999999998</v>
      </c>
      <c r="AK1954" t="s">
        <v>1428</v>
      </c>
      <c r="AL1954">
        <v>-76.130275999999995</v>
      </c>
      <c r="AM1954">
        <v>25</v>
      </c>
      <c r="AN1954">
        <v>2850</v>
      </c>
      <c r="AO1954" t="s">
        <v>118</v>
      </c>
      <c r="AP1954">
        <v>-85</v>
      </c>
      <c r="AQ1954">
        <v>-120</v>
      </c>
      <c r="AR1954">
        <v>-1024</v>
      </c>
      <c r="AZ1954">
        <v>4516</v>
      </c>
      <c r="BA1954">
        <v>1</v>
      </c>
      <c r="BB1954" t="str">
        <f t="shared" si="192"/>
        <v xml:space="preserve">N79NX   </v>
      </c>
      <c r="BC1954">
        <v>1</v>
      </c>
      <c r="BE1954">
        <v>0</v>
      </c>
      <c r="BF1954">
        <v>0</v>
      </c>
      <c r="BG1954">
        <v>0</v>
      </c>
      <c r="BH1954">
        <v>2750</v>
      </c>
      <c r="BI1954">
        <v>0</v>
      </c>
      <c r="BJ1954">
        <v>0</v>
      </c>
      <c r="BK1954">
        <v>0</v>
      </c>
      <c r="BL1954">
        <v>0</v>
      </c>
      <c r="BO1954">
        <v>0</v>
      </c>
      <c r="BP1954">
        <v>0</v>
      </c>
      <c r="BW1954" t="str">
        <f>"18:56:27.675"</f>
        <v>18:56:27.675</v>
      </c>
      <c r="BZ1954">
        <v>0</v>
      </c>
      <c r="CA1954">
        <v>1792</v>
      </c>
      <c r="CB1954">
        <v>216</v>
      </c>
      <c r="CC1954">
        <v>593.4375</v>
      </c>
      <c r="CD1954">
        <v>1</v>
      </c>
      <c r="CE1954">
        <v>1</v>
      </c>
      <c r="CF1954">
        <v>0</v>
      </c>
      <c r="CG1954">
        <v>0</v>
      </c>
      <c r="CH1954">
        <v>0</v>
      </c>
      <c r="CI1954">
        <v>0</v>
      </c>
      <c r="CJ1954">
        <v>0</v>
      </c>
      <c r="CK1954">
        <v>2</v>
      </c>
      <c r="CL1954">
        <v>0</v>
      </c>
      <c r="CM1954">
        <v>2</v>
      </c>
      <c r="CN1954">
        <v>0</v>
      </c>
      <c r="CO1954">
        <v>1</v>
      </c>
      <c r="CP1954" t="s">
        <v>119</v>
      </c>
      <c r="CQ1954">
        <v>70</v>
      </c>
      <c r="CR1954">
        <v>1</v>
      </c>
      <c r="CW1954">
        <v>3701378</v>
      </c>
      <c r="CY1954">
        <v>0</v>
      </c>
      <c r="CZ1954">
        <v>0</v>
      </c>
      <c r="DA1954">
        <v>1</v>
      </c>
      <c r="DB1954">
        <v>0</v>
      </c>
      <c r="DC1954">
        <v>0</v>
      </c>
      <c r="DD1954">
        <v>0</v>
      </c>
      <c r="DE1954">
        <v>0</v>
      </c>
      <c r="DF1954">
        <v>0</v>
      </c>
      <c r="DG1954">
        <v>0</v>
      </c>
      <c r="DH1954">
        <v>0</v>
      </c>
      <c r="DI1954">
        <v>0</v>
      </c>
    </row>
    <row r="1955" spans="1:113" x14ac:dyDescent="0.3">
      <c r="A1955" t="str">
        <f>"02/13/2022 18:56:27.890"</f>
        <v>02/13/2022 18:56:27.890</v>
      </c>
      <c r="C1955" t="str">
        <f t="shared" si="191"/>
        <v>FFDFD7C0</v>
      </c>
      <c r="D1955" t="s">
        <v>121</v>
      </c>
      <c r="E1955">
        <v>2</v>
      </c>
      <c r="H1955">
        <v>158</v>
      </c>
      <c r="I1955" t="s">
        <v>120</v>
      </c>
      <c r="J1955" t="s">
        <v>122</v>
      </c>
      <c r="K1955">
        <v>0</v>
      </c>
      <c r="L1955">
        <v>3</v>
      </c>
      <c r="M1955">
        <v>0</v>
      </c>
      <c r="N1955">
        <v>2</v>
      </c>
      <c r="O1955">
        <v>1</v>
      </c>
      <c r="P1955">
        <v>0</v>
      </c>
      <c r="Q1955">
        <v>0</v>
      </c>
      <c r="S1955" t="str">
        <f>"18:56:27.672"</f>
        <v>18:56:27.672</v>
      </c>
      <c r="T1955" t="str">
        <f>"18:56:26.972"</f>
        <v>18:56:26.972</v>
      </c>
      <c r="U1955" t="str">
        <f t="shared" si="193"/>
        <v>AAB6EE</v>
      </c>
      <c r="V1955">
        <v>0</v>
      </c>
      <c r="W1955">
        <v>0</v>
      </c>
      <c r="X1955">
        <v>4</v>
      </c>
      <c r="Z1955">
        <v>0</v>
      </c>
      <c r="AA1955">
        <v>8</v>
      </c>
      <c r="AB1955">
        <v>3</v>
      </c>
      <c r="AC1955">
        <v>0</v>
      </c>
      <c r="AD1955">
        <v>10</v>
      </c>
      <c r="AE1955">
        <v>0</v>
      </c>
      <c r="AF1955">
        <v>0</v>
      </c>
      <c r="AG1955">
        <v>2</v>
      </c>
      <c r="AH1955">
        <v>1</v>
      </c>
      <c r="AI1955" t="s">
        <v>1427</v>
      </c>
      <c r="AJ1955">
        <v>34.871313999999998</v>
      </c>
      <c r="AK1955" t="s">
        <v>1428</v>
      </c>
      <c r="AL1955">
        <v>-76.130275999999995</v>
      </c>
      <c r="AM1955">
        <v>25</v>
      </c>
      <c r="AN1955">
        <v>2850</v>
      </c>
      <c r="AO1955" t="s">
        <v>118</v>
      </c>
      <c r="AP1955">
        <v>-85</v>
      </c>
      <c r="AQ1955">
        <v>-120</v>
      </c>
      <c r="AR1955">
        <v>-1024</v>
      </c>
      <c r="AZ1955">
        <v>4516</v>
      </c>
      <c r="BA1955">
        <v>1</v>
      </c>
      <c r="BB1955" t="str">
        <f t="shared" si="192"/>
        <v xml:space="preserve">N79NX   </v>
      </c>
      <c r="BC1955">
        <v>1</v>
      </c>
      <c r="BE1955">
        <v>0</v>
      </c>
      <c r="BF1955">
        <v>0</v>
      </c>
      <c r="BG1955">
        <v>0</v>
      </c>
      <c r="BH1955">
        <v>2750</v>
      </c>
      <c r="BI1955">
        <v>0</v>
      </c>
      <c r="BJ1955">
        <v>0</v>
      </c>
      <c r="BK1955">
        <v>0</v>
      </c>
      <c r="BL1955">
        <v>0</v>
      </c>
      <c r="BO1955">
        <v>0</v>
      </c>
      <c r="BP1955">
        <v>0</v>
      </c>
      <c r="BW1955" t="str">
        <f>"18:56:27.675"</f>
        <v>18:56:27.675</v>
      </c>
      <c r="BZ1955">
        <v>0</v>
      </c>
      <c r="CA1955">
        <v>1792</v>
      </c>
      <c r="CB1955">
        <v>216</v>
      </c>
      <c r="CC1955">
        <v>593.4375</v>
      </c>
      <c r="CD1955">
        <v>1</v>
      </c>
      <c r="CE1955">
        <v>1</v>
      </c>
      <c r="CF1955">
        <v>0</v>
      </c>
      <c r="CG1955">
        <v>0</v>
      </c>
      <c r="CH1955">
        <v>0</v>
      </c>
      <c r="CI1955">
        <v>0</v>
      </c>
      <c r="CJ1955">
        <v>0</v>
      </c>
      <c r="CK1955">
        <v>2</v>
      </c>
      <c r="CL1955">
        <v>0</v>
      </c>
      <c r="CM1955">
        <v>2</v>
      </c>
      <c r="CN1955">
        <v>0</v>
      </c>
      <c r="CO1955">
        <v>1</v>
      </c>
      <c r="CP1955" t="s">
        <v>119</v>
      </c>
      <c r="CQ1955">
        <v>70</v>
      </c>
      <c r="CR1955">
        <v>1</v>
      </c>
      <c r="CW1955">
        <v>3701378</v>
      </c>
      <c r="CY1955">
        <v>0</v>
      </c>
      <c r="CZ1955">
        <v>0</v>
      </c>
      <c r="DA1955">
        <v>1</v>
      </c>
      <c r="DB1955">
        <v>0</v>
      </c>
      <c r="DC1955">
        <v>0</v>
      </c>
      <c r="DD1955">
        <v>0</v>
      </c>
      <c r="DE1955">
        <v>0</v>
      </c>
      <c r="DF1955">
        <v>0</v>
      </c>
      <c r="DG1955">
        <v>0</v>
      </c>
      <c r="DH1955">
        <v>0</v>
      </c>
      <c r="DI1955">
        <v>0</v>
      </c>
    </row>
    <row r="1956" spans="1:113" x14ac:dyDescent="0.3">
      <c r="A1956" t="str">
        <f>"02/13/2022 18:56:29.000"</f>
        <v>02/13/2022 18:56:29.000</v>
      </c>
      <c r="C1956" t="str">
        <f t="shared" si="191"/>
        <v>FFDFD7C0</v>
      </c>
      <c r="D1956" t="s">
        <v>113</v>
      </c>
      <c r="E1956">
        <v>3</v>
      </c>
      <c r="F1956">
        <v>1003</v>
      </c>
      <c r="G1956" t="s">
        <v>114</v>
      </c>
      <c r="J1956" t="s">
        <v>115</v>
      </c>
      <c r="K1956">
        <v>0</v>
      </c>
      <c r="L1956">
        <v>3</v>
      </c>
      <c r="M1956">
        <v>0</v>
      </c>
      <c r="N1956">
        <v>2</v>
      </c>
      <c r="O1956">
        <v>1</v>
      </c>
      <c r="P1956">
        <v>0</v>
      </c>
      <c r="Q1956">
        <v>0</v>
      </c>
      <c r="S1956" t="str">
        <f>"18:56:28.750"</f>
        <v>18:56:28.750</v>
      </c>
      <c r="T1956" t="str">
        <f>"18:56:28.350"</f>
        <v>18:56:28.350</v>
      </c>
      <c r="U1956" t="str">
        <f t="shared" si="193"/>
        <v>AAB6EE</v>
      </c>
      <c r="V1956">
        <v>0</v>
      </c>
      <c r="W1956">
        <v>0</v>
      </c>
      <c r="X1956">
        <v>4</v>
      </c>
      <c r="Z1956">
        <v>0</v>
      </c>
      <c r="AA1956">
        <v>8</v>
      </c>
      <c r="AB1956">
        <v>3</v>
      </c>
      <c r="AC1956">
        <v>0</v>
      </c>
      <c r="AD1956">
        <v>10</v>
      </c>
      <c r="AE1956">
        <v>0</v>
      </c>
      <c r="AF1956">
        <v>0</v>
      </c>
      <c r="AG1956">
        <v>2</v>
      </c>
      <c r="AH1956">
        <v>1</v>
      </c>
      <c r="AI1956" t="s">
        <v>1429</v>
      </c>
      <c r="AJ1956">
        <v>34.870691000000001</v>
      </c>
      <c r="AK1956" t="s">
        <v>1430</v>
      </c>
      <c r="AL1956">
        <v>-76.130769000000001</v>
      </c>
      <c r="AM1956">
        <v>25</v>
      </c>
      <c r="AN1956">
        <v>2825</v>
      </c>
      <c r="AO1956" t="s">
        <v>118</v>
      </c>
      <c r="AP1956">
        <v>-86</v>
      </c>
      <c r="AQ1956">
        <v>-121</v>
      </c>
      <c r="AR1956">
        <v>-1152</v>
      </c>
      <c r="AZ1956">
        <v>4516</v>
      </c>
      <c r="BA1956">
        <v>1</v>
      </c>
      <c r="BB1956" t="str">
        <f t="shared" si="192"/>
        <v xml:space="preserve">N79NX   </v>
      </c>
      <c r="BC1956">
        <v>1</v>
      </c>
      <c r="BE1956">
        <v>0</v>
      </c>
      <c r="BF1956">
        <v>0</v>
      </c>
      <c r="BG1956">
        <v>0</v>
      </c>
      <c r="BH1956">
        <v>2725</v>
      </c>
      <c r="BI1956">
        <v>0</v>
      </c>
      <c r="BJ1956">
        <v>0</v>
      </c>
      <c r="BK1956">
        <v>0</v>
      </c>
      <c r="BL1956">
        <v>0</v>
      </c>
      <c r="BO1956">
        <v>0</v>
      </c>
      <c r="BP1956">
        <v>0</v>
      </c>
      <c r="BW1956" t="str">
        <f>"18:56:28.755"</f>
        <v>18:56:28.755</v>
      </c>
      <c r="BZ1956">
        <v>0</v>
      </c>
      <c r="CA1956">
        <v>1792</v>
      </c>
      <c r="CB1956">
        <v>216</v>
      </c>
      <c r="CC1956">
        <v>593.4375</v>
      </c>
      <c r="CD1956">
        <v>1</v>
      </c>
      <c r="CE1956">
        <v>1</v>
      </c>
      <c r="CF1956">
        <v>0</v>
      </c>
      <c r="CG1956">
        <v>0</v>
      </c>
      <c r="CH1956">
        <v>0</v>
      </c>
      <c r="CI1956">
        <v>0</v>
      </c>
      <c r="CJ1956">
        <v>0</v>
      </c>
      <c r="CK1956">
        <v>2</v>
      </c>
      <c r="CL1956">
        <v>0</v>
      </c>
      <c r="CM1956">
        <v>2</v>
      </c>
      <c r="CN1956">
        <v>0</v>
      </c>
      <c r="CO1956">
        <v>1</v>
      </c>
      <c r="CP1956" t="s">
        <v>119</v>
      </c>
      <c r="CQ1956">
        <v>70</v>
      </c>
      <c r="CR1956">
        <v>1</v>
      </c>
      <c r="CW1956">
        <v>3702226</v>
      </c>
      <c r="CY1956">
        <v>0</v>
      </c>
      <c r="CZ1956">
        <v>0</v>
      </c>
      <c r="DA1956">
        <v>0</v>
      </c>
      <c r="DB1956">
        <v>0</v>
      </c>
      <c r="DC1956">
        <v>0</v>
      </c>
      <c r="DD1956">
        <v>0</v>
      </c>
      <c r="DE1956">
        <v>0</v>
      </c>
      <c r="DF1956">
        <v>0</v>
      </c>
      <c r="DG1956">
        <v>0</v>
      </c>
      <c r="DH1956">
        <v>0</v>
      </c>
      <c r="DI1956">
        <v>0</v>
      </c>
    </row>
    <row r="1957" spans="1:113" x14ac:dyDescent="0.3">
      <c r="A1957" t="str">
        <f>"02/13/2022 18:56:29.000"</f>
        <v>02/13/2022 18:56:29.000</v>
      </c>
      <c r="C1957" t="str">
        <f t="shared" si="191"/>
        <v>FFDFD7C0</v>
      </c>
      <c r="D1957" t="s">
        <v>113</v>
      </c>
      <c r="E1957">
        <v>4</v>
      </c>
      <c r="F1957">
        <v>1004</v>
      </c>
      <c r="G1957" t="s">
        <v>120</v>
      </c>
      <c r="J1957" t="s">
        <v>115</v>
      </c>
      <c r="K1957">
        <v>0</v>
      </c>
      <c r="L1957">
        <v>3</v>
      </c>
      <c r="M1957">
        <v>0</v>
      </c>
      <c r="N1957">
        <v>2</v>
      </c>
      <c r="O1957">
        <v>1</v>
      </c>
      <c r="P1957">
        <v>0</v>
      </c>
      <c r="Q1957">
        <v>0</v>
      </c>
      <c r="S1957" t="str">
        <f>"18:56:28.750"</f>
        <v>18:56:28.750</v>
      </c>
      <c r="T1957" t="str">
        <f>"18:56:28.350"</f>
        <v>18:56:28.350</v>
      </c>
      <c r="U1957" t="str">
        <f t="shared" si="193"/>
        <v>AAB6EE</v>
      </c>
      <c r="V1957">
        <v>0</v>
      </c>
      <c r="W1957">
        <v>0</v>
      </c>
      <c r="X1957">
        <v>4</v>
      </c>
      <c r="Z1957">
        <v>0</v>
      </c>
      <c r="AA1957">
        <v>8</v>
      </c>
      <c r="AB1957">
        <v>3</v>
      </c>
      <c r="AC1957">
        <v>0</v>
      </c>
      <c r="AD1957">
        <v>10</v>
      </c>
      <c r="AE1957">
        <v>0</v>
      </c>
      <c r="AF1957">
        <v>0</v>
      </c>
      <c r="AG1957">
        <v>2</v>
      </c>
      <c r="AH1957">
        <v>1</v>
      </c>
      <c r="AI1957" t="s">
        <v>1429</v>
      </c>
      <c r="AJ1957">
        <v>34.870691000000001</v>
      </c>
      <c r="AK1957" t="s">
        <v>1430</v>
      </c>
      <c r="AL1957">
        <v>-76.130769000000001</v>
      </c>
      <c r="AM1957">
        <v>25</v>
      </c>
      <c r="AN1957">
        <v>2825</v>
      </c>
      <c r="AO1957" t="s">
        <v>118</v>
      </c>
      <c r="AP1957">
        <v>-86</v>
      </c>
      <c r="AQ1957">
        <v>-121</v>
      </c>
      <c r="AR1957">
        <v>-1152</v>
      </c>
      <c r="AZ1957">
        <v>4516</v>
      </c>
      <c r="BA1957">
        <v>1</v>
      </c>
      <c r="BB1957" t="str">
        <f t="shared" si="192"/>
        <v xml:space="preserve">N79NX   </v>
      </c>
      <c r="BC1957">
        <v>1</v>
      </c>
      <c r="BE1957">
        <v>0</v>
      </c>
      <c r="BF1957">
        <v>0</v>
      </c>
      <c r="BG1957">
        <v>0</v>
      </c>
      <c r="BH1957">
        <v>2725</v>
      </c>
      <c r="BI1957">
        <v>0</v>
      </c>
      <c r="BJ1957">
        <v>0</v>
      </c>
      <c r="BK1957">
        <v>0</v>
      </c>
      <c r="BL1957">
        <v>0</v>
      </c>
      <c r="BO1957">
        <v>0</v>
      </c>
      <c r="BP1957">
        <v>0</v>
      </c>
      <c r="BW1957" t="str">
        <f>"18:56:28.755"</f>
        <v>18:56:28.755</v>
      </c>
      <c r="BZ1957">
        <v>0</v>
      </c>
      <c r="CA1957">
        <v>1792</v>
      </c>
      <c r="CB1957">
        <v>216</v>
      </c>
      <c r="CC1957">
        <v>593.4375</v>
      </c>
      <c r="CD1957">
        <v>1</v>
      </c>
      <c r="CE1957">
        <v>1</v>
      </c>
      <c r="CF1957">
        <v>0</v>
      </c>
      <c r="CG1957">
        <v>0</v>
      </c>
      <c r="CH1957">
        <v>0</v>
      </c>
      <c r="CI1957">
        <v>0</v>
      </c>
      <c r="CJ1957">
        <v>0</v>
      </c>
      <c r="CK1957">
        <v>2</v>
      </c>
      <c r="CL1957">
        <v>0</v>
      </c>
      <c r="CM1957">
        <v>2</v>
      </c>
      <c r="CN1957">
        <v>0</v>
      </c>
      <c r="CO1957">
        <v>1</v>
      </c>
      <c r="CP1957" t="s">
        <v>119</v>
      </c>
      <c r="CQ1957">
        <v>70</v>
      </c>
      <c r="CR1957">
        <v>1</v>
      </c>
      <c r="CW1957">
        <v>3702226</v>
      </c>
      <c r="CY1957">
        <v>0</v>
      </c>
      <c r="CZ1957">
        <v>0</v>
      </c>
      <c r="DA1957">
        <v>1</v>
      </c>
      <c r="DB1957">
        <v>0</v>
      </c>
      <c r="DC1957">
        <v>0</v>
      </c>
      <c r="DD1957">
        <v>0</v>
      </c>
      <c r="DE1957">
        <v>0</v>
      </c>
      <c r="DF1957">
        <v>0</v>
      </c>
      <c r="DG1957">
        <v>0</v>
      </c>
      <c r="DH1957">
        <v>0</v>
      </c>
      <c r="DI1957">
        <v>0</v>
      </c>
    </row>
    <row r="1958" spans="1:113" x14ac:dyDescent="0.3">
      <c r="A1958" t="str">
        <f>"02/13/2022 18:56:29.047"</f>
        <v>02/13/2022 18:56:29.047</v>
      </c>
      <c r="C1958" t="str">
        <f t="shared" si="191"/>
        <v>FFDFD7C0</v>
      </c>
      <c r="D1958" t="s">
        <v>121</v>
      </c>
      <c r="E1958">
        <v>2</v>
      </c>
      <c r="H1958">
        <v>158</v>
      </c>
      <c r="I1958" t="s">
        <v>120</v>
      </c>
      <c r="J1958" t="s">
        <v>122</v>
      </c>
      <c r="K1958">
        <v>0</v>
      </c>
      <c r="L1958">
        <v>3</v>
      </c>
      <c r="M1958">
        <v>0</v>
      </c>
      <c r="N1958">
        <v>2</v>
      </c>
      <c r="O1958">
        <v>1</v>
      </c>
      <c r="P1958">
        <v>0</v>
      </c>
      <c r="Q1958">
        <v>0</v>
      </c>
      <c r="S1958" t="str">
        <f>"18:56:28.750"</f>
        <v>18:56:28.750</v>
      </c>
      <c r="T1958" t="str">
        <f>"18:56:28.350"</f>
        <v>18:56:28.350</v>
      </c>
      <c r="U1958" t="str">
        <f t="shared" si="193"/>
        <v>AAB6EE</v>
      </c>
      <c r="V1958">
        <v>0</v>
      </c>
      <c r="W1958">
        <v>0</v>
      </c>
      <c r="X1958">
        <v>4</v>
      </c>
      <c r="Z1958">
        <v>0</v>
      </c>
      <c r="AA1958">
        <v>8</v>
      </c>
      <c r="AB1958">
        <v>3</v>
      </c>
      <c r="AC1958">
        <v>0</v>
      </c>
      <c r="AD1958">
        <v>10</v>
      </c>
      <c r="AE1958">
        <v>0</v>
      </c>
      <c r="AF1958">
        <v>0</v>
      </c>
      <c r="AG1958">
        <v>2</v>
      </c>
      <c r="AH1958">
        <v>1</v>
      </c>
      <c r="AI1958" t="s">
        <v>1429</v>
      </c>
      <c r="AJ1958">
        <v>34.870691000000001</v>
      </c>
      <c r="AK1958" t="s">
        <v>1430</v>
      </c>
      <c r="AL1958">
        <v>-76.130769000000001</v>
      </c>
      <c r="AM1958">
        <v>25</v>
      </c>
      <c r="AN1958">
        <v>2825</v>
      </c>
      <c r="AO1958" t="s">
        <v>118</v>
      </c>
      <c r="AP1958">
        <v>-86</v>
      </c>
      <c r="AQ1958">
        <v>-121</v>
      </c>
      <c r="AR1958">
        <v>-1152</v>
      </c>
      <c r="AZ1958">
        <v>4516</v>
      </c>
      <c r="BA1958">
        <v>1</v>
      </c>
      <c r="BB1958" t="str">
        <f t="shared" si="192"/>
        <v xml:space="preserve">N79NX   </v>
      </c>
      <c r="BC1958">
        <v>1</v>
      </c>
      <c r="BE1958">
        <v>0</v>
      </c>
      <c r="BF1958">
        <v>0</v>
      </c>
      <c r="BG1958">
        <v>0</v>
      </c>
      <c r="BH1958">
        <v>2725</v>
      </c>
      <c r="BI1958">
        <v>0</v>
      </c>
      <c r="BJ1958">
        <v>0</v>
      </c>
      <c r="BK1958">
        <v>0</v>
      </c>
      <c r="BL1958">
        <v>0</v>
      </c>
      <c r="BO1958">
        <v>0</v>
      </c>
      <c r="BP1958">
        <v>0</v>
      </c>
      <c r="BW1958" t="str">
        <f>"18:56:28.755"</f>
        <v>18:56:28.755</v>
      </c>
      <c r="BZ1958">
        <v>0</v>
      </c>
      <c r="CA1958">
        <v>1792</v>
      </c>
      <c r="CB1958">
        <v>216</v>
      </c>
      <c r="CC1958">
        <v>593.4375</v>
      </c>
      <c r="CD1958">
        <v>1</v>
      </c>
      <c r="CE1958">
        <v>1</v>
      </c>
      <c r="CF1958">
        <v>0</v>
      </c>
      <c r="CG1958">
        <v>0</v>
      </c>
      <c r="CH1958">
        <v>0</v>
      </c>
      <c r="CI1958">
        <v>0</v>
      </c>
      <c r="CJ1958">
        <v>0</v>
      </c>
      <c r="CK1958">
        <v>2</v>
      </c>
      <c r="CL1958">
        <v>0</v>
      </c>
      <c r="CM1958">
        <v>2</v>
      </c>
      <c r="CN1958">
        <v>0</v>
      </c>
      <c r="CO1958">
        <v>1</v>
      </c>
      <c r="CP1958" t="s">
        <v>119</v>
      </c>
      <c r="CQ1958">
        <v>70</v>
      </c>
      <c r="CR1958">
        <v>1</v>
      </c>
      <c r="CW1958">
        <v>3702226</v>
      </c>
      <c r="CY1958">
        <v>0</v>
      </c>
      <c r="CZ1958">
        <v>0</v>
      </c>
      <c r="DA1958">
        <v>1</v>
      </c>
      <c r="DB1958">
        <v>0</v>
      </c>
      <c r="DC1958">
        <v>0</v>
      </c>
      <c r="DD1958">
        <v>0</v>
      </c>
      <c r="DE1958">
        <v>0</v>
      </c>
      <c r="DF1958">
        <v>0</v>
      </c>
      <c r="DG1958">
        <v>0</v>
      </c>
      <c r="DH1958">
        <v>0</v>
      </c>
      <c r="DI1958">
        <v>0</v>
      </c>
    </row>
    <row r="1959" spans="1:113" x14ac:dyDescent="0.3">
      <c r="A1959" t="str">
        <f>"02/13/2022 18:56:30.065"</f>
        <v>02/13/2022 18:56:30.065</v>
      </c>
      <c r="C1959" t="str">
        <f t="shared" si="191"/>
        <v>FFDFD7C0</v>
      </c>
      <c r="D1959" t="s">
        <v>113</v>
      </c>
      <c r="E1959">
        <v>3</v>
      </c>
      <c r="F1959">
        <v>1003</v>
      </c>
      <c r="G1959" t="s">
        <v>114</v>
      </c>
      <c r="J1959" t="s">
        <v>115</v>
      </c>
      <c r="K1959">
        <v>0</v>
      </c>
      <c r="L1959">
        <v>3</v>
      </c>
      <c r="M1959">
        <v>0</v>
      </c>
      <c r="N1959">
        <v>2</v>
      </c>
      <c r="O1959">
        <v>1</v>
      </c>
      <c r="P1959">
        <v>0</v>
      </c>
      <c r="Q1959">
        <v>0</v>
      </c>
      <c r="S1959" t="str">
        <f>"18:56:29.867"</f>
        <v>18:56:29.867</v>
      </c>
      <c r="T1959" t="str">
        <f>"18:56:29.667"</f>
        <v>18:56:29.667</v>
      </c>
      <c r="U1959" t="str">
        <f t="shared" si="193"/>
        <v>AAB6EE</v>
      </c>
      <c r="V1959">
        <v>0</v>
      </c>
      <c r="W1959">
        <v>0</v>
      </c>
      <c r="X1959">
        <v>4</v>
      </c>
      <c r="Z1959">
        <v>0</v>
      </c>
      <c r="AA1959">
        <v>8</v>
      </c>
      <c r="AB1959">
        <v>3</v>
      </c>
      <c r="AC1959">
        <v>0</v>
      </c>
      <c r="AD1959">
        <v>10</v>
      </c>
      <c r="AE1959">
        <v>0</v>
      </c>
      <c r="AF1959">
        <v>0</v>
      </c>
      <c r="AG1959">
        <v>2</v>
      </c>
      <c r="AH1959">
        <v>1</v>
      </c>
      <c r="AI1959" t="s">
        <v>1431</v>
      </c>
      <c r="AJ1959">
        <v>34.870047999999997</v>
      </c>
      <c r="AK1959" t="s">
        <v>1432</v>
      </c>
      <c r="AL1959">
        <v>-76.131305999999995</v>
      </c>
      <c r="AM1959">
        <v>25</v>
      </c>
      <c r="AN1959">
        <v>2800</v>
      </c>
      <c r="AO1959" t="s">
        <v>118</v>
      </c>
      <c r="AP1959">
        <v>-87</v>
      </c>
      <c r="AQ1959">
        <v>-122</v>
      </c>
      <c r="AR1959">
        <v>-1152</v>
      </c>
      <c r="AZ1959">
        <v>4516</v>
      </c>
      <c r="BA1959">
        <v>1</v>
      </c>
      <c r="BB1959" t="str">
        <f t="shared" si="192"/>
        <v xml:space="preserve">N79NX   </v>
      </c>
      <c r="BC1959">
        <v>1</v>
      </c>
      <c r="BE1959">
        <v>0</v>
      </c>
      <c r="BF1959">
        <v>0</v>
      </c>
      <c r="BG1959">
        <v>0</v>
      </c>
      <c r="BH1959">
        <v>2700</v>
      </c>
      <c r="BI1959">
        <v>0</v>
      </c>
      <c r="BJ1959">
        <v>0</v>
      </c>
      <c r="BK1959">
        <v>0</v>
      </c>
      <c r="BL1959">
        <v>0</v>
      </c>
      <c r="BO1959">
        <v>0</v>
      </c>
      <c r="BP1959">
        <v>0</v>
      </c>
      <c r="BW1959" t="str">
        <f>"18:56:29.875"</f>
        <v>18:56:29.875</v>
      </c>
      <c r="BZ1959">
        <v>0</v>
      </c>
      <c r="CA1959">
        <v>1792</v>
      </c>
      <c r="CB1959">
        <v>216</v>
      </c>
      <c r="CC1959">
        <v>593.4375</v>
      </c>
      <c r="CD1959">
        <v>1</v>
      </c>
      <c r="CE1959">
        <v>1</v>
      </c>
      <c r="CF1959">
        <v>0</v>
      </c>
      <c r="CG1959">
        <v>0</v>
      </c>
      <c r="CH1959">
        <v>0</v>
      </c>
      <c r="CI1959">
        <v>0</v>
      </c>
      <c r="CJ1959">
        <v>0</v>
      </c>
      <c r="CK1959">
        <v>2</v>
      </c>
      <c r="CL1959">
        <v>0</v>
      </c>
      <c r="CM1959">
        <v>2</v>
      </c>
      <c r="CN1959">
        <v>0</v>
      </c>
      <c r="CO1959">
        <v>1</v>
      </c>
      <c r="CP1959" t="s">
        <v>119</v>
      </c>
      <c r="CQ1959">
        <v>70</v>
      </c>
      <c r="CR1959">
        <v>1</v>
      </c>
      <c r="CW1959">
        <v>3703090</v>
      </c>
      <c r="CY1959">
        <v>0</v>
      </c>
      <c r="CZ1959">
        <v>0</v>
      </c>
      <c r="DA1959">
        <v>0</v>
      </c>
      <c r="DB1959">
        <v>0</v>
      </c>
      <c r="DC1959">
        <v>0</v>
      </c>
      <c r="DD1959">
        <v>0</v>
      </c>
      <c r="DE1959">
        <v>0</v>
      </c>
      <c r="DF1959">
        <v>0</v>
      </c>
      <c r="DG1959">
        <v>0</v>
      </c>
      <c r="DH1959">
        <v>0</v>
      </c>
      <c r="DI1959">
        <v>0</v>
      </c>
    </row>
    <row r="1960" spans="1:113" x14ac:dyDescent="0.3">
      <c r="A1960" t="str">
        <f>"02/13/2022 18:56:30.065"</f>
        <v>02/13/2022 18:56:30.065</v>
      </c>
      <c r="C1960" t="str">
        <f t="shared" si="191"/>
        <v>FFDFD7C0</v>
      </c>
      <c r="D1960" t="s">
        <v>113</v>
      </c>
      <c r="E1960">
        <v>4</v>
      </c>
      <c r="F1960">
        <v>1004</v>
      </c>
      <c r="G1960" t="s">
        <v>120</v>
      </c>
      <c r="J1960" t="s">
        <v>115</v>
      </c>
      <c r="K1960">
        <v>0</v>
      </c>
      <c r="L1960">
        <v>3</v>
      </c>
      <c r="M1960">
        <v>0</v>
      </c>
      <c r="N1960">
        <v>2</v>
      </c>
      <c r="O1960">
        <v>1</v>
      </c>
      <c r="P1960">
        <v>0</v>
      </c>
      <c r="Q1960">
        <v>0</v>
      </c>
      <c r="S1960" t="str">
        <f>"18:56:29.867"</f>
        <v>18:56:29.867</v>
      </c>
      <c r="T1960" t="str">
        <f>"18:56:29.667"</f>
        <v>18:56:29.667</v>
      </c>
      <c r="U1960" t="str">
        <f t="shared" si="193"/>
        <v>AAB6EE</v>
      </c>
      <c r="V1960">
        <v>0</v>
      </c>
      <c r="W1960">
        <v>0</v>
      </c>
      <c r="X1960">
        <v>4</v>
      </c>
      <c r="Z1960">
        <v>0</v>
      </c>
      <c r="AA1960">
        <v>8</v>
      </c>
      <c r="AB1960">
        <v>3</v>
      </c>
      <c r="AC1960">
        <v>0</v>
      </c>
      <c r="AD1960">
        <v>10</v>
      </c>
      <c r="AE1960">
        <v>0</v>
      </c>
      <c r="AF1960">
        <v>0</v>
      </c>
      <c r="AG1960">
        <v>2</v>
      </c>
      <c r="AH1960">
        <v>1</v>
      </c>
      <c r="AI1960" t="s">
        <v>1431</v>
      </c>
      <c r="AJ1960">
        <v>34.870047999999997</v>
      </c>
      <c r="AK1960" t="s">
        <v>1432</v>
      </c>
      <c r="AL1960">
        <v>-76.131305999999995</v>
      </c>
      <c r="AM1960">
        <v>25</v>
      </c>
      <c r="AN1960">
        <v>2800</v>
      </c>
      <c r="AO1960" t="s">
        <v>118</v>
      </c>
      <c r="AP1960">
        <v>-87</v>
      </c>
      <c r="AQ1960">
        <v>-122</v>
      </c>
      <c r="AR1960">
        <v>-1152</v>
      </c>
      <c r="AZ1960">
        <v>4516</v>
      </c>
      <c r="BA1960">
        <v>1</v>
      </c>
      <c r="BB1960" t="str">
        <f t="shared" si="192"/>
        <v xml:space="preserve">N79NX   </v>
      </c>
      <c r="BC1960">
        <v>1</v>
      </c>
      <c r="BE1960">
        <v>0</v>
      </c>
      <c r="BF1960">
        <v>0</v>
      </c>
      <c r="BG1960">
        <v>0</v>
      </c>
      <c r="BH1960">
        <v>2700</v>
      </c>
      <c r="BI1960">
        <v>0</v>
      </c>
      <c r="BJ1960">
        <v>0</v>
      </c>
      <c r="BK1960">
        <v>0</v>
      </c>
      <c r="BL1960">
        <v>0</v>
      </c>
      <c r="BO1960">
        <v>0</v>
      </c>
      <c r="BP1960">
        <v>0</v>
      </c>
      <c r="BW1960" t="str">
        <f>"18:56:29.875"</f>
        <v>18:56:29.875</v>
      </c>
      <c r="BZ1960">
        <v>0</v>
      </c>
      <c r="CA1960">
        <v>1792</v>
      </c>
      <c r="CB1960">
        <v>216</v>
      </c>
      <c r="CC1960">
        <v>593.4375</v>
      </c>
      <c r="CD1960">
        <v>1</v>
      </c>
      <c r="CE1960">
        <v>1</v>
      </c>
      <c r="CF1960">
        <v>0</v>
      </c>
      <c r="CG1960">
        <v>0</v>
      </c>
      <c r="CH1960">
        <v>0</v>
      </c>
      <c r="CI1960">
        <v>0</v>
      </c>
      <c r="CJ1960">
        <v>0</v>
      </c>
      <c r="CK1960">
        <v>2</v>
      </c>
      <c r="CL1960">
        <v>0</v>
      </c>
      <c r="CM1960">
        <v>2</v>
      </c>
      <c r="CN1960">
        <v>0</v>
      </c>
      <c r="CO1960">
        <v>1</v>
      </c>
      <c r="CP1960" t="s">
        <v>119</v>
      </c>
      <c r="CQ1960">
        <v>70</v>
      </c>
      <c r="CR1960">
        <v>1</v>
      </c>
      <c r="CW1960">
        <v>3703090</v>
      </c>
      <c r="CY1960">
        <v>0</v>
      </c>
      <c r="CZ1960">
        <v>0</v>
      </c>
      <c r="DA1960">
        <v>1</v>
      </c>
      <c r="DB1960">
        <v>0</v>
      </c>
      <c r="DC1960">
        <v>0</v>
      </c>
      <c r="DD1960">
        <v>0</v>
      </c>
      <c r="DE1960">
        <v>0</v>
      </c>
      <c r="DF1960">
        <v>0</v>
      </c>
      <c r="DG1960">
        <v>0</v>
      </c>
      <c r="DH1960">
        <v>0</v>
      </c>
      <c r="DI1960">
        <v>0</v>
      </c>
    </row>
    <row r="1961" spans="1:113" x14ac:dyDescent="0.3">
      <c r="A1961" t="str">
        <f>"02/13/2022 18:56:30.096"</f>
        <v>02/13/2022 18:56:30.096</v>
      </c>
      <c r="C1961" t="str">
        <f t="shared" si="191"/>
        <v>FFDFD7C0</v>
      </c>
      <c r="D1961" t="s">
        <v>121</v>
      </c>
      <c r="E1961">
        <v>2</v>
      </c>
      <c r="H1961">
        <v>158</v>
      </c>
      <c r="I1961" t="s">
        <v>120</v>
      </c>
      <c r="J1961" t="s">
        <v>122</v>
      </c>
      <c r="K1961">
        <v>0</v>
      </c>
      <c r="L1961">
        <v>3</v>
      </c>
      <c r="M1961">
        <v>0</v>
      </c>
      <c r="N1961">
        <v>2</v>
      </c>
      <c r="O1961">
        <v>1</v>
      </c>
      <c r="P1961">
        <v>0</v>
      </c>
      <c r="Q1961">
        <v>0</v>
      </c>
      <c r="S1961" t="str">
        <f>"18:56:29.867"</f>
        <v>18:56:29.867</v>
      </c>
      <c r="T1961" t="str">
        <f>"18:56:29.667"</f>
        <v>18:56:29.667</v>
      </c>
      <c r="U1961" t="str">
        <f t="shared" si="193"/>
        <v>AAB6EE</v>
      </c>
      <c r="V1961">
        <v>0</v>
      </c>
      <c r="W1961">
        <v>0</v>
      </c>
      <c r="X1961">
        <v>4</v>
      </c>
      <c r="Z1961">
        <v>0</v>
      </c>
      <c r="AA1961">
        <v>8</v>
      </c>
      <c r="AB1961">
        <v>3</v>
      </c>
      <c r="AC1961">
        <v>0</v>
      </c>
      <c r="AD1961">
        <v>10</v>
      </c>
      <c r="AE1961">
        <v>0</v>
      </c>
      <c r="AF1961">
        <v>0</v>
      </c>
      <c r="AG1961">
        <v>2</v>
      </c>
      <c r="AH1961">
        <v>1</v>
      </c>
      <c r="AI1961" t="s">
        <v>1431</v>
      </c>
      <c r="AJ1961">
        <v>34.870047999999997</v>
      </c>
      <c r="AK1961" t="s">
        <v>1432</v>
      </c>
      <c r="AL1961">
        <v>-76.131305999999995</v>
      </c>
      <c r="AM1961">
        <v>25</v>
      </c>
      <c r="AN1961">
        <v>2800</v>
      </c>
      <c r="AO1961" t="s">
        <v>118</v>
      </c>
      <c r="AP1961">
        <v>-87</v>
      </c>
      <c r="AQ1961">
        <v>-122</v>
      </c>
      <c r="AR1961">
        <v>-1152</v>
      </c>
      <c r="AZ1961">
        <v>4516</v>
      </c>
      <c r="BA1961">
        <v>1</v>
      </c>
      <c r="BB1961" t="str">
        <f t="shared" si="192"/>
        <v xml:space="preserve">N79NX   </v>
      </c>
      <c r="BC1961">
        <v>1</v>
      </c>
      <c r="BE1961">
        <v>0</v>
      </c>
      <c r="BF1961">
        <v>0</v>
      </c>
      <c r="BG1961">
        <v>0</v>
      </c>
      <c r="BH1961">
        <v>2700</v>
      </c>
      <c r="BI1961">
        <v>0</v>
      </c>
      <c r="BJ1961">
        <v>0</v>
      </c>
      <c r="BK1961">
        <v>0</v>
      </c>
      <c r="BL1961">
        <v>0</v>
      </c>
      <c r="BO1961">
        <v>0</v>
      </c>
      <c r="BP1961">
        <v>0</v>
      </c>
      <c r="BW1961" t="str">
        <f>"18:56:29.875"</f>
        <v>18:56:29.875</v>
      </c>
      <c r="BZ1961">
        <v>0</v>
      </c>
      <c r="CA1961">
        <v>1792</v>
      </c>
      <c r="CB1961">
        <v>216</v>
      </c>
      <c r="CC1961">
        <v>593.4375</v>
      </c>
      <c r="CD1961">
        <v>1</v>
      </c>
      <c r="CE1961">
        <v>1</v>
      </c>
      <c r="CF1961">
        <v>0</v>
      </c>
      <c r="CG1961">
        <v>0</v>
      </c>
      <c r="CH1961">
        <v>0</v>
      </c>
      <c r="CI1961">
        <v>0</v>
      </c>
      <c r="CJ1961">
        <v>0</v>
      </c>
      <c r="CK1961">
        <v>2</v>
      </c>
      <c r="CL1961">
        <v>0</v>
      </c>
      <c r="CM1961">
        <v>2</v>
      </c>
      <c r="CN1961">
        <v>0</v>
      </c>
      <c r="CO1961">
        <v>1</v>
      </c>
      <c r="CP1961" t="s">
        <v>119</v>
      </c>
      <c r="CQ1961">
        <v>70</v>
      </c>
      <c r="CR1961">
        <v>1</v>
      </c>
      <c r="CW1961">
        <v>3703090</v>
      </c>
      <c r="CY1961">
        <v>0</v>
      </c>
      <c r="CZ1961">
        <v>0</v>
      </c>
      <c r="DA1961">
        <v>1</v>
      </c>
      <c r="DB1961">
        <v>0</v>
      </c>
      <c r="DC1961">
        <v>0</v>
      </c>
      <c r="DD1961">
        <v>0</v>
      </c>
      <c r="DE1961">
        <v>0</v>
      </c>
      <c r="DF1961">
        <v>0</v>
      </c>
      <c r="DG1961">
        <v>0</v>
      </c>
      <c r="DH1961">
        <v>0</v>
      </c>
      <c r="DI1961">
        <v>0</v>
      </c>
    </row>
    <row r="1962" spans="1:113" x14ac:dyDescent="0.3">
      <c r="A1962" t="str">
        <f>"02/13/2022 18:56:31.166"</f>
        <v>02/13/2022 18:56:31.166</v>
      </c>
      <c r="C1962" t="str">
        <f t="shared" si="191"/>
        <v>FFDFD7C0</v>
      </c>
      <c r="D1962" t="s">
        <v>113</v>
      </c>
      <c r="E1962">
        <v>4</v>
      </c>
      <c r="F1962">
        <v>1004</v>
      </c>
      <c r="G1962" t="s">
        <v>120</v>
      </c>
      <c r="J1962" t="s">
        <v>115</v>
      </c>
      <c r="K1962">
        <v>0</v>
      </c>
      <c r="L1962">
        <v>3</v>
      </c>
      <c r="M1962">
        <v>0</v>
      </c>
      <c r="N1962">
        <v>2</v>
      </c>
      <c r="O1962">
        <v>1</v>
      </c>
      <c r="P1962">
        <v>0</v>
      </c>
      <c r="Q1962">
        <v>0</v>
      </c>
      <c r="S1962" t="str">
        <f>"18:56:31.000"</f>
        <v>18:56:31.000</v>
      </c>
      <c r="T1962" t="str">
        <f>"18:56:30.700"</f>
        <v>18:56:30.700</v>
      </c>
      <c r="U1962" t="str">
        <f t="shared" si="193"/>
        <v>AAB6EE</v>
      </c>
      <c r="V1962">
        <v>0</v>
      </c>
      <c r="W1962">
        <v>0</v>
      </c>
      <c r="X1962">
        <v>4</v>
      </c>
      <c r="Z1962">
        <v>0</v>
      </c>
      <c r="AA1962">
        <v>8</v>
      </c>
      <c r="AB1962">
        <v>3</v>
      </c>
      <c r="AC1962">
        <v>0</v>
      </c>
      <c r="AD1962">
        <v>10</v>
      </c>
      <c r="AE1962">
        <v>0</v>
      </c>
      <c r="AF1962">
        <v>0</v>
      </c>
      <c r="AG1962">
        <v>2</v>
      </c>
      <c r="AH1962">
        <v>1</v>
      </c>
      <c r="AI1962" t="s">
        <v>1433</v>
      </c>
      <c r="AJ1962">
        <v>34.869425</v>
      </c>
      <c r="AK1962" t="s">
        <v>1434</v>
      </c>
      <c r="AL1962">
        <v>-76.131884999999997</v>
      </c>
      <c r="AM1962">
        <v>25</v>
      </c>
      <c r="AN1962">
        <v>2800</v>
      </c>
      <c r="AO1962" t="s">
        <v>118</v>
      </c>
      <c r="AP1962">
        <v>-88</v>
      </c>
      <c r="AQ1962">
        <v>-123</v>
      </c>
      <c r="AR1962">
        <v>-1088</v>
      </c>
      <c r="AZ1962">
        <v>4516</v>
      </c>
      <c r="BA1962">
        <v>1</v>
      </c>
      <c r="BB1962" t="str">
        <f t="shared" si="192"/>
        <v xml:space="preserve">N79NX   </v>
      </c>
      <c r="BC1962">
        <v>1</v>
      </c>
      <c r="BE1962">
        <v>0</v>
      </c>
      <c r="BF1962">
        <v>0</v>
      </c>
      <c r="BG1962">
        <v>0</v>
      </c>
      <c r="BH1962">
        <v>2675</v>
      </c>
      <c r="BI1962">
        <v>0</v>
      </c>
      <c r="BJ1962">
        <v>0</v>
      </c>
      <c r="BK1962">
        <v>0</v>
      </c>
      <c r="BL1962">
        <v>0</v>
      </c>
      <c r="BO1962">
        <v>0</v>
      </c>
      <c r="BP1962">
        <v>0</v>
      </c>
      <c r="BW1962" t="str">
        <f>"18:56:31.005"</f>
        <v>18:56:31.005</v>
      </c>
      <c r="BZ1962">
        <v>0</v>
      </c>
      <c r="CA1962">
        <v>1792</v>
      </c>
      <c r="CB1962">
        <v>216</v>
      </c>
      <c r="CC1962">
        <v>593.4375</v>
      </c>
      <c r="CD1962">
        <v>1</v>
      </c>
      <c r="CE1962">
        <v>1</v>
      </c>
      <c r="CF1962">
        <v>0</v>
      </c>
      <c r="CG1962">
        <v>0</v>
      </c>
      <c r="CH1962">
        <v>0</v>
      </c>
      <c r="CI1962">
        <v>0</v>
      </c>
      <c r="CJ1962">
        <v>0</v>
      </c>
      <c r="CK1962">
        <v>2</v>
      </c>
      <c r="CL1962">
        <v>0</v>
      </c>
      <c r="CM1962">
        <v>2</v>
      </c>
      <c r="CN1962">
        <v>0</v>
      </c>
      <c r="CO1962">
        <v>1</v>
      </c>
      <c r="CP1962" t="s">
        <v>119</v>
      </c>
      <c r="CQ1962">
        <v>70</v>
      </c>
      <c r="CR1962">
        <v>1</v>
      </c>
      <c r="CW1962">
        <v>3703943</v>
      </c>
      <c r="CY1962">
        <v>0</v>
      </c>
      <c r="CZ1962">
        <v>0</v>
      </c>
      <c r="DA1962">
        <v>0</v>
      </c>
      <c r="DB1962">
        <v>0</v>
      </c>
      <c r="DC1962">
        <v>0</v>
      </c>
      <c r="DD1962">
        <v>0</v>
      </c>
      <c r="DE1962">
        <v>0</v>
      </c>
      <c r="DF1962">
        <v>0</v>
      </c>
      <c r="DG1962">
        <v>0</v>
      </c>
      <c r="DH1962">
        <v>0</v>
      </c>
      <c r="DI1962">
        <v>0</v>
      </c>
    </row>
    <row r="1963" spans="1:113" x14ac:dyDescent="0.3">
      <c r="A1963" t="str">
        <f>"02/13/2022 18:56:31.166"</f>
        <v>02/13/2022 18:56:31.166</v>
      </c>
      <c r="C1963" t="str">
        <f t="shared" si="191"/>
        <v>FFDFD7C0</v>
      </c>
      <c r="D1963" t="s">
        <v>113</v>
      </c>
      <c r="E1963">
        <v>3</v>
      </c>
      <c r="F1963">
        <v>1003</v>
      </c>
      <c r="G1963" t="s">
        <v>114</v>
      </c>
      <c r="J1963" t="s">
        <v>115</v>
      </c>
      <c r="K1963">
        <v>0</v>
      </c>
      <c r="L1963">
        <v>3</v>
      </c>
      <c r="M1963">
        <v>0</v>
      </c>
      <c r="N1963">
        <v>2</v>
      </c>
      <c r="O1963">
        <v>1</v>
      </c>
      <c r="P1963">
        <v>0</v>
      </c>
      <c r="Q1963">
        <v>0</v>
      </c>
      <c r="S1963" t="str">
        <f>"18:56:31.000"</f>
        <v>18:56:31.000</v>
      </c>
      <c r="T1963" t="str">
        <f>"18:56:30.700"</f>
        <v>18:56:30.700</v>
      </c>
      <c r="U1963" t="str">
        <f t="shared" si="193"/>
        <v>AAB6EE</v>
      </c>
      <c r="V1963">
        <v>0</v>
      </c>
      <c r="W1963">
        <v>0</v>
      </c>
      <c r="X1963">
        <v>4</v>
      </c>
      <c r="Z1963">
        <v>0</v>
      </c>
      <c r="AA1963">
        <v>8</v>
      </c>
      <c r="AB1963">
        <v>3</v>
      </c>
      <c r="AC1963">
        <v>0</v>
      </c>
      <c r="AD1963">
        <v>10</v>
      </c>
      <c r="AE1963">
        <v>0</v>
      </c>
      <c r="AF1963">
        <v>0</v>
      </c>
      <c r="AG1963">
        <v>2</v>
      </c>
      <c r="AH1963">
        <v>1</v>
      </c>
      <c r="AI1963" t="s">
        <v>1433</v>
      </c>
      <c r="AJ1963">
        <v>34.869425</v>
      </c>
      <c r="AK1963" t="s">
        <v>1434</v>
      </c>
      <c r="AL1963">
        <v>-76.131884999999997</v>
      </c>
      <c r="AM1963">
        <v>25</v>
      </c>
      <c r="AN1963">
        <v>2800</v>
      </c>
      <c r="AO1963" t="s">
        <v>118</v>
      </c>
      <c r="AP1963">
        <v>-88</v>
      </c>
      <c r="AQ1963">
        <v>-123</v>
      </c>
      <c r="AR1963">
        <v>-1088</v>
      </c>
      <c r="AZ1963">
        <v>4516</v>
      </c>
      <c r="BA1963">
        <v>1</v>
      </c>
      <c r="BB1963" t="str">
        <f t="shared" si="192"/>
        <v xml:space="preserve">N79NX   </v>
      </c>
      <c r="BC1963">
        <v>1</v>
      </c>
      <c r="BE1963">
        <v>0</v>
      </c>
      <c r="BF1963">
        <v>0</v>
      </c>
      <c r="BG1963">
        <v>0</v>
      </c>
      <c r="BH1963">
        <v>2675</v>
      </c>
      <c r="BI1963">
        <v>0</v>
      </c>
      <c r="BJ1963">
        <v>0</v>
      </c>
      <c r="BK1963">
        <v>0</v>
      </c>
      <c r="BL1963">
        <v>0</v>
      </c>
      <c r="BO1963">
        <v>0</v>
      </c>
      <c r="BP1963">
        <v>0</v>
      </c>
      <c r="BW1963" t="str">
        <f>"18:56:31.005"</f>
        <v>18:56:31.005</v>
      </c>
      <c r="BZ1963">
        <v>0</v>
      </c>
      <c r="CA1963">
        <v>1792</v>
      </c>
      <c r="CB1963">
        <v>216</v>
      </c>
      <c r="CC1963">
        <v>593.4375</v>
      </c>
      <c r="CD1963">
        <v>1</v>
      </c>
      <c r="CE1963">
        <v>1</v>
      </c>
      <c r="CF1963">
        <v>0</v>
      </c>
      <c r="CG1963">
        <v>0</v>
      </c>
      <c r="CH1963">
        <v>0</v>
      </c>
      <c r="CI1963">
        <v>0</v>
      </c>
      <c r="CJ1963">
        <v>0</v>
      </c>
      <c r="CK1963">
        <v>2</v>
      </c>
      <c r="CL1963">
        <v>0</v>
      </c>
      <c r="CM1963">
        <v>2</v>
      </c>
      <c r="CN1963">
        <v>0</v>
      </c>
      <c r="CO1963">
        <v>1</v>
      </c>
      <c r="CP1963" t="s">
        <v>119</v>
      </c>
      <c r="CQ1963">
        <v>70</v>
      </c>
      <c r="CR1963">
        <v>1</v>
      </c>
      <c r="CW1963">
        <v>3703943</v>
      </c>
      <c r="CY1963">
        <v>0</v>
      </c>
      <c r="CZ1963">
        <v>0</v>
      </c>
      <c r="DA1963">
        <v>1</v>
      </c>
      <c r="DB1963">
        <v>0</v>
      </c>
      <c r="DC1963">
        <v>0</v>
      </c>
      <c r="DD1963">
        <v>0</v>
      </c>
      <c r="DE1963">
        <v>0</v>
      </c>
      <c r="DF1963">
        <v>0</v>
      </c>
      <c r="DG1963">
        <v>0</v>
      </c>
      <c r="DH1963">
        <v>0</v>
      </c>
      <c r="DI1963">
        <v>0</v>
      </c>
    </row>
    <row r="1964" spans="1:113" x14ac:dyDescent="0.3">
      <c r="A1964" t="str">
        <f>"02/13/2022 18:56:31.229"</f>
        <v>02/13/2022 18:56:31.229</v>
      </c>
      <c r="C1964" t="str">
        <f t="shared" si="191"/>
        <v>FFDFD7C0</v>
      </c>
      <c r="D1964" t="s">
        <v>121</v>
      </c>
      <c r="E1964">
        <v>2</v>
      </c>
      <c r="H1964">
        <v>158</v>
      </c>
      <c r="I1964" t="s">
        <v>120</v>
      </c>
      <c r="J1964" t="s">
        <v>122</v>
      </c>
      <c r="K1964">
        <v>0</v>
      </c>
      <c r="L1964">
        <v>3</v>
      </c>
      <c r="M1964">
        <v>0</v>
      </c>
      <c r="N1964">
        <v>2</v>
      </c>
      <c r="O1964">
        <v>1</v>
      </c>
      <c r="P1964">
        <v>0</v>
      </c>
      <c r="Q1964">
        <v>0</v>
      </c>
      <c r="S1964" t="str">
        <f>"18:56:31.000"</f>
        <v>18:56:31.000</v>
      </c>
      <c r="T1964" t="str">
        <f>"18:56:30.700"</f>
        <v>18:56:30.700</v>
      </c>
      <c r="U1964" t="str">
        <f t="shared" si="193"/>
        <v>AAB6EE</v>
      </c>
      <c r="V1964">
        <v>0</v>
      </c>
      <c r="W1964">
        <v>0</v>
      </c>
      <c r="X1964">
        <v>4</v>
      </c>
      <c r="Z1964">
        <v>0</v>
      </c>
      <c r="AA1964">
        <v>8</v>
      </c>
      <c r="AB1964">
        <v>3</v>
      </c>
      <c r="AC1964">
        <v>0</v>
      </c>
      <c r="AD1964">
        <v>10</v>
      </c>
      <c r="AE1964">
        <v>0</v>
      </c>
      <c r="AF1964">
        <v>0</v>
      </c>
      <c r="AG1964">
        <v>2</v>
      </c>
      <c r="AH1964">
        <v>1</v>
      </c>
      <c r="AI1964" t="s">
        <v>1433</v>
      </c>
      <c r="AJ1964">
        <v>34.869425</v>
      </c>
      <c r="AK1964" t="s">
        <v>1434</v>
      </c>
      <c r="AL1964">
        <v>-76.131884999999997</v>
      </c>
      <c r="AM1964">
        <v>25</v>
      </c>
      <c r="AN1964">
        <v>2800</v>
      </c>
      <c r="AO1964" t="s">
        <v>118</v>
      </c>
      <c r="AP1964">
        <v>-88</v>
      </c>
      <c r="AQ1964">
        <v>-123</v>
      </c>
      <c r="AR1964">
        <v>-1088</v>
      </c>
      <c r="AZ1964">
        <v>4516</v>
      </c>
      <c r="BA1964">
        <v>1</v>
      </c>
      <c r="BB1964" t="str">
        <f t="shared" si="192"/>
        <v xml:space="preserve">N79NX   </v>
      </c>
      <c r="BC1964">
        <v>1</v>
      </c>
      <c r="BE1964">
        <v>0</v>
      </c>
      <c r="BF1964">
        <v>0</v>
      </c>
      <c r="BG1964">
        <v>0</v>
      </c>
      <c r="BH1964">
        <v>2675</v>
      </c>
      <c r="BI1964">
        <v>0</v>
      </c>
      <c r="BJ1964">
        <v>0</v>
      </c>
      <c r="BK1964">
        <v>0</v>
      </c>
      <c r="BL1964">
        <v>0</v>
      </c>
      <c r="BO1964">
        <v>0</v>
      </c>
      <c r="BP1964">
        <v>0</v>
      </c>
      <c r="BW1964" t="str">
        <f>"18:56:31.005"</f>
        <v>18:56:31.005</v>
      </c>
      <c r="BZ1964">
        <v>0</v>
      </c>
      <c r="CA1964">
        <v>1792</v>
      </c>
      <c r="CB1964">
        <v>216</v>
      </c>
      <c r="CC1964">
        <v>593.4375</v>
      </c>
      <c r="CD1964">
        <v>1</v>
      </c>
      <c r="CE1964">
        <v>1</v>
      </c>
      <c r="CF1964">
        <v>0</v>
      </c>
      <c r="CG1964">
        <v>0</v>
      </c>
      <c r="CH1964">
        <v>0</v>
      </c>
      <c r="CI1964">
        <v>0</v>
      </c>
      <c r="CJ1964">
        <v>0</v>
      </c>
      <c r="CK1964">
        <v>2</v>
      </c>
      <c r="CL1964">
        <v>0</v>
      </c>
      <c r="CM1964">
        <v>2</v>
      </c>
      <c r="CN1964">
        <v>0</v>
      </c>
      <c r="CO1964">
        <v>1</v>
      </c>
      <c r="CP1964" t="s">
        <v>119</v>
      </c>
      <c r="CQ1964">
        <v>70</v>
      </c>
      <c r="CR1964">
        <v>1</v>
      </c>
      <c r="CW1964">
        <v>3703943</v>
      </c>
      <c r="CY1964">
        <v>0</v>
      </c>
      <c r="CZ1964">
        <v>0</v>
      </c>
      <c r="DA1964">
        <v>1</v>
      </c>
      <c r="DB1964">
        <v>0</v>
      </c>
      <c r="DC1964">
        <v>0</v>
      </c>
      <c r="DD1964">
        <v>0</v>
      </c>
      <c r="DE1964">
        <v>0</v>
      </c>
      <c r="DF1964">
        <v>0</v>
      </c>
      <c r="DG1964">
        <v>0</v>
      </c>
      <c r="DH1964">
        <v>0</v>
      </c>
      <c r="DI1964">
        <v>0</v>
      </c>
    </row>
    <row r="1965" spans="1:113" x14ac:dyDescent="0.3">
      <c r="A1965" t="str">
        <f>"02/13/2022 18:56:33.089"</f>
        <v>02/13/2022 18:56:33.089</v>
      </c>
      <c r="C1965" t="str">
        <f t="shared" si="191"/>
        <v>FFDFD7C0</v>
      </c>
      <c r="D1965" t="s">
        <v>113</v>
      </c>
      <c r="E1965">
        <v>3</v>
      </c>
      <c r="F1965">
        <v>1003</v>
      </c>
      <c r="G1965" t="s">
        <v>114</v>
      </c>
      <c r="J1965" t="s">
        <v>115</v>
      </c>
      <c r="K1965">
        <v>0</v>
      </c>
      <c r="L1965">
        <v>3</v>
      </c>
      <c r="M1965">
        <v>0</v>
      </c>
      <c r="N1965">
        <v>2</v>
      </c>
      <c r="O1965">
        <v>1</v>
      </c>
      <c r="P1965">
        <v>0</v>
      </c>
      <c r="Q1965">
        <v>0</v>
      </c>
      <c r="S1965" t="str">
        <f t="shared" ref="S1965:T1967" si="194">"18:56:32.922"</f>
        <v>18:56:32.922</v>
      </c>
      <c r="T1965" t="str">
        <f t="shared" si="194"/>
        <v>18:56:32.922</v>
      </c>
      <c r="U1965" t="str">
        <f t="shared" si="193"/>
        <v>AAB6EE</v>
      </c>
      <c r="V1965">
        <v>0</v>
      </c>
      <c r="W1965">
        <v>0</v>
      </c>
      <c r="X1965">
        <v>4</v>
      </c>
      <c r="Z1965">
        <v>0</v>
      </c>
      <c r="AA1965">
        <v>8</v>
      </c>
      <c r="AB1965">
        <v>3</v>
      </c>
      <c r="AC1965">
        <v>0</v>
      </c>
      <c r="AD1965">
        <v>10</v>
      </c>
      <c r="AE1965">
        <v>0</v>
      </c>
      <c r="AF1965">
        <v>0</v>
      </c>
      <c r="AG1965">
        <v>2</v>
      </c>
      <c r="AH1965">
        <v>1</v>
      </c>
      <c r="AI1965" t="s">
        <v>1435</v>
      </c>
      <c r="AJ1965">
        <v>34.868267000000003</v>
      </c>
      <c r="AK1965" t="s">
        <v>1436</v>
      </c>
      <c r="AL1965">
        <v>-76.132893999999993</v>
      </c>
      <c r="AM1965">
        <v>25</v>
      </c>
      <c r="AN1965">
        <v>2750</v>
      </c>
      <c r="AO1965" t="s">
        <v>118</v>
      </c>
      <c r="AP1965">
        <v>-90</v>
      </c>
      <c r="AQ1965">
        <v>-125</v>
      </c>
      <c r="AR1965">
        <v>-1088</v>
      </c>
      <c r="AZ1965">
        <v>4516</v>
      </c>
      <c r="BA1965">
        <v>1</v>
      </c>
      <c r="BB1965" t="str">
        <f t="shared" si="192"/>
        <v xml:space="preserve">N79NX   </v>
      </c>
      <c r="BC1965">
        <v>1</v>
      </c>
      <c r="BE1965">
        <v>0</v>
      </c>
      <c r="BF1965">
        <v>0</v>
      </c>
      <c r="BG1965">
        <v>0</v>
      </c>
      <c r="BH1965">
        <v>2675</v>
      </c>
      <c r="BI1965">
        <v>0</v>
      </c>
      <c r="BJ1965">
        <v>0</v>
      </c>
      <c r="BK1965">
        <v>0</v>
      </c>
      <c r="BL1965">
        <v>0</v>
      </c>
      <c r="BO1965">
        <v>0</v>
      </c>
      <c r="BP1965">
        <v>0</v>
      </c>
      <c r="BW1965" t="str">
        <f>"18:56:32.925"</f>
        <v>18:56:32.925</v>
      </c>
      <c r="BZ1965">
        <v>0</v>
      </c>
      <c r="CA1965">
        <v>1792</v>
      </c>
      <c r="CB1965">
        <v>216</v>
      </c>
      <c r="CC1965">
        <v>593.4375</v>
      </c>
      <c r="CD1965">
        <v>1</v>
      </c>
      <c r="CE1965">
        <v>1</v>
      </c>
      <c r="CF1965">
        <v>0</v>
      </c>
      <c r="CG1965">
        <v>0</v>
      </c>
      <c r="CH1965">
        <v>0</v>
      </c>
      <c r="CI1965">
        <v>0</v>
      </c>
      <c r="CJ1965">
        <v>0</v>
      </c>
      <c r="CK1965">
        <v>2</v>
      </c>
      <c r="CL1965">
        <v>0</v>
      </c>
      <c r="CM1965">
        <v>2</v>
      </c>
      <c r="CN1965">
        <v>0</v>
      </c>
      <c r="CO1965">
        <v>1</v>
      </c>
      <c r="CP1965" t="s">
        <v>119</v>
      </c>
      <c r="CQ1965">
        <v>70</v>
      </c>
      <c r="CR1965">
        <v>1</v>
      </c>
      <c r="CW1965">
        <v>3705342</v>
      </c>
      <c r="CY1965">
        <v>0</v>
      </c>
      <c r="CZ1965">
        <v>0</v>
      </c>
      <c r="DA1965">
        <v>0</v>
      </c>
      <c r="DB1965">
        <v>0</v>
      </c>
      <c r="DC1965">
        <v>0</v>
      </c>
      <c r="DD1965">
        <v>0</v>
      </c>
      <c r="DE1965">
        <v>0</v>
      </c>
      <c r="DF1965">
        <v>0</v>
      </c>
      <c r="DG1965">
        <v>0</v>
      </c>
      <c r="DH1965">
        <v>0</v>
      </c>
      <c r="DI1965">
        <v>0</v>
      </c>
    </row>
    <row r="1966" spans="1:113" x14ac:dyDescent="0.3">
      <c r="A1966" t="str">
        <f>"02/13/2022 18:56:33.089"</f>
        <v>02/13/2022 18:56:33.089</v>
      </c>
      <c r="C1966" t="str">
        <f t="shared" si="191"/>
        <v>FFDFD7C0</v>
      </c>
      <c r="D1966" t="s">
        <v>113</v>
      </c>
      <c r="E1966">
        <v>4</v>
      </c>
      <c r="F1966">
        <v>1004</v>
      </c>
      <c r="G1966" t="s">
        <v>120</v>
      </c>
      <c r="J1966" t="s">
        <v>115</v>
      </c>
      <c r="K1966">
        <v>0</v>
      </c>
      <c r="L1966">
        <v>3</v>
      </c>
      <c r="M1966">
        <v>0</v>
      </c>
      <c r="N1966">
        <v>2</v>
      </c>
      <c r="O1966">
        <v>1</v>
      </c>
      <c r="P1966">
        <v>0</v>
      </c>
      <c r="Q1966">
        <v>0</v>
      </c>
      <c r="S1966" t="str">
        <f t="shared" si="194"/>
        <v>18:56:32.922</v>
      </c>
      <c r="T1966" t="str">
        <f t="shared" si="194"/>
        <v>18:56:32.922</v>
      </c>
      <c r="U1966" t="str">
        <f t="shared" si="193"/>
        <v>AAB6EE</v>
      </c>
      <c r="V1966">
        <v>0</v>
      </c>
      <c r="W1966">
        <v>0</v>
      </c>
      <c r="X1966">
        <v>4</v>
      </c>
      <c r="Z1966">
        <v>0</v>
      </c>
      <c r="AA1966">
        <v>8</v>
      </c>
      <c r="AB1966">
        <v>3</v>
      </c>
      <c r="AC1966">
        <v>0</v>
      </c>
      <c r="AD1966">
        <v>10</v>
      </c>
      <c r="AE1966">
        <v>0</v>
      </c>
      <c r="AF1966">
        <v>0</v>
      </c>
      <c r="AG1966">
        <v>2</v>
      </c>
      <c r="AH1966">
        <v>1</v>
      </c>
      <c r="AI1966" t="s">
        <v>1435</v>
      </c>
      <c r="AJ1966">
        <v>34.868267000000003</v>
      </c>
      <c r="AK1966" t="s">
        <v>1436</v>
      </c>
      <c r="AL1966">
        <v>-76.132893999999993</v>
      </c>
      <c r="AM1966">
        <v>25</v>
      </c>
      <c r="AN1966">
        <v>2750</v>
      </c>
      <c r="AO1966" t="s">
        <v>118</v>
      </c>
      <c r="AP1966">
        <v>-90</v>
      </c>
      <c r="AQ1966">
        <v>-125</v>
      </c>
      <c r="AR1966">
        <v>-1088</v>
      </c>
      <c r="AZ1966">
        <v>4516</v>
      </c>
      <c r="BA1966">
        <v>1</v>
      </c>
      <c r="BB1966" t="str">
        <f t="shared" si="192"/>
        <v xml:space="preserve">N79NX   </v>
      </c>
      <c r="BC1966">
        <v>1</v>
      </c>
      <c r="BE1966">
        <v>0</v>
      </c>
      <c r="BF1966">
        <v>0</v>
      </c>
      <c r="BG1966">
        <v>0</v>
      </c>
      <c r="BH1966">
        <v>2675</v>
      </c>
      <c r="BI1966">
        <v>0</v>
      </c>
      <c r="BJ1966">
        <v>0</v>
      </c>
      <c r="BK1966">
        <v>0</v>
      </c>
      <c r="BL1966">
        <v>0</v>
      </c>
      <c r="BO1966">
        <v>0</v>
      </c>
      <c r="BP1966">
        <v>0</v>
      </c>
      <c r="BW1966" t="str">
        <f>"18:56:32.925"</f>
        <v>18:56:32.925</v>
      </c>
      <c r="BZ1966">
        <v>0</v>
      </c>
      <c r="CA1966">
        <v>1792</v>
      </c>
      <c r="CB1966">
        <v>216</v>
      </c>
      <c r="CC1966">
        <v>593.4375</v>
      </c>
      <c r="CD1966">
        <v>1</v>
      </c>
      <c r="CE1966">
        <v>1</v>
      </c>
      <c r="CF1966">
        <v>0</v>
      </c>
      <c r="CG1966">
        <v>0</v>
      </c>
      <c r="CH1966">
        <v>0</v>
      </c>
      <c r="CI1966">
        <v>0</v>
      </c>
      <c r="CJ1966">
        <v>0</v>
      </c>
      <c r="CK1966">
        <v>2</v>
      </c>
      <c r="CL1966">
        <v>0</v>
      </c>
      <c r="CM1966">
        <v>2</v>
      </c>
      <c r="CN1966">
        <v>0</v>
      </c>
      <c r="CO1966">
        <v>1</v>
      </c>
      <c r="CP1966" t="s">
        <v>119</v>
      </c>
      <c r="CQ1966">
        <v>70</v>
      </c>
      <c r="CR1966">
        <v>1</v>
      </c>
      <c r="CW1966">
        <v>3705342</v>
      </c>
      <c r="CY1966">
        <v>0</v>
      </c>
      <c r="CZ1966">
        <v>0</v>
      </c>
      <c r="DA1966">
        <v>1</v>
      </c>
      <c r="DB1966">
        <v>0</v>
      </c>
      <c r="DC1966">
        <v>0</v>
      </c>
      <c r="DD1966">
        <v>0</v>
      </c>
      <c r="DE1966">
        <v>0</v>
      </c>
      <c r="DF1966">
        <v>0</v>
      </c>
      <c r="DG1966">
        <v>0</v>
      </c>
      <c r="DH1966">
        <v>0</v>
      </c>
      <c r="DI1966">
        <v>0</v>
      </c>
    </row>
    <row r="1967" spans="1:113" x14ac:dyDescent="0.3">
      <c r="A1967" t="str">
        <f>"02/13/2022 18:56:33.168"</f>
        <v>02/13/2022 18:56:33.168</v>
      </c>
      <c r="C1967" t="str">
        <f t="shared" si="191"/>
        <v>FFDFD7C0</v>
      </c>
      <c r="D1967" t="s">
        <v>121</v>
      </c>
      <c r="E1967">
        <v>2</v>
      </c>
      <c r="H1967">
        <v>158</v>
      </c>
      <c r="I1967" t="s">
        <v>120</v>
      </c>
      <c r="J1967" t="s">
        <v>122</v>
      </c>
      <c r="K1967">
        <v>0</v>
      </c>
      <c r="L1967">
        <v>3</v>
      </c>
      <c r="M1967">
        <v>0</v>
      </c>
      <c r="N1967">
        <v>2</v>
      </c>
      <c r="O1967">
        <v>1</v>
      </c>
      <c r="P1967">
        <v>0</v>
      </c>
      <c r="Q1967">
        <v>0</v>
      </c>
      <c r="S1967" t="str">
        <f t="shared" si="194"/>
        <v>18:56:32.922</v>
      </c>
      <c r="T1967" t="str">
        <f t="shared" si="194"/>
        <v>18:56:32.922</v>
      </c>
      <c r="U1967" t="str">
        <f t="shared" si="193"/>
        <v>AAB6EE</v>
      </c>
      <c r="V1967">
        <v>0</v>
      </c>
      <c r="W1967">
        <v>0</v>
      </c>
      <c r="X1967">
        <v>4</v>
      </c>
      <c r="Z1967">
        <v>0</v>
      </c>
      <c r="AA1967">
        <v>8</v>
      </c>
      <c r="AB1967">
        <v>3</v>
      </c>
      <c r="AC1967">
        <v>0</v>
      </c>
      <c r="AD1967">
        <v>10</v>
      </c>
      <c r="AE1967">
        <v>0</v>
      </c>
      <c r="AF1967">
        <v>0</v>
      </c>
      <c r="AG1967">
        <v>2</v>
      </c>
      <c r="AH1967">
        <v>1</v>
      </c>
      <c r="AI1967" t="s">
        <v>1435</v>
      </c>
      <c r="AJ1967">
        <v>34.868267000000003</v>
      </c>
      <c r="AK1967" t="s">
        <v>1436</v>
      </c>
      <c r="AL1967">
        <v>-76.132893999999993</v>
      </c>
      <c r="AM1967">
        <v>25</v>
      </c>
      <c r="AN1967">
        <v>2750</v>
      </c>
      <c r="AO1967" t="s">
        <v>118</v>
      </c>
      <c r="AP1967">
        <v>-90</v>
      </c>
      <c r="AQ1967">
        <v>-125</v>
      </c>
      <c r="AR1967">
        <v>-1088</v>
      </c>
      <c r="AZ1967">
        <v>4516</v>
      </c>
      <c r="BA1967">
        <v>1</v>
      </c>
      <c r="BB1967" t="str">
        <f t="shared" si="192"/>
        <v xml:space="preserve">N79NX   </v>
      </c>
      <c r="BC1967">
        <v>1</v>
      </c>
      <c r="BE1967">
        <v>0</v>
      </c>
      <c r="BF1967">
        <v>0</v>
      </c>
      <c r="BG1967">
        <v>0</v>
      </c>
      <c r="BH1967">
        <v>2675</v>
      </c>
      <c r="BI1967">
        <v>0</v>
      </c>
      <c r="BJ1967">
        <v>0</v>
      </c>
      <c r="BK1967">
        <v>0</v>
      </c>
      <c r="BL1967">
        <v>0</v>
      </c>
      <c r="BO1967">
        <v>0</v>
      </c>
      <c r="BP1967">
        <v>0</v>
      </c>
      <c r="BW1967" t="str">
        <f>"18:56:32.925"</f>
        <v>18:56:32.925</v>
      </c>
      <c r="BZ1967">
        <v>0</v>
      </c>
      <c r="CA1967">
        <v>1792</v>
      </c>
      <c r="CB1967">
        <v>216</v>
      </c>
      <c r="CC1967">
        <v>593.4375</v>
      </c>
      <c r="CD1967">
        <v>1</v>
      </c>
      <c r="CE1967">
        <v>1</v>
      </c>
      <c r="CF1967">
        <v>0</v>
      </c>
      <c r="CG1967">
        <v>0</v>
      </c>
      <c r="CH1967">
        <v>0</v>
      </c>
      <c r="CI1967">
        <v>0</v>
      </c>
      <c r="CJ1967">
        <v>0</v>
      </c>
      <c r="CK1967">
        <v>2</v>
      </c>
      <c r="CL1967">
        <v>0</v>
      </c>
      <c r="CM1967">
        <v>2</v>
      </c>
      <c r="CN1967">
        <v>0</v>
      </c>
      <c r="CO1967">
        <v>1</v>
      </c>
      <c r="CP1967" t="s">
        <v>119</v>
      </c>
      <c r="CQ1967">
        <v>70</v>
      </c>
      <c r="CR1967">
        <v>1</v>
      </c>
      <c r="CW1967">
        <v>3705342</v>
      </c>
      <c r="CY1967">
        <v>0</v>
      </c>
      <c r="CZ1967">
        <v>0</v>
      </c>
      <c r="DA1967">
        <v>1</v>
      </c>
      <c r="DB1967">
        <v>0</v>
      </c>
      <c r="DC1967">
        <v>0</v>
      </c>
      <c r="DD1967">
        <v>0</v>
      </c>
      <c r="DE1967">
        <v>0</v>
      </c>
      <c r="DF1967">
        <v>0</v>
      </c>
      <c r="DG1967">
        <v>0</v>
      </c>
      <c r="DH1967">
        <v>0</v>
      </c>
      <c r="DI1967">
        <v>0</v>
      </c>
    </row>
    <row r="1968" spans="1:113" x14ac:dyDescent="0.3">
      <c r="A1968" t="str">
        <f>"02/13/2022 18:56:34.701"</f>
        <v>02/13/2022 18:56:34.701</v>
      </c>
      <c r="C1968" t="str">
        <f t="shared" si="191"/>
        <v>FFDFD7C0</v>
      </c>
      <c r="D1968" t="s">
        <v>121</v>
      </c>
      <c r="E1968">
        <v>2</v>
      </c>
      <c r="H1968">
        <v>158</v>
      </c>
      <c r="I1968" t="s">
        <v>120</v>
      </c>
      <c r="J1968" t="s">
        <v>122</v>
      </c>
      <c r="K1968">
        <v>0</v>
      </c>
      <c r="L1968">
        <v>3</v>
      </c>
      <c r="M1968">
        <v>0</v>
      </c>
      <c r="N1968">
        <v>2</v>
      </c>
      <c r="O1968">
        <v>1</v>
      </c>
      <c r="P1968">
        <v>0</v>
      </c>
      <c r="Q1968">
        <v>0</v>
      </c>
      <c r="S1968" t="str">
        <f>"18:56:34.430"</f>
        <v>18:56:34.430</v>
      </c>
      <c r="T1968" t="str">
        <f>"18:56:32.930"</f>
        <v>18:56:32.930</v>
      </c>
      <c r="U1968" t="str">
        <f t="shared" si="193"/>
        <v>AAB6EE</v>
      </c>
      <c r="V1968">
        <v>0</v>
      </c>
      <c r="W1968">
        <v>0</v>
      </c>
      <c r="X1968">
        <v>4</v>
      </c>
      <c r="Z1968">
        <v>0</v>
      </c>
      <c r="AA1968">
        <v>8</v>
      </c>
      <c r="AB1968">
        <v>3</v>
      </c>
      <c r="AC1968">
        <v>0</v>
      </c>
      <c r="AD1968">
        <v>10</v>
      </c>
      <c r="AE1968">
        <v>0</v>
      </c>
      <c r="AF1968">
        <v>0</v>
      </c>
      <c r="AG1968">
        <v>2</v>
      </c>
      <c r="AH1968">
        <v>1</v>
      </c>
      <c r="AI1968" t="s">
        <v>1437</v>
      </c>
      <c r="AJ1968">
        <v>34.867387000000001</v>
      </c>
      <c r="AK1968" t="s">
        <v>1438</v>
      </c>
      <c r="AL1968">
        <v>-76.133645000000001</v>
      </c>
      <c r="AM1968">
        <v>25</v>
      </c>
      <c r="AN1968">
        <v>2725</v>
      </c>
      <c r="AO1968" t="s">
        <v>118</v>
      </c>
      <c r="AP1968">
        <v>-90</v>
      </c>
      <c r="AQ1968">
        <v>-125</v>
      </c>
      <c r="AR1968">
        <v>-1088</v>
      </c>
      <c r="AZ1968">
        <v>4516</v>
      </c>
      <c r="BA1968">
        <v>1</v>
      </c>
      <c r="BB1968" t="str">
        <f t="shared" si="192"/>
        <v xml:space="preserve">N79NX   </v>
      </c>
      <c r="BC1968">
        <v>1</v>
      </c>
      <c r="BE1968">
        <v>0</v>
      </c>
      <c r="BF1968">
        <v>0</v>
      </c>
      <c r="BG1968">
        <v>0</v>
      </c>
      <c r="BH1968">
        <v>2675</v>
      </c>
      <c r="BI1968">
        <v>0</v>
      </c>
      <c r="BJ1968">
        <v>0</v>
      </c>
      <c r="BK1968">
        <v>0</v>
      </c>
      <c r="BL1968">
        <v>0</v>
      </c>
      <c r="BO1968">
        <v>0</v>
      </c>
      <c r="BP1968">
        <v>0</v>
      </c>
      <c r="BW1968" t="str">
        <f>"18:56:34.435"</f>
        <v>18:56:34.435</v>
      </c>
      <c r="BZ1968">
        <v>0</v>
      </c>
      <c r="CA1968">
        <v>1792</v>
      </c>
      <c r="CB1968">
        <v>216</v>
      </c>
      <c r="CC1968">
        <v>593.4375</v>
      </c>
      <c r="CD1968">
        <v>1</v>
      </c>
      <c r="CE1968">
        <v>1</v>
      </c>
      <c r="CF1968">
        <v>0</v>
      </c>
      <c r="CG1968">
        <v>0</v>
      </c>
      <c r="CH1968">
        <v>0</v>
      </c>
      <c r="CI1968">
        <v>0</v>
      </c>
      <c r="CJ1968">
        <v>0</v>
      </c>
      <c r="CK1968">
        <v>2</v>
      </c>
      <c r="CL1968">
        <v>0</v>
      </c>
      <c r="CM1968">
        <v>2</v>
      </c>
      <c r="CN1968">
        <v>0</v>
      </c>
      <c r="CO1968">
        <v>1</v>
      </c>
      <c r="CP1968" t="s">
        <v>119</v>
      </c>
      <c r="CQ1968">
        <v>70</v>
      </c>
      <c r="CR1968">
        <v>1</v>
      </c>
      <c r="CW1968">
        <v>3706558</v>
      </c>
      <c r="CY1968">
        <v>0</v>
      </c>
      <c r="CZ1968">
        <v>0</v>
      </c>
      <c r="DA1968">
        <v>0</v>
      </c>
      <c r="DB1968">
        <v>0</v>
      </c>
      <c r="DC1968">
        <v>0</v>
      </c>
      <c r="DD1968">
        <v>0</v>
      </c>
      <c r="DE1968">
        <v>0</v>
      </c>
      <c r="DF1968">
        <v>0</v>
      </c>
      <c r="DG1968">
        <v>0</v>
      </c>
      <c r="DH1968">
        <v>0</v>
      </c>
      <c r="DI1968">
        <v>0</v>
      </c>
    </row>
    <row r="1969" spans="1:113" x14ac:dyDescent="0.3">
      <c r="A1969" t="str">
        <f>"02/13/2022 18:56:34.701"</f>
        <v>02/13/2022 18:56:34.701</v>
      </c>
      <c r="C1969" t="str">
        <f t="shared" si="191"/>
        <v>FFDFD7C0</v>
      </c>
      <c r="D1969" t="s">
        <v>113</v>
      </c>
      <c r="E1969">
        <v>3</v>
      </c>
      <c r="F1969">
        <v>1003</v>
      </c>
      <c r="G1969" t="s">
        <v>114</v>
      </c>
      <c r="J1969" t="s">
        <v>115</v>
      </c>
      <c r="K1969">
        <v>0</v>
      </c>
      <c r="L1969">
        <v>3</v>
      </c>
      <c r="M1969">
        <v>0</v>
      </c>
      <c r="N1969">
        <v>2</v>
      </c>
      <c r="O1969">
        <v>1</v>
      </c>
      <c r="P1969">
        <v>0</v>
      </c>
      <c r="Q1969">
        <v>0</v>
      </c>
      <c r="S1969" t="str">
        <f>"18:56:34.430"</f>
        <v>18:56:34.430</v>
      </c>
      <c r="T1969" t="str">
        <f>"18:56:32.930"</f>
        <v>18:56:32.930</v>
      </c>
      <c r="U1969" t="str">
        <f t="shared" si="193"/>
        <v>AAB6EE</v>
      </c>
      <c r="V1969">
        <v>0</v>
      </c>
      <c r="W1969">
        <v>0</v>
      </c>
      <c r="X1969">
        <v>4</v>
      </c>
      <c r="Z1969">
        <v>0</v>
      </c>
      <c r="AA1969">
        <v>8</v>
      </c>
      <c r="AB1969">
        <v>3</v>
      </c>
      <c r="AC1969">
        <v>0</v>
      </c>
      <c r="AD1969">
        <v>10</v>
      </c>
      <c r="AE1969">
        <v>0</v>
      </c>
      <c r="AF1969">
        <v>0</v>
      </c>
      <c r="AG1969">
        <v>2</v>
      </c>
      <c r="AH1969">
        <v>1</v>
      </c>
      <c r="AI1969" t="s">
        <v>1437</v>
      </c>
      <c r="AJ1969">
        <v>34.867387000000001</v>
      </c>
      <c r="AK1969" t="s">
        <v>1438</v>
      </c>
      <c r="AL1969">
        <v>-76.133645000000001</v>
      </c>
      <c r="AM1969">
        <v>25</v>
      </c>
      <c r="AN1969">
        <v>2725</v>
      </c>
      <c r="AO1969" t="s">
        <v>118</v>
      </c>
      <c r="AP1969">
        <v>-90</v>
      </c>
      <c r="AQ1969">
        <v>-125</v>
      </c>
      <c r="AR1969">
        <v>-1088</v>
      </c>
      <c r="AZ1969">
        <v>4516</v>
      </c>
      <c r="BA1969">
        <v>1</v>
      </c>
      <c r="BB1969" t="str">
        <f t="shared" si="192"/>
        <v xml:space="preserve">N79NX   </v>
      </c>
      <c r="BC1969">
        <v>1</v>
      </c>
      <c r="BE1969">
        <v>0</v>
      </c>
      <c r="BF1969">
        <v>0</v>
      </c>
      <c r="BG1969">
        <v>0</v>
      </c>
      <c r="BH1969">
        <v>2675</v>
      </c>
      <c r="BI1969">
        <v>0</v>
      </c>
      <c r="BJ1969">
        <v>0</v>
      </c>
      <c r="BK1969">
        <v>0</v>
      </c>
      <c r="BL1969">
        <v>0</v>
      </c>
      <c r="BO1969">
        <v>0</v>
      </c>
      <c r="BP1969">
        <v>0</v>
      </c>
      <c r="BW1969" t="str">
        <f>"18:56:34.435"</f>
        <v>18:56:34.435</v>
      </c>
      <c r="BZ1969">
        <v>0</v>
      </c>
      <c r="CA1969">
        <v>1792</v>
      </c>
      <c r="CB1969">
        <v>216</v>
      </c>
      <c r="CC1969">
        <v>593.4375</v>
      </c>
      <c r="CD1969">
        <v>1</v>
      </c>
      <c r="CE1969">
        <v>1</v>
      </c>
      <c r="CF1969">
        <v>0</v>
      </c>
      <c r="CG1969">
        <v>0</v>
      </c>
      <c r="CH1969">
        <v>0</v>
      </c>
      <c r="CI1969">
        <v>0</v>
      </c>
      <c r="CJ1969">
        <v>0</v>
      </c>
      <c r="CK1969">
        <v>2</v>
      </c>
      <c r="CL1969">
        <v>0</v>
      </c>
      <c r="CM1969">
        <v>2</v>
      </c>
      <c r="CN1969">
        <v>0</v>
      </c>
      <c r="CO1969">
        <v>1</v>
      </c>
      <c r="CP1969" t="s">
        <v>119</v>
      </c>
      <c r="CQ1969">
        <v>70</v>
      </c>
      <c r="CR1969">
        <v>1</v>
      </c>
      <c r="CW1969">
        <v>3706558</v>
      </c>
      <c r="CY1969">
        <v>0</v>
      </c>
      <c r="CZ1969">
        <v>0</v>
      </c>
      <c r="DA1969">
        <v>1</v>
      </c>
      <c r="DB1969">
        <v>0</v>
      </c>
      <c r="DC1969">
        <v>0</v>
      </c>
      <c r="DD1969">
        <v>0</v>
      </c>
      <c r="DE1969">
        <v>0</v>
      </c>
      <c r="DF1969">
        <v>0</v>
      </c>
      <c r="DG1969">
        <v>0</v>
      </c>
      <c r="DH1969">
        <v>0</v>
      </c>
      <c r="DI1969">
        <v>0</v>
      </c>
    </row>
    <row r="1970" spans="1:113" x14ac:dyDescent="0.3">
      <c r="A1970" t="str">
        <f>"02/13/2022 18:56:34.701"</f>
        <v>02/13/2022 18:56:34.701</v>
      </c>
      <c r="C1970" t="str">
        <f t="shared" si="191"/>
        <v>FFDFD7C0</v>
      </c>
      <c r="D1970" t="s">
        <v>113</v>
      </c>
      <c r="E1970">
        <v>4</v>
      </c>
      <c r="F1970">
        <v>1004</v>
      </c>
      <c r="G1970" t="s">
        <v>120</v>
      </c>
      <c r="J1970" t="s">
        <v>115</v>
      </c>
      <c r="K1970">
        <v>0</v>
      </c>
      <c r="L1970">
        <v>3</v>
      </c>
      <c r="M1970">
        <v>0</v>
      </c>
      <c r="N1970">
        <v>2</v>
      </c>
      <c r="O1970">
        <v>1</v>
      </c>
      <c r="P1970">
        <v>0</v>
      </c>
      <c r="Q1970">
        <v>0</v>
      </c>
      <c r="S1970" t="str">
        <f>"18:56:34.430"</f>
        <v>18:56:34.430</v>
      </c>
      <c r="T1970" t="str">
        <f>"18:56:32.930"</f>
        <v>18:56:32.930</v>
      </c>
      <c r="U1970" t="str">
        <f t="shared" si="193"/>
        <v>AAB6EE</v>
      </c>
      <c r="V1970">
        <v>0</v>
      </c>
      <c r="W1970">
        <v>0</v>
      </c>
      <c r="X1970">
        <v>4</v>
      </c>
      <c r="Z1970">
        <v>0</v>
      </c>
      <c r="AA1970">
        <v>8</v>
      </c>
      <c r="AB1970">
        <v>3</v>
      </c>
      <c r="AC1970">
        <v>0</v>
      </c>
      <c r="AD1970">
        <v>10</v>
      </c>
      <c r="AE1970">
        <v>0</v>
      </c>
      <c r="AF1970">
        <v>0</v>
      </c>
      <c r="AG1970">
        <v>2</v>
      </c>
      <c r="AH1970">
        <v>1</v>
      </c>
      <c r="AI1970" t="s">
        <v>1437</v>
      </c>
      <c r="AJ1970">
        <v>34.867387000000001</v>
      </c>
      <c r="AK1970" t="s">
        <v>1438</v>
      </c>
      <c r="AL1970">
        <v>-76.133645000000001</v>
      </c>
      <c r="AM1970">
        <v>25</v>
      </c>
      <c r="AN1970">
        <v>2725</v>
      </c>
      <c r="AO1970" t="s">
        <v>118</v>
      </c>
      <c r="AP1970">
        <v>-90</v>
      </c>
      <c r="AQ1970">
        <v>-125</v>
      </c>
      <c r="AR1970">
        <v>-1088</v>
      </c>
      <c r="AZ1970">
        <v>4516</v>
      </c>
      <c r="BA1970">
        <v>1</v>
      </c>
      <c r="BB1970" t="str">
        <f t="shared" si="192"/>
        <v xml:space="preserve">N79NX   </v>
      </c>
      <c r="BC1970">
        <v>1</v>
      </c>
      <c r="BE1970">
        <v>0</v>
      </c>
      <c r="BF1970">
        <v>0</v>
      </c>
      <c r="BG1970">
        <v>0</v>
      </c>
      <c r="BH1970">
        <v>2675</v>
      </c>
      <c r="BI1970">
        <v>0</v>
      </c>
      <c r="BJ1970">
        <v>0</v>
      </c>
      <c r="BK1970">
        <v>0</v>
      </c>
      <c r="BL1970">
        <v>0</v>
      </c>
      <c r="BO1970">
        <v>0</v>
      </c>
      <c r="BP1970">
        <v>0</v>
      </c>
      <c r="BW1970" t="str">
        <f>"18:56:34.435"</f>
        <v>18:56:34.435</v>
      </c>
      <c r="BZ1970">
        <v>0</v>
      </c>
      <c r="CA1970">
        <v>1792</v>
      </c>
      <c r="CB1970">
        <v>216</v>
      </c>
      <c r="CC1970">
        <v>593.4375</v>
      </c>
      <c r="CD1970">
        <v>1</v>
      </c>
      <c r="CE1970">
        <v>1</v>
      </c>
      <c r="CF1970">
        <v>0</v>
      </c>
      <c r="CG1970">
        <v>0</v>
      </c>
      <c r="CH1970">
        <v>0</v>
      </c>
      <c r="CI1970">
        <v>0</v>
      </c>
      <c r="CJ1970">
        <v>0</v>
      </c>
      <c r="CK1970">
        <v>2</v>
      </c>
      <c r="CL1970">
        <v>0</v>
      </c>
      <c r="CM1970">
        <v>2</v>
      </c>
      <c r="CN1970">
        <v>0</v>
      </c>
      <c r="CO1970">
        <v>1</v>
      </c>
      <c r="CP1970" t="s">
        <v>119</v>
      </c>
      <c r="CQ1970">
        <v>70</v>
      </c>
      <c r="CR1970">
        <v>1</v>
      </c>
      <c r="CW1970">
        <v>3706558</v>
      </c>
      <c r="CY1970">
        <v>0</v>
      </c>
      <c r="CZ1970">
        <v>0</v>
      </c>
      <c r="DA1970">
        <v>1</v>
      </c>
      <c r="DB1970">
        <v>0</v>
      </c>
      <c r="DC1970">
        <v>0</v>
      </c>
      <c r="DD1970">
        <v>0</v>
      </c>
      <c r="DE1970">
        <v>0</v>
      </c>
      <c r="DF1970">
        <v>0</v>
      </c>
      <c r="DG1970">
        <v>0</v>
      </c>
      <c r="DH1970">
        <v>0</v>
      </c>
      <c r="DI1970">
        <v>0</v>
      </c>
    </row>
    <row r="1971" spans="1:113" x14ac:dyDescent="0.3">
      <c r="A1971" t="str">
        <f>"02/13/2022 18:56:38.390"</f>
        <v>02/13/2022 18:56:38.390</v>
      </c>
      <c r="C1971" t="str">
        <f t="shared" si="191"/>
        <v>FFDFD7C0</v>
      </c>
      <c r="D1971" t="s">
        <v>113</v>
      </c>
      <c r="E1971">
        <v>4</v>
      </c>
      <c r="F1971">
        <v>1004</v>
      </c>
      <c r="G1971" t="s">
        <v>120</v>
      </c>
      <c r="J1971" t="s">
        <v>115</v>
      </c>
      <c r="K1971">
        <v>0</v>
      </c>
      <c r="L1971">
        <v>3</v>
      </c>
      <c r="M1971">
        <v>0</v>
      </c>
      <c r="N1971">
        <v>2</v>
      </c>
      <c r="O1971">
        <v>1</v>
      </c>
      <c r="P1971">
        <v>0</v>
      </c>
      <c r="Q1971">
        <v>0</v>
      </c>
      <c r="S1971" t="str">
        <f>"18:56:38.203"</f>
        <v>18:56:38.203</v>
      </c>
      <c r="T1971" t="str">
        <f>"18:56:35.903"</f>
        <v>18:56:35.903</v>
      </c>
      <c r="U1971" t="str">
        <f t="shared" si="193"/>
        <v>AAB6EE</v>
      </c>
      <c r="V1971">
        <v>0</v>
      </c>
      <c r="W1971">
        <v>0</v>
      </c>
      <c r="X1971">
        <v>4</v>
      </c>
      <c r="Z1971">
        <v>0</v>
      </c>
      <c r="AA1971">
        <v>8</v>
      </c>
      <c r="AB1971">
        <v>3</v>
      </c>
      <c r="AC1971">
        <v>0</v>
      </c>
      <c r="AD1971">
        <v>10</v>
      </c>
      <c r="AE1971">
        <v>0</v>
      </c>
      <c r="AF1971">
        <v>0</v>
      </c>
      <c r="AG1971">
        <v>2</v>
      </c>
      <c r="AH1971">
        <v>1</v>
      </c>
      <c r="AI1971" t="s">
        <v>1439</v>
      </c>
      <c r="AJ1971">
        <v>34.865197999999999</v>
      </c>
      <c r="AK1971" t="s">
        <v>658</v>
      </c>
      <c r="AL1971">
        <v>-76.135597000000004</v>
      </c>
      <c r="AM1971">
        <v>25</v>
      </c>
      <c r="AN1971">
        <v>2650</v>
      </c>
      <c r="AO1971" t="s">
        <v>118</v>
      </c>
      <c r="AP1971">
        <v>-92</v>
      </c>
      <c r="AQ1971">
        <v>-128</v>
      </c>
      <c r="AR1971">
        <v>-1088</v>
      </c>
      <c r="AZ1971">
        <v>4516</v>
      </c>
      <c r="BA1971">
        <v>1</v>
      </c>
      <c r="BB1971" t="str">
        <f t="shared" si="192"/>
        <v xml:space="preserve">N79NX   </v>
      </c>
      <c r="BC1971">
        <v>1</v>
      </c>
      <c r="BE1971">
        <v>0</v>
      </c>
      <c r="BF1971">
        <v>0</v>
      </c>
      <c r="BG1971">
        <v>0</v>
      </c>
      <c r="BH1971">
        <v>2600</v>
      </c>
      <c r="BI1971">
        <v>0</v>
      </c>
      <c r="BJ1971">
        <v>0</v>
      </c>
      <c r="BK1971">
        <v>0</v>
      </c>
      <c r="BL1971">
        <v>0</v>
      </c>
      <c r="BO1971">
        <v>0</v>
      </c>
      <c r="BP1971">
        <v>0</v>
      </c>
      <c r="BW1971" t="str">
        <f>"18:56:38.205"</f>
        <v>18:56:38.205</v>
      </c>
      <c r="BZ1971">
        <v>0</v>
      </c>
      <c r="CA1971">
        <v>1792</v>
      </c>
      <c r="CB1971">
        <v>216</v>
      </c>
      <c r="CC1971">
        <v>593.4375</v>
      </c>
      <c r="CD1971">
        <v>1</v>
      </c>
      <c r="CE1971">
        <v>1</v>
      </c>
      <c r="CF1971">
        <v>0</v>
      </c>
      <c r="CG1971">
        <v>0</v>
      </c>
      <c r="CH1971">
        <v>0</v>
      </c>
      <c r="CI1971">
        <v>0</v>
      </c>
      <c r="CJ1971">
        <v>0</v>
      </c>
      <c r="CK1971">
        <v>2</v>
      </c>
      <c r="CL1971">
        <v>0</v>
      </c>
      <c r="CM1971">
        <v>2</v>
      </c>
      <c r="CN1971">
        <v>0</v>
      </c>
      <c r="CO1971">
        <v>1</v>
      </c>
      <c r="CP1971" t="s">
        <v>119</v>
      </c>
      <c r="CQ1971">
        <v>70</v>
      </c>
      <c r="CR1971">
        <v>1</v>
      </c>
      <c r="CW1971">
        <v>3709330</v>
      </c>
      <c r="CY1971">
        <v>0</v>
      </c>
      <c r="CZ1971">
        <v>0</v>
      </c>
      <c r="DA1971">
        <v>0</v>
      </c>
      <c r="DB1971">
        <v>0</v>
      </c>
      <c r="DC1971">
        <v>0</v>
      </c>
      <c r="DD1971">
        <v>0</v>
      </c>
      <c r="DE1971">
        <v>0</v>
      </c>
      <c r="DF1971">
        <v>0</v>
      </c>
      <c r="DG1971">
        <v>0</v>
      </c>
      <c r="DH1971">
        <v>0</v>
      </c>
      <c r="DI1971">
        <v>0</v>
      </c>
    </row>
    <row r="1972" spans="1:113" x14ac:dyDescent="0.3">
      <c r="A1972" t="str">
        <f>"02/13/2022 18:56:38.390"</f>
        <v>02/13/2022 18:56:38.390</v>
      </c>
      <c r="C1972" t="str">
        <f t="shared" si="191"/>
        <v>FFDFD7C0</v>
      </c>
      <c r="D1972" t="s">
        <v>121</v>
      </c>
      <c r="E1972">
        <v>2</v>
      </c>
      <c r="H1972">
        <v>158</v>
      </c>
      <c r="I1972" t="s">
        <v>120</v>
      </c>
      <c r="J1972" t="s">
        <v>122</v>
      </c>
      <c r="K1972">
        <v>0</v>
      </c>
      <c r="L1972">
        <v>3</v>
      </c>
      <c r="M1972">
        <v>0</v>
      </c>
      <c r="N1972">
        <v>2</v>
      </c>
      <c r="O1972">
        <v>1</v>
      </c>
      <c r="P1972">
        <v>0</v>
      </c>
      <c r="Q1972">
        <v>0</v>
      </c>
      <c r="S1972" t="str">
        <f>"18:56:38.203"</f>
        <v>18:56:38.203</v>
      </c>
      <c r="T1972" t="str">
        <f>"18:56:35.903"</f>
        <v>18:56:35.903</v>
      </c>
      <c r="U1972" t="str">
        <f t="shared" si="193"/>
        <v>AAB6EE</v>
      </c>
      <c r="V1972">
        <v>0</v>
      </c>
      <c r="W1972">
        <v>0</v>
      </c>
      <c r="X1972">
        <v>4</v>
      </c>
      <c r="Z1972">
        <v>0</v>
      </c>
      <c r="AA1972">
        <v>8</v>
      </c>
      <c r="AB1972">
        <v>3</v>
      </c>
      <c r="AC1972">
        <v>0</v>
      </c>
      <c r="AD1972">
        <v>10</v>
      </c>
      <c r="AE1972">
        <v>0</v>
      </c>
      <c r="AF1972">
        <v>0</v>
      </c>
      <c r="AG1972">
        <v>2</v>
      </c>
      <c r="AH1972">
        <v>1</v>
      </c>
      <c r="AI1972" t="s">
        <v>1439</v>
      </c>
      <c r="AJ1972">
        <v>34.865197999999999</v>
      </c>
      <c r="AK1972" t="s">
        <v>658</v>
      </c>
      <c r="AL1972">
        <v>-76.135597000000004</v>
      </c>
      <c r="AM1972">
        <v>25</v>
      </c>
      <c r="AN1972">
        <v>2650</v>
      </c>
      <c r="AO1972" t="s">
        <v>118</v>
      </c>
      <c r="AP1972">
        <v>-92</v>
      </c>
      <c r="AQ1972">
        <v>-128</v>
      </c>
      <c r="AR1972">
        <v>-1088</v>
      </c>
      <c r="AZ1972">
        <v>4516</v>
      </c>
      <c r="BA1972">
        <v>1</v>
      </c>
      <c r="BB1972" t="str">
        <f t="shared" si="192"/>
        <v xml:space="preserve">N79NX   </v>
      </c>
      <c r="BC1972">
        <v>1</v>
      </c>
      <c r="BE1972">
        <v>0</v>
      </c>
      <c r="BF1972">
        <v>0</v>
      </c>
      <c r="BG1972">
        <v>0</v>
      </c>
      <c r="BH1972">
        <v>2600</v>
      </c>
      <c r="BI1972">
        <v>0</v>
      </c>
      <c r="BJ1972">
        <v>0</v>
      </c>
      <c r="BK1972">
        <v>0</v>
      </c>
      <c r="BL1972">
        <v>0</v>
      </c>
      <c r="BO1972">
        <v>0</v>
      </c>
      <c r="BP1972">
        <v>0</v>
      </c>
      <c r="BW1972" t="str">
        <f>"18:56:38.205"</f>
        <v>18:56:38.205</v>
      </c>
      <c r="BZ1972">
        <v>0</v>
      </c>
      <c r="CA1972">
        <v>1792</v>
      </c>
      <c r="CB1972">
        <v>216</v>
      </c>
      <c r="CC1972">
        <v>593.4375</v>
      </c>
      <c r="CD1972">
        <v>1</v>
      </c>
      <c r="CE1972">
        <v>1</v>
      </c>
      <c r="CF1972">
        <v>0</v>
      </c>
      <c r="CG1972">
        <v>0</v>
      </c>
      <c r="CH1972">
        <v>0</v>
      </c>
      <c r="CI1972">
        <v>0</v>
      </c>
      <c r="CJ1972">
        <v>0</v>
      </c>
      <c r="CK1972">
        <v>2</v>
      </c>
      <c r="CL1972">
        <v>0</v>
      </c>
      <c r="CM1972">
        <v>2</v>
      </c>
      <c r="CN1972">
        <v>0</v>
      </c>
      <c r="CO1972">
        <v>1</v>
      </c>
      <c r="CP1972" t="s">
        <v>119</v>
      </c>
      <c r="CQ1972">
        <v>70</v>
      </c>
      <c r="CR1972">
        <v>1</v>
      </c>
      <c r="CW1972">
        <v>3709330</v>
      </c>
      <c r="CY1972">
        <v>0</v>
      </c>
      <c r="CZ1972">
        <v>0</v>
      </c>
      <c r="DA1972">
        <v>1</v>
      </c>
      <c r="DB1972">
        <v>0</v>
      </c>
      <c r="DC1972">
        <v>0</v>
      </c>
      <c r="DD1972">
        <v>0</v>
      </c>
      <c r="DE1972">
        <v>0</v>
      </c>
      <c r="DF1972">
        <v>0</v>
      </c>
      <c r="DG1972">
        <v>0</v>
      </c>
      <c r="DH1972">
        <v>0</v>
      </c>
      <c r="DI1972">
        <v>0</v>
      </c>
    </row>
    <row r="1973" spans="1:113" x14ac:dyDescent="0.3">
      <c r="A1973" t="str">
        <f>"02/13/2022 18:56:38.468"</f>
        <v>02/13/2022 18:56:38.468</v>
      </c>
      <c r="C1973" t="str">
        <f t="shared" si="191"/>
        <v>FFDFD7C0</v>
      </c>
      <c r="D1973" t="s">
        <v>113</v>
      </c>
      <c r="E1973">
        <v>3</v>
      </c>
      <c r="F1973">
        <v>1003</v>
      </c>
      <c r="G1973" t="s">
        <v>114</v>
      </c>
      <c r="J1973" t="s">
        <v>115</v>
      </c>
      <c r="K1973">
        <v>0</v>
      </c>
      <c r="L1973">
        <v>3</v>
      </c>
      <c r="M1973">
        <v>0</v>
      </c>
      <c r="N1973">
        <v>2</v>
      </c>
      <c r="O1973">
        <v>1</v>
      </c>
      <c r="P1973">
        <v>0</v>
      </c>
      <c r="Q1973">
        <v>0</v>
      </c>
      <c r="S1973" t="str">
        <f>"18:56:38.203"</f>
        <v>18:56:38.203</v>
      </c>
      <c r="T1973" t="str">
        <f>"18:56:35.903"</f>
        <v>18:56:35.903</v>
      </c>
      <c r="U1973" t="str">
        <f t="shared" si="193"/>
        <v>AAB6EE</v>
      </c>
      <c r="V1973">
        <v>0</v>
      </c>
      <c r="W1973">
        <v>0</v>
      </c>
      <c r="X1973">
        <v>4</v>
      </c>
      <c r="Z1973">
        <v>0</v>
      </c>
      <c r="AA1973">
        <v>8</v>
      </c>
      <c r="AB1973">
        <v>3</v>
      </c>
      <c r="AC1973">
        <v>0</v>
      </c>
      <c r="AD1973">
        <v>10</v>
      </c>
      <c r="AE1973">
        <v>0</v>
      </c>
      <c r="AF1973">
        <v>0</v>
      </c>
      <c r="AG1973">
        <v>2</v>
      </c>
      <c r="AH1973">
        <v>1</v>
      </c>
      <c r="AI1973" t="s">
        <v>1439</v>
      </c>
      <c r="AJ1973">
        <v>34.865197999999999</v>
      </c>
      <c r="AK1973" t="s">
        <v>658</v>
      </c>
      <c r="AL1973">
        <v>-76.135597000000004</v>
      </c>
      <c r="AM1973">
        <v>25</v>
      </c>
      <c r="AN1973">
        <v>2650</v>
      </c>
      <c r="AO1973" t="s">
        <v>118</v>
      </c>
      <c r="AP1973">
        <v>-92</v>
      </c>
      <c r="AQ1973">
        <v>-128</v>
      </c>
      <c r="AR1973">
        <v>-1088</v>
      </c>
      <c r="AZ1973">
        <v>4516</v>
      </c>
      <c r="BA1973">
        <v>1</v>
      </c>
      <c r="BB1973" t="str">
        <f t="shared" si="192"/>
        <v xml:space="preserve">N79NX   </v>
      </c>
      <c r="BC1973">
        <v>1</v>
      </c>
      <c r="BE1973">
        <v>0</v>
      </c>
      <c r="BF1973">
        <v>0</v>
      </c>
      <c r="BG1973">
        <v>0</v>
      </c>
      <c r="BH1973">
        <v>2600</v>
      </c>
      <c r="BI1973">
        <v>0</v>
      </c>
      <c r="BJ1973">
        <v>0</v>
      </c>
      <c r="BK1973">
        <v>0</v>
      </c>
      <c r="BL1973">
        <v>0</v>
      </c>
      <c r="BO1973">
        <v>0</v>
      </c>
      <c r="BP1973">
        <v>0</v>
      </c>
      <c r="BW1973" t="str">
        <f>"18:56:38.205"</f>
        <v>18:56:38.205</v>
      </c>
      <c r="BZ1973">
        <v>0</v>
      </c>
      <c r="CA1973">
        <v>1792</v>
      </c>
      <c r="CB1973">
        <v>216</v>
      </c>
      <c r="CC1973">
        <v>593.4375</v>
      </c>
      <c r="CD1973">
        <v>1</v>
      </c>
      <c r="CE1973">
        <v>1</v>
      </c>
      <c r="CF1973">
        <v>0</v>
      </c>
      <c r="CG1973">
        <v>0</v>
      </c>
      <c r="CH1973">
        <v>0</v>
      </c>
      <c r="CI1973">
        <v>0</v>
      </c>
      <c r="CJ1973">
        <v>0</v>
      </c>
      <c r="CK1973">
        <v>2</v>
      </c>
      <c r="CL1973">
        <v>0</v>
      </c>
      <c r="CM1973">
        <v>2</v>
      </c>
      <c r="CN1973">
        <v>0</v>
      </c>
      <c r="CO1973">
        <v>1</v>
      </c>
      <c r="CP1973" t="s">
        <v>119</v>
      </c>
      <c r="CQ1973">
        <v>70</v>
      </c>
      <c r="CR1973">
        <v>1</v>
      </c>
      <c r="CW1973">
        <v>3709330</v>
      </c>
      <c r="CY1973">
        <v>0</v>
      </c>
      <c r="CZ1973">
        <v>0</v>
      </c>
      <c r="DA1973">
        <v>1</v>
      </c>
      <c r="DB1973">
        <v>0</v>
      </c>
      <c r="DC1973">
        <v>0</v>
      </c>
      <c r="DD1973">
        <v>0</v>
      </c>
      <c r="DE1973">
        <v>0</v>
      </c>
      <c r="DF1973">
        <v>0</v>
      </c>
      <c r="DG1973">
        <v>0</v>
      </c>
      <c r="DH1973">
        <v>0</v>
      </c>
      <c r="DI1973">
        <v>0</v>
      </c>
    </row>
    <row r="1974" spans="1:113" x14ac:dyDescent="0.3">
      <c r="A1974" t="str">
        <f>"02/13/2022 18:59:54.175"</f>
        <v>02/13/2022 18:59:54.175</v>
      </c>
      <c r="C1974" t="str">
        <f t="shared" si="191"/>
        <v>FFDFD7C0</v>
      </c>
      <c r="D1974" t="s">
        <v>121</v>
      </c>
      <c r="E1974">
        <v>2</v>
      </c>
      <c r="H1974">
        <v>158</v>
      </c>
      <c r="I1974" t="s">
        <v>120</v>
      </c>
      <c r="J1974" t="s">
        <v>122</v>
      </c>
      <c r="K1974">
        <v>0</v>
      </c>
      <c r="L1974">
        <v>3</v>
      </c>
      <c r="M1974">
        <v>1</v>
      </c>
      <c r="N1974">
        <v>0</v>
      </c>
      <c r="O1974">
        <v>1</v>
      </c>
      <c r="P1974">
        <v>0</v>
      </c>
      <c r="Q1974">
        <v>0</v>
      </c>
      <c r="S1974" t="str">
        <f>"18:59:53.883"</f>
        <v>18:59:53.883</v>
      </c>
      <c r="T1974" t="str">
        <f>"18:59:53.883"</f>
        <v>18:59:53.883</v>
      </c>
      <c r="U1974" t="str">
        <f t="shared" si="193"/>
        <v>AAB6EE</v>
      </c>
      <c r="V1974">
        <v>0</v>
      </c>
      <c r="W1974">
        <v>0</v>
      </c>
      <c r="X1974">
        <v>4</v>
      </c>
      <c r="Z1974">
        <v>0</v>
      </c>
      <c r="AA1974">
        <v>8</v>
      </c>
      <c r="AB1974">
        <v>3</v>
      </c>
      <c r="AC1974">
        <v>0</v>
      </c>
      <c r="AD1974">
        <v>10</v>
      </c>
      <c r="AE1974">
        <v>0</v>
      </c>
      <c r="AF1974">
        <v>0</v>
      </c>
      <c r="AG1974">
        <v>2</v>
      </c>
      <c r="AH1974">
        <v>0</v>
      </c>
      <c r="AI1974" t="s">
        <v>1440</v>
      </c>
      <c r="AJ1974">
        <v>34.812691000000001</v>
      </c>
      <c r="AK1974" t="s">
        <v>1441</v>
      </c>
      <c r="AL1974">
        <v>-76.258571000000003</v>
      </c>
      <c r="AM1974">
        <v>25</v>
      </c>
      <c r="AN1974">
        <v>2375</v>
      </c>
      <c r="AO1974" t="s">
        <v>118</v>
      </c>
      <c r="AP1974">
        <v>20</v>
      </c>
      <c r="AQ1974">
        <v>98</v>
      </c>
      <c r="AR1974">
        <v>3392</v>
      </c>
      <c r="AZ1974">
        <v>4516</v>
      </c>
      <c r="BA1974">
        <v>1</v>
      </c>
      <c r="BB1974" t="str">
        <f t="shared" si="192"/>
        <v xml:space="preserve">N79NX   </v>
      </c>
      <c r="BC1974">
        <v>1</v>
      </c>
      <c r="BE1974">
        <v>0</v>
      </c>
      <c r="BF1974">
        <v>0</v>
      </c>
      <c r="BG1974">
        <v>0</v>
      </c>
      <c r="BH1974">
        <v>2100</v>
      </c>
      <c r="BI1974">
        <v>0</v>
      </c>
      <c r="BJ1974">
        <v>0</v>
      </c>
      <c r="BK1974">
        <v>0</v>
      </c>
      <c r="BL1974">
        <v>0</v>
      </c>
      <c r="BO1974">
        <v>0</v>
      </c>
      <c r="BP1974">
        <v>0</v>
      </c>
      <c r="BW1974" t="str">
        <f>"18:59:53.886"</f>
        <v>18:59:53.886</v>
      </c>
      <c r="BZ1974">
        <v>0</v>
      </c>
      <c r="CA1974">
        <v>1888</v>
      </c>
      <c r="CB1974">
        <v>214.4</v>
      </c>
      <c r="CC1974">
        <v>625.78129999999999</v>
      </c>
      <c r="CD1974">
        <v>1</v>
      </c>
      <c r="CE1974">
        <v>0</v>
      </c>
      <c r="CF1974">
        <v>0</v>
      </c>
      <c r="CG1974">
        <v>1</v>
      </c>
      <c r="CH1974">
        <v>0</v>
      </c>
      <c r="CI1974">
        <v>1</v>
      </c>
      <c r="CJ1974">
        <v>0</v>
      </c>
      <c r="CK1974">
        <v>0</v>
      </c>
      <c r="CL1974">
        <v>0</v>
      </c>
      <c r="CM1974">
        <v>0</v>
      </c>
      <c r="CN1974">
        <v>0</v>
      </c>
      <c r="CO1974">
        <v>3</v>
      </c>
      <c r="CP1974" t="s">
        <v>119</v>
      </c>
      <c r="CQ1974">
        <v>70</v>
      </c>
      <c r="CR1974">
        <v>1</v>
      </c>
      <c r="CW1974">
        <v>3868463</v>
      </c>
      <c r="CY1974">
        <v>0</v>
      </c>
      <c r="CZ1974">
        <v>0</v>
      </c>
      <c r="DA1974">
        <v>0</v>
      </c>
      <c r="DB1974">
        <v>0</v>
      </c>
      <c r="DC1974">
        <v>0</v>
      </c>
      <c r="DD1974">
        <v>0</v>
      </c>
      <c r="DE1974">
        <v>0</v>
      </c>
      <c r="DF1974">
        <v>0</v>
      </c>
      <c r="DG1974">
        <v>1</v>
      </c>
      <c r="DH1974">
        <v>0</v>
      </c>
      <c r="DI1974">
        <v>0</v>
      </c>
    </row>
    <row r="1975" spans="1:113" x14ac:dyDescent="0.3">
      <c r="A1975" t="str">
        <f>"02/13/2022 18:59:55.240"</f>
        <v>02/13/2022 18:59:55.240</v>
      </c>
      <c r="C1975" t="str">
        <f t="shared" si="191"/>
        <v>FFDFD7C0</v>
      </c>
      <c r="D1975" t="s">
        <v>121</v>
      </c>
      <c r="E1975">
        <v>2</v>
      </c>
      <c r="H1975">
        <v>158</v>
      </c>
      <c r="I1975" t="s">
        <v>120</v>
      </c>
      <c r="J1975" t="s">
        <v>122</v>
      </c>
      <c r="K1975">
        <v>0</v>
      </c>
      <c r="L1975">
        <v>3</v>
      </c>
      <c r="M1975">
        <v>1</v>
      </c>
      <c r="N1975">
        <v>0</v>
      </c>
      <c r="O1975">
        <v>1</v>
      </c>
      <c r="P1975">
        <v>0</v>
      </c>
      <c r="Q1975">
        <v>0</v>
      </c>
      <c r="S1975" t="str">
        <f>"18:59:55.031"</f>
        <v>18:59:55.031</v>
      </c>
      <c r="T1975" t="str">
        <f>"18:59:53.931"</f>
        <v>18:59:53.931</v>
      </c>
      <c r="U1975" t="str">
        <f t="shared" si="193"/>
        <v>AAB6EE</v>
      </c>
      <c r="V1975">
        <v>0</v>
      </c>
      <c r="W1975">
        <v>0</v>
      </c>
      <c r="X1975">
        <v>4</v>
      </c>
      <c r="Z1975">
        <v>0</v>
      </c>
      <c r="AA1975">
        <v>8</v>
      </c>
      <c r="AB1975">
        <v>3</v>
      </c>
      <c r="AC1975">
        <v>0</v>
      </c>
      <c r="AD1975">
        <v>10</v>
      </c>
      <c r="AE1975">
        <v>0</v>
      </c>
      <c r="AF1975">
        <v>0</v>
      </c>
      <c r="AG1975">
        <v>2</v>
      </c>
      <c r="AH1975">
        <v>0</v>
      </c>
      <c r="AI1975" t="s">
        <v>1442</v>
      </c>
      <c r="AJ1975">
        <v>34.813248999999999</v>
      </c>
      <c r="AK1975" t="s">
        <v>1443</v>
      </c>
      <c r="AL1975">
        <v>-76.258398999999997</v>
      </c>
      <c r="AM1975">
        <v>25</v>
      </c>
      <c r="AN1975">
        <v>2450</v>
      </c>
      <c r="AO1975" t="s">
        <v>118</v>
      </c>
      <c r="AP1975">
        <v>20</v>
      </c>
      <c r="AQ1975">
        <v>98</v>
      </c>
      <c r="AR1975">
        <v>3392</v>
      </c>
      <c r="AZ1975">
        <v>4516</v>
      </c>
      <c r="BA1975">
        <v>1</v>
      </c>
      <c r="BB1975" t="str">
        <f t="shared" si="192"/>
        <v xml:space="preserve">N79NX   </v>
      </c>
      <c r="BC1975">
        <v>1</v>
      </c>
      <c r="BE1975">
        <v>0</v>
      </c>
      <c r="BF1975">
        <v>0</v>
      </c>
      <c r="BG1975">
        <v>0</v>
      </c>
      <c r="BH1975">
        <v>2100</v>
      </c>
      <c r="BI1975">
        <v>0</v>
      </c>
      <c r="BJ1975">
        <v>0</v>
      </c>
      <c r="BK1975">
        <v>0</v>
      </c>
      <c r="BL1975">
        <v>0</v>
      </c>
      <c r="BO1975">
        <v>0</v>
      </c>
      <c r="BP1975">
        <v>0</v>
      </c>
      <c r="BW1975" t="str">
        <f>"18:59:55.036"</f>
        <v>18:59:55.036</v>
      </c>
      <c r="BZ1975">
        <v>0</v>
      </c>
      <c r="CA1975">
        <v>1888</v>
      </c>
      <c r="CB1975">
        <v>214.4</v>
      </c>
      <c r="CC1975">
        <v>625.78129999999999</v>
      </c>
      <c r="CD1975">
        <v>1</v>
      </c>
      <c r="CE1975">
        <v>0</v>
      </c>
      <c r="CF1975">
        <v>0</v>
      </c>
      <c r="CG1975">
        <v>1</v>
      </c>
      <c r="CH1975">
        <v>0</v>
      </c>
      <c r="CI1975">
        <v>1</v>
      </c>
      <c r="CJ1975">
        <v>0</v>
      </c>
      <c r="CK1975">
        <v>0</v>
      </c>
      <c r="CL1975">
        <v>0</v>
      </c>
      <c r="CM1975">
        <v>0</v>
      </c>
      <c r="CN1975">
        <v>0</v>
      </c>
      <c r="CO1975">
        <v>3</v>
      </c>
      <c r="CP1975" t="s">
        <v>119</v>
      </c>
      <c r="CQ1975">
        <v>70</v>
      </c>
      <c r="CR1975">
        <v>1</v>
      </c>
      <c r="CW1975">
        <v>3869373</v>
      </c>
      <c r="CY1975">
        <v>0</v>
      </c>
      <c r="CZ1975">
        <v>0</v>
      </c>
      <c r="DA1975">
        <v>0</v>
      </c>
      <c r="DB1975">
        <v>0</v>
      </c>
      <c r="DC1975">
        <v>0</v>
      </c>
      <c r="DD1975">
        <v>0</v>
      </c>
      <c r="DE1975">
        <v>0</v>
      </c>
      <c r="DF1975">
        <v>0</v>
      </c>
      <c r="DG1975">
        <v>1</v>
      </c>
      <c r="DH1975">
        <v>0</v>
      </c>
      <c r="DI1975">
        <v>0</v>
      </c>
    </row>
    <row r="1976" spans="1:113" x14ac:dyDescent="0.3">
      <c r="A1976" t="str">
        <f>"02/13/2022 18:59:57.444"</f>
        <v>02/13/2022 18:59:57.444</v>
      </c>
      <c r="C1976" t="str">
        <f t="shared" si="191"/>
        <v>FFDFD7C0</v>
      </c>
      <c r="D1976" t="s">
        <v>113</v>
      </c>
      <c r="E1976">
        <v>3</v>
      </c>
      <c r="F1976">
        <v>1003</v>
      </c>
      <c r="G1976" t="s">
        <v>114</v>
      </c>
      <c r="J1976" t="s">
        <v>115</v>
      </c>
      <c r="K1976">
        <v>0</v>
      </c>
      <c r="L1976">
        <v>3</v>
      </c>
      <c r="M1976">
        <v>0</v>
      </c>
      <c r="N1976">
        <v>2</v>
      </c>
      <c r="O1976">
        <v>1</v>
      </c>
      <c r="P1976">
        <v>0</v>
      </c>
      <c r="Q1976">
        <v>0</v>
      </c>
      <c r="S1976" t="str">
        <f>"18:59:57.203"</f>
        <v>18:59:57.203</v>
      </c>
      <c r="T1976" t="str">
        <f>"18:59:56.903"</f>
        <v>18:59:56.903</v>
      </c>
      <c r="U1976" t="str">
        <f t="shared" si="193"/>
        <v>AAB6EE</v>
      </c>
      <c r="V1976">
        <v>0</v>
      </c>
      <c r="W1976">
        <v>0</v>
      </c>
      <c r="X1976">
        <v>4</v>
      </c>
      <c r="Z1976">
        <v>0</v>
      </c>
      <c r="AA1976">
        <v>8</v>
      </c>
      <c r="AB1976">
        <v>3</v>
      </c>
      <c r="AC1976">
        <v>0</v>
      </c>
      <c r="AD1976">
        <v>10</v>
      </c>
      <c r="AE1976">
        <v>0</v>
      </c>
      <c r="AF1976">
        <v>0</v>
      </c>
      <c r="AG1976">
        <v>2</v>
      </c>
      <c r="AH1976">
        <v>1</v>
      </c>
      <c r="AI1976" t="s">
        <v>1444</v>
      </c>
      <c r="AJ1976">
        <v>34.814171999999999</v>
      </c>
      <c r="AK1976" t="s">
        <v>1445</v>
      </c>
      <c r="AL1976">
        <v>-76.258184999999997</v>
      </c>
      <c r="AM1976">
        <v>25</v>
      </c>
      <c r="AN1976">
        <v>2550</v>
      </c>
      <c r="AO1976" t="s">
        <v>118</v>
      </c>
      <c r="AP1976">
        <v>17</v>
      </c>
      <c r="AQ1976">
        <v>91</v>
      </c>
      <c r="AR1976">
        <v>3200</v>
      </c>
      <c r="AZ1976">
        <v>4516</v>
      </c>
      <c r="BA1976">
        <v>1</v>
      </c>
      <c r="BB1976" t="str">
        <f t="shared" si="192"/>
        <v xml:space="preserve">N79NX   </v>
      </c>
      <c r="BC1976">
        <v>1</v>
      </c>
      <c r="BE1976">
        <v>0</v>
      </c>
      <c r="BF1976">
        <v>0</v>
      </c>
      <c r="BG1976">
        <v>0</v>
      </c>
      <c r="BH1976">
        <v>2300</v>
      </c>
      <c r="BI1976">
        <v>0</v>
      </c>
      <c r="BJ1976">
        <v>0</v>
      </c>
      <c r="BK1976">
        <v>0</v>
      </c>
      <c r="BL1976">
        <v>0</v>
      </c>
      <c r="BO1976">
        <v>0</v>
      </c>
      <c r="BP1976">
        <v>0</v>
      </c>
      <c r="BW1976" t="str">
        <f>"18:59:57.206"</f>
        <v>18:59:57.206</v>
      </c>
      <c r="BZ1976">
        <v>0</v>
      </c>
      <c r="CA1976">
        <v>1888</v>
      </c>
      <c r="CB1976">
        <v>214.4</v>
      </c>
      <c r="CC1976">
        <v>625.78129999999999</v>
      </c>
      <c r="CD1976">
        <v>1</v>
      </c>
      <c r="CE1976">
        <v>0</v>
      </c>
      <c r="CF1976">
        <v>0</v>
      </c>
      <c r="CG1976">
        <v>1</v>
      </c>
      <c r="CH1976">
        <v>0</v>
      </c>
      <c r="CI1976">
        <v>1</v>
      </c>
      <c r="CJ1976">
        <v>0</v>
      </c>
      <c r="CK1976">
        <v>2</v>
      </c>
      <c r="CL1976">
        <v>0</v>
      </c>
      <c r="CM1976">
        <v>2</v>
      </c>
      <c r="CN1976">
        <v>0</v>
      </c>
      <c r="CO1976">
        <v>4</v>
      </c>
      <c r="CP1976" t="s">
        <v>119</v>
      </c>
      <c r="CQ1976">
        <v>70</v>
      </c>
      <c r="CR1976">
        <v>1</v>
      </c>
      <c r="CW1976">
        <v>3871272</v>
      </c>
      <c r="CY1976">
        <v>0</v>
      </c>
      <c r="CZ1976">
        <v>0</v>
      </c>
      <c r="DA1976">
        <v>0</v>
      </c>
      <c r="DB1976">
        <v>0</v>
      </c>
      <c r="DC1976">
        <v>0</v>
      </c>
      <c r="DD1976">
        <v>0</v>
      </c>
      <c r="DE1976">
        <v>0</v>
      </c>
      <c r="DF1976">
        <v>0</v>
      </c>
      <c r="DG1976">
        <v>0</v>
      </c>
      <c r="DH1976">
        <v>0</v>
      </c>
      <c r="DI1976">
        <v>0</v>
      </c>
    </row>
    <row r="1977" spans="1:113" x14ac:dyDescent="0.3">
      <c r="A1977" t="str">
        <f>"02/13/2022 18:59:57.444"</f>
        <v>02/13/2022 18:59:57.444</v>
      </c>
      <c r="C1977" t="str">
        <f t="shared" si="191"/>
        <v>FFDFD7C0</v>
      </c>
      <c r="D1977" t="s">
        <v>113</v>
      </c>
      <c r="E1977">
        <v>4</v>
      </c>
      <c r="F1977">
        <v>1004</v>
      </c>
      <c r="G1977" t="s">
        <v>120</v>
      </c>
      <c r="J1977" t="s">
        <v>115</v>
      </c>
      <c r="K1977">
        <v>0</v>
      </c>
      <c r="L1977">
        <v>3</v>
      </c>
      <c r="M1977">
        <v>0</v>
      </c>
      <c r="N1977">
        <v>2</v>
      </c>
      <c r="O1977">
        <v>1</v>
      </c>
      <c r="P1977">
        <v>0</v>
      </c>
      <c r="Q1977">
        <v>0</v>
      </c>
      <c r="S1977" t="str">
        <f>"18:59:57.203"</f>
        <v>18:59:57.203</v>
      </c>
      <c r="T1977" t="str">
        <f>"18:59:56.903"</f>
        <v>18:59:56.903</v>
      </c>
      <c r="U1977" t="str">
        <f t="shared" si="193"/>
        <v>AAB6EE</v>
      </c>
      <c r="V1977">
        <v>0</v>
      </c>
      <c r="W1977">
        <v>0</v>
      </c>
      <c r="X1977">
        <v>4</v>
      </c>
      <c r="Z1977">
        <v>0</v>
      </c>
      <c r="AA1977">
        <v>8</v>
      </c>
      <c r="AB1977">
        <v>3</v>
      </c>
      <c r="AC1977">
        <v>0</v>
      </c>
      <c r="AD1977">
        <v>10</v>
      </c>
      <c r="AE1977">
        <v>0</v>
      </c>
      <c r="AF1977">
        <v>0</v>
      </c>
      <c r="AG1977">
        <v>2</v>
      </c>
      <c r="AH1977">
        <v>1</v>
      </c>
      <c r="AI1977" t="s">
        <v>1444</v>
      </c>
      <c r="AJ1977">
        <v>34.814171999999999</v>
      </c>
      <c r="AK1977" t="s">
        <v>1445</v>
      </c>
      <c r="AL1977">
        <v>-76.258184999999997</v>
      </c>
      <c r="AM1977">
        <v>25</v>
      </c>
      <c r="AN1977">
        <v>2550</v>
      </c>
      <c r="AO1977" t="s">
        <v>118</v>
      </c>
      <c r="AP1977">
        <v>17</v>
      </c>
      <c r="AQ1977">
        <v>91</v>
      </c>
      <c r="AR1977">
        <v>3200</v>
      </c>
      <c r="AZ1977">
        <v>4516</v>
      </c>
      <c r="BA1977">
        <v>1</v>
      </c>
      <c r="BB1977" t="str">
        <f t="shared" si="192"/>
        <v xml:space="preserve">N79NX   </v>
      </c>
      <c r="BC1977">
        <v>1</v>
      </c>
      <c r="BE1977">
        <v>0</v>
      </c>
      <c r="BF1977">
        <v>0</v>
      </c>
      <c r="BG1977">
        <v>0</v>
      </c>
      <c r="BH1977">
        <v>2300</v>
      </c>
      <c r="BI1977">
        <v>0</v>
      </c>
      <c r="BJ1977">
        <v>0</v>
      </c>
      <c r="BK1977">
        <v>0</v>
      </c>
      <c r="BL1977">
        <v>0</v>
      </c>
      <c r="BO1977">
        <v>0</v>
      </c>
      <c r="BP1977">
        <v>0</v>
      </c>
      <c r="BW1977" t="str">
        <f>"18:59:57.206"</f>
        <v>18:59:57.206</v>
      </c>
      <c r="BZ1977">
        <v>0</v>
      </c>
      <c r="CA1977">
        <v>1888</v>
      </c>
      <c r="CB1977">
        <v>214.4</v>
      </c>
      <c r="CC1977">
        <v>625.78129999999999</v>
      </c>
      <c r="CD1977">
        <v>1</v>
      </c>
      <c r="CE1977">
        <v>0</v>
      </c>
      <c r="CF1977">
        <v>0</v>
      </c>
      <c r="CG1977">
        <v>1</v>
      </c>
      <c r="CH1977">
        <v>0</v>
      </c>
      <c r="CI1977">
        <v>1</v>
      </c>
      <c r="CJ1977">
        <v>0</v>
      </c>
      <c r="CK1977">
        <v>2</v>
      </c>
      <c r="CL1977">
        <v>0</v>
      </c>
      <c r="CM1977">
        <v>2</v>
      </c>
      <c r="CN1977">
        <v>0</v>
      </c>
      <c r="CO1977">
        <v>4</v>
      </c>
      <c r="CP1977" t="s">
        <v>119</v>
      </c>
      <c r="CQ1977">
        <v>70</v>
      </c>
      <c r="CR1977">
        <v>1</v>
      </c>
      <c r="CW1977">
        <v>3871272</v>
      </c>
      <c r="CY1977">
        <v>0</v>
      </c>
      <c r="CZ1977">
        <v>0</v>
      </c>
      <c r="DA1977">
        <v>1</v>
      </c>
      <c r="DB1977">
        <v>0</v>
      </c>
      <c r="DC1977">
        <v>0</v>
      </c>
      <c r="DD1977">
        <v>0</v>
      </c>
      <c r="DE1977">
        <v>0</v>
      </c>
      <c r="DF1977">
        <v>0</v>
      </c>
      <c r="DG1977">
        <v>0</v>
      </c>
      <c r="DH1977">
        <v>0</v>
      </c>
      <c r="DI1977">
        <v>0</v>
      </c>
    </row>
    <row r="1978" spans="1:113" x14ac:dyDescent="0.3">
      <c r="A1978" t="str">
        <f>"02/13/2022 18:59:57.444"</f>
        <v>02/13/2022 18:59:57.444</v>
      </c>
      <c r="C1978" t="str">
        <f t="shared" si="191"/>
        <v>FFDFD7C0</v>
      </c>
      <c r="D1978" t="s">
        <v>121</v>
      </c>
      <c r="E1978">
        <v>2</v>
      </c>
      <c r="H1978">
        <v>158</v>
      </c>
      <c r="I1978" t="s">
        <v>120</v>
      </c>
      <c r="J1978" t="s">
        <v>122</v>
      </c>
      <c r="K1978">
        <v>0</v>
      </c>
      <c r="L1978">
        <v>3</v>
      </c>
      <c r="M1978">
        <v>0</v>
      </c>
      <c r="N1978">
        <v>2</v>
      </c>
      <c r="O1978">
        <v>1</v>
      </c>
      <c r="P1978">
        <v>0</v>
      </c>
      <c r="Q1978">
        <v>0</v>
      </c>
      <c r="S1978" t="str">
        <f>"18:59:57.203"</f>
        <v>18:59:57.203</v>
      </c>
      <c r="T1978" t="str">
        <f>"18:59:56.903"</f>
        <v>18:59:56.903</v>
      </c>
      <c r="U1978" t="str">
        <f t="shared" si="193"/>
        <v>AAB6EE</v>
      </c>
      <c r="V1978">
        <v>0</v>
      </c>
      <c r="W1978">
        <v>0</v>
      </c>
      <c r="X1978">
        <v>4</v>
      </c>
      <c r="Z1978">
        <v>0</v>
      </c>
      <c r="AA1978">
        <v>8</v>
      </c>
      <c r="AB1978">
        <v>3</v>
      </c>
      <c r="AC1978">
        <v>0</v>
      </c>
      <c r="AD1978">
        <v>10</v>
      </c>
      <c r="AE1978">
        <v>0</v>
      </c>
      <c r="AF1978">
        <v>0</v>
      </c>
      <c r="AG1978">
        <v>2</v>
      </c>
      <c r="AH1978">
        <v>1</v>
      </c>
      <c r="AI1978" t="s">
        <v>1444</v>
      </c>
      <c r="AJ1978">
        <v>34.814171999999999</v>
      </c>
      <c r="AK1978" t="s">
        <v>1445</v>
      </c>
      <c r="AL1978">
        <v>-76.258184999999997</v>
      </c>
      <c r="AM1978">
        <v>25</v>
      </c>
      <c r="AN1978">
        <v>2550</v>
      </c>
      <c r="AO1978" t="s">
        <v>118</v>
      </c>
      <c r="AP1978">
        <v>17</v>
      </c>
      <c r="AQ1978">
        <v>91</v>
      </c>
      <c r="AR1978">
        <v>3200</v>
      </c>
      <c r="AZ1978">
        <v>4516</v>
      </c>
      <c r="BA1978">
        <v>1</v>
      </c>
      <c r="BB1978" t="str">
        <f t="shared" si="192"/>
        <v xml:space="preserve">N79NX   </v>
      </c>
      <c r="BC1978">
        <v>1</v>
      </c>
      <c r="BE1978">
        <v>0</v>
      </c>
      <c r="BF1978">
        <v>0</v>
      </c>
      <c r="BG1978">
        <v>0</v>
      </c>
      <c r="BH1978">
        <v>2300</v>
      </c>
      <c r="BI1978">
        <v>0</v>
      </c>
      <c r="BJ1978">
        <v>0</v>
      </c>
      <c r="BK1978">
        <v>0</v>
      </c>
      <c r="BL1978">
        <v>0</v>
      </c>
      <c r="BO1978">
        <v>0</v>
      </c>
      <c r="BP1978">
        <v>0</v>
      </c>
      <c r="BW1978" t="str">
        <f>"18:59:57.206"</f>
        <v>18:59:57.206</v>
      </c>
      <c r="BZ1978">
        <v>0</v>
      </c>
      <c r="CA1978">
        <v>1888</v>
      </c>
      <c r="CB1978">
        <v>214.4</v>
      </c>
      <c r="CC1978">
        <v>625.78129999999999</v>
      </c>
      <c r="CD1978">
        <v>1</v>
      </c>
      <c r="CE1978">
        <v>0</v>
      </c>
      <c r="CF1978">
        <v>0</v>
      </c>
      <c r="CG1978">
        <v>1</v>
      </c>
      <c r="CH1978">
        <v>0</v>
      </c>
      <c r="CI1978">
        <v>1</v>
      </c>
      <c r="CJ1978">
        <v>0</v>
      </c>
      <c r="CK1978">
        <v>2</v>
      </c>
      <c r="CL1978">
        <v>0</v>
      </c>
      <c r="CM1978">
        <v>2</v>
      </c>
      <c r="CN1978">
        <v>0</v>
      </c>
      <c r="CO1978">
        <v>4</v>
      </c>
      <c r="CP1978" t="s">
        <v>119</v>
      </c>
      <c r="CQ1978">
        <v>70</v>
      </c>
      <c r="CR1978">
        <v>1</v>
      </c>
      <c r="CW1978">
        <v>3871272</v>
      </c>
      <c r="CY1978">
        <v>0</v>
      </c>
      <c r="CZ1978">
        <v>0</v>
      </c>
      <c r="DA1978">
        <v>1</v>
      </c>
      <c r="DB1978">
        <v>0</v>
      </c>
      <c r="DC1978">
        <v>0</v>
      </c>
      <c r="DD1978">
        <v>0</v>
      </c>
      <c r="DE1978">
        <v>0</v>
      </c>
      <c r="DF1978">
        <v>0</v>
      </c>
      <c r="DG1978">
        <v>0</v>
      </c>
      <c r="DH1978">
        <v>0</v>
      </c>
      <c r="DI1978">
        <v>0</v>
      </c>
    </row>
    <row r="1979" spans="1:113" x14ac:dyDescent="0.3">
      <c r="A1979" t="str">
        <f>"02/13/2022 18:59:58.507"</f>
        <v>02/13/2022 18:59:58.507</v>
      </c>
      <c r="C1979" t="str">
        <f t="shared" si="191"/>
        <v>FFDFD7C0</v>
      </c>
      <c r="D1979" t="s">
        <v>113</v>
      </c>
      <c r="E1979">
        <v>3</v>
      </c>
      <c r="F1979">
        <v>1003</v>
      </c>
      <c r="G1979" t="s">
        <v>114</v>
      </c>
      <c r="J1979" t="s">
        <v>115</v>
      </c>
      <c r="K1979">
        <v>0</v>
      </c>
      <c r="L1979">
        <v>3</v>
      </c>
      <c r="M1979">
        <v>0</v>
      </c>
      <c r="N1979">
        <v>2</v>
      </c>
      <c r="O1979">
        <v>1</v>
      </c>
      <c r="P1979">
        <v>0</v>
      </c>
      <c r="Q1979">
        <v>0</v>
      </c>
      <c r="S1979" t="str">
        <f t="shared" ref="S1979:T1981" si="195">"18:59:58.281"</f>
        <v>18:59:58.281</v>
      </c>
      <c r="T1979" t="str">
        <f t="shared" si="195"/>
        <v>18:59:58.281</v>
      </c>
      <c r="U1979" t="str">
        <f t="shared" si="193"/>
        <v>AAB6EE</v>
      </c>
      <c r="V1979">
        <v>0</v>
      </c>
      <c r="W1979">
        <v>0</v>
      </c>
      <c r="X1979">
        <v>4</v>
      </c>
      <c r="Z1979">
        <v>0</v>
      </c>
      <c r="AA1979">
        <v>8</v>
      </c>
      <c r="AB1979">
        <v>3</v>
      </c>
      <c r="AC1979">
        <v>0</v>
      </c>
      <c r="AD1979">
        <v>10</v>
      </c>
      <c r="AE1979">
        <v>0</v>
      </c>
      <c r="AF1979">
        <v>0</v>
      </c>
      <c r="AG1979">
        <v>2</v>
      </c>
      <c r="AH1979">
        <v>1</v>
      </c>
      <c r="AI1979" t="s">
        <v>1446</v>
      </c>
      <c r="AJ1979">
        <v>34.814601000000003</v>
      </c>
      <c r="AK1979" t="s">
        <v>1447</v>
      </c>
      <c r="AL1979">
        <v>-76.258099000000001</v>
      </c>
      <c r="AM1979">
        <v>25</v>
      </c>
      <c r="AN1979">
        <v>2625</v>
      </c>
      <c r="AO1979" t="s">
        <v>118</v>
      </c>
      <c r="AP1979">
        <v>12</v>
      </c>
      <c r="AQ1979">
        <v>87</v>
      </c>
      <c r="AR1979">
        <v>3264</v>
      </c>
      <c r="AZ1979">
        <v>4516</v>
      </c>
      <c r="BA1979">
        <v>1</v>
      </c>
      <c r="BB1979" t="str">
        <f t="shared" si="192"/>
        <v xml:space="preserve">N79NX   </v>
      </c>
      <c r="BC1979">
        <v>1</v>
      </c>
      <c r="BE1979">
        <v>0</v>
      </c>
      <c r="BF1979">
        <v>0</v>
      </c>
      <c r="BG1979">
        <v>0</v>
      </c>
      <c r="BH1979">
        <v>2425</v>
      </c>
      <c r="BI1979">
        <v>0</v>
      </c>
      <c r="BJ1979">
        <v>0</v>
      </c>
      <c r="BK1979">
        <v>0</v>
      </c>
      <c r="BL1979">
        <v>0</v>
      </c>
      <c r="BO1979">
        <v>0</v>
      </c>
      <c r="BP1979">
        <v>0</v>
      </c>
      <c r="BW1979" t="str">
        <f>"18:59:58.286"</f>
        <v>18:59:58.286</v>
      </c>
      <c r="BZ1979">
        <v>0</v>
      </c>
      <c r="CA1979">
        <v>1888</v>
      </c>
      <c r="CB1979">
        <v>214.4</v>
      </c>
      <c r="CC1979">
        <v>625.78129999999999</v>
      </c>
      <c r="CD1979">
        <v>1</v>
      </c>
      <c r="CE1979">
        <v>0</v>
      </c>
      <c r="CF1979">
        <v>0</v>
      </c>
      <c r="CG1979">
        <v>1</v>
      </c>
      <c r="CH1979">
        <v>0</v>
      </c>
      <c r="CI1979">
        <v>1</v>
      </c>
      <c r="CJ1979">
        <v>0</v>
      </c>
      <c r="CK1979">
        <v>2</v>
      </c>
      <c r="CL1979">
        <v>0</v>
      </c>
      <c r="CM1979">
        <v>2</v>
      </c>
      <c r="CN1979">
        <v>0</v>
      </c>
      <c r="CO1979">
        <v>5</v>
      </c>
      <c r="CP1979" t="s">
        <v>119</v>
      </c>
      <c r="CQ1979">
        <v>70</v>
      </c>
      <c r="CR1979">
        <v>1</v>
      </c>
      <c r="CW1979">
        <v>3872219</v>
      </c>
      <c r="CY1979">
        <v>0</v>
      </c>
      <c r="CZ1979">
        <v>0</v>
      </c>
      <c r="DA1979">
        <v>0</v>
      </c>
      <c r="DB1979">
        <v>0</v>
      </c>
      <c r="DC1979">
        <v>0</v>
      </c>
      <c r="DD1979">
        <v>0</v>
      </c>
      <c r="DE1979">
        <v>0</v>
      </c>
      <c r="DF1979">
        <v>0</v>
      </c>
      <c r="DG1979">
        <v>0</v>
      </c>
      <c r="DH1979">
        <v>0</v>
      </c>
      <c r="DI1979">
        <v>0</v>
      </c>
    </row>
    <row r="1980" spans="1:113" x14ac:dyDescent="0.3">
      <c r="A1980" t="str">
        <f>"02/13/2022 18:59:58.507"</f>
        <v>02/13/2022 18:59:58.507</v>
      </c>
      <c r="C1980" t="str">
        <f t="shared" si="191"/>
        <v>FFDFD7C0</v>
      </c>
      <c r="D1980" t="s">
        <v>113</v>
      </c>
      <c r="E1980">
        <v>4</v>
      </c>
      <c r="F1980">
        <v>1004</v>
      </c>
      <c r="G1980" t="s">
        <v>120</v>
      </c>
      <c r="J1980" t="s">
        <v>115</v>
      </c>
      <c r="K1980">
        <v>0</v>
      </c>
      <c r="L1980">
        <v>3</v>
      </c>
      <c r="M1980">
        <v>0</v>
      </c>
      <c r="N1980">
        <v>2</v>
      </c>
      <c r="O1980">
        <v>1</v>
      </c>
      <c r="P1980">
        <v>0</v>
      </c>
      <c r="Q1980">
        <v>0</v>
      </c>
      <c r="S1980" t="str">
        <f t="shared" si="195"/>
        <v>18:59:58.281</v>
      </c>
      <c r="T1980" t="str">
        <f t="shared" si="195"/>
        <v>18:59:58.281</v>
      </c>
      <c r="U1980" t="str">
        <f t="shared" si="193"/>
        <v>AAB6EE</v>
      </c>
      <c r="V1980">
        <v>0</v>
      </c>
      <c r="W1980">
        <v>0</v>
      </c>
      <c r="X1980">
        <v>4</v>
      </c>
      <c r="Z1980">
        <v>0</v>
      </c>
      <c r="AA1980">
        <v>8</v>
      </c>
      <c r="AB1980">
        <v>3</v>
      </c>
      <c r="AC1980">
        <v>0</v>
      </c>
      <c r="AD1980">
        <v>10</v>
      </c>
      <c r="AE1980">
        <v>0</v>
      </c>
      <c r="AF1980">
        <v>0</v>
      </c>
      <c r="AG1980">
        <v>2</v>
      </c>
      <c r="AH1980">
        <v>1</v>
      </c>
      <c r="AI1980" t="s">
        <v>1446</v>
      </c>
      <c r="AJ1980">
        <v>34.814601000000003</v>
      </c>
      <c r="AK1980" t="s">
        <v>1447</v>
      </c>
      <c r="AL1980">
        <v>-76.258099000000001</v>
      </c>
      <c r="AM1980">
        <v>25</v>
      </c>
      <c r="AN1980">
        <v>2625</v>
      </c>
      <c r="AO1980" t="s">
        <v>118</v>
      </c>
      <c r="AP1980">
        <v>12</v>
      </c>
      <c r="AQ1980">
        <v>87</v>
      </c>
      <c r="AR1980">
        <v>3264</v>
      </c>
      <c r="AZ1980">
        <v>4516</v>
      </c>
      <c r="BA1980">
        <v>1</v>
      </c>
      <c r="BB1980" t="str">
        <f t="shared" si="192"/>
        <v xml:space="preserve">N79NX   </v>
      </c>
      <c r="BC1980">
        <v>1</v>
      </c>
      <c r="BE1980">
        <v>0</v>
      </c>
      <c r="BF1980">
        <v>0</v>
      </c>
      <c r="BG1980">
        <v>0</v>
      </c>
      <c r="BH1980">
        <v>2425</v>
      </c>
      <c r="BI1980">
        <v>0</v>
      </c>
      <c r="BJ1980">
        <v>0</v>
      </c>
      <c r="BK1980">
        <v>0</v>
      </c>
      <c r="BL1980">
        <v>0</v>
      </c>
      <c r="BO1980">
        <v>0</v>
      </c>
      <c r="BP1980">
        <v>0</v>
      </c>
      <c r="BW1980" t="str">
        <f>"18:59:58.286"</f>
        <v>18:59:58.286</v>
      </c>
      <c r="BZ1980">
        <v>0</v>
      </c>
      <c r="CA1980">
        <v>1888</v>
      </c>
      <c r="CB1980">
        <v>214.4</v>
      </c>
      <c r="CC1980">
        <v>625.78129999999999</v>
      </c>
      <c r="CD1980">
        <v>1</v>
      </c>
      <c r="CE1980">
        <v>0</v>
      </c>
      <c r="CF1980">
        <v>0</v>
      </c>
      <c r="CG1980">
        <v>1</v>
      </c>
      <c r="CH1980">
        <v>0</v>
      </c>
      <c r="CI1980">
        <v>1</v>
      </c>
      <c r="CJ1980">
        <v>0</v>
      </c>
      <c r="CK1980">
        <v>2</v>
      </c>
      <c r="CL1980">
        <v>0</v>
      </c>
      <c r="CM1980">
        <v>2</v>
      </c>
      <c r="CN1980">
        <v>0</v>
      </c>
      <c r="CO1980">
        <v>5</v>
      </c>
      <c r="CP1980" t="s">
        <v>119</v>
      </c>
      <c r="CQ1980">
        <v>70</v>
      </c>
      <c r="CR1980">
        <v>1</v>
      </c>
      <c r="CW1980">
        <v>3872219</v>
      </c>
      <c r="CY1980">
        <v>0</v>
      </c>
      <c r="CZ1980">
        <v>0</v>
      </c>
      <c r="DA1980">
        <v>1</v>
      </c>
      <c r="DB1980">
        <v>0</v>
      </c>
      <c r="DC1980">
        <v>0</v>
      </c>
      <c r="DD1980">
        <v>0</v>
      </c>
      <c r="DE1980">
        <v>0</v>
      </c>
      <c r="DF1980">
        <v>0</v>
      </c>
      <c r="DG1980">
        <v>0</v>
      </c>
      <c r="DH1980">
        <v>0</v>
      </c>
      <c r="DI1980">
        <v>0</v>
      </c>
    </row>
    <row r="1981" spans="1:113" x14ac:dyDescent="0.3">
      <c r="A1981" t="str">
        <f>"02/13/2022 18:59:58.507"</f>
        <v>02/13/2022 18:59:58.507</v>
      </c>
      <c r="C1981" t="str">
        <f t="shared" si="191"/>
        <v>FFDFD7C0</v>
      </c>
      <c r="D1981" t="s">
        <v>121</v>
      </c>
      <c r="E1981">
        <v>2</v>
      </c>
      <c r="H1981">
        <v>158</v>
      </c>
      <c r="I1981" t="s">
        <v>120</v>
      </c>
      <c r="J1981" t="s">
        <v>122</v>
      </c>
      <c r="K1981">
        <v>0</v>
      </c>
      <c r="L1981">
        <v>3</v>
      </c>
      <c r="M1981">
        <v>0</v>
      </c>
      <c r="N1981">
        <v>2</v>
      </c>
      <c r="O1981">
        <v>1</v>
      </c>
      <c r="P1981">
        <v>0</v>
      </c>
      <c r="Q1981">
        <v>0</v>
      </c>
      <c r="S1981" t="str">
        <f t="shared" si="195"/>
        <v>18:59:58.281</v>
      </c>
      <c r="T1981" t="str">
        <f t="shared" si="195"/>
        <v>18:59:58.281</v>
      </c>
      <c r="U1981" t="str">
        <f t="shared" si="193"/>
        <v>AAB6EE</v>
      </c>
      <c r="V1981">
        <v>0</v>
      </c>
      <c r="W1981">
        <v>0</v>
      </c>
      <c r="X1981">
        <v>4</v>
      </c>
      <c r="Z1981">
        <v>0</v>
      </c>
      <c r="AA1981">
        <v>8</v>
      </c>
      <c r="AB1981">
        <v>3</v>
      </c>
      <c r="AC1981">
        <v>0</v>
      </c>
      <c r="AD1981">
        <v>10</v>
      </c>
      <c r="AE1981">
        <v>0</v>
      </c>
      <c r="AF1981">
        <v>0</v>
      </c>
      <c r="AG1981">
        <v>2</v>
      </c>
      <c r="AH1981">
        <v>1</v>
      </c>
      <c r="AI1981" t="s">
        <v>1446</v>
      </c>
      <c r="AJ1981">
        <v>34.814601000000003</v>
      </c>
      <c r="AK1981" t="s">
        <v>1447</v>
      </c>
      <c r="AL1981">
        <v>-76.258099000000001</v>
      </c>
      <c r="AM1981">
        <v>25</v>
      </c>
      <c r="AN1981">
        <v>2625</v>
      </c>
      <c r="AO1981" t="s">
        <v>118</v>
      </c>
      <c r="AP1981">
        <v>12</v>
      </c>
      <c r="AQ1981">
        <v>87</v>
      </c>
      <c r="AR1981">
        <v>3264</v>
      </c>
      <c r="AZ1981">
        <v>4516</v>
      </c>
      <c r="BA1981">
        <v>1</v>
      </c>
      <c r="BB1981" t="str">
        <f t="shared" si="192"/>
        <v xml:space="preserve">N79NX   </v>
      </c>
      <c r="BC1981">
        <v>1</v>
      </c>
      <c r="BE1981">
        <v>0</v>
      </c>
      <c r="BF1981">
        <v>0</v>
      </c>
      <c r="BG1981">
        <v>0</v>
      </c>
      <c r="BH1981">
        <v>2425</v>
      </c>
      <c r="BI1981">
        <v>0</v>
      </c>
      <c r="BJ1981">
        <v>0</v>
      </c>
      <c r="BK1981">
        <v>0</v>
      </c>
      <c r="BL1981">
        <v>0</v>
      </c>
      <c r="BO1981">
        <v>0</v>
      </c>
      <c r="BP1981">
        <v>0</v>
      </c>
      <c r="BW1981" t="str">
        <f>"18:59:58.286"</f>
        <v>18:59:58.286</v>
      </c>
      <c r="BZ1981">
        <v>0</v>
      </c>
      <c r="CA1981">
        <v>1888</v>
      </c>
      <c r="CB1981">
        <v>214.4</v>
      </c>
      <c r="CC1981">
        <v>625.78129999999999</v>
      </c>
      <c r="CD1981">
        <v>1</v>
      </c>
      <c r="CE1981">
        <v>0</v>
      </c>
      <c r="CF1981">
        <v>0</v>
      </c>
      <c r="CG1981">
        <v>1</v>
      </c>
      <c r="CH1981">
        <v>0</v>
      </c>
      <c r="CI1981">
        <v>1</v>
      </c>
      <c r="CJ1981">
        <v>0</v>
      </c>
      <c r="CK1981">
        <v>2</v>
      </c>
      <c r="CL1981">
        <v>0</v>
      </c>
      <c r="CM1981">
        <v>2</v>
      </c>
      <c r="CN1981">
        <v>0</v>
      </c>
      <c r="CO1981">
        <v>5</v>
      </c>
      <c r="CP1981" t="s">
        <v>119</v>
      </c>
      <c r="CQ1981">
        <v>70</v>
      </c>
      <c r="CR1981">
        <v>1</v>
      </c>
      <c r="CW1981">
        <v>3872219</v>
      </c>
      <c r="CY1981">
        <v>0</v>
      </c>
      <c r="CZ1981">
        <v>0</v>
      </c>
      <c r="DA1981">
        <v>1</v>
      </c>
      <c r="DB1981">
        <v>0</v>
      </c>
      <c r="DC1981">
        <v>0</v>
      </c>
      <c r="DD1981">
        <v>0</v>
      </c>
      <c r="DE1981">
        <v>0</v>
      </c>
      <c r="DF1981">
        <v>0</v>
      </c>
      <c r="DG1981">
        <v>0</v>
      </c>
      <c r="DH1981">
        <v>0</v>
      </c>
      <c r="DI1981">
        <v>0</v>
      </c>
    </row>
    <row r="1982" spans="1:113" x14ac:dyDescent="0.3">
      <c r="A1982" t="str">
        <f>"02/13/2022 18:59:59.556"</f>
        <v>02/13/2022 18:59:59.556</v>
      </c>
      <c r="C1982" t="str">
        <f t="shared" si="191"/>
        <v>FFDFD7C0</v>
      </c>
      <c r="D1982" t="s">
        <v>113</v>
      </c>
      <c r="E1982">
        <v>3</v>
      </c>
      <c r="F1982">
        <v>1003</v>
      </c>
      <c r="G1982" t="s">
        <v>114</v>
      </c>
      <c r="J1982" t="s">
        <v>115</v>
      </c>
      <c r="K1982">
        <v>0</v>
      </c>
      <c r="L1982">
        <v>3</v>
      </c>
      <c r="M1982">
        <v>0</v>
      </c>
      <c r="N1982">
        <v>2</v>
      </c>
      <c r="O1982">
        <v>1</v>
      </c>
      <c r="P1982">
        <v>0</v>
      </c>
      <c r="Q1982">
        <v>0</v>
      </c>
      <c r="S1982" t="str">
        <f>"18:59:59.219"</f>
        <v>18:59:59.219</v>
      </c>
      <c r="T1982" t="str">
        <f>"18:59:58.819"</f>
        <v>18:59:58.819</v>
      </c>
      <c r="U1982" t="str">
        <f t="shared" si="193"/>
        <v>AAB6EE</v>
      </c>
      <c r="V1982">
        <v>0</v>
      </c>
      <c r="W1982">
        <v>0</v>
      </c>
      <c r="X1982">
        <v>4</v>
      </c>
      <c r="Z1982">
        <v>0</v>
      </c>
      <c r="AA1982">
        <v>8</v>
      </c>
      <c r="AB1982">
        <v>3</v>
      </c>
      <c r="AC1982">
        <v>0</v>
      </c>
      <c r="AD1982">
        <v>10</v>
      </c>
      <c r="AE1982">
        <v>0</v>
      </c>
      <c r="AF1982">
        <v>0</v>
      </c>
      <c r="AG1982">
        <v>2</v>
      </c>
      <c r="AH1982">
        <v>1</v>
      </c>
      <c r="AI1982" t="s">
        <v>1448</v>
      </c>
      <c r="AJ1982">
        <v>34.81503</v>
      </c>
      <c r="AK1982" t="s">
        <v>1449</v>
      </c>
      <c r="AL1982">
        <v>-76.258055999999996</v>
      </c>
      <c r="AM1982">
        <v>25</v>
      </c>
      <c r="AN1982">
        <v>2675</v>
      </c>
      <c r="AO1982" t="s">
        <v>118</v>
      </c>
      <c r="AP1982">
        <v>10</v>
      </c>
      <c r="AQ1982">
        <v>86</v>
      </c>
      <c r="AR1982">
        <v>3136</v>
      </c>
      <c r="AZ1982">
        <v>4516</v>
      </c>
      <c r="BA1982">
        <v>1</v>
      </c>
      <c r="BB1982" t="str">
        <f t="shared" si="192"/>
        <v xml:space="preserve">N79NX   </v>
      </c>
      <c r="BC1982">
        <v>1</v>
      </c>
      <c r="BE1982">
        <v>0</v>
      </c>
      <c r="BF1982">
        <v>0</v>
      </c>
      <c r="BG1982">
        <v>0</v>
      </c>
      <c r="BH1982">
        <v>2475</v>
      </c>
      <c r="BI1982">
        <v>0</v>
      </c>
      <c r="BJ1982">
        <v>0</v>
      </c>
      <c r="BK1982">
        <v>0</v>
      </c>
      <c r="BL1982">
        <v>0</v>
      </c>
      <c r="BO1982">
        <v>0</v>
      </c>
      <c r="BP1982">
        <v>0</v>
      </c>
      <c r="BW1982" t="str">
        <f>"18:59:59.226"</f>
        <v>18:59:59.226</v>
      </c>
      <c r="BZ1982">
        <v>0</v>
      </c>
      <c r="CA1982">
        <v>1888</v>
      </c>
      <c r="CB1982">
        <v>214.4</v>
      </c>
      <c r="CC1982">
        <v>625.78129999999999</v>
      </c>
      <c r="CD1982">
        <v>1</v>
      </c>
      <c r="CE1982">
        <v>0</v>
      </c>
      <c r="CF1982">
        <v>0</v>
      </c>
      <c r="CG1982">
        <v>1</v>
      </c>
      <c r="CH1982">
        <v>0</v>
      </c>
      <c r="CI1982">
        <v>1</v>
      </c>
      <c r="CJ1982">
        <v>0</v>
      </c>
      <c r="CK1982">
        <v>2</v>
      </c>
      <c r="CL1982">
        <v>0</v>
      </c>
      <c r="CM1982">
        <v>2</v>
      </c>
      <c r="CN1982">
        <v>0</v>
      </c>
      <c r="CO1982">
        <v>4</v>
      </c>
      <c r="CP1982" t="s">
        <v>119</v>
      </c>
      <c r="CQ1982">
        <v>70</v>
      </c>
      <c r="CR1982">
        <v>1</v>
      </c>
      <c r="CW1982">
        <v>3872950</v>
      </c>
      <c r="CY1982">
        <v>0</v>
      </c>
      <c r="CZ1982">
        <v>0</v>
      </c>
      <c r="DA1982">
        <v>0</v>
      </c>
      <c r="DB1982">
        <v>0</v>
      </c>
      <c r="DC1982">
        <v>0</v>
      </c>
      <c r="DD1982">
        <v>0</v>
      </c>
      <c r="DE1982">
        <v>0</v>
      </c>
      <c r="DF1982">
        <v>0</v>
      </c>
      <c r="DG1982">
        <v>0</v>
      </c>
      <c r="DH1982">
        <v>0</v>
      </c>
      <c r="DI1982">
        <v>0</v>
      </c>
    </row>
    <row r="1983" spans="1:113" x14ac:dyDescent="0.3">
      <c r="A1983" t="str">
        <f>"02/13/2022 18:59:59.556"</f>
        <v>02/13/2022 18:59:59.556</v>
      </c>
      <c r="C1983" t="str">
        <f t="shared" si="191"/>
        <v>FFDFD7C0</v>
      </c>
      <c r="D1983" t="s">
        <v>113</v>
      </c>
      <c r="E1983">
        <v>4</v>
      </c>
      <c r="F1983">
        <v>1004</v>
      </c>
      <c r="G1983" t="s">
        <v>120</v>
      </c>
      <c r="J1983" t="s">
        <v>115</v>
      </c>
      <c r="K1983">
        <v>0</v>
      </c>
      <c r="L1983">
        <v>3</v>
      </c>
      <c r="M1983">
        <v>0</v>
      </c>
      <c r="N1983">
        <v>2</v>
      </c>
      <c r="O1983">
        <v>1</v>
      </c>
      <c r="P1983">
        <v>0</v>
      </c>
      <c r="Q1983">
        <v>0</v>
      </c>
      <c r="S1983" t="str">
        <f>"18:59:59.219"</f>
        <v>18:59:59.219</v>
      </c>
      <c r="T1983" t="str">
        <f>"18:59:58.819"</f>
        <v>18:59:58.819</v>
      </c>
      <c r="U1983" t="str">
        <f t="shared" si="193"/>
        <v>AAB6EE</v>
      </c>
      <c r="V1983">
        <v>0</v>
      </c>
      <c r="W1983">
        <v>0</v>
      </c>
      <c r="X1983">
        <v>4</v>
      </c>
      <c r="Z1983">
        <v>0</v>
      </c>
      <c r="AA1983">
        <v>8</v>
      </c>
      <c r="AB1983">
        <v>3</v>
      </c>
      <c r="AC1983">
        <v>0</v>
      </c>
      <c r="AD1983">
        <v>10</v>
      </c>
      <c r="AE1983">
        <v>0</v>
      </c>
      <c r="AF1983">
        <v>0</v>
      </c>
      <c r="AG1983">
        <v>2</v>
      </c>
      <c r="AH1983">
        <v>1</v>
      </c>
      <c r="AI1983" t="s">
        <v>1448</v>
      </c>
      <c r="AJ1983">
        <v>34.81503</v>
      </c>
      <c r="AK1983" t="s">
        <v>1449</v>
      </c>
      <c r="AL1983">
        <v>-76.258055999999996</v>
      </c>
      <c r="AM1983">
        <v>25</v>
      </c>
      <c r="AN1983">
        <v>2675</v>
      </c>
      <c r="AO1983" t="s">
        <v>118</v>
      </c>
      <c r="AP1983">
        <v>10</v>
      </c>
      <c r="AQ1983">
        <v>86</v>
      </c>
      <c r="AR1983">
        <v>3136</v>
      </c>
      <c r="AZ1983">
        <v>4516</v>
      </c>
      <c r="BA1983">
        <v>1</v>
      </c>
      <c r="BB1983" t="str">
        <f t="shared" si="192"/>
        <v xml:space="preserve">N79NX   </v>
      </c>
      <c r="BC1983">
        <v>1</v>
      </c>
      <c r="BE1983">
        <v>0</v>
      </c>
      <c r="BF1983">
        <v>0</v>
      </c>
      <c r="BG1983">
        <v>0</v>
      </c>
      <c r="BH1983">
        <v>2475</v>
      </c>
      <c r="BI1983">
        <v>0</v>
      </c>
      <c r="BJ1983">
        <v>0</v>
      </c>
      <c r="BK1983">
        <v>0</v>
      </c>
      <c r="BL1983">
        <v>0</v>
      </c>
      <c r="BO1983">
        <v>0</v>
      </c>
      <c r="BP1983">
        <v>0</v>
      </c>
      <c r="BW1983" t="str">
        <f>"18:59:59.226"</f>
        <v>18:59:59.226</v>
      </c>
      <c r="BZ1983">
        <v>0</v>
      </c>
      <c r="CA1983">
        <v>1888</v>
      </c>
      <c r="CB1983">
        <v>214.4</v>
      </c>
      <c r="CC1983">
        <v>625.78129999999999</v>
      </c>
      <c r="CD1983">
        <v>1</v>
      </c>
      <c r="CE1983">
        <v>0</v>
      </c>
      <c r="CF1983">
        <v>0</v>
      </c>
      <c r="CG1983">
        <v>1</v>
      </c>
      <c r="CH1983">
        <v>0</v>
      </c>
      <c r="CI1983">
        <v>1</v>
      </c>
      <c r="CJ1983">
        <v>0</v>
      </c>
      <c r="CK1983">
        <v>2</v>
      </c>
      <c r="CL1983">
        <v>0</v>
      </c>
      <c r="CM1983">
        <v>2</v>
      </c>
      <c r="CN1983">
        <v>0</v>
      </c>
      <c r="CO1983">
        <v>4</v>
      </c>
      <c r="CP1983" t="s">
        <v>119</v>
      </c>
      <c r="CQ1983">
        <v>70</v>
      </c>
      <c r="CR1983">
        <v>1</v>
      </c>
      <c r="CW1983">
        <v>3872950</v>
      </c>
      <c r="CY1983">
        <v>0</v>
      </c>
      <c r="CZ1983">
        <v>0</v>
      </c>
      <c r="DA1983">
        <v>1</v>
      </c>
      <c r="DB1983">
        <v>0</v>
      </c>
      <c r="DC1983">
        <v>0</v>
      </c>
      <c r="DD1983">
        <v>0</v>
      </c>
      <c r="DE1983">
        <v>0</v>
      </c>
      <c r="DF1983">
        <v>0</v>
      </c>
      <c r="DG1983">
        <v>0</v>
      </c>
      <c r="DH1983">
        <v>0</v>
      </c>
      <c r="DI1983">
        <v>0</v>
      </c>
    </row>
    <row r="1984" spans="1:113" x14ac:dyDescent="0.3">
      <c r="A1984" t="str">
        <f>"02/13/2022 18:59:59.556"</f>
        <v>02/13/2022 18:59:59.556</v>
      </c>
      <c r="C1984" t="str">
        <f t="shared" si="191"/>
        <v>FFDFD7C0</v>
      </c>
      <c r="D1984" t="s">
        <v>121</v>
      </c>
      <c r="E1984">
        <v>2</v>
      </c>
      <c r="H1984">
        <v>158</v>
      </c>
      <c r="I1984" t="s">
        <v>120</v>
      </c>
      <c r="J1984" t="s">
        <v>122</v>
      </c>
      <c r="K1984">
        <v>0</v>
      </c>
      <c r="L1984">
        <v>3</v>
      </c>
      <c r="M1984">
        <v>0</v>
      </c>
      <c r="N1984">
        <v>2</v>
      </c>
      <c r="O1984">
        <v>1</v>
      </c>
      <c r="P1984">
        <v>0</v>
      </c>
      <c r="Q1984">
        <v>0</v>
      </c>
      <c r="S1984" t="str">
        <f>"18:59:59.219"</f>
        <v>18:59:59.219</v>
      </c>
      <c r="T1984" t="str">
        <f>"18:59:58.819"</f>
        <v>18:59:58.819</v>
      </c>
      <c r="U1984" t="str">
        <f t="shared" si="193"/>
        <v>AAB6EE</v>
      </c>
      <c r="V1984">
        <v>0</v>
      </c>
      <c r="W1984">
        <v>0</v>
      </c>
      <c r="X1984">
        <v>4</v>
      </c>
      <c r="Z1984">
        <v>0</v>
      </c>
      <c r="AA1984">
        <v>8</v>
      </c>
      <c r="AB1984">
        <v>3</v>
      </c>
      <c r="AC1984">
        <v>0</v>
      </c>
      <c r="AD1984">
        <v>10</v>
      </c>
      <c r="AE1984">
        <v>0</v>
      </c>
      <c r="AF1984">
        <v>0</v>
      </c>
      <c r="AG1984">
        <v>2</v>
      </c>
      <c r="AH1984">
        <v>1</v>
      </c>
      <c r="AI1984" t="s">
        <v>1448</v>
      </c>
      <c r="AJ1984">
        <v>34.81503</v>
      </c>
      <c r="AK1984" t="s">
        <v>1449</v>
      </c>
      <c r="AL1984">
        <v>-76.258055999999996</v>
      </c>
      <c r="AM1984">
        <v>25</v>
      </c>
      <c r="AN1984">
        <v>2675</v>
      </c>
      <c r="AO1984" t="s">
        <v>118</v>
      </c>
      <c r="AP1984">
        <v>10</v>
      </c>
      <c r="AQ1984">
        <v>86</v>
      </c>
      <c r="AR1984">
        <v>3136</v>
      </c>
      <c r="AZ1984">
        <v>4516</v>
      </c>
      <c r="BA1984">
        <v>1</v>
      </c>
      <c r="BB1984" t="str">
        <f t="shared" si="192"/>
        <v xml:space="preserve">N79NX   </v>
      </c>
      <c r="BC1984">
        <v>1</v>
      </c>
      <c r="BE1984">
        <v>0</v>
      </c>
      <c r="BF1984">
        <v>0</v>
      </c>
      <c r="BG1984">
        <v>0</v>
      </c>
      <c r="BH1984">
        <v>2475</v>
      </c>
      <c r="BI1984">
        <v>0</v>
      </c>
      <c r="BJ1984">
        <v>0</v>
      </c>
      <c r="BK1984">
        <v>0</v>
      </c>
      <c r="BL1984">
        <v>0</v>
      </c>
      <c r="BO1984">
        <v>0</v>
      </c>
      <c r="BP1984">
        <v>0</v>
      </c>
      <c r="BW1984" t="str">
        <f>"18:59:59.226"</f>
        <v>18:59:59.226</v>
      </c>
      <c r="BZ1984">
        <v>0</v>
      </c>
      <c r="CA1984">
        <v>1888</v>
      </c>
      <c r="CB1984">
        <v>214.4</v>
      </c>
      <c r="CC1984">
        <v>625.78129999999999</v>
      </c>
      <c r="CD1984">
        <v>1</v>
      </c>
      <c r="CE1984">
        <v>0</v>
      </c>
      <c r="CF1984">
        <v>0</v>
      </c>
      <c r="CG1984">
        <v>1</v>
      </c>
      <c r="CH1984">
        <v>0</v>
      </c>
      <c r="CI1984">
        <v>1</v>
      </c>
      <c r="CJ1984">
        <v>0</v>
      </c>
      <c r="CK1984">
        <v>2</v>
      </c>
      <c r="CL1984">
        <v>0</v>
      </c>
      <c r="CM1984">
        <v>2</v>
      </c>
      <c r="CN1984">
        <v>0</v>
      </c>
      <c r="CO1984">
        <v>4</v>
      </c>
      <c r="CP1984" t="s">
        <v>119</v>
      </c>
      <c r="CQ1984">
        <v>70</v>
      </c>
      <c r="CR1984">
        <v>1</v>
      </c>
      <c r="CW1984">
        <v>3872950</v>
      </c>
      <c r="CY1984">
        <v>0</v>
      </c>
      <c r="CZ1984">
        <v>0</v>
      </c>
      <c r="DA1984">
        <v>1</v>
      </c>
      <c r="DB1984">
        <v>0</v>
      </c>
      <c r="DC1984">
        <v>0</v>
      </c>
      <c r="DD1984">
        <v>0</v>
      </c>
      <c r="DE1984">
        <v>0</v>
      </c>
      <c r="DF1984">
        <v>0</v>
      </c>
      <c r="DG1984">
        <v>0</v>
      </c>
      <c r="DH1984">
        <v>0</v>
      </c>
      <c r="DI1984">
        <v>0</v>
      </c>
    </row>
    <row r="1985" spans="1:113" x14ac:dyDescent="0.3">
      <c r="A1985" t="str">
        <f>"02/13/2022 19:00:00.353"</f>
        <v>02/13/2022 19:00:00.353</v>
      </c>
      <c r="C1985" t="str">
        <f t="shared" ref="C1985:C2048" si="196">"FFDFD7C0"</f>
        <v>FFDFD7C0</v>
      </c>
      <c r="D1985" t="s">
        <v>113</v>
      </c>
      <c r="E1985">
        <v>3</v>
      </c>
      <c r="F1985">
        <v>1003</v>
      </c>
      <c r="G1985" t="s">
        <v>114</v>
      </c>
      <c r="J1985" t="s">
        <v>115</v>
      </c>
      <c r="K1985">
        <v>0</v>
      </c>
      <c r="L1985">
        <v>3</v>
      </c>
      <c r="M1985">
        <v>0</v>
      </c>
      <c r="N1985">
        <v>2</v>
      </c>
      <c r="O1985">
        <v>1</v>
      </c>
      <c r="P1985">
        <v>0</v>
      </c>
      <c r="Q1985">
        <v>0</v>
      </c>
      <c r="S1985" t="str">
        <f>"19:00:00.133"</f>
        <v>19:00:00.133</v>
      </c>
      <c r="T1985" t="str">
        <f>"18:59:59.833"</f>
        <v>18:59:59.833</v>
      </c>
      <c r="U1985" t="str">
        <f t="shared" si="193"/>
        <v>AAB6EE</v>
      </c>
      <c r="V1985">
        <v>0</v>
      </c>
      <c r="W1985">
        <v>0</v>
      </c>
      <c r="X1985">
        <v>4</v>
      </c>
      <c r="Z1985">
        <v>0</v>
      </c>
      <c r="AA1985">
        <v>8</v>
      </c>
      <c r="AB1985">
        <v>3</v>
      </c>
      <c r="AC1985">
        <v>0</v>
      </c>
      <c r="AD1985">
        <v>10</v>
      </c>
      <c r="AE1985">
        <v>0</v>
      </c>
      <c r="AF1985">
        <v>0</v>
      </c>
      <c r="AG1985">
        <v>2</v>
      </c>
      <c r="AH1985">
        <v>1</v>
      </c>
      <c r="AI1985" t="s">
        <v>1450</v>
      </c>
      <c r="AJ1985">
        <v>34.815351999999997</v>
      </c>
      <c r="AK1985" t="s">
        <v>1449</v>
      </c>
      <c r="AL1985">
        <v>-76.258055999999996</v>
      </c>
      <c r="AM1985">
        <v>25</v>
      </c>
      <c r="AN1985">
        <v>2700</v>
      </c>
      <c r="AO1985" t="s">
        <v>118</v>
      </c>
      <c r="AP1985">
        <v>5</v>
      </c>
      <c r="AQ1985">
        <v>85</v>
      </c>
      <c r="AR1985">
        <v>2624</v>
      </c>
      <c r="AZ1985">
        <v>4516</v>
      </c>
      <c r="BA1985">
        <v>1</v>
      </c>
      <c r="BB1985" t="str">
        <f t="shared" ref="BB1985:BB2048" si="197">"N79NX   "</f>
        <v xml:space="preserve">N79NX   </v>
      </c>
      <c r="BC1985">
        <v>1</v>
      </c>
      <c r="BE1985">
        <v>0</v>
      </c>
      <c r="BF1985">
        <v>0</v>
      </c>
      <c r="BG1985">
        <v>0</v>
      </c>
      <c r="BH1985">
        <v>2525</v>
      </c>
      <c r="BI1985">
        <v>0</v>
      </c>
      <c r="BJ1985">
        <v>0</v>
      </c>
      <c r="BK1985">
        <v>0</v>
      </c>
      <c r="BL1985">
        <v>0</v>
      </c>
      <c r="BO1985">
        <v>0</v>
      </c>
      <c r="BP1985">
        <v>0</v>
      </c>
      <c r="BW1985" t="str">
        <f>"19:00:00.136"</f>
        <v>19:00:00.136</v>
      </c>
      <c r="BZ1985">
        <v>0</v>
      </c>
      <c r="CA1985">
        <v>1888</v>
      </c>
      <c r="CB1985">
        <v>214.4</v>
      </c>
      <c r="CC1985">
        <v>625.78129999999999</v>
      </c>
      <c r="CD1985">
        <v>1</v>
      </c>
      <c r="CE1985">
        <v>0</v>
      </c>
      <c r="CF1985">
        <v>0</v>
      </c>
      <c r="CG1985">
        <v>1</v>
      </c>
      <c r="CH1985">
        <v>0</v>
      </c>
      <c r="CI1985">
        <v>1</v>
      </c>
      <c r="CJ1985">
        <v>0</v>
      </c>
      <c r="CK1985">
        <v>2</v>
      </c>
      <c r="CL1985">
        <v>0</v>
      </c>
      <c r="CM1985">
        <v>2</v>
      </c>
      <c r="CN1985">
        <v>0</v>
      </c>
      <c r="CO1985">
        <v>4</v>
      </c>
      <c r="CP1985" t="s">
        <v>119</v>
      </c>
      <c r="CQ1985">
        <v>70</v>
      </c>
      <c r="CR1985">
        <v>1</v>
      </c>
      <c r="CW1985">
        <v>3873718</v>
      </c>
      <c r="CY1985">
        <v>0</v>
      </c>
      <c r="CZ1985">
        <v>0</v>
      </c>
      <c r="DA1985">
        <v>0</v>
      </c>
      <c r="DB1985">
        <v>0</v>
      </c>
      <c r="DC1985">
        <v>0</v>
      </c>
      <c r="DD1985">
        <v>0</v>
      </c>
      <c r="DE1985">
        <v>0</v>
      </c>
      <c r="DF1985">
        <v>0</v>
      </c>
      <c r="DG1985">
        <v>0</v>
      </c>
      <c r="DH1985">
        <v>0</v>
      </c>
      <c r="DI1985">
        <v>0</v>
      </c>
    </row>
    <row r="1986" spans="1:113" x14ac:dyDescent="0.3">
      <c r="A1986" t="str">
        <f>"02/13/2022 19:00:00.353"</f>
        <v>02/13/2022 19:00:00.353</v>
      </c>
      <c r="C1986" t="str">
        <f t="shared" si="196"/>
        <v>FFDFD7C0</v>
      </c>
      <c r="D1986" t="s">
        <v>113</v>
      </c>
      <c r="E1986">
        <v>4</v>
      </c>
      <c r="F1986">
        <v>1004</v>
      </c>
      <c r="G1986" t="s">
        <v>120</v>
      </c>
      <c r="J1986" t="s">
        <v>115</v>
      </c>
      <c r="K1986">
        <v>0</v>
      </c>
      <c r="L1986">
        <v>3</v>
      </c>
      <c r="M1986">
        <v>0</v>
      </c>
      <c r="N1986">
        <v>2</v>
      </c>
      <c r="O1986">
        <v>1</v>
      </c>
      <c r="P1986">
        <v>0</v>
      </c>
      <c r="Q1986">
        <v>0</v>
      </c>
      <c r="S1986" t="str">
        <f>"19:00:00.133"</f>
        <v>19:00:00.133</v>
      </c>
      <c r="T1986" t="str">
        <f>"18:59:59.833"</f>
        <v>18:59:59.833</v>
      </c>
      <c r="U1986" t="str">
        <f t="shared" ref="U1986:U2049" si="198">"AAB6EE"</f>
        <v>AAB6EE</v>
      </c>
      <c r="V1986">
        <v>0</v>
      </c>
      <c r="W1986">
        <v>0</v>
      </c>
      <c r="X1986">
        <v>4</v>
      </c>
      <c r="Z1986">
        <v>0</v>
      </c>
      <c r="AA1986">
        <v>8</v>
      </c>
      <c r="AB1986">
        <v>3</v>
      </c>
      <c r="AC1986">
        <v>0</v>
      </c>
      <c r="AD1986">
        <v>10</v>
      </c>
      <c r="AE1986">
        <v>0</v>
      </c>
      <c r="AF1986">
        <v>0</v>
      </c>
      <c r="AG1986">
        <v>2</v>
      </c>
      <c r="AH1986">
        <v>1</v>
      </c>
      <c r="AI1986" t="s">
        <v>1450</v>
      </c>
      <c r="AJ1986">
        <v>34.815351999999997</v>
      </c>
      <c r="AK1986" t="s">
        <v>1449</v>
      </c>
      <c r="AL1986">
        <v>-76.258055999999996</v>
      </c>
      <c r="AM1986">
        <v>25</v>
      </c>
      <c r="AN1986">
        <v>2700</v>
      </c>
      <c r="AO1986" t="s">
        <v>118</v>
      </c>
      <c r="AP1986">
        <v>5</v>
      </c>
      <c r="AQ1986">
        <v>85</v>
      </c>
      <c r="AR1986">
        <v>2624</v>
      </c>
      <c r="AZ1986">
        <v>4516</v>
      </c>
      <c r="BA1986">
        <v>1</v>
      </c>
      <c r="BB1986" t="str">
        <f t="shared" si="197"/>
        <v xml:space="preserve">N79NX   </v>
      </c>
      <c r="BC1986">
        <v>1</v>
      </c>
      <c r="BE1986">
        <v>0</v>
      </c>
      <c r="BF1986">
        <v>0</v>
      </c>
      <c r="BG1986">
        <v>0</v>
      </c>
      <c r="BH1986">
        <v>2525</v>
      </c>
      <c r="BI1986">
        <v>0</v>
      </c>
      <c r="BJ1986">
        <v>0</v>
      </c>
      <c r="BK1986">
        <v>0</v>
      </c>
      <c r="BL1986">
        <v>0</v>
      </c>
      <c r="BO1986">
        <v>0</v>
      </c>
      <c r="BP1986">
        <v>0</v>
      </c>
      <c r="BW1986" t="str">
        <f>"19:00:00.136"</f>
        <v>19:00:00.136</v>
      </c>
      <c r="BZ1986">
        <v>0</v>
      </c>
      <c r="CA1986">
        <v>1888</v>
      </c>
      <c r="CB1986">
        <v>214.4</v>
      </c>
      <c r="CC1986">
        <v>625.78129999999999</v>
      </c>
      <c r="CD1986">
        <v>1</v>
      </c>
      <c r="CE1986">
        <v>0</v>
      </c>
      <c r="CF1986">
        <v>0</v>
      </c>
      <c r="CG1986">
        <v>1</v>
      </c>
      <c r="CH1986">
        <v>0</v>
      </c>
      <c r="CI1986">
        <v>1</v>
      </c>
      <c r="CJ1986">
        <v>0</v>
      </c>
      <c r="CK1986">
        <v>2</v>
      </c>
      <c r="CL1986">
        <v>0</v>
      </c>
      <c r="CM1986">
        <v>2</v>
      </c>
      <c r="CN1986">
        <v>0</v>
      </c>
      <c r="CO1986">
        <v>4</v>
      </c>
      <c r="CP1986" t="s">
        <v>119</v>
      </c>
      <c r="CQ1986">
        <v>70</v>
      </c>
      <c r="CR1986">
        <v>1</v>
      </c>
      <c r="CW1986">
        <v>3873718</v>
      </c>
      <c r="CY1986">
        <v>0</v>
      </c>
      <c r="CZ1986">
        <v>0</v>
      </c>
      <c r="DA1986">
        <v>1</v>
      </c>
      <c r="DB1986">
        <v>0</v>
      </c>
      <c r="DC1986">
        <v>0</v>
      </c>
      <c r="DD1986">
        <v>0</v>
      </c>
      <c r="DE1986">
        <v>0</v>
      </c>
      <c r="DF1986">
        <v>0</v>
      </c>
      <c r="DG1986">
        <v>0</v>
      </c>
      <c r="DH1986">
        <v>0</v>
      </c>
      <c r="DI1986">
        <v>0</v>
      </c>
    </row>
    <row r="1987" spans="1:113" x14ac:dyDescent="0.3">
      <c r="A1987" t="str">
        <f>"02/13/2022 19:00:00.415"</f>
        <v>02/13/2022 19:00:00.415</v>
      </c>
      <c r="C1987" t="str">
        <f t="shared" si="196"/>
        <v>FFDFD7C0</v>
      </c>
      <c r="D1987" t="s">
        <v>121</v>
      </c>
      <c r="E1987">
        <v>2</v>
      </c>
      <c r="H1987">
        <v>158</v>
      </c>
      <c r="I1987" t="s">
        <v>120</v>
      </c>
      <c r="J1987" t="s">
        <v>122</v>
      </c>
      <c r="K1987">
        <v>0</v>
      </c>
      <c r="L1987">
        <v>3</v>
      </c>
      <c r="M1987">
        <v>0</v>
      </c>
      <c r="N1987">
        <v>2</v>
      </c>
      <c r="O1987">
        <v>1</v>
      </c>
      <c r="P1987">
        <v>0</v>
      </c>
      <c r="Q1987">
        <v>0</v>
      </c>
      <c r="S1987" t="str">
        <f>"19:00:00.133"</f>
        <v>19:00:00.133</v>
      </c>
      <c r="T1987" t="str">
        <f>"18:59:59.833"</f>
        <v>18:59:59.833</v>
      </c>
      <c r="U1987" t="str">
        <f t="shared" si="198"/>
        <v>AAB6EE</v>
      </c>
      <c r="V1987">
        <v>0</v>
      </c>
      <c r="W1987">
        <v>0</v>
      </c>
      <c r="X1987">
        <v>4</v>
      </c>
      <c r="Z1987">
        <v>0</v>
      </c>
      <c r="AA1987">
        <v>8</v>
      </c>
      <c r="AB1987">
        <v>3</v>
      </c>
      <c r="AC1987">
        <v>0</v>
      </c>
      <c r="AD1987">
        <v>10</v>
      </c>
      <c r="AE1987">
        <v>0</v>
      </c>
      <c r="AF1987">
        <v>0</v>
      </c>
      <c r="AG1987">
        <v>2</v>
      </c>
      <c r="AH1987">
        <v>1</v>
      </c>
      <c r="AI1987" t="s">
        <v>1450</v>
      </c>
      <c r="AJ1987">
        <v>34.815351999999997</v>
      </c>
      <c r="AK1987" t="s">
        <v>1449</v>
      </c>
      <c r="AL1987">
        <v>-76.258055999999996</v>
      </c>
      <c r="AM1987">
        <v>25</v>
      </c>
      <c r="AN1987">
        <v>2700</v>
      </c>
      <c r="AO1987" t="s">
        <v>118</v>
      </c>
      <c r="AP1987">
        <v>5</v>
      </c>
      <c r="AQ1987">
        <v>85</v>
      </c>
      <c r="AR1987">
        <v>2624</v>
      </c>
      <c r="AZ1987">
        <v>4516</v>
      </c>
      <c r="BA1987">
        <v>1</v>
      </c>
      <c r="BB1987" t="str">
        <f t="shared" si="197"/>
        <v xml:space="preserve">N79NX   </v>
      </c>
      <c r="BC1987">
        <v>1</v>
      </c>
      <c r="BE1987">
        <v>0</v>
      </c>
      <c r="BF1987">
        <v>0</v>
      </c>
      <c r="BG1987">
        <v>0</v>
      </c>
      <c r="BH1987">
        <v>2525</v>
      </c>
      <c r="BI1987">
        <v>0</v>
      </c>
      <c r="BJ1987">
        <v>0</v>
      </c>
      <c r="BK1987">
        <v>0</v>
      </c>
      <c r="BL1987">
        <v>0</v>
      </c>
      <c r="BO1987">
        <v>0</v>
      </c>
      <c r="BP1987">
        <v>0</v>
      </c>
      <c r="BW1987" t="str">
        <f>"19:00:00.136"</f>
        <v>19:00:00.136</v>
      </c>
      <c r="BZ1987">
        <v>0</v>
      </c>
      <c r="CA1987">
        <v>1888</v>
      </c>
      <c r="CB1987">
        <v>214.4</v>
      </c>
      <c r="CC1987">
        <v>625.78129999999999</v>
      </c>
      <c r="CD1987">
        <v>1</v>
      </c>
      <c r="CE1987">
        <v>0</v>
      </c>
      <c r="CF1987">
        <v>0</v>
      </c>
      <c r="CG1987">
        <v>1</v>
      </c>
      <c r="CH1987">
        <v>0</v>
      </c>
      <c r="CI1987">
        <v>1</v>
      </c>
      <c r="CJ1987">
        <v>0</v>
      </c>
      <c r="CK1987">
        <v>2</v>
      </c>
      <c r="CL1987">
        <v>0</v>
      </c>
      <c r="CM1987">
        <v>2</v>
      </c>
      <c r="CN1987">
        <v>0</v>
      </c>
      <c r="CO1987">
        <v>4</v>
      </c>
      <c r="CP1987" t="s">
        <v>119</v>
      </c>
      <c r="CQ1987">
        <v>70</v>
      </c>
      <c r="CR1987">
        <v>1</v>
      </c>
      <c r="CW1987">
        <v>3873718</v>
      </c>
      <c r="CY1987">
        <v>0</v>
      </c>
      <c r="CZ1987">
        <v>0</v>
      </c>
      <c r="DA1987">
        <v>1</v>
      </c>
      <c r="DB1987">
        <v>0</v>
      </c>
      <c r="DC1987">
        <v>0</v>
      </c>
      <c r="DD1987">
        <v>0</v>
      </c>
      <c r="DE1987">
        <v>0</v>
      </c>
      <c r="DF1987">
        <v>0</v>
      </c>
      <c r="DG1987">
        <v>0</v>
      </c>
      <c r="DH1987">
        <v>0</v>
      </c>
      <c r="DI1987">
        <v>0</v>
      </c>
    </row>
    <row r="1988" spans="1:113" x14ac:dyDescent="0.3">
      <c r="A1988" t="str">
        <f>"02/13/2022 19:00:01.387"</f>
        <v>02/13/2022 19:00:01.387</v>
      </c>
      <c r="C1988" t="str">
        <f t="shared" si="196"/>
        <v>FFDFD7C0</v>
      </c>
      <c r="D1988" t="s">
        <v>113</v>
      </c>
      <c r="E1988">
        <v>4</v>
      </c>
      <c r="F1988">
        <v>1004</v>
      </c>
      <c r="G1988" t="s">
        <v>120</v>
      </c>
      <c r="J1988" t="s">
        <v>115</v>
      </c>
      <c r="K1988">
        <v>0</v>
      </c>
      <c r="L1988">
        <v>3</v>
      </c>
      <c r="M1988">
        <v>0</v>
      </c>
      <c r="N1988">
        <v>2</v>
      </c>
      <c r="O1988">
        <v>1</v>
      </c>
      <c r="P1988">
        <v>0</v>
      </c>
      <c r="Q1988">
        <v>0</v>
      </c>
      <c r="S1988" t="str">
        <f>"19:00:01.180"</f>
        <v>19:00:01.180</v>
      </c>
      <c r="T1988" t="str">
        <f>"19:00:00.780"</f>
        <v>19:00:00.780</v>
      </c>
      <c r="U1988" t="str">
        <f t="shared" si="198"/>
        <v>AAB6EE</v>
      </c>
      <c r="V1988">
        <v>0</v>
      </c>
      <c r="W1988">
        <v>0</v>
      </c>
      <c r="X1988">
        <v>4</v>
      </c>
      <c r="Z1988">
        <v>0</v>
      </c>
      <c r="AA1988">
        <v>8</v>
      </c>
      <c r="AB1988">
        <v>3</v>
      </c>
      <c r="AC1988">
        <v>0</v>
      </c>
      <c r="AD1988">
        <v>10</v>
      </c>
      <c r="AE1988">
        <v>0</v>
      </c>
      <c r="AF1988">
        <v>0</v>
      </c>
      <c r="AG1988">
        <v>2</v>
      </c>
      <c r="AH1988">
        <v>1</v>
      </c>
      <c r="AI1988" t="s">
        <v>1451</v>
      </c>
      <c r="AJ1988">
        <v>34.815759999999997</v>
      </c>
      <c r="AK1988" t="s">
        <v>1449</v>
      </c>
      <c r="AL1988">
        <v>-76.258055999999996</v>
      </c>
      <c r="AM1988">
        <v>25</v>
      </c>
      <c r="AN1988">
        <v>2750</v>
      </c>
      <c r="AO1988" t="s">
        <v>118</v>
      </c>
      <c r="AP1988">
        <v>1</v>
      </c>
      <c r="AQ1988">
        <v>85</v>
      </c>
      <c r="AR1988">
        <v>2176</v>
      </c>
      <c r="AZ1988">
        <v>4516</v>
      </c>
      <c r="BA1988">
        <v>1</v>
      </c>
      <c r="BB1988" t="str">
        <f t="shared" si="197"/>
        <v xml:space="preserve">N79NX   </v>
      </c>
      <c r="BC1988">
        <v>1</v>
      </c>
      <c r="BE1988">
        <v>0</v>
      </c>
      <c r="BF1988">
        <v>0</v>
      </c>
      <c r="BG1988">
        <v>0</v>
      </c>
      <c r="BH1988">
        <v>2550</v>
      </c>
      <c r="BI1988">
        <v>0</v>
      </c>
      <c r="BJ1988">
        <v>0</v>
      </c>
      <c r="BK1988">
        <v>0</v>
      </c>
      <c r="BL1988">
        <v>0</v>
      </c>
      <c r="BO1988">
        <v>0</v>
      </c>
      <c r="BP1988">
        <v>0</v>
      </c>
      <c r="BW1988" t="str">
        <f>"19:00:01.186"</f>
        <v>19:00:01.186</v>
      </c>
      <c r="BZ1988">
        <v>0</v>
      </c>
      <c r="CA1988">
        <v>1888</v>
      </c>
      <c r="CB1988">
        <v>214.4</v>
      </c>
      <c r="CC1988">
        <v>625.78129999999999</v>
      </c>
      <c r="CD1988">
        <v>1</v>
      </c>
      <c r="CE1988">
        <v>0</v>
      </c>
      <c r="CF1988">
        <v>0</v>
      </c>
      <c r="CG1988">
        <v>1</v>
      </c>
      <c r="CH1988">
        <v>0</v>
      </c>
      <c r="CI1988">
        <v>1</v>
      </c>
      <c r="CJ1988">
        <v>0</v>
      </c>
      <c r="CK1988">
        <v>2</v>
      </c>
      <c r="CL1988">
        <v>0</v>
      </c>
      <c r="CM1988">
        <v>2</v>
      </c>
      <c r="CN1988">
        <v>0</v>
      </c>
      <c r="CO1988">
        <v>4</v>
      </c>
      <c r="CP1988" t="s">
        <v>119</v>
      </c>
      <c r="CQ1988">
        <v>70</v>
      </c>
      <c r="CR1988">
        <v>1</v>
      </c>
      <c r="CW1988">
        <v>3874616</v>
      </c>
      <c r="CY1988">
        <v>0</v>
      </c>
      <c r="CZ1988">
        <v>0</v>
      </c>
      <c r="DA1988">
        <v>0</v>
      </c>
      <c r="DB1988">
        <v>0</v>
      </c>
      <c r="DC1988">
        <v>0</v>
      </c>
      <c r="DD1988">
        <v>0</v>
      </c>
      <c r="DE1988">
        <v>0</v>
      </c>
      <c r="DF1988">
        <v>0</v>
      </c>
      <c r="DG1988">
        <v>0</v>
      </c>
      <c r="DH1988">
        <v>0</v>
      </c>
      <c r="DI1988">
        <v>0</v>
      </c>
    </row>
    <row r="1989" spans="1:113" x14ac:dyDescent="0.3">
      <c r="A1989" t="str">
        <f>"02/13/2022 19:00:01.434"</f>
        <v>02/13/2022 19:00:01.434</v>
      </c>
      <c r="C1989" t="str">
        <f t="shared" si="196"/>
        <v>FFDFD7C0</v>
      </c>
      <c r="D1989" t="s">
        <v>121</v>
      </c>
      <c r="E1989">
        <v>2</v>
      </c>
      <c r="H1989">
        <v>158</v>
      </c>
      <c r="I1989" t="s">
        <v>120</v>
      </c>
      <c r="J1989" t="s">
        <v>122</v>
      </c>
      <c r="K1989">
        <v>0</v>
      </c>
      <c r="L1989">
        <v>3</v>
      </c>
      <c r="M1989">
        <v>0</v>
      </c>
      <c r="N1989">
        <v>2</v>
      </c>
      <c r="O1989">
        <v>1</v>
      </c>
      <c r="P1989">
        <v>0</v>
      </c>
      <c r="Q1989">
        <v>0</v>
      </c>
      <c r="S1989" t="str">
        <f>"19:00:01.180"</f>
        <v>19:00:01.180</v>
      </c>
      <c r="T1989" t="str">
        <f>"19:00:00.780"</f>
        <v>19:00:00.780</v>
      </c>
      <c r="U1989" t="str">
        <f t="shared" si="198"/>
        <v>AAB6EE</v>
      </c>
      <c r="V1989">
        <v>0</v>
      </c>
      <c r="W1989">
        <v>0</v>
      </c>
      <c r="X1989">
        <v>4</v>
      </c>
      <c r="Z1989">
        <v>0</v>
      </c>
      <c r="AA1989">
        <v>8</v>
      </c>
      <c r="AB1989">
        <v>3</v>
      </c>
      <c r="AC1989">
        <v>0</v>
      </c>
      <c r="AD1989">
        <v>10</v>
      </c>
      <c r="AE1989">
        <v>0</v>
      </c>
      <c r="AF1989">
        <v>0</v>
      </c>
      <c r="AG1989">
        <v>2</v>
      </c>
      <c r="AH1989">
        <v>1</v>
      </c>
      <c r="AI1989" t="s">
        <v>1451</v>
      </c>
      <c r="AJ1989">
        <v>34.815759999999997</v>
      </c>
      <c r="AK1989" t="s">
        <v>1449</v>
      </c>
      <c r="AL1989">
        <v>-76.258055999999996</v>
      </c>
      <c r="AM1989">
        <v>25</v>
      </c>
      <c r="AN1989">
        <v>2750</v>
      </c>
      <c r="AO1989" t="s">
        <v>118</v>
      </c>
      <c r="AP1989">
        <v>1</v>
      </c>
      <c r="AQ1989">
        <v>85</v>
      </c>
      <c r="AR1989">
        <v>2176</v>
      </c>
      <c r="AZ1989">
        <v>4516</v>
      </c>
      <c r="BA1989">
        <v>1</v>
      </c>
      <c r="BB1989" t="str">
        <f t="shared" si="197"/>
        <v xml:space="preserve">N79NX   </v>
      </c>
      <c r="BC1989">
        <v>1</v>
      </c>
      <c r="BE1989">
        <v>0</v>
      </c>
      <c r="BF1989">
        <v>0</v>
      </c>
      <c r="BG1989">
        <v>0</v>
      </c>
      <c r="BH1989">
        <v>2550</v>
      </c>
      <c r="BI1989">
        <v>0</v>
      </c>
      <c r="BJ1989">
        <v>0</v>
      </c>
      <c r="BK1989">
        <v>0</v>
      </c>
      <c r="BL1989">
        <v>0</v>
      </c>
      <c r="BO1989">
        <v>0</v>
      </c>
      <c r="BP1989">
        <v>0</v>
      </c>
      <c r="BW1989" t="str">
        <f>"19:00:01.186"</f>
        <v>19:00:01.186</v>
      </c>
      <c r="BZ1989">
        <v>0</v>
      </c>
      <c r="CA1989">
        <v>1888</v>
      </c>
      <c r="CB1989">
        <v>214.4</v>
      </c>
      <c r="CC1989">
        <v>625.78129999999999</v>
      </c>
      <c r="CD1989">
        <v>1</v>
      </c>
      <c r="CE1989">
        <v>0</v>
      </c>
      <c r="CF1989">
        <v>0</v>
      </c>
      <c r="CG1989">
        <v>1</v>
      </c>
      <c r="CH1989">
        <v>0</v>
      </c>
      <c r="CI1989">
        <v>1</v>
      </c>
      <c r="CJ1989">
        <v>0</v>
      </c>
      <c r="CK1989">
        <v>2</v>
      </c>
      <c r="CL1989">
        <v>0</v>
      </c>
      <c r="CM1989">
        <v>2</v>
      </c>
      <c r="CN1989">
        <v>0</v>
      </c>
      <c r="CO1989">
        <v>4</v>
      </c>
      <c r="CP1989" t="s">
        <v>119</v>
      </c>
      <c r="CQ1989">
        <v>70</v>
      </c>
      <c r="CR1989">
        <v>1</v>
      </c>
      <c r="CW1989">
        <v>3874616</v>
      </c>
      <c r="CY1989">
        <v>0</v>
      </c>
      <c r="CZ1989">
        <v>0</v>
      </c>
      <c r="DA1989">
        <v>1</v>
      </c>
      <c r="DB1989">
        <v>0</v>
      </c>
      <c r="DC1989">
        <v>0</v>
      </c>
      <c r="DD1989">
        <v>0</v>
      </c>
      <c r="DE1989">
        <v>0</v>
      </c>
      <c r="DF1989">
        <v>0</v>
      </c>
      <c r="DG1989">
        <v>0</v>
      </c>
      <c r="DH1989">
        <v>0</v>
      </c>
      <c r="DI1989">
        <v>0</v>
      </c>
    </row>
    <row r="1990" spans="1:113" x14ac:dyDescent="0.3">
      <c r="A1990" t="str">
        <f>"02/13/2022 19:00:01.387"</f>
        <v>02/13/2022 19:00:01.387</v>
      </c>
      <c r="C1990" t="str">
        <f t="shared" si="196"/>
        <v>FFDFD7C0</v>
      </c>
      <c r="D1990" t="s">
        <v>113</v>
      </c>
      <c r="E1990">
        <v>3</v>
      </c>
      <c r="F1990">
        <v>1003</v>
      </c>
      <c r="G1990" t="s">
        <v>114</v>
      </c>
      <c r="J1990" t="s">
        <v>115</v>
      </c>
      <c r="K1990">
        <v>0</v>
      </c>
      <c r="L1990">
        <v>3</v>
      </c>
      <c r="M1990">
        <v>0</v>
      </c>
      <c r="N1990">
        <v>2</v>
      </c>
      <c r="O1990">
        <v>1</v>
      </c>
      <c r="P1990">
        <v>0</v>
      </c>
      <c r="Q1990">
        <v>0</v>
      </c>
      <c r="S1990" t="str">
        <f>"19:00:01.180"</f>
        <v>19:00:01.180</v>
      </c>
      <c r="T1990" t="str">
        <f>"19:00:00.780"</f>
        <v>19:00:00.780</v>
      </c>
      <c r="U1990" t="str">
        <f t="shared" si="198"/>
        <v>AAB6EE</v>
      </c>
      <c r="V1990">
        <v>0</v>
      </c>
      <c r="W1990">
        <v>0</v>
      </c>
      <c r="X1990">
        <v>4</v>
      </c>
      <c r="Z1990">
        <v>0</v>
      </c>
      <c r="AA1990">
        <v>8</v>
      </c>
      <c r="AB1990">
        <v>3</v>
      </c>
      <c r="AC1990">
        <v>0</v>
      </c>
      <c r="AD1990">
        <v>10</v>
      </c>
      <c r="AE1990">
        <v>0</v>
      </c>
      <c r="AF1990">
        <v>0</v>
      </c>
      <c r="AG1990">
        <v>2</v>
      </c>
      <c r="AH1990">
        <v>1</v>
      </c>
      <c r="AI1990" t="s">
        <v>1451</v>
      </c>
      <c r="AJ1990">
        <v>34.815759999999997</v>
      </c>
      <c r="AK1990" t="s">
        <v>1449</v>
      </c>
      <c r="AL1990">
        <v>-76.258055999999996</v>
      </c>
      <c r="AM1990">
        <v>25</v>
      </c>
      <c r="AN1990">
        <v>2750</v>
      </c>
      <c r="AO1990" t="s">
        <v>118</v>
      </c>
      <c r="AP1990">
        <v>1</v>
      </c>
      <c r="AQ1990">
        <v>85</v>
      </c>
      <c r="AR1990">
        <v>2176</v>
      </c>
      <c r="AZ1990">
        <v>4516</v>
      </c>
      <c r="BA1990">
        <v>1</v>
      </c>
      <c r="BB1990" t="str">
        <f t="shared" si="197"/>
        <v xml:space="preserve">N79NX   </v>
      </c>
      <c r="BC1990">
        <v>1</v>
      </c>
      <c r="BE1990">
        <v>0</v>
      </c>
      <c r="BF1990">
        <v>0</v>
      </c>
      <c r="BG1990">
        <v>0</v>
      </c>
      <c r="BH1990">
        <v>2550</v>
      </c>
      <c r="BI1990">
        <v>0</v>
      </c>
      <c r="BJ1990">
        <v>0</v>
      </c>
      <c r="BK1990">
        <v>0</v>
      </c>
      <c r="BL1990">
        <v>0</v>
      </c>
      <c r="BO1990">
        <v>0</v>
      </c>
      <c r="BP1990">
        <v>0</v>
      </c>
      <c r="BW1990" t="str">
        <f>"19:00:01.186"</f>
        <v>19:00:01.186</v>
      </c>
      <c r="BZ1990">
        <v>0</v>
      </c>
      <c r="CA1990">
        <v>1888</v>
      </c>
      <c r="CB1990">
        <v>214.4</v>
      </c>
      <c r="CC1990">
        <v>625.78129999999999</v>
      </c>
      <c r="CD1990">
        <v>1</v>
      </c>
      <c r="CE1990">
        <v>0</v>
      </c>
      <c r="CF1990">
        <v>0</v>
      </c>
      <c r="CG1990">
        <v>1</v>
      </c>
      <c r="CH1990">
        <v>0</v>
      </c>
      <c r="CI1990">
        <v>1</v>
      </c>
      <c r="CJ1990">
        <v>0</v>
      </c>
      <c r="CK1990">
        <v>2</v>
      </c>
      <c r="CL1990">
        <v>0</v>
      </c>
      <c r="CM1990">
        <v>2</v>
      </c>
      <c r="CN1990">
        <v>0</v>
      </c>
      <c r="CO1990">
        <v>4</v>
      </c>
      <c r="CP1990" t="s">
        <v>119</v>
      </c>
      <c r="CQ1990">
        <v>70</v>
      </c>
      <c r="CR1990">
        <v>1</v>
      </c>
      <c r="CW1990">
        <v>3874616</v>
      </c>
      <c r="CY1990">
        <v>0</v>
      </c>
      <c r="CZ1990">
        <v>0</v>
      </c>
      <c r="DA1990">
        <v>1</v>
      </c>
      <c r="DB1990">
        <v>0</v>
      </c>
      <c r="DC1990">
        <v>0</v>
      </c>
      <c r="DD1990">
        <v>0</v>
      </c>
      <c r="DE1990">
        <v>0</v>
      </c>
      <c r="DF1990">
        <v>0</v>
      </c>
      <c r="DG1990">
        <v>0</v>
      </c>
      <c r="DH1990">
        <v>0</v>
      </c>
      <c r="DI1990">
        <v>0</v>
      </c>
    </row>
    <row r="1991" spans="1:113" x14ac:dyDescent="0.3">
      <c r="A1991" t="str">
        <f>"02/13/2022 19:00:02.341"</f>
        <v>02/13/2022 19:00:02.341</v>
      </c>
      <c r="C1991" t="str">
        <f t="shared" si="196"/>
        <v>FFDFD7C0</v>
      </c>
      <c r="D1991" t="s">
        <v>121</v>
      </c>
      <c r="E1991">
        <v>2</v>
      </c>
      <c r="H1991">
        <v>158</v>
      </c>
      <c r="I1991" t="s">
        <v>120</v>
      </c>
      <c r="J1991" t="s">
        <v>122</v>
      </c>
      <c r="K1991">
        <v>0</v>
      </c>
      <c r="L1991">
        <v>3</v>
      </c>
      <c r="M1991">
        <v>0</v>
      </c>
      <c r="N1991">
        <v>2</v>
      </c>
      <c r="O1991">
        <v>1</v>
      </c>
      <c r="P1991">
        <v>0</v>
      </c>
      <c r="Q1991">
        <v>0</v>
      </c>
      <c r="S1991" t="str">
        <f t="shared" ref="S1991:T1993" si="199">"19:00:02.109"</f>
        <v>19:00:02.109</v>
      </c>
      <c r="T1991" t="str">
        <f t="shared" si="199"/>
        <v>19:00:02.109</v>
      </c>
      <c r="U1991" t="str">
        <f t="shared" si="198"/>
        <v>AAB6EE</v>
      </c>
      <c r="V1991">
        <v>0</v>
      </c>
      <c r="W1991">
        <v>0</v>
      </c>
      <c r="X1991">
        <v>4</v>
      </c>
      <c r="Z1991">
        <v>0</v>
      </c>
      <c r="AA1991">
        <v>8</v>
      </c>
      <c r="AB1991">
        <v>3</v>
      </c>
      <c r="AC1991">
        <v>0</v>
      </c>
      <c r="AD1991">
        <v>10</v>
      </c>
      <c r="AE1991">
        <v>0</v>
      </c>
      <c r="AF1991">
        <v>0</v>
      </c>
      <c r="AG1991">
        <v>2</v>
      </c>
      <c r="AH1991">
        <v>1</v>
      </c>
      <c r="AI1991" t="s">
        <v>1452</v>
      </c>
      <c r="AJ1991">
        <v>34.816124000000002</v>
      </c>
      <c r="AK1991" t="s">
        <v>1449</v>
      </c>
      <c r="AL1991">
        <v>-76.258055999999996</v>
      </c>
      <c r="AM1991">
        <v>25</v>
      </c>
      <c r="AN1991">
        <v>2775</v>
      </c>
      <c r="AO1991" t="s">
        <v>118</v>
      </c>
      <c r="AP1991">
        <v>-9</v>
      </c>
      <c r="AQ1991">
        <v>83</v>
      </c>
      <c r="AR1991">
        <v>1792</v>
      </c>
      <c r="AZ1991">
        <v>4516</v>
      </c>
      <c r="BA1991">
        <v>1</v>
      </c>
      <c r="BB1991" t="str">
        <f t="shared" si="197"/>
        <v xml:space="preserve">N79NX   </v>
      </c>
      <c r="BC1991">
        <v>1</v>
      </c>
      <c r="BE1991">
        <v>0</v>
      </c>
      <c r="BF1991">
        <v>0</v>
      </c>
      <c r="BG1991">
        <v>0</v>
      </c>
      <c r="BH1991">
        <v>2600</v>
      </c>
      <c r="BI1991">
        <v>0</v>
      </c>
      <c r="BJ1991">
        <v>0</v>
      </c>
      <c r="BK1991">
        <v>0</v>
      </c>
      <c r="BL1991">
        <v>0</v>
      </c>
      <c r="BO1991">
        <v>0</v>
      </c>
      <c r="BP1991">
        <v>0</v>
      </c>
      <c r="BW1991" t="str">
        <f>"19:00:02.116"</f>
        <v>19:00:02.116</v>
      </c>
      <c r="BZ1991">
        <v>0</v>
      </c>
      <c r="CA1991">
        <v>1888</v>
      </c>
      <c r="CB1991">
        <v>214.4</v>
      </c>
      <c r="CC1991">
        <v>625.78129999999999</v>
      </c>
      <c r="CD1991">
        <v>1</v>
      </c>
      <c r="CE1991">
        <v>0</v>
      </c>
      <c r="CF1991">
        <v>0</v>
      </c>
      <c r="CG1991">
        <v>1</v>
      </c>
      <c r="CH1991">
        <v>0</v>
      </c>
      <c r="CI1991">
        <v>1</v>
      </c>
      <c r="CJ1991">
        <v>0</v>
      </c>
      <c r="CK1991">
        <v>2</v>
      </c>
      <c r="CL1991">
        <v>0</v>
      </c>
      <c r="CM1991">
        <v>2</v>
      </c>
      <c r="CN1991">
        <v>0</v>
      </c>
      <c r="CO1991">
        <v>5</v>
      </c>
      <c r="CP1991" t="s">
        <v>119</v>
      </c>
      <c r="CQ1991">
        <v>70</v>
      </c>
      <c r="CR1991">
        <v>1</v>
      </c>
      <c r="CW1991">
        <v>3875528</v>
      </c>
      <c r="CY1991">
        <v>0</v>
      </c>
      <c r="CZ1991">
        <v>0</v>
      </c>
      <c r="DA1991">
        <v>0</v>
      </c>
      <c r="DB1991">
        <v>0</v>
      </c>
      <c r="DC1991">
        <v>0</v>
      </c>
      <c r="DD1991">
        <v>0</v>
      </c>
      <c r="DE1991">
        <v>0</v>
      </c>
      <c r="DF1991">
        <v>0</v>
      </c>
      <c r="DG1991">
        <v>0</v>
      </c>
      <c r="DH1991">
        <v>0</v>
      </c>
      <c r="DI1991">
        <v>0</v>
      </c>
    </row>
    <row r="1992" spans="1:113" x14ac:dyDescent="0.3">
      <c r="A1992" t="str">
        <f>"02/13/2022 19:00:02.341"</f>
        <v>02/13/2022 19:00:02.341</v>
      </c>
      <c r="C1992" t="str">
        <f t="shared" si="196"/>
        <v>FFDFD7C0</v>
      </c>
      <c r="D1992" t="s">
        <v>113</v>
      </c>
      <c r="E1992">
        <v>3</v>
      </c>
      <c r="F1992">
        <v>1003</v>
      </c>
      <c r="G1992" t="s">
        <v>114</v>
      </c>
      <c r="J1992" t="s">
        <v>115</v>
      </c>
      <c r="K1992">
        <v>0</v>
      </c>
      <c r="L1992">
        <v>3</v>
      </c>
      <c r="M1992">
        <v>0</v>
      </c>
      <c r="N1992">
        <v>2</v>
      </c>
      <c r="O1992">
        <v>1</v>
      </c>
      <c r="P1992">
        <v>0</v>
      </c>
      <c r="Q1992">
        <v>0</v>
      </c>
      <c r="S1992" t="str">
        <f t="shared" si="199"/>
        <v>19:00:02.109</v>
      </c>
      <c r="T1992" t="str">
        <f t="shared" si="199"/>
        <v>19:00:02.109</v>
      </c>
      <c r="U1992" t="str">
        <f t="shared" si="198"/>
        <v>AAB6EE</v>
      </c>
      <c r="V1992">
        <v>0</v>
      </c>
      <c r="W1992">
        <v>0</v>
      </c>
      <c r="X1992">
        <v>4</v>
      </c>
      <c r="Z1992">
        <v>0</v>
      </c>
      <c r="AA1992">
        <v>8</v>
      </c>
      <c r="AB1992">
        <v>3</v>
      </c>
      <c r="AC1992">
        <v>0</v>
      </c>
      <c r="AD1992">
        <v>10</v>
      </c>
      <c r="AE1992">
        <v>0</v>
      </c>
      <c r="AF1992">
        <v>0</v>
      </c>
      <c r="AG1992">
        <v>2</v>
      </c>
      <c r="AH1992">
        <v>1</v>
      </c>
      <c r="AI1992" t="s">
        <v>1452</v>
      </c>
      <c r="AJ1992">
        <v>34.816124000000002</v>
      </c>
      <c r="AK1992" t="s">
        <v>1449</v>
      </c>
      <c r="AL1992">
        <v>-76.258055999999996</v>
      </c>
      <c r="AM1992">
        <v>25</v>
      </c>
      <c r="AN1992">
        <v>2775</v>
      </c>
      <c r="AO1992" t="s">
        <v>118</v>
      </c>
      <c r="AP1992">
        <v>-9</v>
      </c>
      <c r="AQ1992">
        <v>83</v>
      </c>
      <c r="AR1992">
        <v>1792</v>
      </c>
      <c r="AZ1992">
        <v>4516</v>
      </c>
      <c r="BA1992">
        <v>1</v>
      </c>
      <c r="BB1992" t="str">
        <f t="shared" si="197"/>
        <v xml:space="preserve">N79NX   </v>
      </c>
      <c r="BC1992">
        <v>1</v>
      </c>
      <c r="BE1992">
        <v>0</v>
      </c>
      <c r="BF1992">
        <v>0</v>
      </c>
      <c r="BG1992">
        <v>0</v>
      </c>
      <c r="BH1992">
        <v>2600</v>
      </c>
      <c r="BI1992">
        <v>0</v>
      </c>
      <c r="BJ1992">
        <v>0</v>
      </c>
      <c r="BK1992">
        <v>0</v>
      </c>
      <c r="BL1992">
        <v>0</v>
      </c>
      <c r="BO1992">
        <v>0</v>
      </c>
      <c r="BP1992">
        <v>0</v>
      </c>
      <c r="BW1992" t="str">
        <f>"19:00:02.116"</f>
        <v>19:00:02.116</v>
      </c>
      <c r="BZ1992">
        <v>0</v>
      </c>
      <c r="CA1992">
        <v>1888</v>
      </c>
      <c r="CB1992">
        <v>214.4</v>
      </c>
      <c r="CC1992">
        <v>625.78129999999999</v>
      </c>
      <c r="CD1992">
        <v>1</v>
      </c>
      <c r="CE1992">
        <v>0</v>
      </c>
      <c r="CF1992">
        <v>0</v>
      </c>
      <c r="CG1992">
        <v>1</v>
      </c>
      <c r="CH1992">
        <v>0</v>
      </c>
      <c r="CI1992">
        <v>1</v>
      </c>
      <c r="CJ1992">
        <v>0</v>
      </c>
      <c r="CK1992">
        <v>2</v>
      </c>
      <c r="CL1992">
        <v>0</v>
      </c>
      <c r="CM1992">
        <v>2</v>
      </c>
      <c r="CN1992">
        <v>0</v>
      </c>
      <c r="CO1992">
        <v>5</v>
      </c>
      <c r="CP1992" t="s">
        <v>119</v>
      </c>
      <c r="CQ1992">
        <v>70</v>
      </c>
      <c r="CR1992">
        <v>1</v>
      </c>
      <c r="CW1992">
        <v>3875528</v>
      </c>
      <c r="CY1992">
        <v>0</v>
      </c>
      <c r="CZ1992">
        <v>0</v>
      </c>
      <c r="DA1992">
        <v>1</v>
      </c>
      <c r="DB1992">
        <v>0</v>
      </c>
      <c r="DC1992">
        <v>0</v>
      </c>
      <c r="DD1992">
        <v>0</v>
      </c>
      <c r="DE1992">
        <v>0</v>
      </c>
      <c r="DF1992">
        <v>0</v>
      </c>
      <c r="DG1992">
        <v>0</v>
      </c>
      <c r="DH1992">
        <v>0</v>
      </c>
      <c r="DI1992">
        <v>0</v>
      </c>
    </row>
    <row r="1993" spans="1:113" x14ac:dyDescent="0.3">
      <c r="A1993" t="str">
        <f>"02/13/2022 19:00:02.341"</f>
        <v>02/13/2022 19:00:02.341</v>
      </c>
      <c r="C1993" t="str">
        <f t="shared" si="196"/>
        <v>FFDFD7C0</v>
      </c>
      <c r="D1993" t="s">
        <v>113</v>
      </c>
      <c r="E1993">
        <v>4</v>
      </c>
      <c r="F1993">
        <v>1004</v>
      </c>
      <c r="G1993" t="s">
        <v>120</v>
      </c>
      <c r="J1993" t="s">
        <v>115</v>
      </c>
      <c r="K1993">
        <v>0</v>
      </c>
      <c r="L1993">
        <v>3</v>
      </c>
      <c r="M1993">
        <v>0</v>
      </c>
      <c r="N1993">
        <v>2</v>
      </c>
      <c r="O1993">
        <v>1</v>
      </c>
      <c r="P1993">
        <v>0</v>
      </c>
      <c r="Q1993">
        <v>0</v>
      </c>
      <c r="S1993" t="str">
        <f t="shared" si="199"/>
        <v>19:00:02.109</v>
      </c>
      <c r="T1993" t="str">
        <f t="shared" si="199"/>
        <v>19:00:02.109</v>
      </c>
      <c r="U1993" t="str">
        <f t="shared" si="198"/>
        <v>AAB6EE</v>
      </c>
      <c r="V1993">
        <v>0</v>
      </c>
      <c r="W1993">
        <v>0</v>
      </c>
      <c r="X1993">
        <v>4</v>
      </c>
      <c r="Z1993">
        <v>0</v>
      </c>
      <c r="AA1993">
        <v>8</v>
      </c>
      <c r="AB1993">
        <v>3</v>
      </c>
      <c r="AC1993">
        <v>0</v>
      </c>
      <c r="AD1993">
        <v>10</v>
      </c>
      <c r="AE1993">
        <v>0</v>
      </c>
      <c r="AF1993">
        <v>0</v>
      </c>
      <c r="AG1993">
        <v>2</v>
      </c>
      <c r="AH1993">
        <v>1</v>
      </c>
      <c r="AI1993" t="s">
        <v>1452</v>
      </c>
      <c r="AJ1993">
        <v>34.816124000000002</v>
      </c>
      <c r="AK1993" t="s">
        <v>1449</v>
      </c>
      <c r="AL1993">
        <v>-76.258055999999996</v>
      </c>
      <c r="AM1993">
        <v>25</v>
      </c>
      <c r="AN1993">
        <v>2775</v>
      </c>
      <c r="AO1993" t="s">
        <v>118</v>
      </c>
      <c r="AP1993">
        <v>-9</v>
      </c>
      <c r="AQ1993">
        <v>83</v>
      </c>
      <c r="AR1993">
        <v>1792</v>
      </c>
      <c r="AZ1993">
        <v>4516</v>
      </c>
      <c r="BA1993">
        <v>1</v>
      </c>
      <c r="BB1993" t="str">
        <f t="shared" si="197"/>
        <v xml:space="preserve">N79NX   </v>
      </c>
      <c r="BC1993">
        <v>1</v>
      </c>
      <c r="BE1993">
        <v>0</v>
      </c>
      <c r="BF1993">
        <v>0</v>
      </c>
      <c r="BG1993">
        <v>0</v>
      </c>
      <c r="BH1993">
        <v>2600</v>
      </c>
      <c r="BI1993">
        <v>0</v>
      </c>
      <c r="BJ1993">
        <v>0</v>
      </c>
      <c r="BK1993">
        <v>0</v>
      </c>
      <c r="BL1993">
        <v>0</v>
      </c>
      <c r="BO1993">
        <v>0</v>
      </c>
      <c r="BP1993">
        <v>0</v>
      </c>
      <c r="BW1993" t="str">
        <f>"19:00:02.116"</f>
        <v>19:00:02.116</v>
      </c>
      <c r="BZ1993">
        <v>0</v>
      </c>
      <c r="CA1993">
        <v>1888</v>
      </c>
      <c r="CB1993">
        <v>214.4</v>
      </c>
      <c r="CC1993">
        <v>625.78129999999999</v>
      </c>
      <c r="CD1993">
        <v>1</v>
      </c>
      <c r="CE1993">
        <v>0</v>
      </c>
      <c r="CF1993">
        <v>0</v>
      </c>
      <c r="CG1993">
        <v>1</v>
      </c>
      <c r="CH1993">
        <v>0</v>
      </c>
      <c r="CI1993">
        <v>1</v>
      </c>
      <c r="CJ1993">
        <v>0</v>
      </c>
      <c r="CK1993">
        <v>2</v>
      </c>
      <c r="CL1993">
        <v>0</v>
      </c>
      <c r="CM1993">
        <v>2</v>
      </c>
      <c r="CN1993">
        <v>0</v>
      </c>
      <c r="CO1993">
        <v>5</v>
      </c>
      <c r="CP1993" t="s">
        <v>119</v>
      </c>
      <c r="CQ1993">
        <v>70</v>
      </c>
      <c r="CR1993">
        <v>1</v>
      </c>
      <c r="CW1993">
        <v>3875528</v>
      </c>
      <c r="CY1993">
        <v>0</v>
      </c>
      <c r="CZ1993">
        <v>0</v>
      </c>
      <c r="DA1993">
        <v>1</v>
      </c>
      <c r="DB1993">
        <v>0</v>
      </c>
      <c r="DC1993">
        <v>0</v>
      </c>
      <c r="DD1993">
        <v>0</v>
      </c>
      <c r="DE1993">
        <v>0</v>
      </c>
      <c r="DF1993">
        <v>0</v>
      </c>
      <c r="DG1993">
        <v>0</v>
      </c>
      <c r="DH1993">
        <v>0</v>
      </c>
      <c r="DI1993">
        <v>0</v>
      </c>
    </row>
    <row r="1994" spans="1:113" x14ac:dyDescent="0.3">
      <c r="A1994" t="str">
        <f>"02/13/2022 19:00:03.372"</f>
        <v>02/13/2022 19:00:03.372</v>
      </c>
      <c r="C1994" t="str">
        <f t="shared" si="196"/>
        <v>FFDFD7C0</v>
      </c>
      <c r="D1994" t="s">
        <v>121</v>
      </c>
      <c r="E1994">
        <v>2</v>
      </c>
      <c r="H1994">
        <v>158</v>
      </c>
      <c r="I1994" t="s">
        <v>120</v>
      </c>
      <c r="J1994" t="s">
        <v>122</v>
      </c>
      <c r="K1994">
        <v>0</v>
      </c>
      <c r="L1994">
        <v>3</v>
      </c>
      <c r="M1994">
        <v>0</v>
      </c>
      <c r="N1994">
        <v>2</v>
      </c>
      <c r="O1994">
        <v>1</v>
      </c>
      <c r="P1994">
        <v>0</v>
      </c>
      <c r="Q1994">
        <v>0</v>
      </c>
      <c r="S1994" t="str">
        <f>"19:00:03.055"</f>
        <v>19:00:03.055</v>
      </c>
      <c r="T1994" t="str">
        <f>"19:00:02.555"</f>
        <v>19:00:02.555</v>
      </c>
      <c r="U1994" t="str">
        <f t="shared" si="198"/>
        <v>AAB6EE</v>
      </c>
      <c r="V1994">
        <v>0</v>
      </c>
      <c r="W1994">
        <v>0</v>
      </c>
      <c r="X1994">
        <v>4</v>
      </c>
      <c r="Z1994">
        <v>0</v>
      </c>
      <c r="AA1994">
        <v>8</v>
      </c>
      <c r="AB1994">
        <v>3</v>
      </c>
      <c r="AC1994">
        <v>0</v>
      </c>
      <c r="AD1994">
        <v>10</v>
      </c>
      <c r="AE1994">
        <v>0</v>
      </c>
      <c r="AF1994">
        <v>0</v>
      </c>
      <c r="AG1994">
        <v>2</v>
      </c>
      <c r="AH1994">
        <v>1</v>
      </c>
      <c r="AI1994" t="s">
        <v>1453</v>
      </c>
      <c r="AJ1994">
        <v>34.816468</v>
      </c>
      <c r="AK1994" t="s">
        <v>1454</v>
      </c>
      <c r="AL1994">
        <v>-76.258162999999996</v>
      </c>
      <c r="AM1994">
        <v>25</v>
      </c>
      <c r="AN1994">
        <v>2800</v>
      </c>
      <c r="AO1994" t="s">
        <v>118</v>
      </c>
      <c r="AP1994">
        <v>-13</v>
      </c>
      <c r="AQ1994">
        <v>82</v>
      </c>
      <c r="AR1994">
        <v>1664</v>
      </c>
      <c r="AZ1994">
        <v>4516</v>
      </c>
      <c r="BA1994">
        <v>1</v>
      </c>
      <c r="BB1994" t="str">
        <f t="shared" si="197"/>
        <v xml:space="preserve">N79NX   </v>
      </c>
      <c r="BC1994">
        <v>1</v>
      </c>
      <c r="BE1994">
        <v>0</v>
      </c>
      <c r="BF1994">
        <v>0</v>
      </c>
      <c r="BG1994">
        <v>0</v>
      </c>
      <c r="BH1994">
        <v>2625</v>
      </c>
      <c r="BI1994">
        <v>0</v>
      </c>
      <c r="BJ1994">
        <v>0</v>
      </c>
      <c r="BK1994">
        <v>0</v>
      </c>
      <c r="BL1994">
        <v>0</v>
      </c>
      <c r="BO1994">
        <v>0</v>
      </c>
      <c r="BP1994">
        <v>0</v>
      </c>
      <c r="BW1994" t="str">
        <f>"19:00:03.056"</f>
        <v>19:00:03.056</v>
      </c>
      <c r="BZ1994">
        <v>0</v>
      </c>
      <c r="CA1994">
        <v>1888</v>
      </c>
      <c r="CB1994">
        <v>214.4</v>
      </c>
      <c r="CC1994">
        <v>625.78129999999999</v>
      </c>
      <c r="CD1994">
        <v>1</v>
      </c>
      <c r="CE1994">
        <v>0</v>
      </c>
      <c r="CF1994">
        <v>0</v>
      </c>
      <c r="CG1994">
        <v>1</v>
      </c>
      <c r="CH1994">
        <v>0</v>
      </c>
      <c r="CI1994">
        <v>1</v>
      </c>
      <c r="CJ1994">
        <v>0</v>
      </c>
      <c r="CK1994">
        <v>2</v>
      </c>
      <c r="CL1994">
        <v>0</v>
      </c>
      <c r="CM1994">
        <v>2</v>
      </c>
      <c r="CN1994">
        <v>0</v>
      </c>
      <c r="CO1994">
        <v>5</v>
      </c>
      <c r="CP1994" t="s">
        <v>119</v>
      </c>
      <c r="CQ1994">
        <v>70</v>
      </c>
      <c r="CR1994">
        <v>1</v>
      </c>
      <c r="CW1994">
        <v>3876329</v>
      </c>
      <c r="CY1994">
        <v>0</v>
      </c>
      <c r="CZ1994">
        <v>0</v>
      </c>
      <c r="DA1994">
        <v>0</v>
      </c>
      <c r="DB1994">
        <v>0</v>
      </c>
      <c r="DC1994">
        <v>0</v>
      </c>
      <c r="DD1994">
        <v>0</v>
      </c>
      <c r="DE1994">
        <v>0</v>
      </c>
      <c r="DF1994">
        <v>0</v>
      </c>
      <c r="DG1994">
        <v>0</v>
      </c>
      <c r="DH1994">
        <v>0</v>
      </c>
      <c r="DI1994">
        <v>0</v>
      </c>
    </row>
    <row r="1995" spans="1:113" x14ac:dyDescent="0.3">
      <c r="A1995" t="str">
        <f>"02/13/2022 19:00:03.435"</f>
        <v>02/13/2022 19:00:03.435</v>
      </c>
      <c r="C1995" t="str">
        <f t="shared" si="196"/>
        <v>FFDFD7C0</v>
      </c>
      <c r="D1995" t="s">
        <v>113</v>
      </c>
      <c r="E1995">
        <v>3</v>
      </c>
      <c r="F1995">
        <v>1003</v>
      </c>
      <c r="G1995" t="s">
        <v>114</v>
      </c>
      <c r="J1995" t="s">
        <v>115</v>
      </c>
      <c r="K1995">
        <v>0</v>
      </c>
      <c r="L1995">
        <v>3</v>
      </c>
      <c r="M1995">
        <v>0</v>
      </c>
      <c r="N1995">
        <v>2</v>
      </c>
      <c r="O1995">
        <v>1</v>
      </c>
      <c r="P1995">
        <v>0</v>
      </c>
      <c r="Q1995">
        <v>0</v>
      </c>
      <c r="S1995" t="str">
        <f>"19:00:03.055"</f>
        <v>19:00:03.055</v>
      </c>
      <c r="T1995" t="str">
        <f>"19:00:02.555"</f>
        <v>19:00:02.555</v>
      </c>
      <c r="U1995" t="str">
        <f t="shared" si="198"/>
        <v>AAB6EE</v>
      </c>
      <c r="V1995">
        <v>0</v>
      </c>
      <c r="W1995">
        <v>0</v>
      </c>
      <c r="X1995">
        <v>4</v>
      </c>
      <c r="Z1995">
        <v>0</v>
      </c>
      <c r="AA1995">
        <v>8</v>
      </c>
      <c r="AB1995">
        <v>3</v>
      </c>
      <c r="AC1995">
        <v>0</v>
      </c>
      <c r="AD1995">
        <v>10</v>
      </c>
      <c r="AE1995">
        <v>0</v>
      </c>
      <c r="AF1995">
        <v>0</v>
      </c>
      <c r="AG1995">
        <v>2</v>
      </c>
      <c r="AH1995">
        <v>1</v>
      </c>
      <c r="AI1995" t="s">
        <v>1453</v>
      </c>
      <c r="AJ1995">
        <v>34.816468</v>
      </c>
      <c r="AK1995" t="s">
        <v>1454</v>
      </c>
      <c r="AL1995">
        <v>-76.258162999999996</v>
      </c>
      <c r="AM1995">
        <v>25</v>
      </c>
      <c r="AN1995">
        <v>2800</v>
      </c>
      <c r="AO1995" t="s">
        <v>118</v>
      </c>
      <c r="AP1995">
        <v>-13</v>
      </c>
      <c r="AQ1995">
        <v>82</v>
      </c>
      <c r="AR1995">
        <v>1664</v>
      </c>
      <c r="AZ1995">
        <v>4516</v>
      </c>
      <c r="BA1995">
        <v>1</v>
      </c>
      <c r="BB1995" t="str">
        <f t="shared" si="197"/>
        <v xml:space="preserve">N79NX   </v>
      </c>
      <c r="BC1995">
        <v>1</v>
      </c>
      <c r="BE1995">
        <v>0</v>
      </c>
      <c r="BF1995">
        <v>0</v>
      </c>
      <c r="BG1995">
        <v>0</v>
      </c>
      <c r="BH1995">
        <v>2625</v>
      </c>
      <c r="BI1995">
        <v>0</v>
      </c>
      <c r="BJ1995">
        <v>0</v>
      </c>
      <c r="BK1995">
        <v>0</v>
      </c>
      <c r="BL1995">
        <v>0</v>
      </c>
      <c r="BO1995">
        <v>0</v>
      </c>
      <c r="BP1995">
        <v>0</v>
      </c>
      <c r="BW1995" t="str">
        <f>"19:00:03.056"</f>
        <v>19:00:03.056</v>
      </c>
      <c r="BZ1995">
        <v>0</v>
      </c>
      <c r="CA1995">
        <v>1888</v>
      </c>
      <c r="CB1995">
        <v>214.4</v>
      </c>
      <c r="CC1995">
        <v>625.78129999999999</v>
      </c>
      <c r="CD1995">
        <v>1</v>
      </c>
      <c r="CE1995">
        <v>0</v>
      </c>
      <c r="CF1995">
        <v>0</v>
      </c>
      <c r="CG1995">
        <v>1</v>
      </c>
      <c r="CH1995">
        <v>0</v>
      </c>
      <c r="CI1995">
        <v>1</v>
      </c>
      <c r="CJ1995">
        <v>0</v>
      </c>
      <c r="CK1995">
        <v>2</v>
      </c>
      <c r="CL1995">
        <v>0</v>
      </c>
      <c r="CM1995">
        <v>2</v>
      </c>
      <c r="CN1995">
        <v>0</v>
      </c>
      <c r="CO1995">
        <v>5</v>
      </c>
      <c r="CP1995" t="s">
        <v>119</v>
      </c>
      <c r="CQ1995">
        <v>70</v>
      </c>
      <c r="CR1995">
        <v>1</v>
      </c>
      <c r="CW1995">
        <v>3876329</v>
      </c>
      <c r="CY1995">
        <v>0</v>
      </c>
      <c r="CZ1995">
        <v>0</v>
      </c>
      <c r="DA1995">
        <v>1</v>
      </c>
      <c r="DB1995">
        <v>0</v>
      </c>
      <c r="DC1995">
        <v>0</v>
      </c>
      <c r="DD1995">
        <v>0</v>
      </c>
      <c r="DE1995">
        <v>0</v>
      </c>
      <c r="DF1995">
        <v>0</v>
      </c>
      <c r="DG1995">
        <v>0</v>
      </c>
      <c r="DH1995">
        <v>0</v>
      </c>
      <c r="DI1995">
        <v>0</v>
      </c>
    </row>
    <row r="1996" spans="1:113" x14ac:dyDescent="0.3">
      <c r="A1996" t="str">
        <f>"02/13/2022 19:00:03.435"</f>
        <v>02/13/2022 19:00:03.435</v>
      </c>
      <c r="C1996" t="str">
        <f t="shared" si="196"/>
        <v>FFDFD7C0</v>
      </c>
      <c r="D1996" t="s">
        <v>113</v>
      </c>
      <c r="E1996">
        <v>4</v>
      </c>
      <c r="F1996">
        <v>1004</v>
      </c>
      <c r="G1996" t="s">
        <v>120</v>
      </c>
      <c r="J1996" t="s">
        <v>115</v>
      </c>
      <c r="K1996">
        <v>0</v>
      </c>
      <c r="L1996">
        <v>3</v>
      </c>
      <c r="M1996">
        <v>0</v>
      </c>
      <c r="N1996">
        <v>2</v>
      </c>
      <c r="O1996">
        <v>1</v>
      </c>
      <c r="P1996">
        <v>0</v>
      </c>
      <c r="Q1996">
        <v>0</v>
      </c>
      <c r="S1996" t="str">
        <f>"19:00:03.055"</f>
        <v>19:00:03.055</v>
      </c>
      <c r="T1996" t="str">
        <f>"19:00:02.555"</f>
        <v>19:00:02.555</v>
      </c>
      <c r="U1996" t="str">
        <f t="shared" si="198"/>
        <v>AAB6EE</v>
      </c>
      <c r="V1996">
        <v>0</v>
      </c>
      <c r="W1996">
        <v>0</v>
      </c>
      <c r="X1996">
        <v>4</v>
      </c>
      <c r="Z1996">
        <v>0</v>
      </c>
      <c r="AA1996">
        <v>8</v>
      </c>
      <c r="AB1996">
        <v>3</v>
      </c>
      <c r="AC1996">
        <v>0</v>
      </c>
      <c r="AD1996">
        <v>10</v>
      </c>
      <c r="AE1996">
        <v>0</v>
      </c>
      <c r="AF1996">
        <v>0</v>
      </c>
      <c r="AG1996">
        <v>2</v>
      </c>
      <c r="AH1996">
        <v>1</v>
      </c>
      <c r="AI1996" t="s">
        <v>1453</v>
      </c>
      <c r="AJ1996">
        <v>34.816468</v>
      </c>
      <c r="AK1996" t="s">
        <v>1454</v>
      </c>
      <c r="AL1996">
        <v>-76.258162999999996</v>
      </c>
      <c r="AM1996">
        <v>25</v>
      </c>
      <c r="AN1996">
        <v>2800</v>
      </c>
      <c r="AO1996" t="s">
        <v>118</v>
      </c>
      <c r="AP1996">
        <v>-13</v>
      </c>
      <c r="AQ1996">
        <v>82</v>
      </c>
      <c r="AR1996">
        <v>1664</v>
      </c>
      <c r="AZ1996">
        <v>4516</v>
      </c>
      <c r="BA1996">
        <v>1</v>
      </c>
      <c r="BB1996" t="str">
        <f t="shared" si="197"/>
        <v xml:space="preserve">N79NX   </v>
      </c>
      <c r="BC1996">
        <v>1</v>
      </c>
      <c r="BE1996">
        <v>0</v>
      </c>
      <c r="BF1996">
        <v>0</v>
      </c>
      <c r="BG1996">
        <v>0</v>
      </c>
      <c r="BH1996">
        <v>2625</v>
      </c>
      <c r="BI1996">
        <v>0</v>
      </c>
      <c r="BJ1996">
        <v>0</v>
      </c>
      <c r="BK1996">
        <v>0</v>
      </c>
      <c r="BL1996">
        <v>0</v>
      </c>
      <c r="BO1996">
        <v>0</v>
      </c>
      <c r="BP1996">
        <v>0</v>
      </c>
      <c r="BW1996" t="str">
        <f>"19:00:03.056"</f>
        <v>19:00:03.056</v>
      </c>
      <c r="BZ1996">
        <v>0</v>
      </c>
      <c r="CA1996">
        <v>1888</v>
      </c>
      <c r="CB1996">
        <v>214.4</v>
      </c>
      <c r="CC1996">
        <v>625.78129999999999</v>
      </c>
      <c r="CD1996">
        <v>1</v>
      </c>
      <c r="CE1996">
        <v>0</v>
      </c>
      <c r="CF1996">
        <v>0</v>
      </c>
      <c r="CG1996">
        <v>1</v>
      </c>
      <c r="CH1996">
        <v>0</v>
      </c>
      <c r="CI1996">
        <v>1</v>
      </c>
      <c r="CJ1996">
        <v>0</v>
      </c>
      <c r="CK1996">
        <v>2</v>
      </c>
      <c r="CL1996">
        <v>0</v>
      </c>
      <c r="CM1996">
        <v>2</v>
      </c>
      <c r="CN1996">
        <v>0</v>
      </c>
      <c r="CO1996">
        <v>5</v>
      </c>
      <c r="CP1996" t="s">
        <v>119</v>
      </c>
      <c r="CQ1996">
        <v>70</v>
      </c>
      <c r="CR1996">
        <v>1</v>
      </c>
      <c r="CW1996">
        <v>3876329</v>
      </c>
      <c r="CY1996">
        <v>0</v>
      </c>
      <c r="CZ1996">
        <v>0</v>
      </c>
      <c r="DA1996">
        <v>1</v>
      </c>
      <c r="DB1996">
        <v>0</v>
      </c>
      <c r="DC1996">
        <v>0</v>
      </c>
      <c r="DD1996">
        <v>0</v>
      </c>
      <c r="DE1996">
        <v>0</v>
      </c>
      <c r="DF1996">
        <v>0</v>
      </c>
      <c r="DG1996">
        <v>0</v>
      </c>
      <c r="DH1996">
        <v>0</v>
      </c>
      <c r="DI1996">
        <v>0</v>
      </c>
    </row>
    <row r="1997" spans="1:113" x14ac:dyDescent="0.3">
      <c r="A1997" t="str">
        <f>"02/13/2022 19:00:04.200"</f>
        <v>02/13/2022 19:00:04.200</v>
      </c>
      <c r="C1997" t="str">
        <f t="shared" si="196"/>
        <v>FFDFD7C0</v>
      </c>
      <c r="D1997" t="s">
        <v>113</v>
      </c>
      <c r="E1997">
        <v>3</v>
      </c>
      <c r="F1997">
        <v>1003</v>
      </c>
      <c r="G1997" t="s">
        <v>114</v>
      </c>
      <c r="J1997" t="s">
        <v>115</v>
      </c>
      <c r="K1997">
        <v>0</v>
      </c>
      <c r="L1997">
        <v>3</v>
      </c>
      <c r="M1997">
        <v>0</v>
      </c>
      <c r="N1997">
        <v>2</v>
      </c>
      <c r="O1997">
        <v>1</v>
      </c>
      <c r="P1997">
        <v>0</v>
      </c>
      <c r="Q1997">
        <v>0</v>
      </c>
      <c r="S1997" t="str">
        <f>"19:00:03.883"</f>
        <v>19:00:03.883</v>
      </c>
      <c r="T1997" t="str">
        <f>"19:00:03.683"</f>
        <v>19:00:03.683</v>
      </c>
      <c r="U1997" t="str">
        <f t="shared" si="198"/>
        <v>AAB6EE</v>
      </c>
      <c r="V1997">
        <v>0</v>
      </c>
      <c r="W1997">
        <v>0</v>
      </c>
      <c r="X1997">
        <v>4</v>
      </c>
      <c r="Z1997">
        <v>0</v>
      </c>
      <c r="AA1997">
        <v>8</v>
      </c>
      <c r="AB1997">
        <v>3</v>
      </c>
      <c r="AC1997">
        <v>0</v>
      </c>
      <c r="AD1997">
        <v>10</v>
      </c>
      <c r="AE1997">
        <v>0</v>
      </c>
      <c r="AF1997">
        <v>0</v>
      </c>
      <c r="AG1997">
        <v>2</v>
      </c>
      <c r="AH1997">
        <v>1</v>
      </c>
      <c r="AI1997" t="s">
        <v>1455</v>
      </c>
      <c r="AJ1997">
        <v>34.816789999999997</v>
      </c>
      <c r="AK1997" t="s">
        <v>1456</v>
      </c>
      <c r="AL1997">
        <v>-76.258270999999993</v>
      </c>
      <c r="AM1997">
        <v>25</v>
      </c>
      <c r="AN1997">
        <v>2825</v>
      </c>
      <c r="AO1997" t="s">
        <v>118</v>
      </c>
      <c r="AP1997">
        <v>-23</v>
      </c>
      <c r="AQ1997">
        <v>80</v>
      </c>
      <c r="AR1997">
        <v>1024</v>
      </c>
      <c r="AZ1997">
        <v>4516</v>
      </c>
      <c r="BA1997">
        <v>1</v>
      </c>
      <c r="BB1997" t="str">
        <f t="shared" si="197"/>
        <v xml:space="preserve">N79NX   </v>
      </c>
      <c r="BC1997">
        <v>1</v>
      </c>
      <c r="BE1997">
        <v>0</v>
      </c>
      <c r="BF1997">
        <v>0</v>
      </c>
      <c r="BG1997">
        <v>0</v>
      </c>
      <c r="BH1997">
        <v>2650</v>
      </c>
      <c r="BI1997">
        <v>0</v>
      </c>
      <c r="BJ1997">
        <v>0</v>
      </c>
      <c r="BK1997">
        <v>0</v>
      </c>
      <c r="BL1997">
        <v>0</v>
      </c>
      <c r="BO1997">
        <v>0</v>
      </c>
      <c r="BP1997">
        <v>0</v>
      </c>
      <c r="BW1997" t="str">
        <f>"19:00:03.886"</f>
        <v>19:00:03.886</v>
      </c>
      <c r="BZ1997">
        <v>0</v>
      </c>
      <c r="CA1997">
        <v>1888</v>
      </c>
      <c r="CB1997">
        <v>214.4</v>
      </c>
      <c r="CC1997">
        <v>625.78129999999999</v>
      </c>
      <c r="CD1997">
        <v>1</v>
      </c>
      <c r="CE1997">
        <v>0</v>
      </c>
      <c r="CF1997">
        <v>0</v>
      </c>
      <c r="CG1997">
        <v>1</v>
      </c>
      <c r="CH1997">
        <v>0</v>
      </c>
      <c r="CI1997">
        <v>1</v>
      </c>
      <c r="CJ1997">
        <v>0</v>
      </c>
      <c r="CK1997">
        <v>2</v>
      </c>
      <c r="CL1997">
        <v>0</v>
      </c>
      <c r="CM1997">
        <v>2</v>
      </c>
      <c r="CN1997">
        <v>0</v>
      </c>
      <c r="CO1997">
        <v>4</v>
      </c>
      <c r="CP1997" t="s">
        <v>119</v>
      </c>
      <c r="CQ1997">
        <v>70</v>
      </c>
      <c r="CR1997">
        <v>1</v>
      </c>
      <c r="CW1997">
        <v>3876941</v>
      </c>
      <c r="CY1997">
        <v>0</v>
      </c>
      <c r="CZ1997">
        <v>0</v>
      </c>
      <c r="DA1997">
        <v>0</v>
      </c>
      <c r="DB1997">
        <v>0</v>
      </c>
      <c r="DC1997">
        <v>0</v>
      </c>
      <c r="DD1997">
        <v>0</v>
      </c>
      <c r="DE1997">
        <v>0</v>
      </c>
      <c r="DF1997">
        <v>0</v>
      </c>
      <c r="DG1997">
        <v>0</v>
      </c>
      <c r="DH1997">
        <v>0</v>
      </c>
      <c r="DI1997">
        <v>0</v>
      </c>
    </row>
    <row r="1998" spans="1:113" x14ac:dyDescent="0.3">
      <c r="A1998" t="str">
        <f>"02/13/2022 19:00:04.200"</f>
        <v>02/13/2022 19:00:04.200</v>
      </c>
      <c r="C1998" t="str">
        <f t="shared" si="196"/>
        <v>FFDFD7C0</v>
      </c>
      <c r="D1998" t="s">
        <v>113</v>
      </c>
      <c r="E1998">
        <v>4</v>
      </c>
      <c r="F1998">
        <v>1004</v>
      </c>
      <c r="G1998" t="s">
        <v>120</v>
      </c>
      <c r="J1998" t="s">
        <v>115</v>
      </c>
      <c r="K1998">
        <v>0</v>
      </c>
      <c r="L1998">
        <v>3</v>
      </c>
      <c r="M1998">
        <v>0</v>
      </c>
      <c r="N1998">
        <v>2</v>
      </c>
      <c r="O1998">
        <v>1</v>
      </c>
      <c r="P1998">
        <v>0</v>
      </c>
      <c r="Q1998">
        <v>0</v>
      </c>
      <c r="S1998" t="str">
        <f>"19:00:03.883"</f>
        <v>19:00:03.883</v>
      </c>
      <c r="T1998" t="str">
        <f>"19:00:03.683"</f>
        <v>19:00:03.683</v>
      </c>
      <c r="U1998" t="str">
        <f t="shared" si="198"/>
        <v>AAB6EE</v>
      </c>
      <c r="V1998">
        <v>0</v>
      </c>
      <c r="W1998">
        <v>0</v>
      </c>
      <c r="X1998">
        <v>4</v>
      </c>
      <c r="Z1998">
        <v>0</v>
      </c>
      <c r="AA1998">
        <v>8</v>
      </c>
      <c r="AB1998">
        <v>3</v>
      </c>
      <c r="AC1998">
        <v>0</v>
      </c>
      <c r="AD1998">
        <v>10</v>
      </c>
      <c r="AE1998">
        <v>0</v>
      </c>
      <c r="AF1998">
        <v>0</v>
      </c>
      <c r="AG1998">
        <v>2</v>
      </c>
      <c r="AH1998">
        <v>1</v>
      </c>
      <c r="AI1998" t="s">
        <v>1455</v>
      </c>
      <c r="AJ1998">
        <v>34.816789999999997</v>
      </c>
      <c r="AK1998" t="s">
        <v>1456</v>
      </c>
      <c r="AL1998">
        <v>-76.258270999999993</v>
      </c>
      <c r="AM1998">
        <v>25</v>
      </c>
      <c r="AN1998">
        <v>2825</v>
      </c>
      <c r="AO1998" t="s">
        <v>118</v>
      </c>
      <c r="AP1998">
        <v>-23</v>
      </c>
      <c r="AQ1998">
        <v>80</v>
      </c>
      <c r="AR1998">
        <v>1024</v>
      </c>
      <c r="AZ1998">
        <v>4516</v>
      </c>
      <c r="BA1998">
        <v>1</v>
      </c>
      <c r="BB1998" t="str">
        <f t="shared" si="197"/>
        <v xml:space="preserve">N79NX   </v>
      </c>
      <c r="BC1998">
        <v>1</v>
      </c>
      <c r="BE1998">
        <v>0</v>
      </c>
      <c r="BF1998">
        <v>0</v>
      </c>
      <c r="BG1998">
        <v>0</v>
      </c>
      <c r="BH1998">
        <v>2650</v>
      </c>
      <c r="BI1998">
        <v>0</v>
      </c>
      <c r="BJ1998">
        <v>0</v>
      </c>
      <c r="BK1998">
        <v>0</v>
      </c>
      <c r="BL1998">
        <v>0</v>
      </c>
      <c r="BO1998">
        <v>0</v>
      </c>
      <c r="BP1998">
        <v>0</v>
      </c>
      <c r="BW1998" t="str">
        <f>"19:00:03.886"</f>
        <v>19:00:03.886</v>
      </c>
      <c r="BZ1998">
        <v>0</v>
      </c>
      <c r="CA1998">
        <v>1888</v>
      </c>
      <c r="CB1998">
        <v>214.4</v>
      </c>
      <c r="CC1998">
        <v>625.78129999999999</v>
      </c>
      <c r="CD1998">
        <v>1</v>
      </c>
      <c r="CE1998">
        <v>0</v>
      </c>
      <c r="CF1998">
        <v>0</v>
      </c>
      <c r="CG1998">
        <v>1</v>
      </c>
      <c r="CH1998">
        <v>0</v>
      </c>
      <c r="CI1998">
        <v>1</v>
      </c>
      <c r="CJ1998">
        <v>0</v>
      </c>
      <c r="CK1998">
        <v>2</v>
      </c>
      <c r="CL1998">
        <v>0</v>
      </c>
      <c r="CM1998">
        <v>2</v>
      </c>
      <c r="CN1998">
        <v>0</v>
      </c>
      <c r="CO1998">
        <v>4</v>
      </c>
      <c r="CP1998" t="s">
        <v>119</v>
      </c>
      <c r="CQ1998">
        <v>70</v>
      </c>
      <c r="CR1998">
        <v>1</v>
      </c>
      <c r="CW1998">
        <v>3876941</v>
      </c>
      <c r="CY1998">
        <v>0</v>
      </c>
      <c r="CZ1998">
        <v>0</v>
      </c>
      <c r="DA1998">
        <v>1</v>
      </c>
      <c r="DB1998">
        <v>0</v>
      </c>
      <c r="DC1998">
        <v>0</v>
      </c>
      <c r="DD1998">
        <v>0</v>
      </c>
      <c r="DE1998">
        <v>0</v>
      </c>
      <c r="DF1998">
        <v>0</v>
      </c>
      <c r="DG1998">
        <v>0</v>
      </c>
      <c r="DH1998">
        <v>0</v>
      </c>
      <c r="DI1998">
        <v>0</v>
      </c>
    </row>
    <row r="1999" spans="1:113" x14ac:dyDescent="0.3">
      <c r="A1999" t="str">
        <f>"02/13/2022 19:00:04.200"</f>
        <v>02/13/2022 19:00:04.200</v>
      </c>
      <c r="C1999" t="str">
        <f t="shared" si="196"/>
        <v>FFDFD7C0</v>
      </c>
      <c r="D1999" t="s">
        <v>121</v>
      </c>
      <c r="E1999">
        <v>2</v>
      </c>
      <c r="H1999">
        <v>158</v>
      </c>
      <c r="I1999" t="s">
        <v>120</v>
      </c>
      <c r="J1999" t="s">
        <v>122</v>
      </c>
      <c r="K1999">
        <v>0</v>
      </c>
      <c r="L1999">
        <v>3</v>
      </c>
      <c r="M1999">
        <v>0</v>
      </c>
      <c r="N1999">
        <v>2</v>
      </c>
      <c r="O1999">
        <v>1</v>
      </c>
      <c r="P1999">
        <v>0</v>
      </c>
      <c r="Q1999">
        <v>0</v>
      </c>
      <c r="S1999" t="str">
        <f>"19:00:03.883"</f>
        <v>19:00:03.883</v>
      </c>
      <c r="T1999" t="str">
        <f>"19:00:03.683"</f>
        <v>19:00:03.683</v>
      </c>
      <c r="U1999" t="str">
        <f t="shared" si="198"/>
        <v>AAB6EE</v>
      </c>
      <c r="V1999">
        <v>0</v>
      </c>
      <c r="W1999">
        <v>0</v>
      </c>
      <c r="X1999">
        <v>4</v>
      </c>
      <c r="Z1999">
        <v>0</v>
      </c>
      <c r="AA1999">
        <v>8</v>
      </c>
      <c r="AB1999">
        <v>3</v>
      </c>
      <c r="AC1999">
        <v>0</v>
      </c>
      <c r="AD1999">
        <v>10</v>
      </c>
      <c r="AE1999">
        <v>0</v>
      </c>
      <c r="AF1999">
        <v>0</v>
      </c>
      <c r="AG1999">
        <v>2</v>
      </c>
      <c r="AH1999">
        <v>1</v>
      </c>
      <c r="AI1999" t="s">
        <v>1455</v>
      </c>
      <c r="AJ1999">
        <v>34.816789999999997</v>
      </c>
      <c r="AK1999" t="s">
        <v>1456</v>
      </c>
      <c r="AL1999">
        <v>-76.258270999999993</v>
      </c>
      <c r="AM1999">
        <v>25</v>
      </c>
      <c r="AN1999">
        <v>2825</v>
      </c>
      <c r="AO1999" t="s">
        <v>118</v>
      </c>
      <c r="AP1999">
        <v>-23</v>
      </c>
      <c r="AQ1999">
        <v>80</v>
      </c>
      <c r="AR1999">
        <v>1024</v>
      </c>
      <c r="AZ1999">
        <v>4516</v>
      </c>
      <c r="BA1999">
        <v>1</v>
      </c>
      <c r="BB1999" t="str">
        <f t="shared" si="197"/>
        <v xml:space="preserve">N79NX   </v>
      </c>
      <c r="BC1999">
        <v>1</v>
      </c>
      <c r="BE1999">
        <v>0</v>
      </c>
      <c r="BF1999">
        <v>0</v>
      </c>
      <c r="BG1999">
        <v>0</v>
      </c>
      <c r="BH1999">
        <v>2650</v>
      </c>
      <c r="BI1999">
        <v>0</v>
      </c>
      <c r="BJ1999">
        <v>0</v>
      </c>
      <c r="BK1999">
        <v>0</v>
      </c>
      <c r="BL1999">
        <v>0</v>
      </c>
      <c r="BO1999">
        <v>0</v>
      </c>
      <c r="BP1999">
        <v>0</v>
      </c>
      <c r="BW1999" t="str">
        <f>"19:00:03.886"</f>
        <v>19:00:03.886</v>
      </c>
      <c r="BZ1999">
        <v>0</v>
      </c>
      <c r="CA1999">
        <v>1888</v>
      </c>
      <c r="CB1999">
        <v>214.4</v>
      </c>
      <c r="CC1999">
        <v>625.78129999999999</v>
      </c>
      <c r="CD1999">
        <v>1</v>
      </c>
      <c r="CE1999">
        <v>0</v>
      </c>
      <c r="CF1999">
        <v>0</v>
      </c>
      <c r="CG1999">
        <v>1</v>
      </c>
      <c r="CH1999">
        <v>0</v>
      </c>
      <c r="CI1999">
        <v>1</v>
      </c>
      <c r="CJ1999">
        <v>0</v>
      </c>
      <c r="CK1999">
        <v>2</v>
      </c>
      <c r="CL1999">
        <v>0</v>
      </c>
      <c r="CM1999">
        <v>2</v>
      </c>
      <c r="CN1999">
        <v>0</v>
      </c>
      <c r="CO1999">
        <v>4</v>
      </c>
      <c r="CP1999" t="s">
        <v>119</v>
      </c>
      <c r="CQ1999">
        <v>70</v>
      </c>
      <c r="CR1999">
        <v>1</v>
      </c>
      <c r="CW1999">
        <v>3876941</v>
      </c>
      <c r="CY1999">
        <v>0</v>
      </c>
      <c r="CZ1999">
        <v>0</v>
      </c>
      <c r="DA1999">
        <v>0</v>
      </c>
      <c r="DB1999">
        <v>0</v>
      </c>
      <c r="DC1999">
        <v>0</v>
      </c>
      <c r="DD1999">
        <v>0</v>
      </c>
      <c r="DE1999">
        <v>0</v>
      </c>
      <c r="DF1999">
        <v>0</v>
      </c>
      <c r="DG1999">
        <v>0</v>
      </c>
      <c r="DH1999">
        <v>0</v>
      </c>
      <c r="DI1999">
        <v>0</v>
      </c>
    </row>
    <row r="2000" spans="1:113" x14ac:dyDescent="0.3">
      <c r="A2000" t="str">
        <f>"02/13/2022 19:00:05.158"</f>
        <v>02/13/2022 19:00:05.158</v>
      </c>
      <c r="C2000" t="str">
        <f t="shared" si="196"/>
        <v>FFDFD7C0</v>
      </c>
      <c r="D2000" t="s">
        <v>121</v>
      </c>
      <c r="E2000">
        <v>2</v>
      </c>
      <c r="H2000">
        <v>158</v>
      </c>
      <c r="I2000" t="s">
        <v>120</v>
      </c>
      <c r="J2000" t="s">
        <v>122</v>
      </c>
      <c r="K2000">
        <v>0</v>
      </c>
      <c r="L2000">
        <v>3</v>
      </c>
      <c r="M2000">
        <v>0</v>
      </c>
      <c r="N2000">
        <v>2</v>
      </c>
      <c r="O2000">
        <v>1</v>
      </c>
      <c r="P2000">
        <v>0</v>
      </c>
      <c r="Q2000">
        <v>0</v>
      </c>
      <c r="S2000" t="str">
        <f>"19:00:04.953"</f>
        <v>19:00:04.953</v>
      </c>
      <c r="T2000" t="str">
        <f>"19:00:04.753"</f>
        <v>19:00:04.753</v>
      </c>
      <c r="U2000" t="str">
        <f t="shared" si="198"/>
        <v>AAB6EE</v>
      </c>
      <c r="V2000">
        <v>0</v>
      </c>
      <c r="W2000">
        <v>0</v>
      </c>
      <c r="X2000">
        <v>4</v>
      </c>
      <c r="Z2000">
        <v>0</v>
      </c>
      <c r="AA2000">
        <v>8</v>
      </c>
      <c r="AB2000">
        <v>3</v>
      </c>
      <c r="AC2000">
        <v>0</v>
      </c>
      <c r="AD2000">
        <v>10</v>
      </c>
      <c r="AE2000">
        <v>0</v>
      </c>
      <c r="AF2000">
        <v>0</v>
      </c>
      <c r="AG2000">
        <v>2</v>
      </c>
      <c r="AH2000">
        <v>1</v>
      </c>
      <c r="AI2000" t="s">
        <v>1457</v>
      </c>
      <c r="AJ2000">
        <v>34.817176000000003</v>
      </c>
      <c r="AK2000" t="s">
        <v>1458</v>
      </c>
      <c r="AL2000">
        <v>-76.258464000000004</v>
      </c>
      <c r="AM2000">
        <v>25</v>
      </c>
      <c r="AN2000">
        <v>2825</v>
      </c>
      <c r="AO2000" t="s">
        <v>118</v>
      </c>
      <c r="AP2000">
        <v>-33</v>
      </c>
      <c r="AQ2000">
        <v>78</v>
      </c>
      <c r="AR2000">
        <v>256</v>
      </c>
      <c r="AZ2000">
        <v>4516</v>
      </c>
      <c r="BA2000">
        <v>1</v>
      </c>
      <c r="BB2000" t="str">
        <f t="shared" si="197"/>
        <v xml:space="preserve">N79NX   </v>
      </c>
      <c r="BC2000">
        <v>1</v>
      </c>
      <c r="BE2000">
        <v>0</v>
      </c>
      <c r="BF2000">
        <v>0</v>
      </c>
      <c r="BG2000">
        <v>0</v>
      </c>
      <c r="BH2000">
        <v>2675</v>
      </c>
      <c r="BI2000">
        <v>0</v>
      </c>
      <c r="BJ2000">
        <v>0</v>
      </c>
      <c r="BK2000">
        <v>0</v>
      </c>
      <c r="BL2000">
        <v>0</v>
      </c>
      <c r="BO2000">
        <v>0</v>
      </c>
      <c r="BP2000">
        <v>0</v>
      </c>
      <c r="BW2000" t="str">
        <f>"19:00:04.956"</f>
        <v>19:00:04.956</v>
      </c>
      <c r="BZ2000">
        <v>0</v>
      </c>
      <c r="CA2000">
        <v>1888</v>
      </c>
      <c r="CB2000">
        <v>214.4</v>
      </c>
      <c r="CC2000">
        <v>625.78129999999999</v>
      </c>
      <c r="CD2000">
        <v>1</v>
      </c>
      <c r="CE2000">
        <v>0</v>
      </c>
      <c r="CF2000">
        <v>0</v>
      </c>
      <c r="CG2000">
        <v>1</v>
      </c>
      <c r="CH2000">
        <v>0</v>
      </c>
      <c r="CI2000">
        <v>1</v>
      </c>
      <c r="CJ2000">
        <v>0</v>
      </c>
      <c r="CK2000">
        <v>2</v>
      </c>
      <c r="CL2000">
        <v>0</v>
      </c>
      <c r="CM2000">
        <v>2</v>
      </c>
      <c r="CN2000">
        <v>0</v>
      </c>
      <c r="CO2000">
        <v>4</v>
      </c>
      <c r="CP2000" t="s">
        <v>119</v>
      </c>
      <c r="CQ2000">
        <v>70</v>
      </c>
      <c r="CR2000">
        <v>1</v>
      </c>
      <c r="CW2000">
        <v>3877894</v>
      </c>
      <c r="CY2000">
        <v>0</v>
      </c>
      <c r="CZ2000">
        <v>0</v>
      </c>
      <c r="DA2000">
        <v>0</v>
      </c>
      <c r="DB2000">
        <v>0</v>
      </c>
      <c r="DC2000">
        <v>0</v>
      </c>
      <c r="DD2000">
        <v>0</v>
      </c>
      <c r="DE2000">
        <v>0</v>
      </c>
      <c r="DF2000">
        <v>0</v>
      </c>
      <c r="DG2000">
        <v>0</v>
      </c>
      <c r="DH2000">
        <v>0</v>
      </c>
      <c r="DI2000">
        <v>0</v>
      </c>
    </row>
    <row r="2001" spans="1:113" x14ac:dyDescent="0.3">
      <c r="A2001" t="str">
        <f>"02/13/2022 19:00:05.204"</f>
        <v>02/13/2022 19:00:05.204</v>
      </c>
      <c r="C2001" t="str">
        <f t="shared" si="196"/>
        <v>FFDFD7C0</v>
      </c>
      <c r="D2001" t="s">
        <v>113</v>
      </c>
      <c r="E2001">
        <v>4</v>
      </c>
      <c r="F2001">
        <v>1004</v>
      </c>
      <c r="G2001" t="s">
        <v>120</v>
      </c>
      <c r="J2001" t="s">
        <v>115</v>
      </c>
      <c r="K2001">
        <v>0</v>
      </c>
      <c r="L2001">
        <v>3</v>
      </c>
      <c r="M2001">
        <v>0</v>
      </c>
      <c r="N2001">
        <v>2</v>
      </c>
      <c r="O2001">
        <v>1</v>
      </c>
      <c r="P2001">
        <v>0</v>
      </c>
      <c r="Q2001">
        <v>0</v>
      </c>
      <c r="S2001" t="str">
        <f>"19:00:04.953"</f>
        <v>19:00:04.953</v>
      </c>
      <c r="T2001" t="str">
        <f>"19:00:04.753"</f>
        <v>19:00:04.753</v>
      </c>
      <c r="U2001" t="str">
        <f t="shared" si="198"/>
        <v>AAB6EE</v>
      </c>
      <c r="V2001">
        <v>0</v>
      </c>
      <c r="W2001">
        <v>0</v>
      </c>
      <c r="X2001">
        <v>4</v>
      </c>
      <c r="Z2001">
        <v>0</v>
      </c>
      <c r="AA2001">
        <v>8</v>
      </c>
      <c r="AB2001">
        <v>3</v>
      </c>
      <c r="AC2001">
        <v>0</v>
      </c>
      <c r="AD2001">
        <v>10</v>
      </c>
      <c r="AE2001">
        <v>0</v>
      </c>
      <c r="AF2001">
        <v>0</v>
      </c>
      <c r="AG2001">
        <v>2</v>
      </c>
      <c r="AH2001">
        <v>1</v>
      </c>
      <c r="AI2001" t="s">
        <v>1457</v>
      </c>
      <c r="AJ2001">
        <v>34.817176000000003</v>
      </c>
      <c r="AK2001" t="s">
        <v>1458</v>
      </c>
      <c r="AL2001">
        <v>-76.258464000000004</v>
      </c>
      <c r="AM2001">
        <v>25</v>
      </c>
      <c r="AN2001">
        <v>2825</v>
      </c>
      <c r="AO2001" t="s">
        <v>118</v>
      </c>
      <c r="AP2001">
        <v>-33</v>
      </c>
      <c r="AQ2001">
        <v>78</v>
      </c>
      <c r="AR2001">
        <v>256</v>
      </c>
      <c r="AZ2001">
        <v>4516</v>
      </c>
      <c r="BA2001">
        <v>1</v>
      </c>
      <c r="BB2001" t="str">
        <f t="shared" si="197"/>
        <v xml:space="preserve">N79NX   </v>
      </c>
      <c r="BC2001">
        <v>1</v>
      </c>
      <c r="BE2001">
        <v>0</v>
      </c>
      <c r="BF2001">
        <v>0</v>
      </c>
      <c r="BG2001">
        <v>0</v>
      </c>
      <c r="BH2001">
        <v>2675</v>
      </c>
      <c r="BI2001">
        <v>0</v>
      </c>
      <c r="BJ2001">
        <v>0</v>
      </c>
      <c r="BK2001">
        <v>0</v>
      </c>
      <c r="BL2001">
        <v>0</v>
      </c>
      <c r="BO2001">
        <v>0</v>
      </c>
      <c r="BP2001">
        <v>0</v>
      </c>
      <c r="BW2001" t="str">
        <f>"19:00:04.956"</f>
        <v>19:00:04.956</v>
      </c>
      <c r="BZ2001">
        <v>0</v>
      </c>
      <c r="CA2001">
        <v>1888</v>
      </c>
      <c r="CB2001">
        <v>214.4</v>
      </c>
      <c r="CC2001">
        <v>625.78129999999999</v>
      </c>
      <c r="CD2001">
        <v>1</v>
      </c>
      <c r="CE2001">
        <v>0</v>
      </c>
      <c r="CF2001">
        <v>0</v>
      </c>
      <c r="CG2001">
        <v>1</v>
      </c>
      <c r="CH2001">
        <v>0</v>
      </c>
      <c r="CI2001">
        <v>1</v>
      </c>
      <c r="CJ2001">
        <v>0</v>
      </c>
      <c r="CK2001">
        <v>2</v>
      </c>
      <c r="CL2001">
        <v>0</v>
      </c>
      <c r="CM2001">
        <v>2</v>
      </c>
      <c r="CN2001">
        <v>0</v>
      </c>
      <c r="CO2001">
        <v>4</v>
      </c>
      <c r="CP2001" t="s">
        <v>119</v>
      </c>
      <c r="CQ2001">
        <v>70</v>
      </c>
      <c r="CR2001">
        <v>1</v>
      </c>
      <c r="CW2001">
        <v>3877894</v>
      </c>
      <c r="CY2001">
        <v>0</v>
      </c>
      <c r="CZ2001">
        <v>0</v>
      </c>
      <c r="DA2001">
        <v>1</v>
      </c>
      <c r="DB2001">
        <v>0</v>
      </c>
      <c r="DC2001">
        <v>0</v>
      </c>
      <c r="DD2001">
        <v>0</v>
      </c>
      <c r="DE2001">
        <v>0</v>
      </c>
      <c r="DF2001">
        <v>0</v>
      </c>
      <c r="DG2001">
        <v>0</v>
      </c>
      <c r="DH2001">
        <v>0</v>
      </c>
      <c r="DI2001">
        <v>0</v>
      </c>
    </row>
    <row r="2002" spans="1:113" x14ac:dyDescent="0.3">
      <c r="A2002" t="str">
        <f>"02/13/2022 19:00:05.189"</f>
        <v>02/13/2022 19:00:05.189</v>
      </c>
      <c r="C2002" t="str">
        <f t="shared" si="196"/>
        <v>FFDFD7C0</v>
      </c>
      <c r="D2002" t="s">
        <v>113</v>
      </c>
      <c r="E2002">
        <v>3</v>
      </c>
      <c r="F2002">
        <v>1003</v>
      </c>
      <c r="G2002" t="s">
        <v>114</v>
      </c>
      <c r="J2002" t="s">
        <v>115</v>
      </c>
      <c r="K2002">
        <v>0</v>
      </c>
      <c r="L2002">
        <v>3</v>
      </c>
      <c r="M2002">
        <v>0</v>
      </c>
      <c r="N2002">
        <v>2</v>
      </c>
      <c r="O2002">
        <v>1</v>
      </c>
      <c r="P2002">
        <v>0</v>
      </c>
      <c r="Q2002">
        <v>0</v>
      </c>
      <c r="S2002" t="str">
        <f>"19:00:04.953"</f>
        <v>19:00:04.953</v>
      </c>
      <c r="T2002" t="str">
        <f>"19:00:04.753"</f>
        <v>19:00:04.753</v>
      </c>
      <c r="U2002" t="str">
        <f t="shared" si="198"/>
        <v>AAB6EE</v>
      </c>
      <c r="V2002">
        <v>0</v>
      </c>
      <c r="W2002">
        <v>0</v>
      </c>
      <c r="X2002">
        <v>4</v>
      </c>
      <c r="Z2002">
        <v>0</v>
      </c>
      <c r="AA2002">
        <v>8</v>
      </c>
      <c r="AB2002">
        <v>3</v>
      </c>
      <c r="AC2002">
        <v>0</v>
      </c>
      <c r="AD2002">
        <v>10</v>
      </c>
      <c r="AE2002">
        <v>0</v>
      </c>
      <c r="AF2002">
        <v>0</v>
      </c>
      <c r="AG2002">
        <v>2</v>
      </c>
      <c r="AH2002">
        <v>1</v>
      </c>
      <c r="AI2002" t="s">
        <v>1457</v>
      </c>
      <c r="AJ2002">
        <v>34.817176000000003</v>
      </c>
      <c r="AK2002" t="s">
        <v>1458</v>
      </c>
      <c r="AL2002">
        <v>-76.258464000000004</v>
      </c>
      <c r="AM2002">
        <v>25</v>
      </c>
      <c r="AN2002">
        <v>2825</v>
      </c>
      <c r="AO2002" t="s">
        <v>118</v>
      </c>
      <c r="AP2002">
        <v>-33</v>
      </c>
      <c r="AQ2002">
        <v>78</v>
      </c>
      <c r="AR2002">
        <v>256</v>
      </c>
      <c r="AZ2002">
        <v>4516</v>
      </c>
      <c r="BA2002">
        <v>1</v>
      </c>
      <c r="BB2002" t="str">
        <f t="shared" si="197"/>
        <v xml:space="preserve">N79NX   </v>
      </c>
      <c r="BC2002">
        <v>1</v>
      </c>
      <c r="BE2002">
        <v>0</v>
      </c>
      <c r="BF2002">
        <v>0</v>
      </c>
      <c r="BG2002">
        <v>0</v>
      </c>
      <c r="BH2002">
        <v>2675</v>
      </c>
      <c r="BI2002">
        <v>0</v>
      </c>
      <c r="BJ2002">
        <v>0</v>
      </c>
      <c r="BK2002">
        <v>0</v>
      </c>
      <c r="BL2002">
        <v>0</v>
      </c>
      <c r="BO2002">
        <v>0</v>
      </c>
      <c r="BP2002">
        <v>0</v>
      </c>
      <c r="BW2002" t="str">
        <f>"19:00:04.956"</f>
        <v>19:00:04.956</v>
      </c>
      <c r="BZ2002">
        <v>0</v>
      </c>
      <c r="CA2002">
        <v>1888</v>
      </c>
      <c r="CB2002">
        <v>214.4</v>
      </c>
      <c r="CC2002">
        <v>625.78129999999999</v>
      </c>
      <c r="CD2002">
        <v>1</v>
      </c>
      <c r="CE2002">
        <v>0</v>
      </c>
      <c r="CF2002">
        <v>0</v>
      </c>
      <c r="CG2002">
        <v>1</v>
      </c>
      <c r="CH2002">
        <v>0</v>
      </c>
      <c r="CI2002">
        <v>1</v>
      </c>
      <c r="CJ2002">
        <v>0</v>
      </c>
      <c r="CK2002">
        <v>2</v>
      </c>
      <c r="CL2002">
        <v>0</v>
      </c>
      <c r="CM2002">
        <v>2</v>
      </c>
      <c r="CN2002">
        <v>0</v>
      </c>
      <c r="CO2002">
        <v>4</v>
      </c>
      <c r="CP2002" t="s">
        <v>119</v>
      </c>
      <c r="CQ2002">
        <v>70</v>
      </c>
      <c r="CR2002">
        <v>1</v>
      </c>
      <c r="CW2002">
        <v>3877894</v>
      </c>
      <c r="CY2002">
        <v>0</v>
      </c>
      <c r="CZ2002">
        <v>0</v>
      </c>
      <c r="DA2002">
        <v>1</v>
      </c>
      <c r="DB2002">
        <v>0</v>
      </c>
      <c r="DC2002">
        <v>0</v>
      </c>
      <c r="DD2002">
        <v>0</v>
      </c>
      <c r="DE2002">
        <v>0</v>
      </c>
      <c r="DF2002">
        <v>0</v>
      </c>
      <c r="DG2002">
        <v>0</v>
      </c>
      <c r="DH2002">
        <v>0</v>
      </c>
      <c r="DI2002">
        <v>0</v>
      </c>
    </row>
    <row r="2003" spans="1:113" x14ac:dyDescent="0.3">
      <c r="A2003" t="str">
        <f>"02/13/2022 19:00:06.345"</f>
        <v>02/13/2022 19:00:06.345</v>
      </c>
      <c r="C2003" t="str">
        <f t="shared" si="196"/>
        <v>FFDFD7C0</v>
      </c>
      <c r="D2003" t="s">
        <v>121</v>
      </c>
      <c r="E2003">
        <v>2</v>
      </c>
      <c r="H2003">
        <v>158</v>
      </c>
      <c r="I2003" t="s">
        <v>120</v>
      </c>
      <c r="J2003" t="s">
        <v>122</v>
      </c>
      <c r="K2003">
        <v>0</v>
      </c>
      <c r="L2003">
        <v>3</v>
      </c>
      <c r="M2003">
        <v>0</v>
      </c>
      <c r="N2003">
        <v>2</v>
      </c>
      <c r="O2003">
        <v>1</v>
      </c>
      <c r="P2003">
        <v>0</v>
      </c>
      <c r="Q2003">
        <v>0</v>
      </c>
      <c r="S2003" t="str">
        <f>"19:00:06.031"</f>
        <v>19:00:06.031</v>
      </c>
      <c r="T2003" t="str">
        <f>"19:00:05.931"</f>
        <v>19:00:05.931</v>
      </c>
      <c r="U2003" t="str">
        <f t="shared" si="198"/>
        <v>AAB6EE</v>
      </c>
      <c r="V2003">
        <v>0</v>
      </c>
      <c r="W2003">
        <v>0</v>
      </c>
      <c r="X2003">
        <v>4</v>
      </c>
      <c r="Z2003">
        <v>0</v>
      </c>
      <c r="AA2003">
        <v>8</v>
      </c>
      <c r="AB2003">
        <v>3</v>
      </c>
      <c r="AC2003">
        <v>0</v>
      </c>
      <c r="AD2003">
        <v>10</v>
      </c>
      <c r="AE2003">
        <v>0</v>
      </c>
      <c r="AF2003">
        <v>0</v>
      </c>
      <c r="AG2003">
        <v>2</v>
      </c>
      <c r="AH2003">
        <v>1</v>
      </c>
      <c r="AI2003" t="s">
        <v>1459</v>
      </c>
      <c r="AJ2003">
        <v>34.817540999999999</v>
      </c>
      <c r="AK2003" t="s">
        <v>1460</v>
      </c>
      <c r="AL2003">
        <v>-76.258742999999996</v>
      </c>
      <c r="AM2003">
        <v>25</v>
      </c>
      <c r="AN2003">
        <v>2825</v>
      </c>
      <c r="AO2003" t="s">
        <v>118</v>
      </c>
      <c r="AP2003">
        <v>-47</v>
      </c>
      <c r="AQ2003">
        <v>74</v>
      </c>
      <c r="AR2003">
        <v>-448</v>
      </c>
      <c r="AZ2003">
        <v>4516</v>
      </c>
      <c r="BA2003">
        <v>1</v>
      </c>
      <c r="BB2003" t="str">
        <f t="shared" si="197"/>
        <v xml:space="preserve">N79NX   </v>
      </c>
      <c r="BC2003">
        <v>1</v>
      </c>
      <c r="BE2003">
        <v>0</v>
      </c>
      <c r="BF2003">
        <v>0</v>
      </c>
      <c r="BG2003">
        <v>0</v>
      </c>
      <c r="BH2003">
        <v>2675</v>
      </c>
      <c r="BI2003">
        <v>0</v>
      </c>
      <c r="BJ2003">
        <v>0</v>
      </c>
      <c r="BK2003">
        <v>0</v>
      </c>
      <c r="BL2003">
        <v>0</v>
      </c>
      <c r="BO2003">
        <v>0</v>
      </c>
      <c r="BP2003">
        <v>0</v>
      </c>
      <c r="BW2003" t="str">
        <f>"19:00:06.036"</f>
        <v>19:00:06.036</v>
      </c>
      <c r="BZ2003">
        <v>0</v>
      </c>
      <c r="CA2003">
        <v>1888</v>
      </c>
      <c r="CB2003">
        <v>214.4</v>
      </c>
      <c r="CC2003">
        <v>625.78129999999999</v>
      </c>
      <c r="CD2003">
        <v>1</v>
      </c>
      <c r="CE2003">
        <v>0</v>
      </c>
      <c r="CF2003">
        <v>0</v>
      </c>
      <c r="CG2003">
        <v>1</v>
      </c>
      <c r="CH2003">
        <v>0</v>
      </c>
      <c r="CI2003">
        <v>1</v>
      </c>
      <c r="CJ2003">
        <v>0</v>
      </c>
      <c r="CK2003">
        <v>2</v>
      </c>
      <c r="CL2003">
        <v>0</v>
      </c>
      <c r="CM2003">
        <v>2</v>
      </c>
      <c r="CN2003">
        <v>0</v>
      </c>
      <c r="CO2003">
        <v>5</v>
      </c>
      <c r="CP2003" t="s">
        <v>119</v>
      </c>
      <c r="CQ2003">
        <v>70</v>
      </c>
      <c r="CR2003">
        <v>1</v>
      </c>
      <c r="CW2003">
        <v>3878837</v>
      </c>
      <c r="CY2003">
        <v>0</v>
      </c>
      <c r="CZ2003">
        <v>0</v>
      </c>
      <c r="DA2003">
        <v>0</v>
      </c>
      <c r="DB2003">
        <v>0</v>
      </c>
      <c r="DC2003">
        <v>0</v>
      </c>
      <c r="DD2003">
        <v>0</v>
      </c>
      <c r="DE2003">
        <v>0</v>
      </c>
      <c r="DF2003">
        <v>0</v>
      </c>
      <c r="DG2003">
        <v>0</v>
      </c>
      <c r="DH2003">
        <v>0</v>
      </c>
      <c r="DI2003">
        <v>0</v>
      </c>
    </row>
    <row r="2004" spans="1:113" x14ac:dyDescent="0.3">
      <c r="A2004" t="str">
        <f>"02/13/2022 19:00:06.392"</f>
        <v>02/13/2022 19:00:06.392</v>
      </c>
      <c r="C2004" t="str">
        <f t="shared" si="196"/>
        <v>FFDFD7C0</v>
      </c>
      <c r="D2004" t="s">
        <v>113</v>
      </c>
      <c r="E2004">
        <v>3</v>
      </c>
      <c r="F2004">
        <v>1003</v>
      </c>
      <c r="G2004" t="s">
        <v>114</v>
      </c>
      <c r="J2004" t="s">
        <v>115</v>
      </c>
      <c r="K2004">
        <v>0</v>
      </c>
      <c r="L2004">
        <v>3</v>
      </c>
      <c r="M2004">
        <v>0</v>
      </c>
      <c r="N2004">
        <v>2</v>
      </c>
      <c r="O2004">
        <v>1</v>
      </c>
      <c r="P2004">
        <v>0</v>
      </c>
      <c r="Q2004">
        <v>0</v>
      </c>
      <c r="S2004" t="str">
        <f>"19:00:06.031"</f>
        <v>19:00:06.031</v>
      </c>
      <c r="T2004" t="str">
        <f>"19:00:05.931"</f>
        <v>19:00:05.931</v>
      </c>
      <c r="U2004" t="str">
        <f t="shared" si="198"/>
        <v>AAB6EE</v>
      </c>
      <c r="V2004">
        <v>0</v>
      </c>
      <c r="W2004">
        <v>0</v>
      </c>
      <c r="X2004">
        <v>4</v>
      </c>
      <c r="Z2004">
        <v>0</v>
      </c>
      <c r="AA2004">
        <v>8</v>
      </c>
      <c r="AB2004">
        <v>3</v>
      </c>
      <c r="AC2004">
        <v>0</v>
      </c>
      <c r="AD2004">
        <v>10</v>
      </c>
      <c r="AE2004">
        <v>0</v>
      </c>
      <c r="AF2004">
        <v>0</v>
      </c>
      <c r="AG2004">
        <v>2</v>
      </c>
      <c r="AH2004">
        <v>1</v>
      </c>
      <c r="AI2004" t="s">
        <v>1459</v>
      </c>
      <c r="AJ2004">
        <v>34.817540999999999</v>
      </c>
      <c r="AK2004" t="s">
        <v>1460</v>
      </c>
      <c r="AL2004">
        <v>-76.258742999999996</v>
      </c>
      <c r="AM2004">
        <v>25</v>
      </c>
      <c r="AN2004">
        <v>2825</v>
      </c>
      <c r="AO2004" t="s">
        <v>118</v>
      </c>
      <c r="AP2004">
        <v>-47</v>
      </c>
      <c r="AQ2004">
        <v>74</v>
      </c>
      <c r="AR2004">
        <v>-448</v>
      </c>
      <c r="AZ2004">
        <v>4516</v>
      </c>
      <c r="BA2004">
        <v>1</v>
      </c>
      <c r="BB2004" t="str">
        <f t="shared" si="197"/>
        <v xml:space="preserve">N79NX   </v>
      </c>
      <c r="BC2004">
        <v>1</v>
      </c>
      <c r="BE2004">
        <v>0</v>
      </c>
      <c r="BF2004">
        <v>0</v>
      </c>
      <c r="BG2004">
        <v>0</v>
      </c>
      <c r="BH2004">
        <v>2675</v>
      </c>
      <c r="BI2004">
        <v>0</v>
      </c>
      <c r="BJ2004">
        <v>0</v>
      </c>
      <c r="BK2004">
        <v>0</v>
      </c>
      <c r="BL2004">
        <v>0</v>
      </c>
      <c r="BO2004">
        <v>0</v>
      </c>
      <c r="BP2004">
        <v>0</v>
      </c>
      <c r="BW2004" t="str">
        <f>"19:00:06.036"</f>
        <v>19:00:06.036</v>
      </c>
      <c r="BZ2004">
        <v>0</v>
      </c>
      <c r="CA2004">
        <v>1888</v>
      </c>
      <c r="CB2004">
        <v>214.4</v>
      </c>
      <c r="CC2004">
        <v>625.78129999999999</v>
      </c>
      <c r="CD2004">
        <v>1</v>
      </c>
      <c r="CE2004">
        <v>0</v>
      </c>
      <c r="CF2004">
        <v>0</v>
      </c>
      <c r="CG2004">
        <v>1</v>
      </c>
      <c r="CH2004">
        <v>0</v>
      </c>
      <c r="CI2004">
        <v>1</v>
      </c>
      <c r="CJ2004">
        <v>0</v>
      </c>
      <c r="CK2004">
        <v>2</v>
      </c>
      <c r="CL2004">
        <v>0</v>
      </c>
      <c r="CM2004">
        <v>2</v>
      </c>
      <c r="CN2004">
        <v>0</v>
      </c>
      <c r="CO2004">
        <v>5</v>
      </c>
      <c r="CP2004" t="s">
        <v>119</v>
      </c>
      <c r="CQ2004">
        <v>70</v>
      </c>
      <c r="CR2004">
        <v>1</v>
      </c>
      <c r="CW2004">
        <v>3878837</v>
      </c>
      <c r="CY2004">
        <v>0</v>
      </c>
      <c r="CZ2004">
        <v>0</v>
      </c>
      <c r="DA2004">
        <v>1</v>
      </c>
      <c r="DB2004">
        <v>0</v>
      </c>
      <c r="DC2004">
        <v>0</v>
      </c>
      <c r="DD2004">
        <v>0</v>
      </c>
      <c r="DE2004">
        <v>0</v>
      </c>
      <c r="DF2004">
        <v>0</v>
      </c>
      <c r="DG2004">
        <v>0</v>
      </c>
      <c r="DH2004">
        <v>0</v>
      </c>
      <c r="DI2004">
        <v>0</v>
      </c>
    </row>
    <row r="2005" spans="1:113" x14ac:dyDescent="0.3">
      <c r="A2005" t="str">
        <f>"02/13/2022 19:00:06.392"</f>
        <v>02/13/2022 19:00:06.392</v>
      </c>
      <c r="C2005" t="str">
        <f t="shared" si="196"/>
        <v>FFDFD7C0</v>
      </c>
      <c r="D2005" t="s">
        <v>113</v>
      </c>
      <c r="E2005">
        <v>4</v>
      </c>
      <c r="F2005">
        <v>1004</v>
      </c>
      <c r="G2005" t="s">
        <v>120</v>
      </c>
      <c r="J2005" t="s">
        <v>115</v>
      </c>
      <c r="K2005">
        <v>0</v>
      </c>
      <c r="L2005">
        <v>3</v>
      </c>
      <c r="M2005">
        <v>0</v>
      </c>
      <c r="N2005">
        <v>2</v>
      </c>
      <c r="O2005">
        <v>1</v>
      </c>
      <c r="P2005">
        <v>0</v>
      </c>
      <c r="Q2005">
        <v>0</v>
      </c>
      <c r="S2005" t="str">
        <f>"19:00:06.031"</f>
        <v>19:00:06.031</v>
      </c>
      <c r="T2005" t="str">
        <f>"19:00:05.931"</f>
        <v>19:00:05.931</v>
      </c>
      <c r="U2005" t="str">
        <f t="shared" si="198"/>
        <v>AAB6EE</v>
      </c>
      <c r="V2005">
        <v>0</v>
      </c>
      <c r="W2005">
        <v>0</v>
      </c>
      <c r="X2005">
        <v>4</v>
      </c>
      <c r="Z2005">
        <v>0</v>
      </c>
      <c r="AA2005">
        <v>8</v>
      </c>
      <c r="AB2005">
        <v>3</v>
      </c>
      <c r="AC2005">
        <v>0</v>
      </c>
      <c r="AD2005">
        <v>10</v>
      </c>
      <c r="AE2005">
        <v>0</v>
      </c>
      <c r="AF2005">
        <v>0</v>
      </c>
      <c r="AG2005">
        <v>2</v>
      </c>
      <c r="AH2005">
        <v>1</v>
      </c>
      <c r="AI2005" t="s">
        <v>1459</v>
      </c>
      <c r="AJ2005">
        <v>34.817540999999999</v>
      </c>
      <c r="AK2005" t="s">
        <v>1460</v>
      </c>
      <c r="AL2005">
        <v>-76.258742999999996</v>
      </c>
      <c r="AM2005">
        <v>25</v>
      </c>
      <c r="AN2005">
        <v>2825</v>
      </c>
      <c r="AO2005" t="s">
        <v>118</v>
      </c>
      <c r="AP2005">
        <v>-47</v>
      </c>
      <c r="AQ2005">
        <v>74</v>
      </c>
      <c r="AR2005">
        <v>-448</v>
      </c>
      <c r="AZ2005">
        <v>4516</v>
      </c>
      <c r="BA2005">
        <v>1</v>
      </c>
      <c r="BB2005" t="str">
        <f t="shared" si="197"/>
        <v xml:space="preserve">N79NX   </v>
      </c>
      <c r="BC2005">
        <v>1</v>
      </c>
      <c r="BE2005">
        <v>0</v>
      </c>
      <c r="BF2005">
        <v>0</v>
      </c>
      <c r="BG2005">
        <v>0</v>
      </c>
      <c r="BH2005">
        <v>2675</v>
      </c>
      <c r="BI2005">
        <v>0</v>
      </c>
      <c r="BJ2005">
        <v>0</v>
      </c>
      <c r="BK2005">
        <v>0</v>
      </c>
      <c r="BL2005">
        <v>0</v>
      </c>
      <c r="BO2005">
        <v>0</v>
      </c>
      <c r="BP2005">
        <v>0</v>
      </c>
      <c r="BW2005" t="str">
        <f>"19:00:06.036"</f>
        <v>19:00:06.036</v>
      </c>
      <c r="BZ2005">
        <v>0</v>
      </c>
      <c r="CA2005">
        <v>1888</v>
      </c>
      <c r="CB2005">
        <v>214.4</v>
      </c>
      <c r="CC2005">
        <v>625.78129999999999</v>
      </c>
      <c r="CD2005">
        <v>1</v>
      </c>
      <c r="CE2005">
        <v>0</v>
      </c>
      <c r="CF2005">
        <v>0</v>
      </c>
      <c r="CG2005">
        <v>1</v>
      </c>
      <c r="CH2005">
        <v>0</v>
      </c>
      <c r="CI2005">
        <v>1</v>
      </c>
      <c r="CJ2005">
        <v>0</v>
      </c>
      <c r="CK2005">
        <v>2</v>
      </c>
      <c r="CL2005">
        <v>0</v>
      </c>
      <c r="CM2005">
        <v>2</v>
      </c>
      <c r="CN2005">
        <v>0</v>
      </c>
      <c r="CO2005">
        <v>5</v>
      </c>
      <c r="CP2005" t="s">
        <v>119</v>
      </c>
      <c r="CQ2005">
        <v>70</v>
      </c>
      <c r="CR2005">
        <v>1</v>
      </c>
      <c r="CW2005">
        <v>3878837</v>
      </c>
      <c r="CY2005">
        <v>0</v>
      </c>
      <c r="CZ2005">
        <v>0</v>
      </c>
      <c r="DA2005">
        <v>1</v>
      </c>
      <c r="DB2005">
        <v>0</v>
      </c>
      <c r="DC2005">
        <v>0</v>
      </c>
      <c r="DD2005">
        <v>0</v>
      </c>
      <c r="DE2005">
        <v>0</v>
      </c>
      <c r="DF2005">
        <v>0</v>
      </c>
      <c r="DG2005">
        <v>0</v>
      </c>
      <c r="DH2005">
        <v>0</v>
      </c>
      <c r="DI2005">
        <v>0</v>
      </c>
    </row>
    <row r="2006" spans="1:113" x14ac:dyDescent="0.3">
      <c r="A2006" t="str">
        <f>"02/13/2022 19:00:07.331"</f>
        <v>02/13/2022 19:00:07.331</v>
      </c>
      <c r="C2006" t="str">
        <f t="shared" si="196"/>
        <v>FFDFD7C0</v>
      </c>
      <c r="D2006" t="s">
        <v>121</v>
      </c>
      <c r="E2006">
        <v>2</v>
      </c>
      <c r="H2006">
        <v>158</v>
      </c>
      <c r="I2006" t="s">
        <v>120</v>
      </c>
      <c r="J2006" t="s">
        <v>122</v>
      </c>
      <c r="K2006">
        <v>0</v>
      </c>
      <c r="L2006">
        <v>3</v>
      </c>
      <c r="M2006">
        <v>0</v>
      </c>
      <c r="N2006">
        <v>2</v>
      </c>
      <c r="O2006">
        <v>1</v>
      </c>
      <c r="P2006">
        <v>0</v>
      </c>
      <c r="Q2006">
        <v>0</v>
      </c>
      <c r="S2006" t="str">
        <f>"19:00:06.969"</f>
        <v>19:00:06.969</v>
      </c>
      <c r="T2006" t="str">
        <f>"19:00:05.869"</f>
        <v>19:00:05.869</v>
      </c>
      <c r="U2006" t="str">
        <f t="shared" si="198"/>
        <v>AAB6EE</v>
      </c>
      <c r="V2006">
        <v>0</v>
      </c>
      <c r="W2006">
        <v>0</v>
      </c>
      <c r="X2006">
        <v>4</v>
      </c>
      <c r="Z2006">
        <v>0</v>
      </c>
      <c r="AA2006">
        <v>8</v>
      </c>
      <c r="AB2006">
        <v>3</v>
      </c>
      <c r="AC2006">
        <v>0</v>
      </c>
      <c r="AD2006">
        <v>10</v>
      </c>
      <c r="AE2006">
        <v>0</v>
      </c>
      <c r="AF2006">
        <v>0</v>
      </c>
      <c r="AG2006">
        <v>2</v>
      </c>
      <c r="AH2006">
        <v>1</v>
      </c>
      <c r="AI2006" t="s">
        <v>1461</v>
      </c>
      <c r="AJ2006">
        <v>34.817819999999998</v>
      </c>
      <c r="AK2006" t="s">
        <v>1462</v>
      </c>
      <c r="AL2006">
        <v>-76.259022000000002</v>
      </c>
      <c r="AM2006">
        <v>25</v>
      </c>
      <c r="AN2006">
        <v>2800</v>
      </c>
      <c r="AO2006" t="s">
        <v>118</v>
      </c>
      <c r="AP2006">
        <v>-47</v>
      </c>
      <c r="AQ2006">
        <v>74</v>
      </c>
      <c r="AR2006">
        <v>-448</v>
      </c>
      <c r="AZ2006">
        <v>4516</v>
      </c>
      <c r="BA2006">
        <v>1</v>
      </c>
      <c r="BB2006" t="str">
        <f t="shared" si="197"/>
        <v xml:space="preserve">N79NX   </v>
      </c>
      <c r="BC2006">
        <v>1</v>
      </c>
      <c r="BE2006">
        <v>0</v>
      </c>
      <c r="BF2006">
        <v>0</v>
      </c>
      <c r="BG2006">
        <v>0</v>
      </c>
      <c r="BH2006">
        <v>2675</v>
      </c>
      <c r="BI2006">
        <v>0</v>
      </c>
      <c r="BJ2006">
        <v>0</v>
      </c>
      <c r="BK2006">
        <v>0</v>
      </c>
      <c r="BL2006">
        <v>0</v>
      </c>
      <c r="BO2006">
        <v>0</v>
      </c>
      <c r="BP2006">
        <v>0</v>
      </c>
      <c r="BW2006" t="str">
        <f>"19:00:06.976"</f>
        <v>19:00:06.976</v>
      </c>
      <c r="BZ2006">
        <v>0</v>
      </c>
      <c r="CA2006">
        <v>1888</v>
      </c>
      <c r="CB2006">
        <v>214.4</v>
      </c>
      <c r="CC2006">
        <v>625.78129999999999</v>
      </c>
      <c r="CD2006">
        <v>1</v>
      </c>
      <c r="CE2006">
        <v>0</v>
      </c>
      <c r="CF2006">
        <v>0</v>
      </c>
      <c r="CG2006">
        <v>1</v>
      </c>
      <c r="CH2006">
        <v>0</v>
      </c>
      <c r="CI2006">
        <v>1</v>
      </c>
      <c r="CJ2006">
        <v>0</v>
      </c>
      <c r="CK2006">
        <v>2</v>
      </c>
      <c r="CL2006">
        <v>0</v>
      </c>
      <c r="CM2006">
        <v>2</v>
      </c>
      <c r="CN2006">
        <v>0</v>
      </c>
      <c r="CO2006">
        <v>4</v>
      </c>
      <c r="CP2006" t="s">
        <v>119</v>
      </c>
      <c r="CQ2006">
        <v>70</v>
      </c>
      <c r="CR2006">
        <v>1</v>
      </c>
      <c r="CW2006">
        <v>3879749</v>
      </c>
      <c r="CY2006">
        <v>0</v>
      </c>
      <c r="CZ2006">
        <v>0</v>
      </c>
      <c r="DA2006">
        <v>0</v>
      </c>
      <c r="DB2006">
        <v>0</v>
      </c>
      <c r="DC2006">
        <v>0</v>
      </c>
      <c r="DD2006">
        <v>0</v>
      </c>
      <c r="DE2006">
        <v>0</v>
      </c>
      <c r="DF2006">
        <v>0</v>
      </c>
      <c r="DG2006">
        <v>0</v>
      </c>
      <c r="DH2006">
        <v>0</v>
      </c>
      <c r="DI2006">
        <v>0</v>
      </c>
    </row>
    <row r="2007" spans="1:113" x14ac:dyDescent="0.3">
      <c r="A2007" t="str">
        <f>"02/13/2022 19:00:07.331"</f>
        <v>02/13/2022 19:00:07.331</v>
      </c>
      <c r="C2007" t="str">
        <f t="shared" si="196"/>
        <v>FFDFD7C0</v>
      </c>
      <c r="D2007" t="s">
        <v>113</v>
      </c>
      <c r="E2007">
        <v>3</v>
      </c>
      <c r="F2007">
        <v>1003</v>
      </c>
      <c r="G2007" t="s">
        <v>114</v>
      </c>
      <c r="J2007" t="s">
        <v>115</v>
      </c>
      <c r="K2007">
        <v>0</v>
      </c>
      <c r="L2007">
        <v>3</v>
      </c>
      <c r="M2007">
        <v>0</v>
      </c>
      <c r="N2007">
        <v>2</v>
      </c>
      <c r="O2007">
        <v>1</v>
      </c>
      <c r="P2007">
        <v>0</v>
      </c>
      <c r="Q2007">
        <v>0</v>
      </c>
      <c r="S2007" t="str">
        <f>"19:00:06.969"</f>
        <v>19:00:06.969</v>
      </c>
      <c r="T2007" t="str">
        <f>"19:00:05.869"</f>
        <v>19:00:05.869</v>
      </c>
      <c r="U2007" t="str">
        <f t="shared" si="198"/>
        <v>AAB6EE</v>
      </c>
      <c r="V2007">
        <v>0</v>
      </c>
      <c r="W2007">
        <v>0</v>
      </c>
      <c r="X2007">
        <v>4</v>
      </c>
      <c r="Z2007">
        <v>0</v>
      </c>
      <c r="AA2007">
        <v>8</v>
      </c>
      <c r="AB2007">
        <v>3</v>
      </c>
      <c r="AC2007">
        <v>0</v>
      </c>
      <c r="AD2007">
        <v>10</v>
      </c>
      <c r="AE2007">
        <v>0</v>
      </c>
      <c r="AF2007">
        <v>0</v>
      </c>
      <c r="AG2007">
        <v>2</v>
      </c>
      <c r="AH2007">
        <v>1</v>
      </c>
      <c r="AI2007" t="s">
        <v>1461</v>
      </c>
      <c r="AJ2007">
        <v>34.817819999999998</v>
      </c>
      <c r="AK2007" t="s">
        <v>1462</v>
      </c>
      <c r="AL2007">
        <v>-76.259022000000002</v>
      </c>
      <c r="AM2007">
        <v>25</v>
      </c>
      <c r="AN2007">
        <v>2800</v>
      </c>
      <c r="AO2007" t="s">
        <v>118</v>
      </c>
      <c r="AP2007">
        <v>-47</v>
      </c>
      <c r="AQ2007">
        <v>74</v>
      </c>
      <c r="AR2007">
        <v>-448</v>
      </c>
      <c r="AZ2007">
        <v>4516</v>
      </c>
      <c r="BA2007">
        <v>1</v>
      </c>
      <c r="BB2007" t="str">
        <f t="shared" si="197"/>
        <v xml:space="preserve">N79NX   </v>
      </c>
      <c r="BC2007">
        <v>1</v>
      </c>
      <c r="BE2007">
        <v>0</v>
      </c>
      <c r="BF2007">
        <v>0</v>
      </c>
      <c r="BG2007">
        <v>0</v>
      </c>
      <c r="BH2007">
        <v>2675</v>
      </c>
      <c r="BI2007">
        <v>0</v>
      </c>
      <c r="BJ2007">
        <v>0</v>
      </c>
      <c r="BK2007">
        <v>0</v>
      </c>
      <c r="BL2007">
        <v>0</v>
      </c>
      <c r="BO2007">
        <v>0</v>
      </c>
      <c r="BP2007">
        <v>0</v>
      </c>
      <c r="BW2007" t="str">
        <f>"19:00:06.976"</f>
        <v>19:00:06.976</v>
      </c>
      <c r="BZ2007">
        <v>0</v>
      </c>
      <c r="CA2007">
        <v>1888</v>
      </c>
      <c r="CB2007">
        <v>214.4</v>
      </c>
      <c r="CC2007">
        <v>625.78129999999999</v>
      </c>
      <c r="CD2007">
        <v>1</v>
      </c>
      <c r="CE2007">
        <v>0</v>
      </c>
      <c r="CF2007">
        <v>0</v>
      </c>
      <c r="CG2007">
        <v>1</v>
      </c>
      <c r="CH2007">
        <v>0</v>
      </c>
      <c r="CI2007">
        <v>1</v>
      </c>
      <c r="CJ2007">
        <v>0</v>
      </c>
      <c r="CK2007">
        <v>2</v>
      </c>
      <c r="CL2007">
        <v>0</v>
      </c>
      <c r="CM2007">
        <v>2</v>
      </c>
      <c r="CN2007">
        <v>0</v>
      </c>
      <c r="CO2007">
        <v>4</v>
      </c>
      <c r="CP2007" t="s">
        <v>119</v>
      </c>
      <c r="CQ2007">
        <v>70</v>
      </c>
      <c r="CR2007">
        <v>1</v>
      </c>
      <c r="CW2007">
        <v>3879749</v>
      </c>
      <c r="CY2007">
        <v>0</v>
      </c>
      <c r="CZ2007">
        <v>0</v>
      </c>
      <c r="DA2007">
        <v>1</v>
      </c>
      <c r="DB2007">
        <v>0</v>
      </c>
      <c r="DC2007">
        <v>0</v>
      </c>
      <c r="DD2007">
        <v>0</v>
      </c>
      <c r="DE2007">
        <v>0</v>
      </c>
      <c r="DF2007">
        <v>0</v>
      </c>
      <c r="DG2007">
        <v>0</v>
      </c>
      <c r="DH2007">
        <v>0</v>
      </c>
      <c r="DI2007">
        <v>0</v>
      </c>
    </row>
    <row r="2008" spans="1:113" x14ac:dyDescent="0.3">
      <c r="A2008" t="str">
        <f>"02/13/2022 19:00:07.331"</f>
        <v>02/13/2022 19:00:07.331</v>
      </c>
      <c r="C2008" t="str">
        <f t="shared" si="196"/>
        <v>FFDFD7C0</v>
      </c>
      <c r="D2008" t="s">
        <v>113</v>
      </c>
      <c r="E2008">
        <v>4</v>
      </c>
      <c r="F2008">
        <v>1004</v>
      </c>
      <c r="G2008" t="s">
        <v>120</v>
      </c>
      <c r="J2008" t="s">
        <v>115</v>
      </c>
      <c r="K2008">
        <v>0</v>
      </c>
      <c r="L2008">
        <v>3</v>
      </c>
      <c r="M2008">
        <v>0</v>
      </c>
      <c r="N2008">
        <v>2</v>
      </c>
      <c r="O2008">
        <v>1</v>
      </c>
      <c r="P2008">
        <v>0</v>
      </c>
      <c r="Q2008">
        <v>0</v>
      </c>
      <c r="S2008" t="str">
        <f>"19:00:06.969"</f>
        <v>19:00:06.969</v>
      </c>
      <c r="T2008" t="str">
        <f>"19:00:05.869"</f>
        <v>19:00:05.869</v>
      </c>
      <c r="U2008" t="str">
        <f t="shared" si="198"/>
        <v>AAB6EE</v>
      </c>
      <c r="V2008">
        <v>0</v>
      </c>
      <c r="W2008">
        <v>0</v>
      </c>
      <c r="X2008">
        <v>4</v>
      </c>
      <c r="Z2008">
        <v>0</v>
      </c>
      <c r="AA2008">
        <v>8</v>
      </c>
      <c r="AB2008">
        <v>3</v>
      </c>
      <c r="AC2008">
        <v>0</v>
      </c>
      <c r="AD2008">
        <v>10</v>
      </c>
      <c r="AE2008">
        <v>0</v>
      </c>
      <c r="AF2008">
        <v>0</v>
      </c>
      <c r="AG2008">
        <v>2</v>
      </c>
      <c r="AH2008">
        <v>1</v>
      </c>
      <c r="AI2008" t="s">
        <v>1461</v>
      </c>
      <c r="AJ2008">
        <v>34.817819999999998</v>
      </c>
      <c r="AK2008" t="s">
        <v>1462</v>
      </c>
      <c r="AL2008">
        <v>-76.259022000000002</v>
      </c>
      <c r="AM2008">
        <v>25</v>
      </c>
      <c r="AN2008">
        <v>2800</v>
      </c>
      <c r="AO2008" t="s">
        <v>118</v>
      </c>
      <c r="AP2008">
        <v>-47</v>
      </c>
      <c r="AQ2008">
        <v>74</v>
      </c>
      <c r="AR2008">
        <v>-448</v>
      </c>
      <c r="AZ2008">
        <v>4516</v>
      </c>
      <c r="BA2008">
        <v>1</v>
      </c>
      <c r="BB2008" t="str">
        <f t="shared" si="197"/>
        <v xml:space="preserve">N79NX   </v>
      </c>
      <c r="BC2008">
        <v>1</v>
      </c>
      <c r="BE2008">
        <v>0</v>
      </c>
      <c r="BF2008">
        <v>0</v>
      </c>
      <c r="BG2008">
        <v>0</v>
      </c>
      <c r="BH2008">
        <v>2675</v>
      </c>
      <c r="BI2008">
        <v>0</v>
      </c>
      <c r="BJ2008">
        <v>0</v>
      </c>
      <c r="BK2008">
        <v>0</v>
      </c>
      <c r="BL2008">
        <v>0</v>
      </c>
      <c r="BO2008">
        <v>0</v>
      </c>
      <c r="BP2008">
        <v>0</v>
      </c>
      <c r="BW2008" t="str">
        <f>"19:00:06.976"</f>
        <v>19:00:06.976</v>
      </c>
      <c r="BZ2008">
        <v>0</v>
      </c>
      <c r="CA2008">
        <v>1888</v>
      </c>
      <c r="CB2008">
        <v>214.4</v>
      </c>
      <c r="CC2008">
        <v>625.78129999999999</v>
      </c>
      <c r="CD2008">
        <v>1</v>
      </c>
      <c r="CE2008">
        <v>0</v>
      </c>
      <c r="CF2008">
        <v>0</v>
      </c>
      <c r="CG2008">
        <v>1</v>
      </c>
      <c r="CH2008">
        <v>0</v>
      </c>
      <c r="CI2008">
        <v>1</v>
      </c>
      <c r="CJ2008">
        <v>0</v>
      </c>
      <c r="CK2008">
        <v>2</v>
      </c>
      <c r="CL2008">
        <v>0</v>
      </c>
      <c r="CM2008">
        <v>2</v>
      </c>
      <c r="CN2008">
        <v>0</v>
      </c>
      <c r="CO2008">
        <v>4</v>
      </c>
      <c r="CP2008" t="s">
        <v>119</v>
      </c>
      <c r="CQ2008">
        <v>70</v>
      </c>
      <c r="CR2008">
        <v>1</v>
      </c>
      <c r="CW2008">
        <v>3879749</v>
      </c>
      <c r="CY2008">
        <v>0</v>
      </c>
      <c r="CZ2008">
        <v>0</v>
      </c>
      <c r="DA2008">
        <v>1</v>
      </c>
      <c r="DB2008">
        <v>0</v>
      </c>
      <c r="DC2008">
        <v>0</v>
      </c>
      <c r="DD2008">
        <v>0</v>
      </c>
      <c r="DE2008">
        <v>0</v>
      </c>
      <c r="DF2008">
        <v>0</v>
      </c>
      <c r="DG2008">
        <v>0</v>
      </c>
      <c r="DH2008">
        <v>0</v>
      </c>
      <c r="DI2008">
        <v>0</v>
      </c>
    </row>
    <row r="2009" spans="1:113" x14ac:dyDescent="0.3">
      <c r="A2009" t="str">
        <f>"02/13/2022 19:00:08.143"</f>
        <v>02/13/2022 19:00:08.143</v>
      </c>
      <c r="C2009" t="str">
        <f t="shared" si="196"/>
        <v>FFDFD7C0</v>
      </c>
      <c r="D2009" t="s">
        <v>121</v>
      </c>
      <c r="E2009">
        <v>2</v>
      </c>
      <c r="H2009">
        <v>158</v>
      </c>
      <c r="I2009" t="s">
        <v>120</v>
      </c>
      <c r="J2009" t="s">
        <v>122</v>
      </c>
      <c r="K2009">
        <v>0</v>
      </c>
      <c r="L2009">
        <v>3</v>
      </c>
      <c r="M2009">
        <v>0</v>
      </c>
      <c r="N2009">
        <v>2</v>
      </c>
      <c r="O2009">
        <v>1</v>
      </c>
      <c r="P2009">
        <v>0</v>
      </c>
      <c r="Q2009">
        <v>0</v>
      </c>
      <c r="S2009" t="str">
        <f>"19:00:07.883"</f>
        <v>19:00:07.883</v>
      </c>
      <c r="T2009" t="str">
        <f>"19:00:07.083"</f>
        <v>19:00:07.083</v>
      </c>
      <c r="U2009" t="str">
        <f t="shared" si="198"/>
        <v>AAB6EE</v>
      </c>
      <c r="V2009">
        <v>0</v>
      </c>
      <c r="W2009">
        <v>0</v>
      </c>
      <c r="X2009">
        <v>4</v>
      </c>
      <c r="Z2009">
        <v>0</v>
      </c>
      <c r="AA2009">
        <v>8</v>
      </c>
      <c r="AB2009">
        <v>3</v>
      </c>
      <c r="AC2009">
        <v>0</v>
      </c>
      <c r="AD2009">
        <v>10</v>
      </c>
      <c r="AE2009">
        <v>0</v>
      </c>
      <c r="AF2009">
        <v>0</v>
      </c>
      <c r="AG2009">
        <v>2</v>
      </c>
      <c r="AH2009">
        <v>1</v>
      </c>
      <c r="AI2009" t="s">
        <v>1463</v>
      </c>
      <c r="AJ2009">
        <v>34.818098999999997</v>
      </c>
      <c r="AK2009" t="s">
        <v>944</v>
      </c>
      <c r="AL2009">
        <v>-76.259365000000003</v>
      </c>
      <c r="AM2009">
        <v>25</v>
      </c>
      <c r="AN2009">
        <v>2775</v>
      </c>
      <c r="AO2009" t="s">
        <v>118</v>
      </c>
      <c r="AP2009">
        <v>-59</v>
      </c>
      <c r="AQ2009">
        <v>69</v>
      </c>
      <c r="AR2009">
        <v>-1152</v>
      </c>
      <c r="AZ2009">
        <v>4516</v>
      </c>
      <c r="BA2009">
        <v>1</v>
      </c>
      <c r="BB2009" t="str">
        <f t="shared" si="197"/>
        <v xml:space="preserve">N79NX   </v>
      </c>
      <c r="BC2009">
        <v>1</v>
      </c>
      <c r="BE2009">
        <v>0</v>
      </c>
      <c r="BF2009">
        <v>0</v>
      </c>
      <c r="BG2009">
        <v>0</v>
      </c>
      <c r="BH2009">
        <v>2650</v>
      </c>
      <c r="BI2009">
        <v>0</v>
      </c>
      <c r="BJ2009">
        <v>0</v>
      </c>
      <c r="BK2009">
        <v>0</v>
      </c>
      <c r="BL2009">
        <v>0</v>
      </c>
      <c r="BO2009">
        <v>0</v>
      </c>
      <c r="BP2009">
        <v>0</v>
      </c>
      <c r="BW2009" t="str">
        <f>"19:00:07.886"</f>
        <v>19:00:07.886</v>
      </c>
      <c r="BZ2009">
        <v>0</v>
      </c>
      <c r="CA2009">
        <v>1888</v>
      </c>
      <c r="CB2009">
        <v>214.4</v>
      </c>
      <c r="CC2009">
        <v>625.78129999999999</v>
      </c>
      <c r="CD2009">
        <v>1</v>
      </c>
      <c r="CE2009">
        <v>0</v>
      </c>
      <c r="CF2009">
        <v>0</v>
      </c>
      <c r="CG2009">
        <v>1</v>
      </c>
      <c r="CH2009">
        <v>0</v>
      </c>
      <c r="CI2009">
        <v>1</v>
      </c>
      <c r="CJ2009">
        <v>0</v>
      </c>
      <c r="CK2009">
        <v>2</v>
      </c>
      <c r="CL2009">
        <v>0</v>
      </c>
      <c r="CM2009">
        <v>2</v>
      </c>
      <c r="CN2009">
        <v>0</v>
      </c>
      <c r="CO2009">
        <v>4</v>
      </c>
      <c r="CP2009" t="s">
        <v>119</v>
      </c>
      <c r="CQ2009">
        <v>70</v>
      </c>
      <c r="CR2009">
        <v>1</v>
      </c>
      <c r="CW2009">
        <v>3880480</v>
      </c>
      <c r="CY2009">
        <v>0</v>
      </c>
      <c r="CZ2009">
        <v>0</v>
      </c>
      <c r="DA2009">
        <v>0</v>
      </c>
      <c r="DB2009">
        <v>0</v>
      </c>
      <c r="DC2009">
        <v>0</v>
      </c>
      <c r="DD2009">
        <v>0</v>
      </c>
      <c r="DE2009">
        <v>0</v>
      </c>
      <c r="DF2009">
        <v>0</v>
      </c>
      <c r="DG2009">
        <v>0</v>
      </c>
      <c r="DH2009">
        <v>0</v>
      </c>
      <c r="DI2009">
        <v>0</v>
      </c>
    </row>
    <row r="2010" spans="1:113" x14ac:dyDescent="0.3">
      <c r="A2010" t="str">
        <f>"02/13/2022 19:00:08.143"</f>
        <v>02/13/2022 19:00:08.143</v>
      </c>
      <c r="C2010" t="str">
        <f t="shared" si="196"/>
        <v>FFDFD7C0</v>
      </c>
      <c r="D2010" t="s">
        <v>113</v>
      </c>
      <c r="E2010">
        <v>3</v>
      </c>
      <c r="F2010">
        <v>1003</v>
      </c>
      <c r="G2010" t="s">
        <v>114</v>
      </c>
      <c r="J2010" t="s">
        <v>115</v>
      </c>
      <c r="K2010">
        <v>0</v>
      </c>
      <c r="L2010">
        <v>3</v>
      </c>
      <c r="M2010">
        <v>0</v>
      </c>
      <c r="N2010">
        <v>2</v>
      </c>
      <c r="O2010">
        <v>1</v>
      </c>
      <c r="P2010">
        <v>0</v>
      </c>
      <c r="Q2010">
        <v>0</v>
      </c>
      <c r="S2010" t="str">
        <f>"19:00:07.883"</f>
        <v>19:00:07.883</v>
      </c>
      <c r="T2010" t="str">
        <f>"19:00:07.083"</f>
        <v>19:00:07.083</v>
      </c>
      <c r="U2010" t="str">
        <f t="shared" si="198"/>
        <v>AAB6EE</v>
      </c>
      <c r="V2010">
        <v>0</v>
      </c>
      <c r="W2010">
        <v>0</v>
      </c>
      <c r="X2010">
        <v>4</v>
      </c>
      <c r="Z2010">
        <v>0</v>
      </c>
      <c r="AA2010">
        <v>8</v>
      </c>
      <c r="AB2010">
        <v>3</v>
      </c>
      <c r="AC2010">
        <v>0</v>
      </c>
      <c r="AD2010">
        <v>10</v>
      </c>
      <c r="AE2010">
        <v>0</v>
      </c>
      <c r="AF2010">
        <v>0</v>
      </c>
      <c r="AG2010">
        <v>2</v>
      </c>
      <c r="AH2010">
        <v>1</v>
      </c>
      <c r="AI2010" t="s">
        <v>1463</v>
      </c>
      <c r="AJ2010">
        <v>34.818098999999997</v>
      </c>
      <c r="AK2010" t="s">
        <v>944</v>
      </c>
      <c r="AL2010">
        <v>-76.259365000000003</v>
      </c>
      <c r="AM2010">
        <v>25</v>
      </c>
      <c r="AN2010">
        <v>2775</v>
      </c>
      <c r="AO2010" t="s">
        <v>118</v>
      </c>
      <c r="AP2010">
        <v>-59</v>
      </c>
      <c r="AQ2010">
        <v>69</v>
      </c>
      <c r="AR2010">
        <v>-1152</v>
      </c>
      <c r="AZ2010">
        <v>4516</v>
      </c>
      <c r="BA2010">
        <v>1</v>
      </c>
      <c r="BB2010" t="str">
        <f t="shared" si="197"/>
        <v xml:space="preserve">N79NX   </v>
      </c>
      <c r="BC2010">
        <v>1</v>
      </c>
      <c r="BE2010">
        <v>0</v>
      </c>
      <c r="BF2010">
        <v>0</v>
      </c>
      <c r="BG2010">
        <v>0</v>
      </c>
      <c r="BH2010">
        <v>2650</v>
      </c>
      <c r="BI2010">
        <v>0</v>
      </c>
      <c r="BJ2010">
        <v>0</v>
      </c>
      <c r="BK2010">
        <v>0</v>
      </c>
      <c r="BL2010">
        <v>0</v>
      </c>
      <c r="BO2010">
        <v>0</v>
      </c>
      <c r="BP2010">
        <v>0</v>
      </c>
      <c r="BW2010" t="str">
        <f>"19:00:07.886"</f>
        <v>19:00:07.886</v>
      </c>
      <c r="BZ2010">
        <v>0</v>
      </c>
      <c r="CA2010">
        <v>1888</v>
      </c>
      <c r="CB2010">
        <v>214.4</v>
      </c>
      <c r="CC2010">
        <v>625.78129999999999</v>
      </c>
      <c r="CD2010">
        <v>1</v>
      </c>
      <c r="CE2010">
        <v>0</v>
      </c>
      <c r="CF2010">
        <v>0</v>
      </c>
      <c r="CG2010">
        <v>1</v>
      </c>
      <c r="CH2010">
        <v>0</v>
      </c>
      <c r="CI2010">
        <v>1</v>
      </c>
      <c r="CJ2010">
        <v>0</v>
      </c>
      <c r="CK2010">
        <v>2</v>
      </c>
      <c r="CL2010">
        <v>0</v>
      </c>
      <c r="CM2010">
        <v>2</v>
      </c>
      <c r="CN2010">
        <v>0</v>
      </c>
      <c r="CO2010">
        <v>4</v>
      </c>
      <c r="CP2010" t="s">
        <v>119</v>
      </c>
      <c r="CQ2010">
        <v>70</v>
      </c>
      <c r="CR2010">
        <v>1</v>
      </c>
      <c r="CW2010">
        <v>3880480</v>
      </c>
      <c r="CY2010">
        <v>0</v>
      </c>
      <c r="CZ2010">
        <v>0</v>
      </c>
      <c r="DA2010">
        <v>1</v>
      </c>
      <c r="DB2010">
        <v>0</v>
      </c>
      <c r="DC2010">
        <v>0</v>
      </c>
      <c r="DD2010">
        <v>0</v>
      </c>
      <c r="DE2010">
        <v>0</v>
      </c>
      <c r="DF2010">
        <v>0</v>
      </c>
      <c r="DG2010">
        <v>0</v>
      </c>
      <c r="DH2010">
        <v>0</v>
      </c>
      <c r="DI2010">
        <v>0</v>
      </c>
    </row>
    <row r="2011" spans="1:113" x14ac:dyDescent="0.3">
      <c r="A2011" t="str">
        <f>"02/13/2022 19:00:08.143"</f>
        <v>02/13/2022 19:00:08.143</v>
      </c>
      <c r="C2011" t="str">
        <f t="shared" si="196"/>
        <v>FFDFD7C0</v>
      </c>
      <c r="D2011" t="s">
        <v>113</v>
      </c>
      <c r="E2011">
        <v>4</v>
      </c>
      <c r="F2011">
        <v>1004</v>
      </c>
      <c r="G2011" t="s">
        <v>120</v>
      </c>
      <c r="J2011" t="s">
        <v>115</v>
      </c>
      <c r="K2011">
        <v>0</v>
      </c>
      <c r="L2011">
        <v>3</v>
      </c>
      <c r="M2011">
        <v>0</v>
      </c>
      <c r="N2011">
        <v>2</v>
      </c>
      <c r="O2011">
        <v>1</v>
      </c>
      <c r="P2011">
        <v>0</v>
      </c>
      <c r="Q2011">
        <v>0</v>
      </c>
      <c r="S2011" t="str">
        <f>"19:00:07.883"</f>
        <v>19:00:07.883</v>
      </c>
      <c r="T2011" t="str">
        <f>"19:00:07.083"</f>
        <v>19:00:07.083</v>
      </c>
      <c r="U2011" t="str">
        <f t="shared" si="198"/>
        <v>AAB6EE</v>
      </c>
      <c r="V2011">
        <v>0</v>
      </c>
      <c r="W2011">
        <v>0</v>
      </c>
      <c r="X2011">
        <v>4</v>
      </c>
      <c r="Z2011">
        <v>0</v>
      </c>
      <c r="AA2011">
        <v>8</v>
      </c>
      <c r="AB2011">
        <v>3</v>
      </c>
      <c r="AC2011">
        <v>0</v>
      </c>
      <c r="AD2011">
        <v>10</v>
      </c>
      <c r="AE2011">
        <v>0</v>
      </c>
      <c r="AF2011">
        <v>0</v>
      </c>
      <c r="AG2011">
        <v>2</v>
      </c>
      <c r="AH2011">
        <v>1</v>
      </c>
      <c r="AI2011" t="s">
        <v>1463</v>
      </c>
      <c r="AJ2011">
        <v>34.818098999999997</v>
      </c>
      <c r="AK2011" t="s">
        <v>944</v>
      </c>
      <c r="AL2011">
        <v>-76.259365000000003</v>
      </c>
      <c r="AM2011">
        <v>25</v>
      </c>
      <c r="AN2011">
        <v>2775</v>
      </c>
      <c r="AO2011" t="s">
        <v>118</v>
      </c>
      <c r="AP2011">
        <v>-59</v>
      </c>
      <c r="AQ2011">
        <v>69</v>
      </c>
      <c r="AR2011">
        <v>-1152</v>
      </c>
      <c r="AZ2011">
        <v>4516</v>
      </c>
      <c r="BA2011">
        <v>1</v>
      </c>
      <c r="BB2011" t="str">
        <f t="shared" si="197"/>
        <v xml:space="preserve">N79NX   </v>
      </c>
      <c r="BC2011">
        <v>1</v>
      </c>
      <c r="BE2011">
        <v>0</v>
      </c>
      <c r="BF2011">
        <v>0</v>
      </c>
      <c r="BG2011">
        <v>0</v>
      </c>
      <c r="BH2011">
        <v>2650</v>
      </c>
      <c r="BI2011">
        <v>0</v>
      </c>
      <c r="BJ2011">
        <v>0</v>
      </c>
      <c r="BK2011">
        <v>0</v>
      </c>
      <c r="BL2011">
        <v>0</v>
      </c>
      <c r="BO2011">
        <v>0</v>
      </c>
      <c r="BP2011">
        <v>0</v>
      </c>
      <c r="BW2011" t="str">
        <f>"19:00:07.886"</f>
        <v>19:00:07.886</v>
      </c>
      <c r="BZ2011">
        <v>0</v>
      </c>
      <c r="CA2011">
        <v>1888</v>
      </c>
      <c r="CB2011">
        <v>214.4</v>
      </c>
      <c r="CC2011">
        <v>625.78129999999999</v>
      </c>
      <c r="CD2011">
        <v>1</v>
      </c>
      <c r="CE2011">
        <v>0</v>
      </c>
      <c r="CF2011">
        <v>0</v>
      </c>
      <c r="CG2011">
        <v>1</v>
      </c>
      <c r="CH2011">
        <v>0</v>
      </c>
      <c r="CI2011">
        <v>1</v>
      </c>
      <c r="CJ2011">
        <v>0</v>
      </c>
      <c r="CK2011">
        <v>2</v>
      </c>
      <c r="CL2011">
        <v>0</v>
      </c>
      <c r="CM2011">
        <v>2</v>
      </c>
      <c r="CN2011">
        <v>0</v>
      </c>
      <c r="CO2011">
        <v>4</v>
      </c>
      <c r="CP2011" t="s">
        <v>119</v>
      </c>
      <c r="CQ2011">
        <v>70</v>
      </c>
      <c r="CR2011">
        <v>1</v>
      </c>
      <c r="CW2011">
        <v>3880480</v>
      </c>
      <c r="CY2011">
        <v>0</v>
      </c>
      <c r="CZ2011">
        <v>0</v>
      </c>
      <c r="DA2011">
        <v>1</v>
      </c>
      <c r="DB2011">
        <v>0</v>
      </c>
      <c r="DC2011">
        <v>0</v>
      </c>
      <c r="DD2011">
        <v>0</v>
      </c>
      <c r="DE2011">
        <v>0</v>
      </c>
      <c r="DF2011">
        <v>0</v>
      </c>
      <c r="DG2011">
        <v>0</v>
      </c>
      <c r="DH2011">
        <v>0</v>
      </c>
      <c r="DI2011">
        <v>0</v>
      </c>
    </row>
    <row r="2012" spans="1:113" x14ac:dyDescent="0.3">
      <c r="A2012" t="str">
        <f>"02/13/2022 19:00:09.238"</f>
        <v>02/13/2022 19:00:09.238</v>
      </c>
      <c r="C2012" t="str">
        <f t="shared" si="196"/>
        <v>FFDFD7C0</v>
      </c>
      <c r="D2012" t="s">
        <v>113</v>
      </c>
      <c r="E2012">
        <v>3</v>
      </c>
      <c r="F2012">
        <v>1003</v>
      </c>
      <c r="G2012" t="s">
        <v>114</v>
      </c>
      <c r="J2012" t="s">
        <v>115</v>
      </c>
      <c r="K2012">
        <v>0</v>
      </c>
      <c r="L2012">
        <v>3</v>
      </c>
      <c r="M2012">
        <v>0</v>
      </c>
      <c r="N2012">
        <v>2</v>
      </c>
      <c r="O2012">
        <v>1</v>
      </c>
      <c r="P2012">
        <v>0</v>
      </c>
      <c r="Q2012">
        <v>0</v>
      </c>
      <c r="S2012" t="str">
        <f>"19:00:08.930"</f>
        <v>19:00:08.930</v>
      </c>
      <c r="T2012" t="str">
        <f>"19:00:08.030"</f>
        <v>19:00:08.030</v>
      </c>
      <c r="U2012" t="str">
        <f t="shared" si="198"/>
        <v>AAB6EE</v>
      </c>
      <c r="V2012">
        <v>0</v>
      </c>
      <c r="W2012">
        <v>0</v>
      </c>
      <c r="X2012">
        <v>4</v>
      </c>
      <c r="Z2012">
        <v>0</v>
      </c>
      <c r="AA2012">
        <v>8</v>
      </c>
      <c r="AB2012">
        <v>3</v>
      </c>
      <c r="AC2012">
        <v>0</v>
      </c>
      <c r="AD2012">
        <v>10</v>
      </c>
      <c r="AE2012">
        <v>0</v>
      </c>
      <c r="AF2012">
        <v>0</v>
      </c>
      <c r="AG2012">
        <v>2</v>
      </c>
      <c r="AH2012">
        <v>1</v>
      </c>
      <c r="AI2012" t="s">
        <v>1464</v>
      </c>
      <c r="AJ2012">
        <v>34.818420000000003</v>
      </c>
      <c r="AK2012" t="s">
        <v>1465</v>
      </c>
      <c r="AL2012">
        <v>-76.259859000000006</v>
      </c>
      <c r="AM2012">
        <v>25</v>
      </c>
      <c r="AN2012">
        <v>2750</v>
      </c>
      <c r="AO2012" t="s">
        <v>118</v>
      </c>
      <c r="AP2012">
        <v>-73</v>
      </c>
      <c r="AQ2012">
        <v>61</v>
      </c>
      <c r="AR2012">
        <v>-1792</v>
      </c>
      <c r="AZ2012">
        <v>4516</v>
      </c>
      <c r="BA2012">
        <v>1</v>
      </c>
      <c r="BB2012" t="str">
        <f t="shared" si="197"/>
        <v xml:space="preserve">N79NX   </v>
      </c>
      <c r="BC2012">
        <v>1</v>
      </c>
      <c r="BE2012">
        <v>0</v>
      </c>
      <c r="BF2012">
        <v>0</v>
      </c>
      <c r="BG2012">
        <v>0</v>
      </c>
      <c r="BH2012">
        <v>2625</v>
      </c>
      <c r="BI2012">
        <v>0</v>
      </c>
      <c r="BJ2012">
        <v>0</v>
      </c>
      <c r="BK2012">
        <v>0</v>
      </c>
      <c r="BL2012">
        <v>0</v>
      </c>
      <c r="BO2012">
        <v>0</v>
      </c>
      <c r="BP2012">
        <v>0</v>
      </c>
      <c r="BW2012" t="str">
        <f>"19:00:08.936"</f>
        <v>19:00:08.936</v>
      </c>
      <c r="BZ2012">
        <v>0</v>
      </c>
      <c r="CA2012">
        <v>1888</v>
      </c>
      <c r="CB2012">
        <v>214.4</v>
      </c>
      <c r="CC2012">
        <v>625.78129999999999</v>
      </c>
      <c r="CD2012">
        <v>1</v>
      </c>
      <c r="CE2012">
        <v>0</v>
      </c>
      <c r="CF2012">
        <v>0</v>
      </c>
      <c r="CG2012">
        <v>1</v>
      </c>
      <c r="CH2012">
        <v>0</v>
      </c>
      <c r="CI2012">
        <v>1</v>
      </c>
      <c r="CJ2012">
        <v>0</v>
      </c>
      <c r="CK2012">
        <v>2</v>
      </c>
      <c r="CL2012">
        <v>0</v>
      </c>
      <c r="CM2012">
        <v>2</v>
      </c>
      <c r="CN2012">
        <v>0</v>
      </c>
      <c r="CO2012">
        <v>4</v>
      </c>
      <c r="CP2012" t="s">
        <v>119</v>
      </c>
      <c r="CQ2012">
        <v>70</v>
      </c>
      <c r="CR2012">
        <v>1</v>
      </c>
      <c r="CW2012">
        <v>3881338</v>
      </c>
      <c r="CY2012">
        <v>0</v>
      </c>
      <c r="CZ2012">
        <v>0</v>
      </c>
      <c r="DA2012">
        <v>0</v>
      </c>
      <c r="DB2012">
        <v>0</v>
      </c>
      <c r="DC2012">
        <v>0</v>
      </c>
      <c r="DD2012">
        <v>0</v>
      </c>
      <c r="DE2012">
        <v>0</v>
      </c>
      <c r="DF2012">
        <v>0</v>
      </c>
      <c r="DG2012">
        <v>0</v>
      </c>
      <c r="DH2012">
        <v>0</v>
      </c>
      <c r="DI2012">
        <v>0</v>
      </c>
    </row>
    <row r="2013" spans="1:113" x14ac:dyDescent="0.3">
      <c r="A2013" t="str">
        <f>"02/13/2022 19:00:09.301"</f>
        <v>02/13/2022 19:00:09.301</v>
      </c>
      <c r="C2013" t="str">
        <f t="shared" si="196"/>
        <v>FFDFD7C0</v>
      </c>
      <c r="D2013" t="s">
        <v>113</v>
      </c>
      <c r="E2013">
        <v>4</v>
      </c>
      <c r="F2013">
        <v>1004</v>
      </c>
      <c r="G2013" t="s">
        <v>120</v>
      </c>
      <c r="J2013" t="s">
        <v>115</v>
      </c>
      <c r="K2013">
        <v>0</v>
      </c>
      <c r="L2013">
        <v>3</v>
      </c>
      <c r="M2013">
        <v>0</v>
      </c>
      <c r="N2013">
        <v>2</v>
      </c>
      <c r="O2013">
        <v>1</v>
      </c>
      <c r="P2013">
        <v>0</v>
      </c>
      <c r="Q2013">
        <v>0</v>
      </c>
      <c r="S2013" t="str">
        <f>"19:00:08.930"</f>
        <v>19:00:08.930</v>
      </c>
      <c r="T2013" t="str">
        <f>"19:00:08.030"</f>
        <v>19:00:08.030</v>
      </c>
      <c r="U2013" t="str">
        <f t="shared" si="198"/>
        <v>AAB6EE</v>
      </c>
      <c r="V2013">
        <v>0</v>
      </c>
      <c r="W2013">
        <v>0</v>
      </c>
      <c r="X2013">
        <v>4</v>
      </c>
      <c r="Z2013">
        <v>0</v>
      </c>
      <c r="AA2013">
        <v>8</v>
      </c>
      <c r="AB2013">
        <v>3</v>
      </c>
      <c r="AC2013">
        <v>0</v>
      </c>
      <c r="AD2013">
        <v>10</v>
      </c>
      <c r="AE2013">
        <v>0</v>
      </c>
      <c r="AF2013">
        <v>0</v>
      </c>
      <c r="AG2013">
        <v>2</v>
      </c>
      <c r="AH2013">
        <v>1</v>
      </c>
      <c r="AI2013" t="s">
        <v>1464</v>
      </c>
      <c r="AJ2013">
        <v>34.818420000000003</v>
      </c>
      <c r="AK2013" t="s">
        <v>1465</v>
      </c>
      <c r="AL2013">
        <v>-76.259859000000006</v>
      </c>
      <c r="AM2013">
        <v>25</v>
      </c>
      <c r="AN2013">
        <v>2750</v>
      </c>
      <c r="AO2013" t="s">
        <v>118</v>
      </c>
      <c r="AP2013">
        <v>-73</v>
      </c>
      <c r="AQ2013">
        <v>61</v>
      </c>
      <c r="AR2013">
        <v>-1792</v>
      </c>
      <c r="AZ2013">
        <v>4516</v>
      </c>
      <c r="BA2013">
        <v>1</v>
      </c>
      <c r="BB2013" t="str">
        <f t="shared" si="197"/>
        <v xml:space="preserve">N79NX   </v>
      </c>
      <c r="BC2013">
        <v>1</v>
      </c>
      <c r="BE2013">
        <v>0</v>
      </c>
      <c r="BF2013">
        <v>0</v>
      </c>
      <c r="BG2013">
        <v>0</v>
      </c>
      <c r="BH2013">
        <v>2625</v>
      </c>
      <c r="BI2013">
        <v>0</v>
      </c>
      <c r="BJ2013">
        <v>0</v>
      </c>
      <c r="BK2013">
        <v>0</v>
      </c>
      <c r="BL2013">
        <v>0</v>
      </c>
      <c r="BO2013">
        <v>0</v>
      </c>
      <c r="BP2013">
        <v>0</v>
      </c>
      <c r="BW2013" t="str">
        <f>"19:00:08.936"</f>
        <v>19:00:08.936</v>
      </c>
      <c r="BZ2013">
        <v>0</v>
      </c>
      <c r="CA2013">
        <v>1888</v>
      </c>
      <c r="CB2013">
        <v>214.4</v>
      </c>
      <c r="CC2013">
        <v>625.78129999999999</v>
      </c>
      <c r="CD2013">
        <v>1</v>
      </c>
      <c r="CE2013">
        <v>0</v>
      </c>
      <c r="CF2013">
        <v>0</v>
      </c>
      <c r="CG2013">
        <v>1</v>
      </c>
      <c r="CH2013">
        <v>0</v>
      </c>
      <c r="CI2013">
        <v>1</v>
      </c>
      <c r="CJ2013">
        <v>0</v>
      </c>
      <c r="CK2013">
        <v>2</v>
      </c>
      <c r="CL2013">
        <v>0</v>
      </c>
      <c r="CM2013">
        <v>2</v>
      </c>
      <c r="CN2013">
        <v>0</v>
      </c>
      <c r="CO2013">
        <v>4</v>
      </c>
      <c r="CP2013" t="s">
        <v>119</v>
      </c>
      <c r="CQ2013">
        <v>70</v>
      </c>
      <c r="CR2013">
        <v>1</v>
      </c>
      <c r="CW2013">
        <v>3881338</v>
      </c>
      <c r="CY2013">
        <v>0</v>
      </c>
      <c r="CZ2013">
        <v>0</v>
      </c>
      <c r="DA2013">
        <v>1</v>
      </c>
      <c r="DB2013">
        <v>0</v>
      </c>
      <c r="DC2013">
        <v>0</v>
      </c>
      <c r="DD2013">
        <v>0</v>
      </c>
      <c r="DE2013">
        <v>0</v>
      </c>
      <c r="DF2013">
        <v>0</v>
      </c>
      <c r="DG2013">
        <v>0</v>
      </c>
      <c r="DH2013">
        <v>0</v>
      </c>
      <c r="DI2013">
        <v>0</v>
      </c>
    </row>
    <row r="2014" spans="1:113" x14ac:dyDescent="0.3">
      <c r="A2014" t="str">
        <f>"02/13/2022 19:00:09.349"</f>
        <v>02/13/2022 19:00:09.349</v>
      </c>
      <c r="C2014" t="str">
        <f t="shared" si="196"/>
        <v>FFDFD7C0</v>
      </c>
      <c r="D2014" t="s">
        <v>121</v>
      </c>
      <c r="E2014">
        <v>2</v>
      </c>
      <c r="H2014">
        <v>158</v>
      </c>
      <c r="I2014" t="s">
        <v>120</v>
      </c>
      <c r="J2014" t="s">
        <v>122</v>
      </c>
      <c r="K2014">
        <v>0</v>
      </c>
      <c r="L2014">
        <v>3</v>
      </c>
      <c r="M2014">
        <v>0</v>
      </c>
      <c r="N2014">
        <v>2</v>
      </c>
      <c r="O2014">
        <v>1</v>
      </c>
      <c r="P2014">
        <v>0</v>
      </c>
      <c r="Q2014">
        <v>0</v>
      </c>
      <c r="S2014" t="str">
        <f>"19:00:08.930"</f>
        <v>19:00:08.930</v>
      </c>
      <c r="T2014" t="str">
        <f>"19:00:08.030"</f>
        <v>19:00:08.030</v>
      </c>
      <c r="U2014" t="str">
        <f t="shared" si="198"/>
        <v>AAB6EE</v>
      </c>
      <c r="V2014">
        <v>0</v>
      </c>
      <c r="W2014">
        <v>0</v>
      </c>
      <c r="X2014">
        <v>4</v>
      </c>
      <c r="Z2014">
        <v>0</v>
      </c>
      <c r="AA2014">
        <v>8</v>
      </c>
      <c r="AB2014">
        <v>3</v>
      </c>
      <c r="AC2014">
        <v>0</v>
      </c>
      <c r="AD2014">
        <v>10</v>
      </c>
      <c r="AE2014">
        <v>0</v>
      </c>
      <c r="AF2014">
        <v>0</v>
      </c>
      <c r="AG2014">
        <v>2</v>
      </c>
      <c r="AH2014">
        <v>1</v>
      </c>
      <c r="AI2014" t="s">
        <v>1464</v>
      </c>
      <c r="AJ2014">
        <v>34.818420000000003</v>
      </c>
      <c r="AK2014" t="s">
        <v>1465</v>
      </c>
      <c r="AL2014">
        <v>-76.259859000000006</v>
      </c>
      <c r="AM2014">
        <v>25</v>
      </c>
      <c r="AN2014">
        <v>2750</v>
      </c>
      <c r="AO2014" t="s">
        <v>118</v>
      </c>
      <c r="AP2014">
        <v>-73</v>
      </c>
      <c r="AQ2014">
        <v>61</v>
      </c>
      <c r="AR2014">
        <v>-1792</v>
      </c>
      <c r="AZ2014">
        <v>4516</v>
      </c>
      <c r="BA2014">
        <v>1</v>
      </c>
      <c r="BB2014" t="str">
        <f t="shared" si="197"/>
        <v xml:space="preserve">N79NX   </v>
      </c>
      <c r="BC2014">
        <v>1</v>
      </c>
      <c r="BE2014">
        <v>0</v>
      </c>
      <c r="BF2014">
        <v>0</v>
      </c>
      <c r="BG2014">
        <v>0</v>
      </c>
      <c r="BH2014">
        <v>2625</v>
      </c>
      <c r="BI2014">
        <v>0</v>
      </c>
      <c r="BJ2014">
        <v>0</v>
      </c>
      <c r="BK2014">
        <v>0</v>
      </c>
      <c r="BL2014">
        <v>0</v>
      </c>
      <c r="BO2014">
        <v>0</v>
      </c>
      <c r="BP2014">
        <v>0</v>
      </c>
      <c r="BW2014" t="str">
        <f>"19:00:08.936"</f>
        <v>19:00:08.936</v>
      </c>
      <c r="BZ2014">
        <v>0</v>
      </c>
      <c r="CA2014">
        <v>1888</v>
      </c>
      <c r="CB2014">
        <v>214.4</v>
      </c>
      <c r="CC2014">
        <v>625.78129999999999</v>
      </c>
      <c r="CD2014">
        <v>1</v>
      </c>
      <c r="CE2014">
        <v>0</v>
      </c>
      <c r="CF2014">
        <v>0</v>
      </c>
      <c r="CG2014">
        <v>1</v>
      </c>
      <c r="CH2014">
        <v>0</v>
      </c>
      <c r="CI2014">
        <v>1</v>
      </c>
      <c r="CJ2014">
        <v>0</v>
      </c>
      <c r="CK2014">
        <v>2</v>
      </c>
      <c r="CL2014">
        <v>0</v>
      </c>
      <c r="CM2014">
        <v>2</v>
      </c>
      <c r="CN2014">
        <v>0</v>
      </c>
      <c r="CO2014">
        <v>4</v>
      </c>
      <c r="CP2014" t="s">
        <v>119</v>
      </c>
      <c r="CQ2014">
        <v>70</v>
      </c>
      <c r="CR2014">
        <v>1</v>
      </c>
      <c r="CW2014">
        <v>3881338</v>
      </c>
      <c r="CY2014">
        <v>0</v>
      </c>
      <c r="CZ2014">
        <v>0</v>
      </c>
      <c r="DA2014">
        <v>1</v>
      </c>
      <c r="DB2014">
        <v>0</v>
      </c>
      <c r="DC2014">
        <v>0</v>
      </c>
      <c r="DD2014">
        <v>0</v>
      </c>
      <c r="DE2014">
        <v>0</v>
      </c>
      <c r="DF2014">
        <v>0</v>
      </c>
      <c r="DG2014">
        <v>0</v>
      </c>
      <c r="DH2014">
        <v>0</v>
      </c>
      <c r="DI2014">
        <v>0</v>
      </c>
    </row>
    <row r="2015" spans="1:113" x14ac:dyDescent="0.3">
      <c r="A2015" t="str">
        <f>"02/13/2022 19:00:10.131"</f>
        <v>02/13/2022 19:00:10.131</v>
      </c>
      <c r="C2015" t="str">
        <f t="shared" si="196"/>
        <v>FFDFD7C0</v>
      </c>
      <c r="D2015" t="s">
        <v>121</v>
      </c>
      <c r="E2015">
        <v>2</v>
      </c>
      <c r="H2015">
        <v>158</v>
      </c>
      <c r="I2015" t="s">
        <v>120</v>
      </c>
      <c r="J2015" t="s">
        <v>122</v>
      </c>
      <c r="K2015">
        <v>0</v>
      </c>
      <c r="L2015">
        <v>3</v>
      </c>
      <c r="M2015">
        <v>0</v>
      </c>
      <c r="N2015">
        <v>2</v>
      </c>
      <c r="O2015">
        <v>1</v>
      </c>
      <c r="P2015">
        <v>0</v>
      </c>
      <c r="Q2015">
        <v>0</v>
      </c>
      <c r="S2015" t="str">
        <f>"19:00:09.875"</f>
        <v>19:00:09.875</v>
      </c>
      <c r="T2015" t="str">
        <f>"19:00:09.275"</f>
        <v>19:00:09.275</v>
      </c>
      <c r="U2015" t="str">
        <f t="shared" si="198"/>
        <v>AAB6EE</v>
      </c>
      <c r="V2015">
        <v>0</v>
      </c>
      <c r="W2015">
        <v>0</v>
      </c>
      <c r="X2015">
        <v>4</v>
      </c>
      <c r="Z2015">
        <v>0</v>
      </c>
      <c r="AA2015">
        <v>8</v>
      </c>
      <c r="AB2015">
        <v>3</v>
      </c>
      <c r="AC2015">
        <v>0</v>
      </c>
      <c r="AD2015">
        <v>10</v>
      </c>
      <c r="AE2015">
        <v>0</v>
      </c>
      <c r="AF2015">
        <v>0</v>
      </c>
      <c r="AG2015">
        <v>2</v>
      </c>
      <c r="AH2015">
        <v>1</v>
      </c>
      <c r="AI2015" t="s">
        <v>1466</v>
      </c>
      <c r="AJ2015">
        <v>34.818613999999997</v>
      </c>
      <c r="AK2015" t="s">
        <v>1467</v>
      </c>
      <c r="AL2015">
        <v>-76.260330999999994</v>
      </c>
      <c r="AM2015">
        <v>25</v>
      </c>
      <c r="AN2015">
        <v>2700</v>
      </c>
      <c r="AO2015" t="s">
        <v>118</v>
      </c>
      <c r="AP2015">
        <v>-85</v>
      </c>
      <c r="AQ2015">
        <v>53</v>
      </c>
      <c r="AR2015">
        <v>-2048</v>
      </c>
      <c r="AZ2015">
        <v>4516</v>
      </c>
      <c r="BA2015">
        <v>1</v>
      </c>
      <c r="BB2015" t="str">
        <f t="shared" si="197"/>
        <v xml:space="preserve">N79NX   </v>
      </c>
      <c r="BC2015">
        <v>1</v>
      </c>
      <c r="BE2015">
        <v>0</v>
      </c>
      <c r="BF2015">
        <v>0</v>
      </c>
      <c r="BG2015">
        <v>0</v>
      </c>
      <c r="BH2015">
        <v>2600</v>
      </c>
      <c r="BI2015">
        <v>0</v>
      </c>
      <c r="BJ2015">
        <v>0</v>
      </c>
      <c r="BK2015">
        <v>0</v>
      </c>
      <c r="BL2015">
        <v>0</v>
      </c>
      <c r="BO2015">
        <v>0</v>
      </c>
      <c r="BP2015">
        <v>0</v>
      </c>
      <c r="BW2015" t="str">
        <f>"19:00:09.876"</f>
        <v>19:00:09.876</v>
      </c>
      <c r="BZ2015">
        <v>0</v>
      </c>
      <c r="CA2015">
        <v>1888</v>
      </c>
      <c r="CB2015">
        <v>214.4</v>
      </c>
      <c r="CC2015">
        <v>625.78129999999999</v>
      </c>
      <c r="CD2015">
        <v>1</v>
      </c>
      <c r="CE2015">
        <v>0</v>
      </c>
      <c r="CF2015">
        <v>0</v>
      </c>
      <c r="CG2015">
        <v>1</v>
      </c>
      <c r="CH2015">
        <v>0</v>
      </c>
      <c r="CI2015">
        <v>1</v>
      </c>
      <c r="CJ2015">
        <v>0</v>
      </c>
      <c r="CK2015">
        <v>2</v>
      </c>
      <c r="CL2015">
        <v>0</v>
      </c>
      <c r="CM2015">
        <v>2</v>
      </c>
      <c r="CN2015">
        <v>0</v>
      </c>
      <c r="CO2015">
        <v>4</v>
      </c>
      <c r="CP2015" t="s">
        <v>119</v>
      </c>
      <c r="CQ2015">
        <v>70</v>
      </c>
      <c r="CR2015">
        <v>1</v>
      </c>
      <c r="CW2015">
        <v>3882189</v>
      </c>
      <c r="CY2015">
        <v>0</v>
      </c>
      <c r="CZ2015">
        <v>0</v>
      </c>
      <c r="DA2015">
        <v>0</v>
      </c>
      <c r="DB2015">
        <v>0</v>
      </c>
      <c r="DC2015">
        <v>0</v>
      </c>
      <c r="DD2015">
        <v>0</v>
      </c>
      <c r="DE2015">
        <v>0</v>
      </c>
      <c r="DF2015">
        <v>0</v>
      </c>
      <c r="DG2015">
        <v>0</v>
      </c>
      <c r="DH2015">
        <v>0</v>
      </c>
      <c r="DI2015">
        <v>0</v>
      </c>
    </row>
    <row r="2016" spans="1:113" x14ac:dyDescent="0.3">
      <c r="A2016" t="str">
        <f>"02/13/2022 19:00:10.131"</f>
        <v>02/13/2022 19:00:10.131</v>
      </c>
      <c r="C2016" t="str">
        <f t="shared" si="196"/>
        <v>FFDFD7C0</v>
      </c>
      <c r="D2016" t="s">
        <v>113</v>
      </c>
      <c r="E2016">
        <v>3</v>
      </c>
      <c r="F2016">
        <v>1003</v>
      </c>
      <c r="G2016" t="s">
        <v>114</v>
      </c>
      <c r="J2016" t="s">
        <v>115</v>
      </c>
      <c r="K2016">
        <v>0</v>
      </c>
      <c r="L2016">
        <v>3</v>
      </c>
      <c r="M2016">
        <v>0</v>
      </c>
      <c r="N2016">
        <v>2</v>
      </c>
      <c r="O2016">
        <v>1</v>
      </c>
      <c r="P2016">
        <v>0</v>
      </c>
      <c r="Q2016">
        <v>0</v>
      </c>
      <c r="S2016" t="str">
        <f>"19:00:09.875"</f>
        <v>19:00:09.875</v>
      </c>
      <c r="T2016" t="str">
        <f>"19:00:09.275"</f>
        <v>19:00:09.275</v>
      </c>
      <c r="U2016" t="str">
        <f t="shared" si="198"/>
        <v>AAB6EE</v>
      </c>
      <c r="V2016">
        <v>0</v>
      </c>
      <c r="W2016">
        <v>0</v>
      </c>
      <c r="X2016">
        <v>4</v>
      </c>
      <c r="Z2016">
        <v>0</v>
      </c>
      <c r="AA2016">
        <v>8</v>
      </c>
      <c r="AB2016">
        <v>3</v>
      </c>
      <c r="AC2016">
        <v>0</v>
      </c>
      <c r="AD2016">
        <v>10</v>
      </c>
      <c r="AE2016">
        <v>0</v>
      </c>
      <c r="AF2016">
        <v>0</v>
      </c>
      <c r="AG2016">
        <v>2</v>
      </c>
      <c r="AH2016">
        <v>1</v>
      </c>
      <c r="AI2016" t="s">
        <v>1466</v>
      </c>
      <c r="AJ2016">
        <v>34.818613999999997</v>
      </c>
      <c r="AK2016" t="s">
        <v>1467</v>
      </c>
      <c r="AL2016">
        <v>-76.260330999999994</v>
      </c>
      <c r="AM2016">
        <v>25</v>
      </c>
      <c r="AN2016">
        <v>2700</v>
      </c>
      <c r="AO2016" t="s">
        <v>118</v>
      </c>
      <c r="AP2016">
        <v>-85</v>
      </c>
      <c r="AQ2016">
        <v>53</v>
      </c>
      <c r="AR2016">
        <v>-2048</v>
      </c>
      <c r="AZ2016">
        <v>4516</v>
      </c>
      <c r="BA2016">
        <v>1</v>
      </c>
      <c r="BB2016" t="str">
        <f t="shared" si="197"/>
        <v xml:space="preserve">N79NX   </v>
      </c>
      <c r="BC2016">
        <v>1</v>
      </c>
      <c r="BE2016">
        <v>0</v>
      </c>
      <c r="BF2016">
        <v>0</v>
      </c>
      <c r="BG2016">
        <v>0</v>
      </c>
      <c r="BH2016">
        <v>2600</v>
      </c>
      <c r="BI2016">
        <v>0</v>
      </c>
      <c r="BJ2016">
        <v>0</v>
      </c>
      <c r="BK2016">
        <v>0</v>
      </c>
      <c r="BL2016">
        <v>0</v>
      </c>
      <c r="BO2016">
        <v>0</v>
      </c>
      <c r="BP2016">
        <v>0</v>
      </c>
      <c r="BW2016" t="str">
        <f>"19:00:09.876"</f>
        <v>19:00:09.876</v>
      </c>
      <c r="BZ2016">
        <v>0</v>
      </c>
      <c r="CA2016">
        <v>1888</v>
      </c>
      <c r="CB2016">
        <v>214.4</v>
      </c>
      <c r="CC2016">
        <v>625.78129999999999</v>
      </c>
      <c r="CD2016">
        <v>1</v>
      </c>
      <c r="CE2016">
        <v>0</v>
      </c>
      <c r="CF2016">
        <v>0</v>
      </c>
      <c r="CG2016">
        <v>1</v>
      </c>
      <c r="CH2016">
        <v>0</v>
      </c>
      <c r="CI2016">
        <v>1</v>
      </c>
      <c r="CJ2016">
        <v>0</v>
      </c>
      <c r="CK2016">
        <v>2</v>
      </c>
      <c r="CL2016">
        <v>0</v>
      </c>
      <c r="CM2016">
        <v>2</v>
      </c>
      <c r="CN2016">
        <v>0</v>
      </c>
      <c r="CO2016">
        <v>4</v>
      </c>
      <c r="CP2016" t="s">
        <v>119</v>
      </c>
      <c r="CQ2016">
        <v>70</v>
      </c>
      <c r="CR2016">
        <v>1</v>
      </c>
      <c r="CW2016">
        <v>3882189</v>
      </c>
      <c r="CY2016">
        <v>0</v>
      </c>
      <c r="CZ2016">
        <v>0</v>
      </c>
      <c r="DA2016">
        <v>1</v>
      </c>
      <c r="DB2016">
        <v>0</v>
      </c>
      <c r="DC2016">
        <v>0</v>
      </c>
      <c r="DD2016">
        <v>0</v>
      </c>
      <c r="DE2016">
        <v>0</v>
      </c>
      <c r="DF2016">
        <v>0</v>
      </c>
      <c r="DG2016">
        <v>0</v>
      </c>
      <c r="DH2016">
        <v>0</v>
      </c>
      <c r="DI2016">
        <v>0</v>
      </c>
    </row>
    <row r="2017" spans="1:113" x14ac:dyDescent="0.3">
      <c r="A2017" t="str">
        <f>"02/13/2022 19:00:10.131"</f>
        <v>02/13/2022 19:00:10.131</v>
      </c>
      <c r="C2017" t="str">
        <f t="shared" si="196"/>
        <v>FFDFD7C0</v>
      </c>
      <c r="D2017" t="s">
        <v>113</v>
      </c>
      <c r="E2017">
        <v>4</v>
      </c>
      <c r="F2017">
        <v>1004</v>
      </c>
      <c r="G2017" t="s">
        <v>120</v>
      </c>
      <c r="J2017" t="s">
        <v>115</v>
      </c>
      <c r="K2017">
        <v>0</v>
      </c>
      <c r="L2017">
        <v>3</v>
      </c>
      <c r="M2017">
        <v>0</v>
      </c>
      <c r="N2017">
        <v>2</v>
      </c>
      <c r="O2017">
        <v>1</v>
      </c>
      <c r="P2017">
        <v>0</v>
      </c>
      <c r="Q2017">
        <v>0</v>
      </c>
      <c r="S2017" t="str">
        <f>"19:00:09.875"</f>
        <v>19:00:09.875</v>
      </c>
      <c r="T2017" t="str">
        <f>"19:00:09.275"</f>
        <v>19:00:09.275</v>
      </c>
      <c r="U2017" t="str">
        <f t="shared" si="198"/>
        <v>AAB6EE</v>
      </c>
      <c r="V2017">
        <v>0</v>
      </c>
      <c r="W2017">
        <v>0</v>
      </c>
      <c r="X2017">
        <v>4</v>
      </c>
      <c r="Z2017">
        <v>0</v>
      </c>
      <c r="AA2017">
        <v>8</v>
      </c>
      <c r="AB2017">
        <v>3</v>
      </c>
      <c r="AC2017">
        <v>0</v>
      </c>
      <c r="AD2017">
        <v>10</v>
      </c>
      <c r="AE2017">
        <v>0</v>
      </c>
      <c r="AF2017">
        <v>0</v>
      </c>
      <c r="AG2017">
        <v>2</v>
      </c>
      <c r="AH2017">
        <v>1</v>
      </c>
      <c r="AI2017" t="s">
        <v>1466</v>
      </c>
      <c r="AJ2017">
        <v>34.818613999999997</v>
      </c>
      <c r="AK2017" t="s">
        <v>1467</v>
      </c>
      <c r="AL2017">
        <v>-76.260330999999994</v>
      </c>
      <c r="AM2017">
        <v>25</v>
      </c>
      <c r="AN2017">
        <v>2700</v>
      </c>
      <c r="AO2017" t="s">
        <v>118</v>
      </c>
      <c r="AP2017">
        <v>-85</v>
      </c>
      <c r="AQ2017">
        <v>53</v>
      </c>
      <c r="AR2017">
        <v>-2048</v>
      </c>
      <c r="AZ2017">
        <v>4516</v>
      </c>
      <c r="BA2017">
        <v>1</v>
      </c>
      <c r="BB2017" t="str">
        <f t="shared" si="197"/>
        <v xml:space="preserve">N79NX   </v>
      </c>
      <c r="BC2017">
        <v>1</v>
      </c>
      <c r="BE2017">
        <v>0</v>
      </c>
      <c r="BF2017">
        <v>0</v>
      </c>
      <c r="BG2017">
        <v>0</v>
      </c>
      <c r="BH2017">
        <v>2600</v>
      </c>
      <c r="BI2017">
        <v>0</v>
      </c>
      <c r="BJ2017">
        <v>0</v>
      </c>
      <c r="BK2017">
        <v>0</v>
      </c>
      <c r="BL2017">
        <v>0</v>
      </c>
      <c r="BO2017">
        <v>0</v>
      </c>
      <c r="BP2017">
        <v>0</v>
      </c>
      <c r="BW2017" t="str">
        <f>"19:00:09.876"</f>
        <v>19:00:09.876</v>
      </c>
      <c r="BZ2017">
        <v>0</v>
      </c>
      <c r="CA2017">
        <v>1888</v>
      </c>
      <c r="CB2017">
        <v>214.4</v>
      </c>
      <c r="CC2017">
        <v>625.78129999999999</v>
      </c>
      <c r="CD2017">
        <v>1</v>
      </c>
      <c r="CE2017">
        <v>0</v>
      </c>
      <c r="CF2017">
        <v>0</v>
      </c>
      <c r="CG2017">
        <v>1</v>
      </c>
      <c r="CH2017">
        <v>0</v>
      </c>
      <c r="CI2017">
        <v>1</v>
      </c>
      <c r="CJ2017">
        <v>0</v>
      </c>
      <c r="CK2017">
        <v>2</v>
      </c>
      <c r="CL2017">
        <v>0</v>
      </c>
      <c r="CM2017">
        <v>2</v>
      </c>
      <c r="CN2017">
        <v>0</v>
      </c>
      <c r="CO2017">
        <v>4</v>
      </c>
      <c r="CP2017" t="s">
        <v>119</v>
      </c>
      <c r="CQ2017">
        <v>70</v>
      </c>
      <c r="CR2017">
        <v>1</v>
      </c>
      <c r="CW2017">
        <v>3882189</v>
      </c>
      <c r="CY2017">
        <v>0</v>
      </c>
      <c r="CZ2017">
        <v>0</v>
      </c>
      <c r="DA2017">
        <v>1</v>
      </c>
      <c r="DB2017">
        <v>0</v>
      </c>
      <c r="DC2017">
        <v>0</v>
      </c>
      <c r="DD2017">
        <v>0</v>
      </c>
      <c r="DE2017">
        <v>0</v>
      </c>
      <c r="DF2017">
        <v>0</v>
      </c>
      <c r="DG2017">
        <v>0</v>
      </c>
      <c r="DH2017">
        <v>0</v>
      </c>
      <c r="DI2017">
        <v>0</v>
      </c>
    </row>
    <row r="2018" spans="1:113" x14ac:dyDescent="0.3">
      <c r="A2018" t="str">
        <f>"02/13/2022 19:00:11.178"</f>
        <v>02/13/2022 19:00:11.178</v>
      </c>
      <c r="C2018" t="str">
        <f t="shared" si="196"/>
        <v>FFDFD7C0</v>
      </c>
      <c r="D2018" t="s">
        <v>121</v>
      </c>
      <c r="E2018">
        <v>2</v>
      </c>
      <c r="H2018">
        <v>158</v>
      </c>
      <c r="I2018" t="s">
        <v>120</v>
      </c>
      <c r="J2018" t="s">
        <v>122</v>
      </c>
      <c r="K2018">
        <v>0</v>
      </c>
      <c r="L2018">
        <v>3</v>
      </c>
      <c r="M2018">
        <v>0</v>
      </c>
      <c r="N2018">
        <v>2</v>
      </c>
      <c r="O2018">
        <v>1</v>
      </c>
      <c r="P2018">
        <v>0</v>
      </c>
      <c r="Q2018">
        <v>0</v>
      </c>
      <c r="S2018" t="str">
        <f>"19:00:10.813"</f>
        <v>19:00:10.813</v>
      </c>
      <c r="T2018" t="str">
        <f>"19:00:10.313"</f>
        <v>19:00:10.313</v>
      </c>
      <c r="U2018" t="str">
        <f t="shared" si="198"/>
        <v>AAB6EE</v>
      </c>
      <c r="V2018">
        <v>0</v>
      </c>
      <c r="W2018">
        <v>0</v>
      </c>
      <c r="X2018">
        <v>4</v>
      </c>
      <c r="Z2018">
        <v>0</v>
      </c>
      <c r="AA2018">
        <v>8</v>
      </c>
      <c r="AB2018">
        <v>3</v>
      </c>
      <c r="AC2018">
        <v>0</v>
      </c>
      <c r="AD2018">
        <v>10</v>
      </c>
      <c r="AE2018">
        <v>0</v>
      </c>
      <c r="AF2018">
        <v>0</v>
      </c>
      <c r="AG2018">
        <v>2</v>
      </c>
      <c r="AH2018">
        <v>1</v>
      </c>
      <c r="AI2018" t="s">
        <v>1468</v>
      </c>
      <c r="AJ2018">
        <v>34.818784999999998</v>
      </c>
      <c r="AK2018" t="s">
        <v>1469</v>
      </c>
      <c r="AL2018">
        <v>-76.260909999999996</v>
      </c>
      <c r="AM2018">
        <v>25</v>
      </c>
      <c r="AN2018">
        <v>2675</v>
      </c>
      <c r="AO2018" t="s">
        <v>118</v>
      </c>
      <c r="AP2018">
        <v>-98</v>
      </c>
      <c r="AQ2018">
        <v>43</v>
      </c>
      <c r="AR2018">
        <v>-1984</v>
      </c>
      <c r="AZ2018">
        <v>4516</v>
      </c>
      <c r="BA2018">
        <v>1</v>
      </c>
      <c r="BB2018" t="str">
        <f t="shared" si="197"/>
        <v xml:space="preserve">N79NX   </v>
      </c>
      <c r="BC2018">
        <v>1</v>
      </c>
      <c r="BE2018">
        <v>0</v>
      </c>
      <c r="BF2018">
        <v>0</v>
      </c>
      <c r="BG2018">
        <v>0</v>
      </c>
      <c r="BH2018">
        <v>2550</v>
      </c>
      <c r="BI2018">
        <v>0</v>
      </c>
      <c r="BJ2018">
        <v>0</v>
      </c>
      <c r="BK2018">
        <v>0</v>
      </c>
      <c r="BL2018">
        <v>0</v>
      </c>
      <c r="BO2018">
        <v>0</v>
      </c>
      <c r="BP2018">
        <v>0</v>
      </c>
      <c r="BW2018" t="str">
        <f>"19:00:10.816"</f>
        <v>19:00:10.816</v>
      </c>
      <c r="BZ2018">
        <v>0</v>
      </c>
      <c r="CA2018">
        <v>1888</v>
      </c>
      <c r="CB2018">
        <v>214.4</v>
      </c>
      <c r="CC2018">
        <v>625.78129999999999</v>
      </c>
      <c r="CD2018">
        <v>1</v>
      </c>
      <c r="CE2018">
        <v>0</v>
      </c>
      <c r="CF2018">
        <v>0</v>
      </c>
      <c r="CG2018">
        <v>1</v>
      </c>
      <c r="CH2018">
        <v>0</v>
      </c>
      <c r="CI2018">
        <v>1</v>
      </c>
      <c r="CJ2018">
        <v>0</v>
      </c>
      <c r="CK2018">
        <v>2</v>
      </c>
      <c r="CL2018">
        <v>0</v>
      </c>
      <c r="CM2018">
        <v>2</v>
      </c>
      <c r="CN2018">
        <v>0</v>
      </c>
      <c r="CO2018">
        <v>5</v>
      </c>
      <c r="CP2018" t="s">
        <v>119</v>
      </c>
      <c r="CQ2018">
        <v>70</v>
      </c>
      <c r="CR2018">
        <v>1</v>
      </c>
      <c r="CW2018">
        <v>3883008</v>
      </c>
      <c r="CY2018">
        <v>0</v>
      </c>
      <c r="CZ2018">
        <v>0</v>
      </c>
      <c r="DA2018">
        <v>0</v>
      </c>
      <c r="DB2018">
        <v>0</v>
      </c>
      <c r="DC2018">
        <v>0</v>
      </c>
      <c r="DD2018">
        <v>0</v>
      </c>
      <c r="DE2018">
        <v>0</v>
      </c>
      <c r="DF2018">
        <v>0</v>
      </c>
      <c r="DG2018">
        <v>0</v>
      </c>
      <c r="DH2018">
        <v>0</v>
      </c>
      <c r="DI2018">
        <v>0</v>
      </c>
    </row>
    <row r="2019" spans="1:113" x14ac:dyDescent="0.3">
      <c r="A2019" t="str">
        <f>"02/13/2022 19:00:11.178"</f>
        <v>02/13/2022 19:00:11.178</v>
      </c>
      <c r="C2019" t="str">
        <f t="shared" si="196"/>
        <v>FFDFD7C0</v>
      </c>
      <c r="D2019" t="s">
        <v>113</v>
      </c>
      <c r="E2019">
        <v>3</v>
      </c>
      <c r="F2019">
        <v>1003</v>
      </c>
      <c r="G2019" t="s">
        <v>114</v>
      </c>
      <c r="J2019" t="s">
        <v>115</v>
      </c>
      <c r="K2019">
        <v>0</v>
      </c>
      <c r="L2019">
        <v>3</v>
      </c>
      <c r="M2019">
        <v>0</v>
      </c>
      <c r="N2019">
        <v>2</v>
      </c>
      <c r="O2019">
        <v>1</v>
      </c>
      <c r="P2019">
        <v>0</v>
      </c>
      <c r="Q2019">
        <v>0</v>
      </c>
      <c r="S2019" t="str">
        <f>"19:00:10.813"</f>
        <v>19:00:10.813</v>
      </c>
      <c r="T2019" t="str">
        <f>"19:00:10.313"</f>
        <v>19:00:10.313</v>
      </c>
      <c r="U2019" t="str">
        <f t="shared" si="198"/>
        <v>AAB6EE</v>
      </c>
      <c r="V2019">
        <v>0</v>
      </c>
      <c r="W2019">
        <v>0</v>
      </c>
      <c r="X2019">
        <v>4</v>
      </c>
      <c r="Z2019">
        <v>0</v>
      </c>
      <c r="AA2019">
        <v>8</v>
      </c>
      <c r="AB2019">
        <v>3</v>
      </c>
      <c r="AC2019">
        <v>0</v>
      </c>
      <c r="AD2019">
        <v>10</v>
      </c>
      <c r="AE2019">
        <v>0</v>
      </c>
      <c r="AF2019">
        <v>0</v>
      </c>
      <c r="AG2019">
        <v>2</v>
      </c>
      <c r="AH2019">
        <v>1</v>
      </c>
      <c r="AI2019" t="s">
        <v>1468</v>
      </c>
      <c r="AJ2019">
        <v>34.818784999999998</v>
      </c>
      <c r="AK2019" t="s">
        <v>1469</v>
      </c>
      <c r="AL2019">
        <v>-76.260909999999996</v>
      </c>
      <c r="AM2019">
        <v>25</v>
      </c>
      <c r="AN2019">
        <v>2675</v>
      </c>
      <c r="AO2019" t="s">
        <v>118</v>
      </c>
      <c r="AP2019">
        <v>-98</v>
      </c>
      <c r="AQ2019">
        <v>43</v>
      </c>
      <c r="AR2019">
        <v>-1984</v>
      </c>
      <c r="AZ2019">
        <v>4516</v>
      </c>
      <c r="BA2019">
        <v>1</v>
      </c>
      <c r="BB2019" t="str">
        <f t="shared" si="197"/>
        <v xml:space="preserve">N79NX   </v>
      </c>
      <c r="BC2019">
        <v>1</v>
      </c>
      <c r="BE2019">
        <v>0</v>
      </c>
      <c r="BF2019">
        <v>0</v>
      </c>
      <c r="BG2019">
        <v>0</v>
      </c>
      <c r="BH2019">
        <v>2550</v>
      </c>
      <c r="BI2019">
        <v>0</v>
      </c>
      <c r="BJ2019">
        <v>0</v>
      </c>
      <c r="BK2019">
        <v>0</v>
      </c>
      <c r="BL2019">
        <v>0</v>
      </c>
      <c r="BO2019">
        <v>0</v>
      </c>
      <c r="BP2019">
        <v>0</v>
      </c>
      <c r="BW2019" t="str">
        <f>"19:00:10.816"</f>
        <v>19:00:10.816</v>
      </c>
      <c r="BZ2019">
        <v>0</v>
      </c>
      <c r="CA2019">
        <v>1888</v>
      </c>
      <c r="CB2019">
        <v>214.4</v>
      </c>
      <c r="CC2019">
        <v>625.78129999999999</v>
      </c>
      <c r="CD2019">
        <v>1</v>
      </c>
      <c r="CE2019">
        <v>0</v>
      </c>
      <c r="CF2019">
        <v>0</v>
      </c>
      <c r="CG2019">
        <v>1</v>
      </c>
      <c r="CH2019">
        <v>0</v>
      </c>
      <c r="CI2019">
        <v>1</v>
      </c>
      <c r="CJ2019">
        <v>0</v>
      </c>
      <c r="CK2019">
        <v>2</v>
      </c>
      <c r="CL2019">
        <v>0</v>
      </c>
      <c r="CM2019">
        <v>2</v>
      </c>
      <c r="CN2019">
        <v>0</v>
      </c>
      <c r="CO2019">
        <v>5</v>
      </c>
      <c r="CP2019" t="s">
        <v>119</v>
      </c>
      <c r="CQ2019">
        <v>70</v>
      </c>
      <c r="CR2019">
        <v>1</v>
      </c>
      <c r="CW2019">
        <v>3883008</v>
      </c>
      <c r="CY2019">
        <v>0</v>
      </c>
      <c r="CZ2019">
        <v>0</v>
      </c>
      <c r="DA2019">
        <v>1</v>
      </c>
      <c r="DB2019">
        <v>0</v>
      </c>
      <c r="DC2019">
        <v>0</v>
      </c>
      <c r="DD2019">
        <v>0</v>
      </c>
      <c r="DE2019">
        <v>0</v>
      </c>
      <c r="DF2019">
        <v>0</v>
      </c>
      <c r="DG2019">
        <v>0</v>
      </c>
      <c r="DH2019">
        <v>0</v>
      </c>
      <c r="DI2019">
        <v>0</v>
      </c>
    </row>
    <row r="2020" spans="1:113" x14ac:dyDescent="0.3">
      <c r="A2020" t="str">
        <f>"02/13/2022 19:00:11.178"</f>
        <v>02/13/2022 19:00:11.178</v>
      </c>
      <c r="C2020" t="str">
        <f t="shared" si="196"/>
        <v>FFDFD7C0</v>
      </c>
      <c r="D2020" t="s">
        <v>113</v>
      </c>
      <c r="E2020">
        <v>4</v>
      </c>
      <c r="F2020">
        <v>1004</v>
      </c>
      <c r="G2020" t="s">
        <v>120</v>
      </c>
      <c r="J2020" t="s">
        <v>115</v>
      </c>
      <c r="K2020">
        <v>0</v>
      </c>
      <c r="L2020">
        <v>3</v>
      </c>
      <c r="M2020">
        <v>0</v>
      </c>
      <c r="N2020">
        <v>2</v>
      </c>
      <c r="O2020">
        <v>1</v>
      </c>
      <c r="P2020">
        <v>0</v>
      </c>
      <c r="Q2020">
        <v>0</v>
      </c>
      <c r="S2020" t="str">
        <f>"19:00:10.813"</f>
        <v>19:00:10.813</v>
      </c>
      <c r="T2020" t="str">
        <f>"19:00:10.313"</f>
        <v>19:00:10.313</v>
      </c>
      <c r="U2020" t="str">
        <f t="shared" si="198"/>
        <v>AAB6EE</v>
      </c>
      <c r="V2020">
        <v>0</v>
      </c>
      <c r="W2020">
        <v>0</v>
      </c>
      <c r="X2020">
        <v>4</v>
      </c>
      <c r="Z2020">
        <v>0</v>
      </c>
      <c r="AA2020">
        <v>8</v>
      </c>
      <c r="AB2020">
        <v>3</v>
      </c>
      <c r="AC2020">
        <v>0</v>
      </c>
      <c r="AD2020">
        <v>10</v>
      </c>
      <c r="AE2020">
        <v>0</v>
      </c>
      <c r="AF2020">
        <v>0</v>
      </c>
      <c r="AG2020">
        <v>2</v>
      </c>
      <c r="AH2020">
        <v>1</v>
      </c>
      <c r="AI2020" t="s">
        <v>1468</v>
      </c>
      <c r="AJ2020">
        <v>34.818784999999998</v>
      </c>
      <c r="AK2020" t="s">
        <v>1469</v>
      </c>
      <c r="AL2020">
        <v>-76.260909999999996</v>
      </c>
      <c r="AM2020">
        <v>25</v>
      </c>
      <c r="AN2020">
        <v>2675</v>
      </c>
      <c r="AO2020" t="s">
        <v>118</v>
      </c>
      <c r="AP2020">
        <v>-98</v>
      </c>
      <c r="AQ2020">
        <v>43</v>
      </c>
      <c r="AR2020">
        <v>-1984</v>
      </c>
      <c r="AZ2020">
        <v>4516</v>
      </c>
      <c r="BA2020">
        <v>1</v>
      </c>
      <c r="BB2020" t="str">
        <f t="shared" si="197"/>
        <v xml:space="preserve">N79NX   </v>
      </c>
      <c r="BC2020">
        <v>1</v>
      </c>
      <c r="BE2020">
        <v>0</v>
      </c>
      <c r="BF2020">
        <v>0</v>
      </c>
      <c r="BG2020">
        <v>0</v>
      </c>
      <c r="BH2020">
        <v>2550</v>
      </c>
      <c r="BI2020">
        <v>0</v>
      </c>
      <c r="BJ2020">
        <v>0</v>
      </c>
      <c r="BK2020">
        <v>0</v>
      </c>
      <c r="BL2020">
        <v>0</v>
      </c>
      <c r="BO2020">
        <v>0</v>
      </c>
      <c r="BP2020">
        <v>0</v>
      </c>
      <c r="BW2020" t="str">
        <f>"19:00:10.816"</f>
        <v>19:00:10.816</v>
      </c>
      <c r="BZ2020">
        <v>0</v>
      </c>
      <c r="CA2020">
        <v>1888</v>
      </c>
      <c r="CB2020">
        <v>214.4</v>
      </c>
      <c r="CC2020">
        <v>625.78129999999999</v>
      </c>
      <c r="CD2020">
        <v>1</v>
      </c>
      <c r="CE2020">
        <v>0</v>
      </c>
      <c r="CF2020">
        <v>0</v>
      </c>
      <c r="CG2020">
        <v>1</v>
      </c>
      <c r="CH2020">
        <v>0</v>
      </c>
      <c r="CI2020">
        <v>1</v>
      </c>
      <c r="CJ2020">
        <v>0</v>
      </c>
      <c r="CK2020">
        <v>2</v>
      </c>
      <c r="CL2020">
        <v>0</v>
      </c>
      <c r="CM2020">
        <v>2</v>
      </c>
      <c r="CN2020">
        <v>0</v>
      </c>
      <c r="CO2020">
        <v>5</v>
      </c>
      <c r="CP2020" t="s">
        <v>119</v>
      </c>
      <c r="CQ2020">
        <v>70</v>
      </c>
      <c r="CR2020">
        <v>1</v>
      </c>
      <c r="CW2020">
        <v>3883008</v>
      </c>
      <c r="CY2020">
        <v>0</v>
      </c>
      <c r="CZ2020">
        <v>0</v>
      </c>
      <c r="DA2020">
        <v>1</v>
      </c>
      <c r="DB2020">
        <v>0</v>
      </c>
      <c r="DC2020">
        <v>0</v>
      </c>
      <c r="DD2020">
        <v>0</v>
      </c>
      <c r="DE2020">
        <v>0</v>
      </c>
      <c r="DF2020">
        <v>0</v>
      </c>
      <c r="DG2020">
        <v>0</v>
      </c>
      <c r="DH2020">
        <v>0</v>
      </c>
      <c r="DI2020">
        <v>0</v>
      </c>
    </row>
    <row r="2021" spans="1:113" x14ac:dyDescent="0.3">
      <c r="A2021" t="str">
        <f>"02/13/2022 19:00:11.918"</f>
        <v>02/13/2022 19:00:11.918</v>
      </c>
      <c r="C2021" t="str">
        <f t="shared" si="196"/>
        <v>FFDFD7C0</v>
      </c>
      <c r="D2021" t="s">
        <v>121</v>
      </c>
      <c r="E2021">
        <v>2</v>
      </c>
      <c r="H2021">
        <v>158</v>
      </c>
      <c r="I2021" t="s">
        <v>120</v>
      </c>
      <c r="J2021" t="s">
        <v>122</v>
      </c>
      <c r="K2021">
        <v>0</v>
      </c>
      <c r="L2021">
        <v>3</v>
      </c>
      <c r="M2021">
        <v>0</v>
      </c>
      <c r="N2021">
        <v>2</v>
      </c>
      <c r="O2021">
        <v>1</v>
      </c>
      <c r="P2021">
        <v>0</v>
      </c>
      <c r="Q2021">
        <v>0</v>
      </c>
      <c r="S2021" t="str">
        <f>"19:00:11.641"</f>
        <v>19:00:11.641</v>
      </c>
      <c r="T2021" t="str">
        <f>"19:00:11.241"</f>
        <v>19:00:11.241</v>
      </c>
      <c r="U2021" t="str">
        <f t="shared" si="198"/>
        <v>AAB6EE</v>
      </c>
      <c r="V2021">
        <v>0</v>
      </c>
      <c r="W2021">
        <v>0</v>
      </c>
      <c r="X2021">
        <v>4</v>
      </c>
      <c r="Z2021">
        <v>0</v>
      </c>
      <c r="AA2021">
        <v>8</v>
      </c>
      <c r="AB2021">
        <v>3</v>
      </c>
      <c r="AC2021">
        <v>0</v>
      </c>
      <c r="AD2021">
        <v>10</v>
      </c>
      <c r="AE2021">
        <v>0</v>
      </c>
      <c r="AF2021">
        <v>0</v>
      </c>
      <c r="AG2021">
        <v>2</v>
      </c>
      <c r="AH2021">
        <v>1</v>
      </c>
      <c r="AI2021" t="s">
        <v>1470</v>
      </c>
      <c r="AJ2021">
        <v>34.818935000000003</v>
      </c>
      <c r="AK2021" t="s">
        <v>1471</v>
      </c>
      <c r="AL2021">
        <v>-76.261360999999994</v>
      </c>
      <c r="AM2021">
        <v>25</v>
      </c>
      <c r="AN2021">
        <v>2650</v>
      </c>
      <c r="AO2021" t="s">
        <v>118</v>
      </c>
      <c r="AP2021">
        <v>-105</v>
      </c>
      <c r="AQ2021">
        <v>38</v>
      </c>
      <c r="AR2021">
        <v>-2048</v>
      </c>
      <c r="AZ2021">
        <v>4516</v>
      </c>
      <c r="BA2021">
        <v>1</v>
      </c>
      <c r="BB2021" t="str">
        <f t="shared" si="197"/>
        <v xml:space="preserve">N79NX   </v>
      </c>
      <c r="BC2021">
        <v>1</v>
      </c>
      <c r="BE2021">
        <v>0</v>
      </c>
      <c r="BF2021">
        <v>0</v>
      </c>
      <c r="BG2021">
        <v>0</v>
      </c>
      <c r="BH2021">
        <v>2525</v>
      </c>
      <c r="BI2021">
        <v>0</v>
      </c>
      <c r="BJ2021">
        <v>0</v>
      </c>
      <c r="BK2021">
        <v>0</v>
      </c>
      <c r="BL2021">
        <v>0</v>
      </c>
      <c r="BO2021">
        <v>0</v>
      </c>
      <c r="BP2021">
        <v>0</v>
      </c>
      <c r="BW2021" t="str">
        <f>"19:00:11.646"</f>
        <v>19:00:11.646</v>
      </c>
      <c r="BZ2021">
        <v>0</v>
      </c>
      <c r="CA2021">
        <v>1888</v>
      </c>
      <c r="CB2021">
        <v>214.4</v>
      </c>
      <c r="CC2021">
        <v>625.78129999999999</v>
      </c>
      <c r="CD2021">
        <v>1</v>
      </c>
      <c r="CE2021">
        <v>0</v>
      </c>
      <c r="CF2021">
        <v>0</v>
      </c>
      <c r="CG2021">
        <v>1</v>
      </c>
      <c r="CH2021">
        <v>0</v>
      </c>
      <c r="CI2021">
        <v>1</v>
      </c>
      <c r="CJ2021">
        <v>0</v>
      </c>
      <c r="CK2021">
        <v>2</v>
      </c>
      <c r="CL2021">
        <v>0</v>
      </c>
      <c r="CM2021">
        <v>2</v>
      </c>
      <c r="CN2021">
        <v>0</v>
      </c>
      <c r="CO2021">
        <v>5</v>
      </c>
      <c r="CP2021" t="s">
        <v>119</v>
      </c>
      <c r="CQ2021">
        <v>70</v>
      </c>
      <c r="CR2021">
        <v>1</v>
      </c>
      <c r="CW2021">
        <v>3883800</v>
      </c>
      <c r="CY2021">
        <v>0</v>
      </c>
      <c r="CZ2021">
        <v>0</v>
      </c>
      <c r="DA2021">
        <v>0</v>
      </c>
      <c r="DB2021">
        <v>0</v>
      </c>
      <c r="DC2021">
        <v>0</v>
      </c>
      <c r="DD2021">
        <v>0</v>
      </c>
      <c r="DE2021">
        <v>0</v>
      </c>
      <c r="DF2021">
        <v>0</v>
      </c>
      <c r="DG2021">
        <v>0</v>
      </c>
      <c r="DH2021">
        <v>0</v>
      </c>
      <c r="DI2021">
        <v>0</v>
      </c>
    </row>
    <row r="2022" spans="1:113" x14ac:dyDescent="0.3">
      <c r="A2022" t="str">
        <f>"02/13/2022 19:00:11.918"</f>
        <v>02/13/2022 19:00:11.918</v>
      </c>
      <c r="C2022" t="str">
        <f t="shared" si="196"/>
        <v>FFDFD7C0</v>
      </c>
      <c r="D2022" t="s">
        <v>113</v>
      </c>
      <c r="E2022">
        <v>3</v>
      </c>
      <c r="F2022">
        <v>1003</v>
      </c>
      <c r="G2022" t="s">
        <v>114</v>
      </c>
      <c r="J2022" t="s">
        <v>115</v>
      </c>
      <c r="K2022">
        <v>0</v>
      </c>
      <c r="L2022">
        <v>3</v>
      </c>
      <c r="M2022">
        <v>0</v>
      </c>
      <c r="N2022">
        <v>2</v>
      </c>
      <c r="O2022">
        <v>1</v>
      </c>
      <c r="P2022">
        <v>0</v>
      </c>
      <c r="Q2022">
        <v>0</v>
      </c>
      <c r="S2022" t="str">
        <f>"19:00:11.641"</f>
        <v>19:00:11.641</v>
      </c>
      <c r="T2022" t="str">
        <f>"19:00:11.241"</f>
        <v>19:00:11.241</v>
      </c>
      <c r="U2022" t="str">
        <f t="shared" si="198"/>
        <v>AAB6EE</v>
      </c>
      <c r="V2022">
        <v>0</v>
      </c>
      <c r="W2022">
        <v>0</v>
      </c>
      <c r="X2022">
        <v>4</v>
      </c>
      <c r="Z2022">
        <v>0</v>
      </c>
      <c r="AA2022">
        <v>8</v>
      </c>
      <c r="AB2022">
        <v>3</v>
      </c>
      <c r="AC2022">
        <v>0</v>
      </c>
      <c r="AD2022">
        <v>10</v>
      </c>
      <c r="AE2022">
        <v>0</v>
      </c>
      <c r="AF2022">
        <v>0</v>
      </c>
      <c r="AG2022">
        <v>2</v>
      </c>
      <c r="AH2022">
        <v>1</v>
      </c>
      <c r="AI2022" t="s">
        <v>1470</v>
      </c>
      <c r="AJ2022">
        <v>34.818935000000003</v>
      </c>
      <c r="AK2022" t="s">
        <v>1471</v>
      </c>
      <c r="AL2022">
        <v>-76.261360999999994</v>
      </c>
      <c r="AM2022">
        <v>25</v>
      </c>
      <c r="AN2022">
        <v>2650</v>
      </c>
      <c r="AO2022" t="s">
        <v>118</v>
      </c>
      <c r="AP2022">
        <v>-105</v>
      </c>
      <c r="AQ2022">
        <v>38</v>
      </c>
      <c r="AR2022">
        <v>-2048</v>
      </c>
      <c r="AZ2022">
        <v>4516</v>
      </c>
      <c r="BA2022">
        <v>1</v>
      </c>
      <c r="BB2022" t="str">
        <f t="shared" si="197"/>
        <v xml:space="preserve">N79NX   </v>
      </c>
      <c r="BC2022">
        <v>1</v>
      </c>
      <c r="BE2022">
        <v>0</v>
      </c>
      <c r="BF2022">
        <v>0</v>
      </c>
      <c r="BG2022">
        <v>0</v>
      </c>
      <c r="BH2022">
        <v>2525</v>
      </c>
      <c r="BI2022">
        <v>0</v>
      </c>
      <c r="BJ2022">
        <v>0</v>
      </c>
      <c r="BK2022">
        <v>0</v>
      </c>
      <c r="BL2022">
        <v>0</v>
      </c>
      <c r="BO2022">
        <v>0</v>
      </c>
      <c r="BP2022">
        <v>0</v>
      </c>
      <c r="BW2022" t="str">
        <f>"19:00:11.646"</f>
        <v>19:00:11.646</v>
      </c>
      <c r="BZ2022">
        <v>0</v>
      </c>
      <c r="CA2022">
        <v>1888</v>
      </c>
      <c r="CB2022">
        <v>214.4</v>
      </c>
      <c r="CC2022">
        <v>625.78129999999999</v>
      </c>
      <c r="CD2022">
        <v>1</v>
      </c>
      <c r="CE2022">
        <v>0</v>
      </c>
      <c r="CF2022">
        <v>0</v>
      </c>
      <c r="CG2022">
        <v>1</v>
      </c>
      <c r="CH2022">
        <v>0</v>
      </c>
      <c r="CI2022">
        <v>1</v>
      </c>
      <c r="CJ2022">
        <v>0</v>
      </c>
      <c r="CK2022">
        <v>2</v>
      </c>
      <c r="CL2022">
        <v>0</v>
      </c>
      <c r="CM2022">
        <v>2</v>
      </c>
      <c r="CN2022">
        <v>0</v>
      </c>
      <c r="CO2022">
        <v>5</v>
      </c>
      <c r="CP2022" t="s">
        <v>119</v>
      </c>
      <c r="CQ2022">
        <v>70</v>
      </c>
      <c r="CR2022">
        <v>1</v>
      </c>
      <c r="CW2022">
        <v>3883800</v>
      </c>
      <c r="CY2022">
        <v>0</v>
      </c>
      <c r="CZ2022">
        <v>0</v>
      </c>
      <c r="DA2022">
        <v>1</v>
      </c>
      <c r="DB2022">
        <v>0</v>
      </c>
      <c r="DC2022">
        <v>0</v>
      </c>
      <c r="DD2022">
        <v>0</v>
      </c>
      <c r="DE2022">
        <v>0</v>
      </c>
      <c r="DF2022">
        <v>0</v>
      </c>
      <c r="DG2022">
        <v>0</v>
      </c>
      <c r="DH2022">
        <v>0</v>
      </c>
      <c r="DI2022">
        <v>0</v>
      </c>
    </row>
    <row r="2023" spans="1:113" x14ac:dyDescent="0.3">
      <c r="A2023" t="str">
        <f>"02/13/2022 19:00:11.918"</f>
        <v>02/13/2022 19:00:11.918</v>
      </c>
      <c r="C2023" t="str">
        <f t="shared" si="196"/>
        <v>FFDFD7C0</v>
      </c>
      <c r="D2023" t="s">
        <v>113</v>
      </c>
      <c r="E2023">
        <v>4</v>
      </c>
      <c r="F2023">
        <v>1004</v>
      </c>
      <c r="G2023" t="s">
        <v>120</v>
      </c>
      <c r="J2023" t="s">
        <v>115</v>
      </c>
      <c r="K2023">
        <v>0</v>
      </c>
      <c r="L2023">
        <v>3</v>
      </c>
      <c r="M2023">
        <v>0</v>
      </c>
      <c r="N2023">
        <v>2</v>
      </c>
      <c r="O2023">
        <v>1</v>
      </c>
      <c r="P2023">
        <v>0</v>
      </c>
      <c r="Q2023">
        <v>0</v>
      </c>
      <c r="S2023" t="str">
        <f>"19:00:11.641"</f>
        <v>19:00:11.641</v>
      </c>
      <c r="T2023" t="str">
        <f>"19:00:11.241"</f>
        <v>19:00:11.241</v>
      </c>
      <c r="U2023" t="str">
        <f t="shared" si="198"/>
        <v>AAB6EE</v>
      </c>
      <c r="V2023">
        <v>0</v>
      </c>
      <c r="W2023">
        <v>0</v>
      </c>
      <c r="X2023">
        <v>4</v>
      </c>
      <c r="Z2023">
        <v>0</v>
      </c>
      <c r="AA2023">
        <v>8</v>
      </c>
      <c r="AB2023">
        <v>3</v>
      </c>
      <c r="AC2023">
        <v>0</v>
      </c>
      <c r="AD2023">
        <v>10</v>
      </c>
      <c r="AE2023">
        <v>0</v>
      </c>
      <c r="AF2023">
        <v>0</v>
      </c>
      <c r="AG2023">
        <v>2</v>
      </c>
      <c r="AH2023">
        <v>1</v>
      </c>
      <c r="AI2023" t="s">
        <v>1470</v>
      </c>
      <c r="AJ2023">
        <v>34.818935000000003</v>
      </c>
      <c r="AK2023" t="s">
        <v>1471</v>
      </c>
      <c r="AL2023">
        <v>-76.261360999999994</v>
      </c>
      <c r="AM2023">
        <v>25</v>
      </c>
      <c r="AN2023">
        <v>2650</v>
      </c>
      <c r="AO2023" t="s">
        <v>118</v>
      </c>
      <c r="AP2023">
        <v>-105</v>
      </c>
      <c r="AQ2023">
        <v>38</v>
      </c>
      <c r="AR2023">
        <v>-2048</v>
      </c>
      <c r="AZ2023">
        <v>4516</v>
      </c>
      <c r="BA2023">
        <v>1</v>
      </c>
      <c r="BB2023" t="str">
        <f t="shared" si="197"/>
        <v xml:space="preserve">N79NX   </v>
      </c>
      <c r="BC2023">
        <v>1</v>
      </c>
      <c r="BE2023">
        <v>0</v>
      </c>
      <c r="BF2023">
        <v>0</v>
      </c>
      <c r="BG2023">
        <v>0</v>
      </c>
      <c r="BH2023">
        <v>2525</v>
      </c>
      <c r="BI2023">
        <v>0</v>
      </c>
      <c r="BJ2023">
        <v>0</v>
      </c>
      <c r="BK2023">
        <v>0</v>
      </c>
      <c r="BL2023">
        <v>0</v>
      </c>
      <c r="BO2023">
        <v>0</v>
      </c>
      <c r="BP2023">
        <v>0</v>
      </c>
      <c r="BW2023" t="str">
        <f>"19:00:11.646"</f>
        <v>19:00:11.646</v>
      </c>
      <c r="BZ2023">
        <v>0</v>
      </c>
      <c r="CA2023">
        <v>1888</v>
      </c>
      <c r="CB2023">
        <v>214.4</v>
      </c>
      <c r="CC2023">
        <v>625.78129999999999</v>
      </c>
      <c r="CD2023">
        <v>1</v>
      </c>
      <c r="CE2023">
        <v>0</v>
      </c>
      <c r="CF2023">
        <v>0</v>
      </c>
      <c r="CG2023">
        <v>1</v>
      </c>
      <c r="CH2023">
        <v>0</v>
      </c>
      <c r="CI2023">
        <v>1</v>
      </c>
      <c r="CJ2023">
        <v>0</v>
      </c>
      <c r="CK2023">
        <v>2</v>
      </c>
      <c r="CL2023">
        <v>0</v>
      </c>
      <c r="CM2023">
        <v>2</v>
      </c>
      <c r="CN2023">
        <v>0</v>
      </c>
      <c r="CO2023">
        <v>5</v>
      </c>
      <c r="CP2023" t="s">
        <v>119</v>
      </c>
      <c r="CQ2023">
        <v>70</v>
      </c>
      <c r="CR2023">
        <v>1</v>
      </c>
      <c r="CW2023">
        <v>3883800</v>
      </c>
      <c r="CY2023">
        <v>0</v>
      </c>
      <c r="CZ2023">
        <v>0</v>
      </c>
      <c r="DA2023">
        <v>1</v>
      </c>
      <c r="DB2023">
        <v>0</v>
      </c>
      <c r="DC2023">
        <v>0</v>
      </c>
      <c r="DD2023">
        <v>0</v>
      </c>
      <c r="DE2023">
        <v>0</v>
      </c>
      <c r="DF2023">
        <v>0</v>
      </c>
      <c r="DG2023">
        <v>0</v>
      </c>
      <c r="DH2023">
        <v>0</v>
      </c>
      <c r="DI2023">
        <v>0</v>
      </c>
    </row>
    <row r="2024" spans="1:113" x14ac:dyDescent="0.3">
      <c r="A2024" t="str">
        <f>"02/13/2022 19:00:12.950"</f>
        <v>02/13/2022 19:00:12.950</v>
      </c>
      <c r="C2024" t="str">
        <f t="shared" si="196"/>
        <v>FFDFD7C0</v>
      </c>
      <c r="D2024" t="s">
        <v>121</v>
      </c>
      <c r="E2024">
        <v>2</v>
      </c>
      <c r="H2024">
        <v>158</v>
      </c>
      <c r="I2024" t="s">
        <v>120</v>
      </c>
      <c r="J2024" t="s">
        <v>122</v>
      </c>
      <c r="K2024">
        <v>0</v>
      </c>
      <c r="L2024">
        <v>3</v>
      </c>
      <c r="M2024">
        <v>0</v>
      </c>
      <c r="N2024">
        <v>2</v>
      </c>
      <c r="O2024">
        <v>1</v>
      </c>
      <c r="P2024">
        <v>0</v>
      </c>
      <c r="Q2024">
        <v>0</v>
      </c>
      <c r="S2024" t="str">
        <f>"19:00:12.695"</f>
        <v>19:00:12.695</v>
      </c>
      <c r="T2024" t="str">
        <f>"19:00:12.595"</f>
        <v>19:00:12.595</v>
      </c>
      <c r="U2024" t="str">
        <f t="shared" si="198"/>
        <v>AAB6EE</v>
      </c>
      <c r="V2024">
        <v>0</v>
      </c>
      <c r="W2024">
        <v>0</v>
      </c>
      <c r="X2024">
        <v>4</v>
      </c>
      <c r="Z2024">
        <v>0</v>
      </c>
      <c r="AA2024">
        <v>8</v>
      </c>
      <c r="AB2024">
        <v>3</v>
      </c>
      <c r="AC2024">
        <v>0</v>
      </c>
      <c r="AD2024">
        <v>10</v>
      </c>
      <c r="AE2024">
        <v>0</v>
      </c>
      <c r="AF2024">
        <v>0</v>
      </c>
      <c r="AG2024">
        <v>2</v>
      </c>
      <c r="AH2024">
        <v>1</v>
      </c>
      <c r="AI2024" t="s">
        <v>1472</v>
      </c>
      <c r="AJ2024">
        <v>34.819063999999997</v>
      </c>
      <c r="AK2024" t="s">
        <v>1473</v>
      </c>
      <c r="AL2024">
        <v>-76.262004000000005</v>
      </c>
      <c r="AM2024">
        <v>25</v>
      </c>
      <c r="AN2024">
        <v>2600</v>
      </c>
      <c r="AO2024" t="s">
        <v>118</v>
      </c>
      <c r="AP2024">
        <v>-116</v>
      </c>
      <c r="AQ2024">
        <v>33</v>
      </c>
      <c r="AR2024">
        <v>-1792</v>
      </c>
      <c r="AZ2024">
        <v>4516</v>
      </c>
      <c r="BA2024">
        <v>1</v>
      </c>
      <c r="BB2024" t="str">
        <f t="shared" si="197"/>
        <v xml:space="preserve">N79NX   </v>
      </c>
      <c r="BC2024">
        <v>1</v>
      </c>
      <c r="BE2024">
        <v>0</v>
      </c>
      <c r="BF2024">
        <v>0</v>
      </c>
      <c r="BG2024">
        <v>0</v>
      </c>
      <c r="BH2024">
        <v>2475</v>
      </c>
      <c r="BI2024">
        <v>0</v>
      </c>
      <c r="BJ2024">
        <v>0</v>
      </c>
      <c r="BK2024">
        <v>0</v>
      </c>
      <c r="BL2024">
        <v>0</v>
      </c>
      <c r="BO2024">
        <v>0</v>
      </c>
      <c r="BP2024">
        <v>0</v>
      </c>
      <c r="BW2024" t="str">
        <f>"19:00:12.696"</f>
        <v>19:00:12.696</v>
      </c>
      <c r="BZ2024">
        <v>0</v>
      </c>
      <c r="CA2024">
        <v>1888</v>
      </c>
      <c r="CB2024">
        <v>214.4</v>
      </c>
      <c r="CC2024">
        <v>625.78129999999999</v>
      </c>
      <c r="CD2024">
        <v>1</v>
      </c>
      <c r="CE2024">
        <v>0</v>
      </c>
      <c r="CF2024">
        <v>0</v>
      </c>
      <c r="CG2024">
        <v>1</v>
      </c>
      <c r="CH2024">
        <v>0</v>
      </c>
      <c r="CI2024">
        <v>1</v>
      </c>
      <c r="CJ2024">
        <v>0</v>
      </c>
      <c r="CK2024">
        <v>2</v>
      </c>
      <c r="CL2024">
        <v>0</v>
      </c>
      <c r="CM2024">
        <v>2</v>
      </c>
      <c r="CN2024">
        <v>0</v>
      </c>
      <c r="CO2024">
        <v>4</v>
      </c>
      <c r="CP2024" t="s">
        <v>119</v>
      </c>
      <c r="CQ2024">
        <v>70</v>
      </c>
      <c r="CR2024">
        <v>1</v>
      </c>
      <c r="CW2024">
        <v>3884624</v>
      </c>
      <c r="CY2024">
        <v>0</v>
      </c>
      <c r="CZ2024">
        <v>0</v>
      </c>
      <c r="DA2024">
        <v>0</v>
      </c>
      <c r="DB2024">
        <v>0</v>
      </c>
      <c r="DC2024">
        <v>0</v>
      </c>
      <c r="DD2024">
        <v>0</v>
      </c>
      <c r="DE2024">
        <v>0</v>
      </c>
      <c r="DF2024">
        <v>0</v>
      </c>
      <c r="DG2024">
        <v>0</v>
      </c>
      <c r="DH2024">
        <v>0</v>
      </c>
      <c r="DI2024">
        <v>0</v>
      </c>
    </row>
    <row r="2025" spans="1:113" x14ac:dyDescent="0.3">
      <c r="A2025" t="str">
        <f>"02/13/2022 19:00:12.950"</f>
        <v>02/13/2022 19:00:12.950</v>
      </c>
      <c r="C2025" t="str">
        <f t="shared" si="196"/>
        <v>FFDFD7C0</v>
      </c>
      <c r="D2025" t="s">
        <v>113</v>
      </c>
      <c r="E2025">
        <v>3</v>
      </c>
      <c r="F2025">
        <v>1003</v>
      </c>
      <c r="G2025" t="s">
        <v>114</v>
      </c>
      <c r="J2025" t="s">
        <v>115</v>
      </c>
      <c r="K2025">
        <v>0</v>
      </c>
      <c r="L2025">
        <v>3</v>
      </c>
      <c r="M2025">
        <v>0</v>
      </c>
      <c r="N2025">
        <v>2</v>
      </c>
      <c r="O2025">
        <v>1</v>
      </c>
      <c r="P2025">
        <v>0</v>
      </c>
      <c r="Q2025">
        <v>0</v>
      </c>
      <c r="S2025" t="str">
        <f>"19:00:12.695"</f>
        <v>19:00:12.695</v>
      </c>
      <c r="T2025" t="str">
        <f>"19:00:12.595"</f>
        <v>19:00:12.595</v>
      </c>
      <c r="U2025" t="str">
        <f t="shared" si="198"/>
        <v>AAB6EE</v>
      </c>
      <c r="V2025">
        <v>0</v>
      </c>
      <c r="W2025">
        <v>0</v>
      </c>
      <c r="X2025">
        <v>4</v>
      </c>
      <c r="Z2025">
        <v>0</v>
      </c>
      <c r="AA2025">
        <v>8</v>
      </c>
      <c r="AB2025">
        <v>3</v>
      </c>
      <c r="AC2025">
        <v>0</v>
      </c>
      <c r="AD2025">
        <v>10</v>
      </c>
      <c r="AE2025">
        <v>0</v>
      </c>
      <c r="AF2025">
        <v>0</v>
      </c>
      <c r="AG2025">
        <v>2</v>
      </c>
      <c r="AH2025">
        <v>1</v>
      </c>
      <c r="AI2025" t="s">
        <v>1472</v>
      </c>
      <c r="AJ2025">
        <v>34.819063999999997</v>
      </c>
      <c r="AK2025" t="s">
        <v>1473</v>
      </c>
      <c r="AL2025">
        <v>-76.262004000000005</v>
      </c>
      <c r="AM2025">
        <v>25</v>
      </c>
      <c r="AN2025">
        <v>2600</v>
      </c>
      <c r="AO2025" t="s">
        <v>118</v>
      </c>
      <c r="AP2025">
        <v>-116</v>
      </c>
      <c r="AQ2025">
        <v>33</v>
      </c>
      <c r="AR2025">
        <v>-1792</v>
      </c>
      <c r="AZ2025">
        <v>4516</v>
      </c>
      <c r="BA2025">
        <v>1</v>
      </c>
      <c r="BB2025" t="str">
        <f t="shared" si="197"/>
        <v xml:space="preserve">N79NX   </v>
      </c>
      <c r="BC2025">
        <v>1</v>
      </c>
      <c r="BE2025">
        <v>0</v>
      </c>
      <c r="BF2025">
        <v>0</v>
      </c>
      <c r="BG2025">
        <v>0</v>
      </c>
      <c r="BH2025">
        <v>2475</v>
      </c>
      <c r="BI2025">
        <v>0</v>
      </c>
      <c r="BJ2025">
        <v>0</v>
      </c>
      <c r="BK2025">
        <v>0</v>
      </c>
      <c r="BL2025">
        <v>0</v>
      </c>
      <c r="BO2025">
        <v>0</v>
      </c>
      <c r="BP2025">
        <v>0</v>
      </c>
      <c r="BW2025" t="str">
        <f>"19:00:12.696"</f>
        <v>19:00:12.696</v>
      </c>
      <c r="BZ2025">
        <v>0</v>
      </c>
      <c r="CA2025">
        <v>1888</v>
      </c>
      <c r="CB2025">
        <v>214.4</v>
      </c>
      <c r="CC2025">
        <v>625.78129999999999</v>
      </c>
      <c r="CD2025">
        <v>1</v>
      </c>
      <c r="CE2025">
        <v>0</v>
      </c>
      <c r="CF2025">
        <v>0</v>
      </c>
      <c r="CG2025">
        <v>1</v>
      </c>
      <c r="CH2025">
        <v>0</v>
      </c>
      <c r="CI2025">
        <v>1</v>
      </c>
      <c r="CJ2025">
        <v>0</v>
      </c>
      <c r="CK2025">
        <v>2</v>
      </c>
      <c r="CL2025">
        <v>0</v>
      </c>
      <c r="CM2025">
        <v>2</v>
      </c>
      <c r="CN2025">
        <v>0</v>
      </c>
      <c r="CO2025">
        <v>4</v>
      </c>
      <c r="CP2025" t="s">
        <v>119</v>
      </c>
      <c r="CQ2025">
        <v>70</v>
      </c>
      <c r="CR2025">
        <v>1</v>
      </c>
      <c r="CW2025">
        <v>3884624</v>
      </c>
      <c r="CY2025">
        <v>0</v>
      </c>
      <c r="CZ2025">
        <v>0</v>
      </c>
      <c r="DA2025">
        <v>1</v>
      </c>
      <c r="DB2025">
        <v>0</v>
      </c>
      <c r="DC2025">
        <v>0</v>
      </c>
      <c r="DD2025">
        <v>0</v>
      </c>
      <c r="DE2025">
        <v>0</v>
      </c>
      <c r="DF2025">
        <v>0</v>
      </c>
      <c r="DG2025">
        <v>0</v>
      </c>
      <c r="DH2025">
        <v>0</v>
      </c>
      <c r="DI2025">
        <v>0</v>
      </c>
    </row>
    <row r="2026" spans="1:113" x14ac:dyDescent="0.3">
      <c r="A2026" t="str">
        <f>"02/13/2022 19:00:12.950"</f>
        <v>02/13/2022 19:00:12.950</v>
      </c>
      <c r="C2026" t="str">
        <f t="shared" si="196"/>
        <v>FFDFD7C0</v>
      </c>
      <c r="D2026" t="s">
        <v>113</v>
      </c>
      <c r="E2026">
        <v>4</v>
      </c>
      <c r="F2026">
        <v>1004</v>
      </c>
      <c r="G2026" t="s">
        <v>120</v>
      </c>
      <c r="J2026" t="s">
        <v>115</v>
      </c>
      <c r="K2026">
        <v>0</v>
      </c>
      <c r="L2026">
        <v>3</v>
      </c>
      <c r="M2026">
        <v>0</v>
      </c>
      <c r="N2026">
        <v>2</v>
      </c>
      <c r="O2026">
        <v>1</v>
      </c>
      <c r="P2026">
        <v>0</v>
      </c>
      <c r="Q2026">
        <v>0</v>
      </c>
      <c r="S2026" t="str">
        <f>"19:00:12.695"</f>
        <v>19:00:12.695</v>
      </c>
      <c r="T2026" t="str">
        <f>"19:00:12.595"</f>
        <v>19:00:12.595</v>
      </c>
      <c r="U2026" t="str">
        <f t="shared" si="198"/>
        <v>AAB6EE</v>
      </c>
      <c r="V2026">
        <v>0</v>
      </c>
      <c r="W2026">
        <v>0</v>
      </c>
      <c r="X2026">
        <v>4</v>
      </c>
      <c r="Z2026">
        <v>0</v>
      </c>
      <c r="AA2026">
        <v>8</v>
      </c>
      <c r="AB2026">
        <v>3</v>
      </c>
      <c r="AC2026">
        <v>0</v>
      </c>
      <c r="AD2026">
        <v>10</v>
      </c>
      <c r="AE2026">
        <v>0</v>
      </c>
      <c r="AF2026">
        <v>0</v>
      </c>
      <c r="AG2026">
        <v>2</v>
      </c>
      <c r="AH2026">
        <v>1</v>
      </c>
      <c r="AI2026" t="s">
        <v>1472</v>
      </c>
      <c r="AJ2026">
        <v>34.819063999999997</v>
      </c>
      <c r="AK2026" t="s">
        <v>1473</v>
      </c>
      <c r="AL2026">
        <v>-76.262004000000005</v>
      </c>
      <c r="AM2026">
        <v>25</v>
      </c>
      <c r="AN2026">
        <v>2600</v>
      </c>
      <c r="AO2026" t="s">
        <v>118</v>
      </c>
      <c r="AP2026">
        <v>-116</v>
      </c>
      <c r="AQ2026">
        <v>33</v>
      </c>
      <c r="AR2026">
        <v>-1792</v>
      </c>
      <c r="AZ2026">
        <v>4516</v>
      </c>
      <c r="BA2026">
        <v>1</v>
      </c>
      <c r="BB2026" t="str">
        <f t="shared" si="197"/>
        <v xml:space="preserve">N79NX   </v>
      </c>
      <c r="BC2026">
        <v>1</v>
      </c>
      <c r="BE2026">
        <v>0</v>
      </c>
      <c r="BF2026">
        <v>0</v>
      </c>
      <c r="BG2026">
        <v>0</v>
      </c>
      <c r="BH2026">
        <v>2475</v>
      </c>
      <c r="BI2026">
        <v>0</v>
      </c>
      <c r="BJ2026">
        <v>0</v>
      </c>
      <c r="BK2026">
        <v>0</v>
      </c>
      <c r="BL2026">
        <v>0</v>
      </c>
      <c r="BO2026">
        <v>0</v>
      </c>
      <c r="BP2026">
        <v>0</v>
      </c>
      <c r="BW2026" t="str">
        <f>"19:00:12.696"</f>
        <v>19:00:12.696</v>
      </c>
      <c r="BZ2026">
        <v>0</v>
      </c>
      <c r="CA2026">
        <v>1888</v>
      </c>
      <c r="CB2026">
        <v>214.4</v>
      </c>
      <c r="CC2026">
        <v>625.78129999999999</v>
      </c>
      <c r="CD2026">
        <v>1</v>
      </c>
      <c r="CE2026">
        <v>0</v>
      </c>
      <c r="CF2026">
        <v>0</v>
      </c>
      <c r="CG2026">
        <v>1</v>
      </c>
      <c r="CH2026">
        <v>0</v>
      </c>
      <c r="CI2026">
        <v>1</v>
      </c>
      <c r="CJ2026">
        <v>0</v>
      </c>
      <c r="CK2026">
        <v>2</v>
      </c>
      <c r="CL2026">
        <v>0</v>
      </c>
      <c r="CM2026">
        <v>2</v>
      </c>
      <c r="CN2026">
        <v>0</v>
      </c>
      <c r="CO2026">
        <v>4</v>
      </c>
      <c r="CP2026" t="s">
        <v>119</v>
      </c>
      <c r="CQ2026">
        <v>70</v>
      </c>
      <c r="CR2026">
        <v>1</v>
      </c>
      <c r="CW2026">
        <v>3884624</v>
      </c>
      <c r="CY2026">
        <v>0</v>
      </c>
      <c r="CZ2026">
        <v>0</v>
      </c>
      <c r="DA2026">
        <v>1</v>
      </c>
      <c r="DB2026">
        <v>0</v>
      </c>
      <c r="DC2026">
        <v>0</v>
      </c>
      <c r="DD2026">
        <v>0</v>
      </c>
      <c r="DE2026">
        <v>0</v>
      </c>
      <c r="DF2026">
        <v>0</v>
      </c>
      <c r="DG2026">
        <v>0</v>
      </c>
      <c r="DH2026">
        <v>0</v>
      </c>
      <c r="DI2026">
        <v>0</v>
      </c>
    </row>
    <row r="2027" spans="1:113" x14ac:dyDescent="0.3">
      <c r="A2027" t="str">
        <f>"02/13/2022 19:00:13.981"</f>
        <v>02/13/2022 19:00:13.981</v>
      </c>
      <c r="C2027" t="str">
        <f t="shared" si="196"/>
        <v>FFDFD7C0</v>
      </c>
      <c r="D2027" t="s">
        <v>113</v>
      </c>
      <c r="E2027">
        <v>3</v>
      </c>
      <c r="F2027">
        <v>1003</v>
      </c>
      <c r="G2027" t="s">
        <v>114</v>
      </c>
      <c r="J2027" t="s">
        <v>115</v>
      </c>
      <c r="K2027">
        <v>0</v>
      </c>
      <c r="L2027">
        <v>3</v>
      </c>
      <c r="M2027">
        <v>0</v>
      </c>
      <c r="N2027">
        <v>2</v>
      </c>
      <c r="O2027">
        <v>1</v>
      </c>
      <c r="P2027">
        <v>0</v>
      </c>
      <c r="Q2027">
        <v>0</v>
      </c>
      <c r="S2027" t="str">
        <f>"19:00:13.773"</f>
        <v>19:00:13.773</v>
      </c>
      <c r="T2027" t="str">
        <f>"19:00:13.173"</f>
        <v>19:00:13.173</v>
      </c>
      <c r="U2027" t="str">
        <f t="shared" si="198"/>
        <v>AAB6EE</v>
      </c>
      <c r="V2027">
        <v>0</v>
      </c>
      <c r="W2027">
        <v>0</v>
      </c>
      <c r="X2027">
        <v>4</v>
      </c>
      <c r="Z2027">
        <v>0</v>
      </c>
      <c r="AA2027">
        <v>8</v>
      </c>
      <c r="AB2027">
        <v>3</v>
      </c>
      <c r="AC2027">
        <v>0</v>
      </c>
      <c r="AD2027">
        <v>10</v>
      </c>
      <c r="AE2027">
        <v>0</v>
      </c>
      <c r="AF2027">
        <v>0</v>
      </c>
      <c r="AG2027">
        <v>2</v>
      </c>
      <c r="AH2027">
        <v>1</v>
      </c>
      <c r="AI2027" t="s">
        <v>1474</v>
      </c>
      <c r="AJ2027">
        <v>34.819235999999997</v>
      </c>
      <c r="AK2027" t="s">
        <v>1475</v>
      </c>
      <c r="AL2027">
        <v>-76.262777</v>
      </c>
      <c r="AM2027">
        <v>25</v>
      </c>
      <c r="AN2027">
        <v>2575</v>
      </c>
      <c r="AO2027" t="s">
        <v>118</v>
      </c>
      <c r="AP2027">
        <v>-120</v>
      </c>
      <c r="AQ2027">
        <v>32</v>
      </c>
      <c r="AR2027">
        <v>-1536</v>
      </c>
      <c r="AZ2027">
        <v>4516</v>
      </c>
      <c r="BA2027">
        <v>1</v>
      </c>
      <c r="BB2027" t="str">
        <f t="shared" si="197"/>
        <v xml:space="preserve">N79NX   </v>
      </c>
      <c r="BC2027">
        <v>1</v>
      </c>
      <c r="BE2027">
        <v>0</v>
      </c>
      <c r="BF2027">
        <v>0</v>
      </c>
      <c r="BG2027">
        <v>0</v>
      </c>
      <c r="BH2027">
        <v>2450</v>
      </c>
      <c r="BI2027">
        <v>0</v>
      </c>
      <c r="BJ2027">
        <v>0</v>
      </c>
      <c r="BK2027">
        <v>0</v>
      </c>
      <c r="BL2027">
        <v>0</v>
      </c>
      <c r="BO2027">
        <v>0</v>
      </c>
      <c r="BP2027">
        <v>0</v>
      </c>
      <c r="BW2027" t="str">
        <f>"19:00:13.776"</f>
        <v>19:00:13.776</v>
      </c>
      <c r="BZ2027">
        <v>0</v>
      </c>
      <c r="CA2027">
        <v>1888</v>
      </c>
      <c r="CB2027">
        <v>214.4</v>
      </c>
      <c r="CC2027">
        <v>625.78129999999999</v>
      </c>
      <c r="CD2027">
        <v>1</v>
      </c>
      <c r="CE2027">
        <v>0</v>
      </c>
      <c r="CF2027">
        <v>0</v>
      </c>
      <c r="CG2027">
        <v>1</v>
      </c>
      <c r="CH2027">
        <v>0</v>
      </c>
      <c r="CI2027">
        <v>1</v>
      </c>
      <c r="CJ2027">
        <v>0</v>
      </c>
      <c r="CK2027">
        <v>2</v>
      </c>
      <c r="CL2027">
        <v>0</v>
      </c>
      <c r="CM2027">
        <v>2</v>
      </c>
      <c r="CN2027">
        <v>0</v>
      </c>
      <c r="CO2027">
        <v>4</v>
      </c>
      <c r="CP2027" t="s">
        <v>119</v>
      </c>
      <c r="CQ2027">
        <v>70</v>
      </c>
      <c r="CR2027">
        <v>1</v>
      </c>
      <c r="CW2027">
        <v>3885526</v>
      </c>
      <c r="CY2027">
        <v>0</v>
      </c>
      <c r="CZ2027">
        <v>0</v>
      </c>
      <c r="DA2027">
        <v>0</v>
      </c>
      <c r="DB2027">
        <v>0</v>
      </c>
      <c r="DC2027">
        <v>0</v>
      </c>
      <c r="DD2027">
        <v>0</v>
      </c>
      <c r="DE2027">
        <v>0</v>
      </c>
      <c r="DF2027">
        <v>0</v>
      </c>
      <c r="DG2027">
        <v>0</v>
      </c>
      <c r="DH2027">
        <v>0</v>
      </c>
      <c r="DI2027">
        <v>0</v>
      </c>
    </row>
    <row r="2028" spans="1:113" x14ac:dyDescent="0.3">
      <c r="A2028" t="str">
        <f>"02/13/2022 19:00:13.981"</f>
        <v>02/13/2022 19:00:13.981</v>
      </c>
      <c r="C2028" t="str">
        <f t="shared" si="196"/>
        <v>FFDFD7C0</v>
      </c>
      <c r="D2028" t="s">
        <v>121</v>
      </c>
      <c r="E2028">
        <v>2</v>
      </c>
      <c r="H2028">
        <v>158</v>
      </c>
      <c r="I2028" t="s">
        <v>120</v>
      </c>
      <c r="J2028" t="s">
        <v>122</v>
      </c>
      <c r="K2028">
        <v>0</v>
      </c>
      <c r="L2028">
        <v>3</v>
      </c>
      <c r="M2028">
        <v>0</v>
      </c>
      <c r="N2028">
        <v>2</v>
      </c>
      <c r="O2028">
        <v>1</v>
      </c>
      <c r="P2028">
        <v>0</v>
      </c>
      <c r="Q2028">
        <v>0</v>
      </c>
      <c r="S2028" t="str">
        <f>"19:00:13.773"</f>
        <v>19:00:13.773</v>
      </c>
      <c r="T2028" t="str">
        <f>"19:00:13.173"</f>
        <v>19:00:13.173</v>
      </c>
      <c r="U2028" t="str">
        <f t="shared" si="198"/>
        <v>AAB6EE</v>
      </c>
      <c r="V2028">
        <v>0</v>
      </c>
      <c r="W2028">
        <v>0</v>
      </c>
      <c r="X2028">
        <v>4</v>
      </c>
      <c r="Z2028">
        <v>0</v>
      </c>
      <c r="AA2028">
        <v>8</v>
      </c>
      <c r="AB2028">
        <v>3</v>
      </c>
      <c r="AC2028">
        <v>0</v>
      </c>
      <c r="AD2028">
        <v>10</v>
      </c>
      <c r="AE2028">
        <v>0</v>
      </c>
      <c r="AF2028">
        <v>0</v>
      </c>
      <c r="AG2028">
        <v>2</v>
      </c>
      <c r="AH2028">
        <v>1</v>
      </c>
      <c r="AI2028" t="s">
        <v>1474</v>
      </c>
      <c r="AJ2028">
        <v>34.819235999999997</v>
      </c>
      <c r="AK2028" t="s">
        <v>1475</v>
      </c>
      <c r="AL2028">
        <v>-76.262777</v>
      </c>
      <c r="AM2028">
        <v>25</v>
      </c>
      <c r="AN2028">
        <v>2575</v>
      </c>
      <c r="AO2028" t="s">
        <v>118</v>
      </c>
      <c r="AP2028">
        <v>-120</v>
      </c>
      <c r="AQ2028">
        <v>32</v>
      </c>
      <c r="AR2028">
        <v>-1536</v>
      </c>
      <c r="AZ2028">
        <v>4516</v>
      </c>
      <c r="BA2028">
        <v>1</v>
      </c>
      <c r="BB2028" t="str">
        <f t="shared" si="197"/>
        <v xml:space="preserve">N79NX   </v>
      </c>
      <c r="BC2028">
        <v>1</v>
      </c>
      <c r="BE2028">
        <v>0</v>
      </c>
      <c r="BF2028">
        <v>0</v>
      </c>
      <c r="BG2028">
        <v>0</v>
      </c>
      <c r="BH2028">
        <v>2450</v>
      </c>
      <c r="BI2028">
        <v>0</v>
      </c>
      <c r="BJ2028">
        <v>0</v>
      </c>
      <c r="BK2028">
        <v>0</v>
      </c>
      <c r="BL2028">
        <v>0</v>
      </c>
      <c r="BO2028">
        <v>0</v>
      </c>
      <c r="BP2028">
        <v>0</v>
      </c>
      <c r="BW2028" t="str">
        <f>"19:00:13.776"</f>
        <v>19:00:13.776</v>
      </c>
      <c r="BZ2028">
        <v>0</v>
      </c>
      <c r="CA2028">
        <v>1888</v>
      </c>
      <c r="CB2028">
        <v>214.4</v>
      </c>
      <c r="CC2028">
        <v>625.78129999999999</v>
      </c>
      <c r="CD2028">
        <v>1</v>
      </c>
      <c r="CE2028">
        <v>0</v>
      </c>
      <c r="CF2028">
        <v>0</v>
      </c>
      <c r="CG2028">
        <v>1</v>
      </c>
      <c r="CH2028">
        <v>0</v>
      </c>
      <c r="CI2028">
        <v>1</v>
      </c>
      <c r="CJ2028">
        <v>0</v>
      </c>
      <c r="CK2028">
        <v>2</v>
      </c>
      <c r="CL2028">
        <v>0</v>
      </c>
      <c r="CM2028">
        <v>2</v>
      </c>
      <c r="CN2028">
        <v>0</v>
      </c>
      <c r="CO2028">
        <v>4</v>
      </c>
      <c r="CP2028" t="s">
        <v>119</v>
      </c>
      <c r="CQ2028">
        <v>70</v>
      </c>
      <c r="CR2028">
        <v>1</v>
      </c>
      <c r="CW2028">
        <v>3885526</v>
      </c>
      <c r="CY2028">
        <v>0</v>
      </c>
      <c r="CZ2028">
        <v>0</v>
      </c>
      <c r="DA2028">
        <v>1</v>
      </c>
      <c r="DB2028">
        <v>0</v>
      </c>
      <c r="DC2028">
        <v>0</v>
      </c>
      <c r="DD2028">
        <v>0</v>
      </c>
      <c r="DE2028">
        <v>0</v>
      </c>
      <c r="DF2028">
        <v>0</v>
      </c>
      <c r="DG2028">
        <v>0</v>
      </c>
      <c r="DH2028">
        <v>0</v>
      </c>
      <c r="DI2028">
        <v>0</v>
      </c>
    </row>
    <row r="2029" spans="1:113" x14ac:dyDescent="0.3">
      <c r="A2029" t="str">
        <f>"02/13/2022 19:00:13.997"</f>
        <v>02/13/2022 19:00:13.997</v>
      </c>
      <c r="C2029" t="str">
        <f t="shared" si="196"/>
        <v>FFDFD7C0</v>
      </c>
      <c r="D2029" t="s">
        <v>113</v>
      </c>
      <c r="E2029">
        <v>4</v>
      </c>
      <c r="F2029">
        <v>1004</v>
      </c>
      <c r="G2029" t="s">
        <v>120</v>
      </c>
      <c r="J2029" t="s">
        <v>115</v>
      </c>
      <c r="K2029">
        <v>0</v>
      </c>
      <c r="L2029">
        <v>3</v>
      </c>
      <c r="M2029">
        <v>0</v>
      </c>
      <c r="N2029">
        <v>2</v>
      </c>
      <c r="O2029">
        <v>1</v>
      </c>
      <c r="P2029">
        <v>0</v>
      </c>
      <c r="Q2029">
        <v>0</v>
      </c>
      <c r="S2029" t="str">
        <f>"19:00:13.773"</f>
        <v>19:00:13.773</v>
      </c>
      <c r="T2029" t="str">
        <f>"19:00:13.173"</f>
        <v>19:00:13.173</v>
      </c>
      <c r="U2029" t="str">
        <f t="shared" si="198"/>
        <v>AAB6EE</v>
      </c>
      <c r="V2029">
        <v>0</v>
      </c>
      <c r="W2029">
        <v>0</v>
      </c>
      <c r="X2029">
        <v>4</v>
      </c>
      <c r="Z2029">
        <v>0</v>
      </c>
      <c r="AA2029">
        <v>8</v>
      </c>
      <c r="AB2029">
        <v>3</v>
      </c>
      <c r="AC2029">
        <v>0</v>
      </c>
      <c r="AD2029">
        <v>10</v>
      </c>
      <c r="AE2029">
        <v>0</v>
      </c>
      <c r="AF2029">
        <v>0</v>
      </c>
      <c r="AG2029">
        <v>2</v>
      </c>
      <c r="AH2029">
        <v>1</v>
      </c>
      <c r="AI2029" t="s">
        <v>1474</v>
      </c>
      <c r="AJ2029">
        <v>34.819235999999997</v>
      </c>
      <c r="AK2029" t="s">
        <v>1475</v>
      </c>
      <c r="AL2029">
        <v>-76.262777</v>
      </c>
      <c r="AM2029">
        <v>25</v>
      </c>
      <c r="AN2029">
        <v>2575</v>
      </c>
      <c r="AO2029" t="s">
        <v>118</v>
      </c>
      <c r="AP2029">
        <v>-120</v>
      </c>
      <c r="AQ2029">
        <v>32</v>
      </c>
      <c r="AR2029">
        <v>-1536</v>
      </c>
      <c r="AZ2029">
        <v>4516</v>
      </c>
      <c r="BA2029">
        <v>1</v>
      </c>
      <c r="BB2029" t="str">
        <f t="shared" si="197"/>
        <v xml:space="preserve">N79NX   </v>
      </c>
      <c r="BC2029">
        <v>1</v>
      </c>
      <c r="BE2029">
        <v>0</v>
      </c>
      <c r="BF2029">
        <v>0</v>
      </c>
      <c r="BG2029">
        <v>0</v>
      </c>
      <c r="BH2029">
        <v>2450</v>
      </c>
      <c r="BI2029">
        <v>0</v>
      </c>
      <c r="BJ2029">
        <v>0</v>
      </c>
      <c r="BK2029">
        <v>0</v>
      </c>
      <c r="BL2029">
        <v>0</v>
      </c>
      <c r="BO2029">
        <v>0</v>
      </c>
      <c r="BP2029">
        <v>0</v>
      </c>
      <c r="BW2029" t="str">
        <f>"19:00:13.776"</f>
        <v>19:00:13.776</v>
      </c>
      <c r="BZ2029">
        <v>0</v>
      </c>
      <c r="CA2029">
        <v>1888</v>
      </c>
      <c r="CB2029">
        <v>214.4</v>
      </c>
      <c r="CC2029">
        <v>625.78129999999999</v>
      </c>
      <c r="CD2029">
        <v>1</v>
      </c>
      <c r="CE2029">
        <v>0</v>
      </c>
      <c r="CF2029">
        <v>0</v>
      </c>
      <c r="CG2029">
        <v>1</v>
      </c>
      <c r="CH2029">
        <v>0</v>
      </c>
      <c r="CI2029">
        <v>1</v>
      </c>
      <c r="CJ2029">
        <v>0</v>
      </c>
      <c r="CK2029">
        <v>2</v>
      </c>
      <c r="CL2029">
        <v>0</v>
      </c>
      <c r="CM2029">
        <v>2</v>
      </c>
      <c r="CN2029">
        <v>0</v>
      </c>
      <c r="CO2029">
        <v>4</v>
      </c>
      <c r="CP2029" t="s">
        <v>119</v>
      </c>
      <c r="CQ2029">
        <v>70</v>
      </c>
      <c r="CR2029">
        <v>1</v>
      </c>
      <c r="CW2029">
        <v>3885526</v>
      </c>
      <c r="CY2029">
        <v>0</v>
      </c>
      <c r="CZ2029">
        <v>0</v>
      </c>
      <c r="DA2029">
        <v>1</v>
      </c>
      <c r="DB2029">
        <v>0</v>
      </c>
      <c r="DC2029">
        <v>0</v>
      </c>
      <c r="DD2029">
        <v>0</v>
      </c>
      <c r="DE2029">
        <v>0</v>
      </c>
      <c r="DF2029">
        <v>0</v>
      </c>
      <c r="DG2029">
        <v>0</v>
      </c>
      <c r="DH2029">
        <v>0</v>
      </c>
      <c r="DI2029">
        <v>0</v>
      </c>
    </row>
    <row r="2030" spans="1:113" x14ac:dyDescent="0.3">
      <c r="A2030" t="str">
        <f>"02/13/2022 19:00:15.147"</f>
        <v>02/13/2022 19:00:15.147</v>
      </c>
      <c r="C2030" t="str">
        <f t="shared" si="196"/>
        <v>FFDFD7C0</v>
      </c>
      <c r="D2030" t="s">
        <v>113</v>
      </c>
      <c r="E2030">
        <v>3</v>
      </c>
      <c r="F2030">
        <v>1003</v>
      </c>
      <c r="G2030" t="s">
        <v>114</v>
      </c>
      <c r="J2030" t="s">
        <v>115</v>
      </c>
      <c r="K2030">
        <v>0</v>
      </c>
      <c r="L2030">
        <v>3</v>
      </c>
      <c r="M2030">
        <v>0</v>
      </c>
      <c r="N2030">
        <v>2</v>
      </c>
      <c r="O2030">
        <v>1</v>
      </c>
      <c r="P2030">
        <v>0</v>
      </c>
      <c r="Q2030">
        <v>0</v>
      </c>
      <c r="S2030" t="str">
        <f>"19:00:14.891"</f>
        <v>19:00:14.891</v>
      </c>
      <c r="T2030" t="str">
        <f>"19:00:14.591"</f>
        <v>19:00:14.591</v>
      </c>
      <c r="U2030" t="str">
        <f t="shared" si="198"/>
        <v>AAB6EE</v>
      </c>
      <c r="V2030">
        <v>0</v>
      </c>
      <c r="W2030">
        <v>0</v>
      </c>
      <c r="X2030">
        <v>4</v>
      </c>
      <c r="Z2030">
        <v>0</v>
      </c>
      <c r="AA2030">
        <v>8</v>
      </c>
      <c r="AB2030">
        <v>3</v>
      </c>
      <c r="AC2030">
        <v>0</v>
      </c>
      <c r="AD2030">
        <v>10</v>
      </c>
      <c r="AE2030">
        <v>0</v>
      </c>
      <c r="AF2030">
        <v>0</v>
      </c>
      <c r="AG2030">
        <v>2</v>
      </c>
      <c r="AH2030">
        <v>1</v>
      </c>
      <c r="AI2030" t="s">
        <v>1476</v>
      </c>
      <c r="AJ2030">
        <v>34.819406999999998</v>
      </c>
      <c r="AK2030" t="s">
        <v>1477</v>
      </c>
      <c r="AL2030">
        <v>-76.263548999999998</v>
      </c>
      <c r="AM2030">
        <v>25</v>
      </c>
      <c r="AN2030">
        <v>2550</v>
      </c>
      <c r="AO2030" t="s">
        <v>118</v>
      </c>
      <c r="AP2030">
        <v>-126</v>
      </c>
      <c r="AQ2030">
        <v>34</v>
      </c>
      <c r="AR2030">
        <v>-960</v>
      </c>
      <c r="AZ2030">
        <v>4516</v>
      </c>
      <c r="BA2030">
        <v>1</v>
      </c>
      <c r="BB2030" t="str">
        <f t="shared" si="197"/>
        <v xml:space="preserve">N79NX   </v>
      </c>
      <c r="BC2030">
        <v>1</v>
      </c>
      <c r="BE2030">
        <v>0</v>
      </c>
      <c r="BF2030">
        <v>0</v>
      </c>
      <c r="BG2030">
        <v>0</v>
      </c>
      <c r="BH2030">
        <v>2425</v>
      </c>
      <c r="BI2030">
        <v>0</v>
      </c>
      <c r="BJ2030">
        <v>0</v>
      </c>
      <c r="BK2030">
        <v>0</v>
      </c>
      <c r="BL2030">
        <v>0</v>
      </c>
      <c r="BO2030">
        <v>0</v>
      </c>
      <c r="BP2030">
        <v>0</v>
      </c>
      <c r="BW2030" t="str">
        <f>"19:00:14.896"</f>
        <v>19:00:14.896</v>
      </c>
      <c r="BZ2030">
        <v>0</v>
      </c>
      <c r="CA2030">
        <v>1888</v>
      </c>
      <c r="CB2030">
        <v>214.4</v>
      </c>
      <c r="CC2030">
        <v>625.78129999999999</v>
      </c>
      <c r="CD2030">
        <v>1</v>
      </c>
      <c r="CE2030">
        <v>0</v>
      </c>
      <c r="CF2030">
        <v>0</v>
      </c>
      <c r="CG2030">
        <v>1</v>
      </c>
      <c r="CH2030">
        <v>0</v>
      </c>
      <c r="CI2030">
        <v>1</v>
      </c>
      <c r="CJ2030">
        <v>0</v>
      </c>
      <c r="CK2030">
        <v>2</v>
      </c>
      <c r="CL2030">
        <v>0</v>
      </c>
      <c r="CM2030">
        <v>2</v>
      </c>
      <c r="CN2030">
        <v>0</v>
      </c>
      <c r="CO2030">
        <v>3</v>
      </c>
      <c r="CP2030" t="s">
        <v>119</v>
      </c>
      <c r="CQ2030">
        <v>70</v>
      </c>
      <c r="CR2030">
        <v>1</v>
      </c>
      <c r="CW2030">
        <v>3886453</v>
      </c>
      <c r="CY2030">
        <v>0</v>
      </c>
      <c r="CZ2030">
        <v>0</v>
      </c>
      <c r="DA2030">
        <v>0</v>
      </c>
      <c r="DB2030">
        <v>0</v>
      </c>
      <c r="DC2030">
        <v>0</v>
      </c>
      <c r="DD2030">
        <v>0</v>
      </c>
      <c r="DE2030">
        <v>0</v>
      </c>
      <c r="DF2030">
        <v>0</v>
      </c>
      <c r="DG2030">
        <v>0</v>
      </c>
      <c r="DH2030">
        <v>0</v>
      </c>
      <c r="DI2030">
        <v>0</v>
      </c>
    </row>
    <row r="2031" spans="1:113" x14ac:dyDescent="0.3">
      <c r="A2031" t="str">
        <f>"02/13/2022 19:00:15.147"</f>
        <v>02/13/2022 19:00:15.147</v>
      </c>
      <c r="C2031" t="str">
        <f t="shared" si="196"/>
        <v>FFDFD7C0</v>
      </c>
      <c r="D2031" t="s">
        <v>121</v>
      </c>
      <c r="E2031">
        <v>2</v>
      </c>
      <c r="H2031">
        <v>158</v>
      </c>
      <c r="I2031" t="s">
        <v>120</v>
      </c>
      <c r="J2031" t="s">
        <v>122</v>
      </c>
      <c r="K2031">
        <v>0</v>
      </c>
      <c r="L2031">
        <v>3</v>
      </c>
      <c r="M2031">
        <v>0</v>
      </c>
      <c r="N2031">
        <v>2</v>
      </c>
      <c r="O2031">
        <v>1</v>
      </c>
      <c r="P2031">
        <v>0</v>
      </c>
      <c r="Q2031">
        <v>0</v>
      </c>
      <c r="S2031" t="str">
        <f>"19:00:14.891"</f>
        <v>19:00:14.891</v>
      </c>
      <c r="T2031" t="str">
        <f>"19:00:14.591"</f>
        <v>19:00:14.591</v>
      </c>
      <c r="U2031" t="str">
        <f t="shared" si="198"/>
        <v>AAB6EE</v>
      </c>
      <c r="V2031">
        <v>0</v>
      </c>
      <c r="W2031">
        <v>0</v>
      </c>
      <c r="X2031">
        <v>4</v>
      </c>
      <c r="Z2031">
        <v>0</v>
      </c>
      <c r="AA2031">
        <v>8</v>
      </c>
      <c r="AB2031">
        <v>3</v>
      </c>
      <c r="AC2031">
        <v>0</v>
      </c>
      <c r="AD2031">
        <v>10</v>
      </c>
      <c r="AE2031">
        <v>0</v>
      </c>
      <c r="AF2031">
        <v>0</v>
      </c>
      <c r="AG2031">
        <v>2</v>
      </c>
      <c r="AH2031">
        <v>1</v>
      </c>
      <c r="AI2031" t="s">
        <v>1476</v>
      </c>
      <c r="AJ2031">
        <v>34.819406999999998</v>
      </c>
      <c r="AK2031" t="s">
        <v>1477</v>
      </c>
      <c r="AL2031">
        <v>-76.263548999999998</v>
      </c>
      <c r="AM2031">
        <v>25</v>
      </c>
      <c r="AN2031">
        <v>2550</v>
      </c>
      <c r="AO2031" t="s">
        <v>118</v>
      </c>
      <c r="AP2031">
        <v>-126</v>
      </c>
      <c r="AQ2031">
        <v>34</v>
      </c>
      <c r="AR2031">
        <v>-960</v>
      </c>
      <c r="AZ2031">
        <v>4516</v>
      </c>
      <c r="BA2031">
        <v>1</v>
      </c>
      <c r="BB2031" t="str">
        <f t="shared" si="197"/>
        <v xml:space="preserve">N79NX   </v>
      </c>
      <c r="BC2031">
        <v>1</v>
      </c>
      <c r="BE2031">
        <v>0</v>
      </c>
      <c r="BF2031">
        <v>0</v>
      </c>
      <c r="BG2031">
        <v>0</v>
      </c>
      <c r="BH2031">
        <v>2425</v>
      </c>
      <c r="BI2031">
        <v>0</v>
      </c>
      <c r="BJ2031">
        <v>0</v>
      </c>
      <c r="BK2031">
        <v>0</v>
      </c>
      <c r="BL2031">
        <v>0</v>
      </c>
      <c r="BO2031">
        <v>0</v>
      </c>
      <c r="BP2031">
        <v>0</v>
      </c>
      <c r="BW2031" t="str">
        <f>"19:00:14.896"</f>
        <v>19:00:14.896</v>
      </c>
      <c r="BZ2031">
        <v>0</v>
      </c>
      <c r="CA2031">
        <v>1888</v>
      </c>
      <c r="CB2031">
        <v>214.4</v>
      </c>
      <c r="CC2031">
        <v>625.78129999999999</v>
      </c>
      <c r="CD2031">
        <v>1</v>
      </c>
      <c r="CE2031">
        <v>0</v>
      </c>
      <c r="CF2031">
        <v>0</v>
      </c>
      <c r="CG2031">
        <v>1</v>
      </c>
      <c r="CH2031">
        <v>0</v>
      </c>
      <c r="CI2031">
        <v>1</v>
      </c>
      <c r="CJ2031">
        <v>0</v>
      </c>
      <c r="CK2031">
        <v>2</v>
      </c>
      <c r="CL2031">
        <v>0</v>
      </c>
      <c r="CM2031">
        <v>2</v>
      </c>
      <c r="CN2031">
        <v>0</v>
      </c>
      <c r="CO2031">
        <v>3</v>
      </c>
      <c r="CP2031" t="s">
        <v>119</v>
      </c>
      <c r="CQ2031">
        <v>70</v>
      </c>
      <c r="CR2031">
        <v>1</v>
      </c>
      <c r="CW2031">
        <v>3886453</v>
      </c>
      <c r="CY2031">
        <v>0</v>
      </c>
      <c r="CZ2031">
        <v>0</v>
      </c>
      <c r="DA2031">
        <v>1</v>
      </c>
      <c r="DB2031">
        <v>0</v>
      </c>
      <c r="DC2031">
        <v>0</v>
      </c>
      <c r="DD2031">
        <v>0</v>
      </c>
      <c r="DE2031">
        <v>0</v>
      </c>
      <c r="DF2031">
        <v>0</v>
      </c>
      <c r="DG2031">
        <v>0</v>
      </c>
      <c r="DH2031">
        <v>0</v>
      </c>
      <c r="DI2031">
        <v>0</v>
      </c>
    </row>
    <row r="2032" spans="1:113" x14ac:dyDescent="0.3">
      <c r="A2032" t="str">
        <f>"02/13/2022 19:00:15.147"</f>
        <v>02/13/2022 19:00:15.147</v>
      </c>
      <c r="C2032" t="str">
        <f t="shared" si="196"/>
        <v>FFDFD7C0</v>
      </c>
      <c r="D2032" t="s">
        <v>113</v>
      </c>
      <c r="E2032">
        <v>4</v>
      </c>
      <c r="F2032">
        <v>1004</v>
      </c>
      <c r="G2032" t="s">
        <v>120</v>
      </c>
      <c r="J2032" t="s">
        <v>115</v>
      </c>
      <c r="K2032">
        <v>0</v>
      </c>
      <c r="L2032">
        <v>3</v>
      </c>
      <c r="M2032">
        <v>0</v>
      </c>
      <c r="N2032">
        <v>2</v>
      </c>
      <c r="O2032">
        <v>1</v>
      </c>
      <c r="P2032">
        <v>0</v>
      </c>
      <c r="Q2032">
        <v>0</v>
      </c>
      <c r="S2032" t="str">
        <f>"19:00:14.891"</f>
        <v>19:00:14.891</v>
      </c>
      <c r="T2032" t="str">
        <f>"19:00:14.591"</f>
        <v>19:00:14.591</v>
      </c>
      <c r="U2032" t="str">
        <f t="shared" si="198"/>
        <v>AAB6EE</v>
      </c>
      <c r="V2032">
        <v>0</v>
      </c>
      <c r="W2032">
        <v>0</v>
      </c>
      <c r="X2032">
        <v>4</v>
      </c>
      <c r="Z2032">
        <v>0</v>
      </c>
      <c r="AA2032">
        <v>8</v>
      </c>
      <c r="AB2032">
        <v>3</v>
      </c>
      <c r="AC2032">
        <v>0</v>
      </c>
      <c r="AD2032">
        <v>10</v>
      </c>
      <c r="AE2032">
        <v>0</v>
      </c>
      <c r="AF2032">
        <v>0</v>
      </c>
      <c r="AG2032">
        <v>2</v>
      </c>
      <c r="AH2032">
        <v>1</v>
      </c>
      <c r="AI2032" t="s">
        <v>1476</v>
      </c>
      <c r="AJ2032">
        <v>34.819406999999998</v>
      </c>
      <c r="AK2032" t="s">
        <v>1477</v>
      </c>
      <c r="AL2032">
        <v>-76.263548999999998</v>
      </c>
      <c r="AM2032">
        <v>25</v>
      </c>
      <c r="AN2032">
        <v>2550</v>
      </c>
      <c r="AO2032" t="s">
        <v>118</v>
      </c>
      <c r="AP2032">
        <v>-126</v>
      </c>
      <c r="AQ2032">
        <v>34</v>
      </c>
      <c r="AR2032">
        <v>-960</v>
      </c>
      <c r="AZ2032">
        <v>4516</v>
      </c>
      <c r="BA2032">
        <v>1</v>
      </c>
      <c r="BB2032" t="str">
        <f t="shared" si="197"/>
        <v xml:space="preserve">N79NX   </v>
      </c>
      <c r="BC2032">
        <v>1</v>
      </c>
      <c r="BE2032">
        <v>0</v>
      </c>
      <c r="BF2032">
        <v>0</v>
      </c>
      <c r="BG2032">
        <v>0</v>
      </c>
      <c r="BH2032">
        <v>2425</v>
      </c>
      <c r="BI2032">
        <v>0</v>
      </c>
      <c r="BJ2032">
        <v>0</v>
      </c>
      <c r="BK2032">
        <v>0</v>
      </c>
      <c r="BL2032">
        <v>0</v>
      </c>
      <c r="BO2032">
        <v>0</v>
      </c>
      <c r="BP2032">
        <v>0</v>
      </c>
      <c r="BW2032" t="str">
        <f>"19:00:14.896"</f>
        <v>19:00:14.896</v>
      </c>
      <c r="BZ2032">
        <v>0</v>
      </c>
      <c r="CA2032">
        <v>1888</v>
      </c>
      <c r="CB2032">
        <v>214.4</v>
      </c>
      <c r="CC2032">
        <v>625.78129999999999</v>
      </c>
      <c r="CD2032">
        <v>1</v>
      </c>
      <c r="CE2032">
        <v>0</v>
      </c>
      <c r="CF2032">
        <v>0</v>
      </c>
      <c r="CG2032">
        <v>1</v>
      </c>
      <c r="CH2032">
        <v>0</v>
      </c>
      <c r="CI2032">
        <v>1</v>
      </c>
      <c r="CJ2032">
        <v>0</v>
      </c>
      <c r="CK2032">
        <v>2</v>
      </c>
      <c r="CL2032">
        <v>0</v>
      </c>
      <c r="CM2032">
        <v>2</v>
      </c>
      <c r="CN2032">
        <v>0</v>
      </c>
      <c r="CO2032">
        <v>3</v>
      </c>
      <c r="CP2032" t="s">
        <v>119</v>
      </c>
      <c r="CQ2032">
        <v>70</v>
      </c>
      <c r="CR2032">
        <v>1</v>
      </c>
      <c r="CW2032">
        <v>3886453</v>
      </c>
      <c r="CY2032">
        <v>0</v>
      </c>
      <c r="CZ2032">
        <v>0</v>
      </c>
      <c r="DA2032">
        <v>1</v>
      </c>
      <c r="DB2032">
        <v>0</v>
      </c>
      <c r="DC2032">
        <v>0</v>
      </c>
      <c r="DD2032">
        <v>0</v>
      </c>
      <c r="DE2032">
        <v>0</v>
      </c>
      <c r="DF2032">
        <v>0</v>
      </c>
      <c r="DG2032">
        <v>0</v>
      </c>
      <c r="DH2032">
        <v>0</v>
      </c>
      <c r="DI2032">
        <v>0</v>
      </c>
    </row>
    <row r="2033" spans="1:113" x14ac:dyDescent="0.3">
      <c r="A2033" t="str">
        <f>"02/13/2022 19:00:16.584"</f>
        <v>02/13/2022 19:00:16.584</v>
      </c>
      <c r="C2033" t="str">
        <f t="shared" si="196"/>
        <v>FFDFD7C0</v>
      </c>
      <c r="D2033" t="s">
        <v>113</v>
      </c>
      <c r="E2033">
        <v>3</v>
      </c>
      <c r="F2033">
        <v>1003</v>
      </c>
      <c r="G2033" t="s">
        <v>114</v>
      </c>
      <c r="J2033" t="s">
        <v>115</v>
      </c>
      <c r="K2033">
        <v>0</v>
      </c>
      <c r="L2033">
        <v>3</v>
      </c>
      <c r="M2033">
        <v>0</v>
      </c>
      <c r="N2033">
        <v>2</v>
      </c>
      <c r="O2033">
        <v>1</v>
      </c>
      <c r="P2033">
        <v>0</v>
      </c>
      <c r="Q2033">
        <v>0</v>
      </c>
      <c r="S2033" t="str">
        <f>"19:00:16.273"</f>
        <v>19:00:16.273</v>
      </c>
      <c r="T2033" t="str">
        <f>"19:00:15.473"</f>
        <v>19:00:15.473</v>
      </c>
      <c r="U2033" t="str">
        <f t="shared" si="198"/>
        <v>AAB6EE</v>
      </c>
      <c r="V2033">
        <v>0</v>
      </c>
      <c r="W2033">
        <v>0</v>
      </c>
      <c r="X2033">
        <v>4</v>
      </c>
      <c r="Z2033">
        <v>0</v>
      </c>
      <c r="AA2033">
        <v>8</v>
      </c>
      <c r="AB2033">
        <v>3</v>
      </c>
      <c r="AC2033">
        <v>0</v>
      </c>
      <c r="AD2033">
        <v>10</v>
      </c>
      <c r="AE2033">
        <v>0</v>
      </c>
      <c r="AF2033">
        <v>0</v>
      </c>
      <c r="AG2033">
        <v>2</v>
      </c>
      <c r="AH2033">
        <v>1</v>
      </c>
      <c r="AI2033" t="s">
        <v>1478</v>
      </c>
      <c r="AJ2033">
        <v>34.819685999999997</v>
      </c>
      <c r="AK2033" t="s">
        <v>1479</v>
      </c>
      <c r="AL2033">
        <v>-76.264578999999998</v>
      </c>
      <c r="AM2033">
        <v>25</v>
      </c>
      <c r="AN2033">
        <v>2550</v>
      </c>
      <c r="AO2033" t="s">
        <v>118</v>
      </c>
      <c r="AP2033">
        <v>-129</v>
      </c>
      <c r="AQ2033">
        <v>38</v>
      </c>
      <c r="AR2033">
        <v>-576</v>
      </c>
      <c r="AZ2033">
        <v>4516</v>
      </c>
      <c r="BA2033">
        <v>1</v>
      </c>
      <c r="BB2033" t="str">
        <f t="shared" si="197"/>
        <v xml:space="preserve">N79NX   </v>
      </c>
      <c r="BC2033">
        <v>1</v>
      </c>
      <c r="BE2033">
        <v>0</v>
      </c>
      <c r="BF2033">
        <v>0</v>
      </c>
      <c r="BG2033">
        <v>0</v>
      </c>
      <c r="BH2033">
        <v>2400</v>
      </c>
      <c r="BI2033">
        <v>0</v>
      </c>
      <c r="BJ2033">
        <v>0</v>
      </c>
      <c r="BK2033">
        <v>0</v>
      </c>
      <c r="BL2033">
        <v>0</v>
      </c>
      <c r="BO2033">
        <v>0</v>
      </c>
      <c r="BP2033">
        <v>0</v>
      </c>
      <c r="BW2033" t="str">
        <f>"19:00:16.276"</f>
        <v>19:00:16.276</v>
      </c>
      <c r="BZ2033">
        <v>0</v>
      </c>
      <c r="CA2033">
        <v>1888</v>
      </c>
      <c r="CB2033">
        <v>214.4</v>
      </c>
      <c r="CC2033">
        <v>625.78129999999999</v>
      </c>
      <c r="CD2033">
        <v>1</v>
      </c>
      <c r="CE2033">
        <v>0</v>
      </c>
      <c r="CF2033">
        <v>0</v>
      </c>
      <c r="CG2033">
        <v>1</v>
      </c>
      <c r="CH2033">
        <v>0</v>
      </c>
      <c r="CI2033">
        <v>1</v>
      </c>
      <c r="CJ2033">
        <v>0</v>
      </c>
      <c r="CK2033">
        <v>2</v>
      </c>
      <c r="CL2033">
        <v>0</v>
      </c>
      <c r="CM2033">
        <v>2</v>
      </c>
      <c r="CN2033">
        <v>0</v>
      </c>
      <c r="CO2033">
        <v>3</v>
      </c>
      <c r="CP2033" t="s">
        <v>119</v>
      </c>
      <c r="CQ2033">
        <v>70</v>
      </c>
      <c r="CR2033">
        <v>1</v>
      </c>
      <c r="CW2033">
        <v>3887692</v>
      </c>
      <c r="CY2033">
        <v>0</v>
      </c>
      <c r="CZ2033">
        <v>0</v>
      </c>
      <c r="DA2033">
        <v>0</v>
      </c>
      <c r="DB2033">
        <v>0</v>
      </c>
      <c r="DC2033">
        <v>0</v>
      </c>
      <c r="DD2033">
        <v>0</v>
      </c>
      <c r="DE2033">
        <v>0</v>
      </c>
      <c r="DF2033">
        <v>0</v>
      </c>
      <c r="DG2033">
        <v>0</v>
      </c>
      <c r="DH2033">
        <v>0</v>
      </c>
      <c r="DI2033">
        <v>0</v>
      </c>
    </row>
    <row r="2034" spans="1:113" x14ac:dyDescent="0.3">
      <c r="A2034" t="str">
        <f>"02/13/2022 19:00:16.584"</f>
        <v>02/13/2022 19:00:16.584</v>
      </c>
      <c r="C2034" t="str">
        <f t="shared" si="196"/>
        <v>FFDFD7C0</v>
      </c>
      <c r="D2034" t="s">
        <v>121</v>
      </c>
      <c r="E2034">
        <v>2</v>
      </c>
      <c r="H2034">
        <v>158</v>
      </c>
      <c r="I2034" t="s">
        <v>120</v>
      </c>
      <c r="J2034" t="s">
        <v>122</v>
      </c>
      <c r="K2034">
        <v>0</v>
      </c>
      <c r="L2034">
        <v>3</v>
      </c>
      <c r="M2034">
        <v>0</v>
      </c>
      <c r="N2034">
        <v>2</v>
      </c>
      <c r="O2034">
        <v>1</v>
      </c>
      <c r="P2034">
        <v>0</v>
      </c>
      <c r="Q2034">
        <v>0</v>
      </c>
      <c r="S2034" t="str">
        <f>"19:00:16.273"</f>
        <v>19:00:16.273</v>
      </c>
      <c r="T2034" t="str">
        <f>"19:00:15.473"</f>
        <v>19:00:15.473</v>
      </c>
      <c r="U2034" t="str">
        <f t="shared" si="198"/>
        <v>AAB6EE</v>
      </c>
      <c r="V2034">
        <v>0</v>
      </c>
      <c r="W2034">
        <v>0</v>
      </c>
      <c r="X2034">
        <v>4</v>
      </c>
      <c r="Z2034">
        <v>0</v>
      </c>
      <c r="AA2034">
        <v>8</v>
      </c>
      <c r="AB2034">
        <v>3</v>
      </c>
      <c r="AC2034">
        <v>0</v>
      </c>
      <c r="AD2034">
        <v>10</v>
      </c>
      <c r="AE2034">
        <v>0</v>
      </c>
      <c r="AF2034">
        <v>0</v>
      </c>
      <c r="AG2034">
        <v>2</v>
      </c>
      <c r="AH2034">
        <v>1</v>
      </c>
      <c r="AI2034" t="s">
        <v>1478</v>
      </c>
      <c r="AJ2034">
        <v>34.819685999999997</v>
      </c>
      <c r="AK2034" t="s">
        <v>1479</v>
      </c>
      <c r="AL2034">
        <v>-76.264578999999998</v>
      </c>
      <c r="AM2034">
        <v>25</v>
      </c>
      <c r="AN2034">
        <v>2550</v>
      </c>
      <c r="AO2034" t="s">
        <v>118</v>
      </c>
      <c r="AP2034">
        <v>-129</v>
      </c>
      <c r="AQ2034">
        <v>38</v>
      </c>
      <c r="AR2034">
        <v>-576</v>
      </c>
      <c r="AZ2034">
        <v>4516</v>
      </c>
      <c r="BA2034">
        <v>1</v>
      </c>
      <c r="BB2034" t="str">
        <f t="shared" si="197"/>
        <v xml:space="preserve">N79NX   </v>
      </c>
      <c r="BC2034">
        <v>1</v>
      </c>
      <c r="BE2034">
        <v>0</v>
      </c>
      <c r="BF2034">
        <v>0</v>
      </c>
      <c r="BG2034">
        <v>0</v>
      </c>
      <c r="BH2034">
        <v>2400</v>
      </c>
      <c r="BI2034">
        <v>0</v>
      </c>
      <c r="BJ2034">
        <v>0</v>
      </c>
      <c r="BK2034">
        <v>0</v>
      </c>
      <c r="BL2034">
        <v>0</v>
      </c>
      <c r="BO2034">
        <v>0</v>
      </c>
      <c r="BP2034">
        <v>0</v>
      </c>
      <c r="BW2034" t="str">
        <f>"19:00:16.276"</f>
        <v>19:00:16.276</v>
      </c>
      <c r="BZ2034">
        <v>0</v>
      </c>
      <c r="CA2034">
        <v>1888</v>
      </c>
      <c r="CB2034">
        <v>214.4</v>
      </c>
      <c r="CC2034">
        <v>625.78129999999999</v>
      </c>
      <c r="CD2034">
        <v>1</v>
      </c>
      <c r="CE2034">
        <v>0</v>
      </c>
      <c r="CF2034">
        <v>0</v>
      </c>
      <c r="CG2034">
        <v>1</v>
      </c>
      <c r="CH2034">
        <v>0</v>
      </c>
      <c r="CI2034">
        <v>1</v>
      </c>
      <c r="CJ2034">
        <v>0</v>
      </c>
      <c r="CK2034">
        <v>2</v>
      </c>
      <c r="CL2034">
        <v>0</v>
      </c>
      <c r="CM2034">
        <v>2</v>
      </c>
      <c r="CN2034">
        <v>0</v>
      </c>
      <c r="CO2034">
        <v>3</v>
      </c>
      <c r="CP2034" t="s">
        <v>119</v>
      </c>
      <c r="CQ2034">
        <v>70</v>
      </c>
      <c r="CR2034">
        <v>1</v>
      </c>
      <c r="CW2034">
        <v>3887692</v>
      </c>
      <c r="CY2034">
        <v>0</v>
      </c>
      <c r="CZ2034">
        <v>0</v>
      </c>
      <c r="DA2034">
        <v>1</v>
      </c>
      <c r="DB2034">
        <v>0</v>
      </c>
      <c r="DC2034">
        <v>0</v>
      </c>
      <c r="DD2034">
        <v>0</v>
      </c>
      <c r="DE2034">
        <v>0</v>
      </c>
      <c r="DF2034">
        <v>0</v>
      </c>
      <c r="DG2034">
        <v>0</v>
      </c>
      <c r="DH2034">
        <v>0</v>
      </c>
      <c r="DI2034">
        <v>0</v>
      </c>
    </row>
    <row r="2035" spans="1:113" x14ac:dyDescent="0.3">
      <c r="A2035" t="str">
        <f>"02/13/2022 19:00:16.584"</f>
        <v>02/13/2022 19:00:16.584</v>
      </c>
      <c r="C2035" t="str">
        <f t="shared" si="196"/>
        <v>FFDFD7C0</v>
      </c>
      <c r="D2035" t="s">
        <v>113</v>
      </c>
      <c r="E2035">
        <v>4</v>
      </c>
      <c r="F2035">
        <v>1004</v>
      </c>
      <c r="G2035" t="s">
        <v>120</v>
      </c>
      <c r="J2035" t="s">
        <v>115</v>
      </c>
      <c r="K2035">
        <v>0</v>
      </c>
      <c r="L2035">
        <v>3</v>
      </c>
      <c r="M2035">
        <v>0</v>
      </c>
      <c r="N2035">
        <v>2</v>
      </c>
      <c r="O2035">
        <v>1</v>
      </c>
      <c r="P2035">
        <v>0</v>
      </c>
      <c r="Q2035">
        <v>0</v>
      </c>
      <c r="S2035" t="str">
        <f>"19:00:16.273"</f>
        <v>19:00:16.273</v>
      </c>
      <c r="T2035" t="str">
        <f>"19:00:15.473"</f>
        <v>19:00:15.473</v>
      </c>
      <c r="U2035" t="str">
        <f t="shared" si="198"/>
        <v>AAB6EE</v>
      </c>
      <c r="V2035">
        <v>0</v>
      </c>
      <c r="W2035">
        <v>0</v>
      </c>
      <c r="X2035">
        <v>4</v>
      </c>
      <c r="Z2035">
        <v>0</v>
      </c>
      <c r="AA2035">
        <v>8</v>
      </c>
      <c r="AB2035">
        <v>3</v>
      </c>
      <c r="AC2035">
        <v>0</v>
      </c>
      <c r="AD2035">
        <v>10</v>
      </c>
      <c r="AE2035">
        <v>0</v>
      </c>
      <c r="AF2035">
        <v>0</v>
      </c>
      <c r="AG2035">
        <v>2</v>
      </c>
      <c r="AH2035">
        <v>1</v>
      </c>
      <c r="AI2035" t="s">
        <v>1478</v>
      </c>
      <c r="AJ2035">
        <v>34.819685999999997</v>
      </c>
      <c r="AK2035" t="s">
        <v>1479</v>
      </c>
      <c r="AL2035">
        <v>-76.264578999999998</v>
      </c>
      <c r="AM2035">
        <v>25</v>
      </c>
      <c r="AN2035">
        <v>2550</v>
      </c>
      <c r="AO2035" t="s">
        <v>118</v>
      </c>
      <c r="AP2035">
        <v>-129</v>
      </c>
      <c r="AQ2035">
        <v>38</v>
      </c>
      <c r="AR2035">
        <v>-576</v>
      </c>
      <c r="AZ2035">
        <v>4516</v>
      </c>
      <c r="BA2035">
        <v>1</v>
      </c>
      <c r="BB2035" t="str">
        <f t="shared" si="197"/>
        <v xml:space="preserve">N79NX   </v>
      </c>
      <c r="BC2035">
        <v>1</v>
      </c>
      <c r="BE2035">
        <v>0</v>
      </c>
      <c r="BF2035">
        <v>0</v>
      </c>
      <c r="BG2035">
        <v>0</v>
      </c>
      <c r="BH2035">
        <v>2400</v>
      </c>
      <c r="BI2035">
        <v>0</v>
      </c>
      <c r="BJ2035">
        <v>0</v>
      </c>
      <c r="BK2035">
        <v>0</v>
      </c>
      <c r="BL2035">
        <v>0</v>
      </c>
      <c r="BO2035">
        <v>0</v>
      </c>
      <c r="BP2035">
        <v>0</v>
      </c>
      <c r="BW2035" t="str">
        <f>"19:00:16.276"</f>
        <v>19:00:16.276</v>
      </c>
      <c r="BZ2035">
        <v>0</v>
      </c>
      <c r="CA2035">
        <v>1888</v>
      </c>
      <c r="CB2035">
        <v>214.4</v>
      </c>
      <c r="CC2035">
        <v>625.78129999999999</v>
      </c>
      <c r="CD2035">
        <v>1</v>
      </c>
      <c r="CE2035">
        <v>0</v>
      </c>
      <c r="CF2035">
        <v>0</v>
      </c>
      <c r="CG2035">
        <v>1</v>
      </c>
      <c r="CH2035">
        <v>0</v>
      </c>
      <c r="CI2035">
        <v>1</v>
      </c>
      <c r="CJ2035">
        <v>0</v>
      </c>
      <c r="CK2035">
        <v>2</v>
      </c>
      <c r="CL2035">
        <v>0</v>
      </c>
      <c r="CM2035">
        <v>2</v>
      </c>
      <c r="CN2035">
        <v>0</v>
      </c>
      <c r="CO2035">
        <v>3</v>
      </c>
      <c r="CP2035" t="s">
        <v>119</v>
      </c>
      <c r="CQ2035">
        <v>70</v>
      </c>
      <c r="CR2035">
        <v>1</v>
      </c>
      <c r="CW2035">
        <v>3887692</v>
      </c>
      <c r="CY2035">
        <v>0</v>
      </c>
      <c r="CZ2035">
        <v>0</v>
      </c>
      <c r="DA2035">
        <v>1</v>
      </c>
      <c r="DB2035">
        <v>0</v>
      </c>
      <c r="DC2035">
        <v>0</v>
      </c>
      <c r="DD2035">
        <v>0</v>
      </c>
      <c r="DE2035">
        <v>0</v>
      </c>
      <c r="DF2035">
        <v>0</v>
      </c>
      <c r="DG2035">
        <v>0</v>
      </c>
      <c r="DH2035">
        <v>0</v>
      </c>
      <c r="DI2035">
        <v>0</v>
      </c>
    </row>
    <row r="2036" spans="1:113" x14ac:dyDescent="0.3">
      <c r="A2036" t="str">
        <f>"02/13/2022 19:00:17.992"</f>
        <v>02/13/2022 19:00:17.992</v>
      </c>
      <c r="C2036" t="str">
        <f t="shared" si="196"/>
        <v>FFDFD7C0</v>
      </c>
      <c r="D2036" t="s">
        <v>113</v>
      </c>
      <c r="E2036">
        <v>3</v>
      </c>
      <c r="F2036">
        <v>1003</v>
      </c>
      <c r="G2036" t="s">
        <v>114</v>
      </c>
      <c r="J2036" t="s">
        <v>115</v>
      </c>
      <c r="K2036">
        <v>0</v>
      </c>
      <c r="L2036">
        <v>3</v>
      </c>
      <c r="M2036">
        <v>0</v>
      </c>
      <c r="N2036">
        <v>2</v>
      </c>
      <c r="O2036">
        <v>1</v>
      </c>
      <c r="P2036">
        <v>0</v>
      </c>
      <c r="Q2036">
        <v>0</v>
      </c>
      <c r="S2036" t="str">
        <f>"19:00:17.781"</f>
        <v>19:00:17.781</v>
      </c>
      <c r="T2036" t="str">
        <f>"19:00:17.481"</f>
        <v>19:00:17.481</v>
      </c>
      <c r="U2036" t="str">
        <f t="shared" si="198"/>
        <v>AAB6EE</v>
      </c>
      <c r="V2036">
        <v>0</v>
      </c>
      <c r="W2036">
        <v>0</v>
      </c>
      <c r="X2036">
        <v>4</v>
      </c>
      <c r="Z2036">
        <v>0</v>
      </c>
      <c r="AA2036">
        <v>8</v>
      </c>
      <c r="AB2036">
        <v>3</v>
      </c>
      <c r="AC2036">
        <v>0</v>
      </c>
      <c r="AD2036">
        <v>10</v>
      </c>
      <c r="AE2036">
        <v>0</v>
      </c>
      <c r="AF2036">
        <v>0</v>
      </c>
      <c r="AG2036">
        <v>2</v>
      </c>
      <c r="AH2036">
        <v>1</v>
      </c>
      <c r="AI2036" t="s">
        <v>1480</v>
      </c>
      <c r="AJ2036">
        <v>34.820030000000003</v>
      </c>
      <c r="AK2036" t="s">
        <v>1481</v>
      </c>
      <c r="AL2036">
        <v>-76.265694999999994</v>
      </c>
      <c r="AM2036">
        <v>25</v>
      </c>
      <c r="AN2036">
        <v>2525</v>
      </c>
      <c r="AO2036" t="s">
        <v>118</v>
      </c>
      <c r="AP2036">
        <v>-132</v>
      </c>
      <c r="AQ2036">
        <v>49</v>
      </c>
      <c r="AR2036">
        <v>-128</v>
      </c>
      <c r="AZ2036">
        <v>4516</v>
      </c>
      <c r="BA2036">
        <v>1</v>
      </c>
      <c r="BB2036" t="str">
        <f t="shared" si="197"/>
        <v xml:space="preserve">N79NX   </v>
      </c>
      <c r="BC2036">
        <v>1</v>
      </c>
      <c r="BE2036">
        <v>0</v>
      </c>
      <c r="BF2036">
        <v>0</v>
      </c>
      <c r="BG2036">
        <v>0</v>
      </c>
      <c r="BH2036">
        <v>2375</v>
      </c>
      <c r="BI2036">
        <v>0</v>
      </c>
      <c r="BJ2036">
        <v>0</v>
      </c>
      <c r="BK2036">
        <v>0</v>
      </c>
      <c r="BL2036">
        <v>0</v>
      </c>
      <c r="BO2036">
        <v>0</v>
      </c>
      <c r="BP2036">
        <v>0</v>
      </c>
      <c r="BW2036" t="str">
        <f>"19:00:17.786"</f>
        <v>19:00:17.786</v>
      </c>
      <c r="BZ2036">
        <v>0</v>
      </c>
      <c r="CA2036">
        <v>1888</v>
      </c>
      <c r="CB2036">
        <v>214.4</v>
      </c>
      <c r="CC2036">
        <v>625.78129999999999</v>
      </c>
      <c r="CD2036">
        <v>1</v>
      </c>
      <c r="CE2036">
        <v>0</v>
      </c>
      <c r="CF2036">
        <v>0</v>
      </c>
      <c r="CG2036">
        <v>1</v>
      </c>
      <c r="CH2036">
        <v>0</v>
      </c>
      <c r="CI2036">
        <v>1</v>
      </c>
      <c r="CJ2036">
        <v>0</v>
      </c>
      <c r="CK2036">
        <v>2</v>
      </c>
      <c r="CL2036">
        <v>0</v>
      </c>
      <c r="CM2036">
        <v>2</v>
      </c>
      <c r="CN2036">
        <v>0</v>
      </c>
      <c r="CO2036">
        <v>1</v>
      </c>
      <c r="CP2036" t="s">
        <v>119</v>
      </c>
      <c r="CQ2036">
        <v>70</v>
      </c>
      <c r="CR2036">
        <v>1</v>
      </c>
      <c r="CW2036">
        <v>3888913</v>
      </c>
      <c r="CY2036">
        <v>0</v>
      </c>
      <c r="CZ2036">
        <v>0</v>
      </c>
      <c r="DA2036">
        <v>0</v>
      </c>
      <c r="DB2036">
        <v>0</v>
      </c>
      <c r="DC2036">
        <v>0</v>
      </c>
      <c r="DD2036">
        <v>0</v>
      </c>
      <c r="DE2036">
        <v>0</v>
      </c>
      <c r="DF2036">
        <v>0</v>
      </c>
      <c r="DG2036">
        <v>0</v>
      </c>
      <c r="DH2036">
        <v>0</v>
      </c>
      <c r="DI2036">
        <v>0</v>
      </c>
    </row>
    <row r="2037" spans="1:113" x14ac:dyDescent="0.3">
      <c r="A2037" t="str">
        <f>"02/13/2022 19:00:17.992"</f>
        <v>02/13/2022 19:00:17.992</v>
      </c>
      <c r="C2037" t="str">
        <f t="shared" si="196"/>
        <v>FFDFD7C0</v>
      </c>
      <c r="D2037" t="s">
        <v>113</v>
      </c>
      <c r="E2037">
        <v>4</v>
      </c>
      <c r="F2037">
        <v>1004</v>
      </c>
      <c r="G2037" t="s">
        <v>120</v>
      </c>
      <c r="J2037" t="s">
        <v>115</v>
      </c>
      <c r="K2037">
        <v>0</v>
      </c>
      <c r="L2037">
        <v>3</v>
      </c>
      <c r="M2037">
        <v>0</v>
      </c>
      <c r="N2037">
        <v>2</v>
      </c>
      <c r="O2037">
        <v>1</v>
      </c>
      <c r="P2037">
        <v>0</v>
      </c>
      <c r="Q2037">
        <v>0</v>
      </c>
      <c r="S2037" t="str">
        <f>"19:00:17.781"</f>
        <v>19:00:17.781</v>
      </c>
      <c r="T2037" t="str">
        <f>"19:00:17.481"</f>
        <v>19:00:17.481</v>
      </c>
      <c r="U2037" t="str">
        <f t="shared" si="198"/>
        <v>AAB6EE</v>
      </c>
      <c r="V2037">
        <v>0</v>
      </c>
      <c r="W2037">
        <v>0</v>
      </c>
      <c r="X2037">
        <v>4</v>
      </c>
      <c r="Z2037">
        <v>0</v>
      </c>
      <c r="AA2037">
        <v>8</v>
      </c>
      <c r="AB2037">
        <v>3</v>
      </c>
      <c r="AC2037">
        <v>0</v>
      </c>
      <c r="AD2037">
        <v>10</v>
      </c>
      <c r="AE2037">
        <v>0</v>
      </c>
      <c r="AF2037">
        <v>0</v>
      </c>
      <c r="AG2037">
        <v>2</v>
      </c>
      <c r="AH2037">
        <v>1</v>
      </c>
      <c r="AI2037" t="s">
        <v>1480</v>
      </c>
      <c r="AJ2037">
        <v>34.820030000000003</v>
      </c>
      <c r="AK2037" t="s">
        <v>1481</v>
      </c>
      <c r="AL2037">
        <v>-76.265694999999994</v>
      </c>
      <c r="AM2037">
        <v>25</v>
      </c>
      <c r="AN2037">
        <v>2525</v>
      </c>
      <c r="AO2037" t="s">
        <v>118</v>
      </c>
      <c r="AP2037">
        <v>-132</v>
      </c>
      <c r="AQ2037">
        <v>49</v>
      </c>
      <c r="AR2037">
        <v>-128</v>
      </c>
      <c r="AZ2037">
        <v>4516</v>
      </c>
      <c r="BA2037">
        <v>1</v>
      </c>
      <c r="BB2037" t="str">
        <f t="shared" si="197"/>
        <v xml:space="preserve">N79NX   </v>
      </c>
      <c r="BC2037">
        <v>1</v>
      </c>
      <c r="BE2037">
        <v>0</v>
      </c>
      <c r="BF2037">
        <v>0</v>
      </c>
      <c r="BG2037">
        <v>0</v>
      </c>
      <c r="BH2037">
        <v>2375</v>
      </c>
      <c r="BI2037">
        <v>0</v>
      </c>
      <c r="BJ2037">
        <v>0</v>
      </c>
      <c r="BK2037">
        <v>0</v>
      </c>
      <c r="BL2037">
        <v>0</v>
      </c>
      <c r="BO2037">
        <v>0</v>
      </c>
      <c r="BP2037">
        <v>0</v>
      </c>
      <c r="BW2037" t="str">
        <f>"19:00:17.786"</f>
        <v>19:00:17.786</v>
      </c>
      <c r="BZ2037">
        <v>0</v>
      </c>
      <c r="CA2037">
        <v>1888</v>
      </c>
      <c r="CB2037">
        <v>214.4</v>
      </c>
      <c r="CC2037">
        <v>625.78129999999999</v>
      </c>
      <c r="CD2037">
        <v>1</v>
      </c>
      <c r="CE2037">
        <v>0</v>
      </c>
      <c r="CF2037">
        <v>0</v>
      </c>
      <c r="CG2037">
        <v>1</v>
      </c>
      <c r="CH2037">
        <v>0</v>
      </c>
      <c r="CI2037">
        <v>1</v>
      </c>
      <c r="CJ2037">
        <v>0</v>
      </c>
      <c r="CK2037">
        <v>2</v>
      </c>
      <c r="CL2037">
        <v>0</v>
      </c>
      <c r="CM2037">
        <v>2</v>
      </c>
      <c r="CN2037">
        <v>0</v>
      </c>
      <c r="CO2037">
        <v>1</v>
      </c>
      <c r="CP2037" t="s">
        <v>119</v>
      </c>
      <c r="CQ2037">
        <v>70</v>
      </c>
      <c r="CR2037">
        <v>1</v>
      </c>
      <c r="CW2037">
        <v>3888913</v>
      </c>
      <c r="CY2037">
        <v>0</v>
      </c>
      <c r="CZ2037">
        <v>0</v>
      </c>
      <c r="DA2037">
        <v>1</v>
      </c>
      <c r="DB2037">
        <v>0</v>
      </c>
      <c r="DC2037">
        <v>0</v>
      </c>
      <c r="DD2037">
        <v>0</v>
      </c>
      <c r="DE2037">
        <v>0</v>
      </c>
      <c r="DF2037">
        <v>0</v>
      </c>
      <c r="DG2037">
        <v>0</v>
      </c>
      <c r="DH2037">
        <v>0</v>
      </c>
      <c r="DI2037">
        <v>0</v>
      </c>
    </row>
    <row r="2038" spans="1:113" x14ac:dyDescent="0.3">
      <c r="A2038" t="str">
        <f>"02/13/2022 19:00:17.992"</f>
        <v>02/13/2022 19:00:17.992</v>
      </c>
      <c r="C2038" t="str">
        <f t="shared" si="196"/>
        <v>FFDFD7C0</v>
      </c>
      <c r="D2038" t="s">
        <v>121</v>
      </c>
      <c r="E2038">
        <v>2</v>
      </c>
      <c r="H2038">
        <v>158</v>
      </c>
      <c r="I2038" t="s">
        <v>120</v>
      </c>
      <c r="J2038" t="s">
        <v>122</v>
      </c>
      <c r="K2038">
        <v>0</v>
      </c>
      <c r="L2038">
        <v>3</v>
      </c>
      <c r="M2038">
        <v>0</v>
      </c>
      <c r="N2038">
        <v>2</v>
      </c>
      <c r="O2038">
        <v>1</v>
      </c>
      <c r="P2038">
        <v>0</v>
      </c>
      <c r="Q2038">
        <v>0</v>
      </c>
      <c r="S2038" t="str">
        <f>"19:00:17.781"</f>
        <v>19:00:17.781</v>
      </c>
      <c r="T2038" t="str">
        <f>"19:00:17.481"</f>
        <v>19:00:17.481</v>
      </c>
      <c r="U2038" t="str">
        <f t="shared" si="198"/>
        <v>AAB6EE</v>
      </c>
      <c r="V2038">
        <v>0</v>
      </c>
      <c r="W2038">
        <v>0</v>
      </c>
      <c r="X2038">
        <v>4</v>
      </c>
      <c r="Z2038">
        <v>0</v>
      </c>
      <c r="AA2038">
        <v>8</v>
      </c>
      <c r="AB2038">
        <v>3</v>
      </c>
      <c r="AC2038">
        <v>0</v>
      </c>
      <c r="AD2038">
        <v>10</v>
      </c>
      <c r="AE2038">
        <v>0</v>
      </c>
      <c r="AF2038">
        <v>0</v>
      </c>
      <c r="AG2038">
        <v>2</v>
      </c>
      <c r="AH2038">
        <v>1</v>
      </c>
      <c r="AI2038" t="s">
        <v>1480</v>
      </c>
      <c r="AJ2038">
        <v>34.820030000000003</v>
      </c>
      <c r="AK2038" t="s">
        <v>1481</v>
      </c>
      <c r="AL2038">
        <v>-76.265694999999994</v>
      </c>
      <c r="AM2038">
        <v>25</v>
      </c>
      <c r="AN2038">
        <v>2525</v>
      </c>
      <c r="AO2038" t="s">
        <v>118</v>
      </c>
      <c r="AP2038">
        <v>-132</v>
      </c>
      <c r="AQ2038">
        <v>49</v>
      </c>
      <c r="AR2038">
        <v>-128</v>
      </c>
      <c r="AZ2038">
        <v>4516</v>
      </c>
      <c r="BA2038">
        <v>1</v>
      </c>
      <c r="BB2038" t="str">
        <f t="shared" si="197"/>
        <v xml:space="preserve">N79NX   </v>
      </c>
      <c r="BC2038">
        <v>1</v>
      </c>
      <c r="BE2038">
        <v>0</v>
      </c>
      <c r="BF2038">
        <v>0</v>
      </c>
      <c r="BG2038">
        <v>0</v>
      </c>
      <c r="BH2038">
        <v>2375</v>
      </c>
      <c r="BI2038">
        <v>0</v>
      </c>
      <c r="BJ2038">
        <v>0</v>
      </c>
      <c r="BK2038">
        <v>0</v>
      </c>
      <c r="BL2038">
        <v>0</v>
      </c>
      <c r="BO2038">
        <v>0</v>
      </c>
      <c r="BP2038">
        <v>0</v>
      </c>
      <c r="BW2038" t="str">
        <f>"19:00:17.786"</f>
        <v>19:00:17.786</v>
      </c>
      <c r="BZ2038">
        <v>0</v>
      </c>
      <c r="CA2038">
        <v>1888</v>
      </c>
      <c r="CB2038">
        <v>214.4</v>
      </c>
      <c r="CC2038">
        <v>625.78129999999999</v>
      </c>
      <c r="CD2038">
        <v>1</v>
      </c>
      <c r="CE2038">
        <v>0</v>
      </c>
      <c r="CF2038">
        <v>0</v>
      </c>
      <c r="CG2038">
        <v>1</v>
      </c>
      <c r="CH2038">
        <v>0</v>
      </c>
      <c r="CI2038">
        <v>1</v>
      </c>
      <c r="CJ2038">
        <v>0</v>
      </c>
      <c r="CK2038">
        <v>2</v>
      </c>
      <c r="CL2038">
        <v>0</v>
      </c>
      <c r="CM2038">
        <v>2</v>
      </c>
      <c r="CN2038">
        <v>0</v>
      </c>
      <c r="CO2038">
        <v>1</v>
      </c>
      <c r="CP2038" t="s">
        <v>119</v>
      </c>
      <c r="CQ2038">
        <v>70</v>
      </c>
      <c r="CR2038">
        <v>1</v>
      </c>
      <c r="CW2038">
        <v>3888913</v>
      </c>
      <c r="CY2038">
        <v>0</v>
      </c>
      <c r="CZ2038">
        <v>0</v>
      </c>
      <c r="DA2038">
        <v>1</v>
      </c>
      <c r="DB2038">
        <v>0</v>
      </c>
      <c r="DC2038">
        <v>0</v>
      </c>
      <c r="DD2038">
        <v>0</v>
      </c>
      <c r="DE2038">
        <v>0</v>
      </c>
      <c r="DF2038">
        <v>0</v>
      </c>
      <c r="DG2038">
        <v>0</v>
      </c>
      <c r="DH2038">
        <v>0</v>
      </c>
      <c r="DI2038">
        <v>0</v>
      </c>
    </row>
    <row r="2039" spans="1:113" x14ac:dyDescent="0.3">
      <c r="A2039" t="str">
        <f>"02/13/2022 19:00:18.992"</f>
        <v>02/13/2022 19:00:18.992</v>
      </c>
      <c r="C2039" t="str">
        <f t="shared" si="196"/>
        <v>FFDFD7C0</v>
      </c>
      <c r="D2039" t="s">
        <v>113</v>
      </c>
      <c r="E2039">
        <v>3</v>
      </c>
      <c r="F2039">
        <v>1003</v>
      </c>
      <c r="G2039" t="s">
        <v>114</v>
      </c>
      <c r="J2039" t="s">
        <v>115</v>
      </c>
      <c r="K2039">
        <v>0</v>
      </c>
      <c r="L2039">
        <v>3</v>
      </c>
      <c r="M2039">
        <v>0</v>
      </c>
      <c r="N2039">
        <v>2</v>
      </c>
      <c r="O2039">
        <v>1</v>
      </c>
      <c r="P2039">
        <v>0</v>
      </c>
      <c r="Q2039">
        <v>0</v>
      </c>
      <c r="S2039" t="str">
        <f>"19:00:18.719"</f>
        <v>19:00:18.719</v>
      </c>
      <c r="T2039" t="str">
        <f>"19:00:18.519"</f>
        <v>19:00:18.519</v>
      </c>
      <c r="U2039" t="str">
        <f t="shared" si="198"/>
        <v>AAB6EE</v>
      </c>
      <c r="V2039">
        <v>0</v>
      </c>
      <c r="W2039">
        <v>0</v>
      </c>
      <c r="X2039">
        <v>4</v>
      </c>
      <c r="Z2039">
        <v>0</v>
      </c>
      <c r="AA2039">
        <v>8</v>
      </c>
      <c r="AB2039">
        <v>3</v>
      </c>
      <c r="AC2039">
        <v>0</v>
      </c>
      <c r="AD2039">
        <v>10</v>
      </c>
      <c r="AE2039">
        <v>0</v>
      </c>
      <c r="AF2039">
        <v>0</v>
      </c>
      <c r="AG2039">
        <v>2</v>
      </c>
      <c r="AH2039">
        <v>1</v>
      </c>
      <c r="AI2039" t="s">
        <v>1482</v>
      </c>
      <c r="AJ2039">
        <v>34.820244000000002</v>
      </c>
      <c r="AK2039" t="s">
        <v>1483</v>
      </c>
      <c r="AL2039">
        <v>-76.266424999999998</v>
      </c>
      <c r="AM2039">
        <v>25</v>
      </c>
      <c r="AN2039">
        <v>2525</v>
      </c>
      <c r="AO2039" t="s">
        <v>118</v>
      </c>
      <c r="AP2039">
        <v>-132</v>
      </c>
      <c r="AQ2039">
        <v>58</v>
      </c>
      <c r="AR2039">
        <v>320</v>
      </c>
      <c r="AZ2039">
        <v>4516</v>
      </c>
      <c r="BA2039">
        <v>1</v>
      </c>
      <c r="BB2039" t="str">
        <f t="shared" si="197"/>
        <v xml:space="preserve">N79NX   </v>
      </c>
      <c r="BC2039">
        <v>1</v>
      </c>
      <c r="BE2039">
        <v>0</v>
      </c>
      <c r="BF2039">
        <v>0</v>
      </c>
      <c r="BG2039">
        <v>0</v>
      </c>
      <c r="BH2039">
        <v>2375</v>
      </c>
      <c r="BI2039">
        <v>0</v>
      </c>
      <c r="BJ2039">
        <v>0</v>
      </c>
      <c r="BK2039">
        <v>0</v>
      </c>
      <c r="BL2039">
        <v>0</v>
      </c>
      <c r="BO2039">
        <v>0</v>
      </c>
      <c r="BP2039">
        <v>0</v>
      </c>
      <c r="BW2039" t="str">
        <f>"19:00:18.726"</f>
        <v>19:00:18.726</v>
      </c>
      <c r="BZ2039">
        <v>0</v>
      </c>
      <c r="CA2039">
        <v>1888</v>
      </c>
      <c r="CB2039">
        <v>214.4</v>
      </c>
      <c r="CC2039">
        <v>625.78129999999999</v>
      </c>
      <c r="CD2039">
        <v>1</v>
      </c>
      <c r="CE2039">
        <v>0</v>
      </c>
      <c r="CF2039">
        <v>0</v>
      </c>
      <c r="CG2039">
        <v>1</v>
      </c>
      <c r="CH2039">
        <v>0</v>
      </c>
      <c r="CI2039">
        <v>1</v>
      </c>
      <c r="CJ2039">
        <v>0</v>
      </c>
      <c r="CK2039">
        <v>2</v>
      </c>
      <c r="CL2039">
        <v>0</v>
      </c>
      <c r="CM2039">
        <v>2</v>
      </c>
      <c r="CN2039">
        <v>0</v>
      </c>
      <c r="CO2039">
        <v>2</v>
      </c>
      <c r="CP2039" t="s">
        <v>119</v>
      </c>
      <c r="CQ2039">
        <v>70</v>
      </c>
      <c r="CR2039">
        <v>1</v>
      </c>
      <c r="CW2039">
        <v>3889707</v>
      </c>
      <c r="CY2039">
        <v>0</v>
      </c>
      <c r="CZ2039">
        <v>0</v>
      </c>
      <c r="DA2039">
        <v>0</v>
      </c>
      <c r="DB2039">
        <v>0</v>
      </c>
      <c r="DC2039">
        <v>0</v>
      </c>
      <c r="DD2039">
        <v>0</v>
      </c>
      <c r="DE2039">
        <v>0</v>
      </c>
      <c r="DF2039">
        <v>0</v>
      </c>
      <c r="DG2039">
        <v>0</v>
      </c>
      <c r="DH2039">
        <v>0</v>
      </c>
      <c r="DI2039">
        <v>0</v>
      </c>
    </row>
    <row r="2040" spans="1:113" x14ac:dyDescent="0.3">
      <c r="A2040" t="str">
        <f>"02/13/2022 19:00:18.992"</f>
        <v>02/13/2022 19:00:18.992</v>
      </c>
      <c r="C2040" t="str">
        <f t="shared" si="196"/>
        <v>FFDFD7C0</v>
      </c>
      <c r="D2040" t="s">
        <v>121</v>
      </c>
      <c r="E2040">
        <v>2</v>
      </c>
      <c r="H2040">
        <v>158</v>
      </c>
      <c r="I2040" t="s">
        <v>120</v>
      </c>
      <c r="J2040" t="s">
        <v>122</v>
      </c>
      <c r="K2040">
        <v>0</v>
      </c>
      <c r="L2040">
        <v>3</v>
      </c>
      <c r="M2040">
        <v>0</v>
      </c>
      <c r="N2040">
        <v>2</v>
      </c>
      <c r="O2040">
        <v>1</v>
      </c>
      <c r="P2040">
        <v>0</v>
      </c>
      <c r="Q2040">
        <v>0</v>
      </c>
      <c r="S2040" t="str">
        <f>"19:00:18.719"</f>
        <v>19:00:18.719</v>
      </c>
      <c r="T2040" t="str">
        <f>"19:00:18.519"</f>
        <v>19:00:18.519</v>
      </c>
      <c r="U2040" t="str">
        <f t="shared" si="198"/>
        <v>AAB6EE</v>
      </c>
      <c r="V2040">
        <v>0</v>
      </c>
      <c r="W2040">
        <v>0</v>
      </c>
      <c r="X2040">
        <v>4</v>
      </c>
      <c r="Z2040">
        <v>0</v>
      </c>
      <c r="AA2040">
        <v>8</v>
      </c>
      <c r="AB2040">
        <v>3</v>
      </c>
      <c r="AC2040">
        <v>0</v>
      </c>
      <c r="AD2040">
        <v>10</v>
      </c>
      <c r="AE2040">
        <v>0</v>
      </c>
      <c r="AF2040">
        <v>0</v>
      </c>
      <c r="AG2040">
        <v>2</v>
      </c>
      <c r="AH2040">
        <v>1</v>
      </c>
      <c r="AI2040" t="s">
        <v>1482</v>
      </c>
      <c r="AJ2040">
        <v>34.820244000000002</v>
      </c>
      <c r="AK2040" t="s">
        <v>1483</v>
      </c>
      <c r="AL2040">
        <v>-76.266424999999998</v>
      </c>
      <c r="AM2040">
        <v>25</v>
      </c>
      <c r="AN2040">
        <v>2525</v>
      </c>
      <c r="AO2040" t="s">
        <v>118</v>
      </c>
      <c r="AP2040">
        <v>-132</v>
      </c>
      <c r="AQ2040">
        <v>58</v>
      </c>
      <c r="AR2040">
        <v>320</v>
      </c>
      <c r="AZ2040">
        <v>4516</v>
      </c>
      <c r="BA2040">
        <v>1</v>
      </c>
      <c r="BB2040" t="str">
        <f t="shared" si="197"/>
        <v xml:space="preserve">N79NX   </v>
      </c>
      <c r="BC2040">
        <v>1</v>
      </c>
      <c r="BE2040">
        <v>0</v>
      </c>
      <c r="BF2040">
        <v>0</v>
      </c>
      <c r="BG2040">
        <v>0</v>
      </c>
      <c r="BH2040">
        <v>2375</v>
      </c>
      <c r="BI2040">
        <v>0</v>
      </c>
      <c r="BJ2040">
        <v>0</v>
      </c>
      <c r="BK2040">
        <v>0</v>
      </c>
      <c r="BL2040">
        <v>0</v>
      </c>
      <c r="BO2040">
        <v>0</v>
      </c>
      <c r="BP2040">
        <v>0</v>
      </c>
      <c r="BW2040" t="str">
        <f>"19:00:18.726"</f>
        <v>19:00:18.726</v>
      </c>
      <c r="BZ2040">
        <v>0</v>
      </c>
      <c r="CA2040">
        <v>1888</v>
      </c>
      <c r="CB2040">
        <v>214.4</v>
      </c>
      <c r="CC2040">
        <v>625.78129999999999</v>
      </c>
      <c r="CD2040">
        <v>1</v>
      </c>
      <c r="CE2040">
        <v>0</v>
      </c>
      <c r="CF2040">
        <v>0</v>
      </c>
      <c r="CG2040">
        <v>1</v>
      </c>
      <c r="CH2040">
        <v>0</v>
      </c>
      <c r="CI2040">
        <v>1</v>
      </c>
      <c r="CJ2040">
        <v>0</v>
      </c>
      <c r="CK2040">
        <v>2</v>
      </c>
      <c r="CL2040">
        <v>0</v>
      </c>
      <c r="CM2040">
        <v>2</v>
      </c>
      <c r="CN2040">
        <v>0</v>
      </c>
      <c r="CO2040">
        <v>2</v>
      </c>
      <c r="CP2040" t="s">
        <v>119</v>
      </c>
      <c r="CQ2040">
        <v>70</v>
      </c>
      <c r="CR2040">
        <v>1</v>
      </c>
      <c r="CW2040">
        <v>3889707</v>
      </c>
      <c r="CY2040">
        <v>0</v>
      </c>
      <c r="CZ2040">
        <v>0</v>
      </c>
      <c r="DA2040">
        <v>1</v>
      </c>
      <c r="DB2040">
        <v>0</v>
      </c>
      <c r="DC2040">
        <v>0</v>
      </c>
      <c r="DD2040">
        <v>0</v>
      </c>
      <c r="DE2040">
        <v>0</v>
      </c>
      <c r="DF2040">
        <v>0</v>
      </c>
      <c r="DG2040">
        <v>0</v>
      </c>
      <c r="DH2040">
        <v>0</v>
      </c>
      <c r="DI2040">
        <v>0</v>
      </c>
    </row>
    <row r="2041" spans="1:113" x14ac:dyDescent="0.3">
      <c r="A2041" t="str">
        <f>"02/13/2022 19:00:18.992"</f>
        <v>02/13/2022 19:00:18.992</v>
      </c>
      <c r="C2041" t="str">
        <f t="shared" si="196"/>
        <v>FFDFD7C0</v>
      </c>
      <c r="D2041" t="s">
        <v>113</v>
      </c>
      <c r="E2041">
        <v>4</v>
      </c>
      <c r="F2041">
        <v>1004</v>
      </c>
      <c r="G2041" t="s">
        <v>120</v>
      </c>
      <c r="J2041" t="s">
        <v>115</v>
      </c>
      <c r="K2041">
        <v>0</v>
      </c>
      <c r="L2041">
        <v>3</v>
      </c>
      <c r="M2041">
        <v>0</v>
      </c>
      <c r="N2041">
        <v>2</v>
      </c>
      <c r="O2041">
        <v>1</v>
      </c>
      <c r="P2041">
        <v>0</v>
      </c>
      <c r="Q2041">
        <v>0</v>
      </c>
      <c r="S2041" t="str">
        <f>"19:00:18.719"</f>
        <v>19:00:18.719</v>
      </c>
      <c r="T2041" t="str">
        <f>"19:00:18.519"</f>
        <v>19:00:18.519</v>
      </c>
      <c r="U2041" t="str">
        <f t="shared" si="198"/>
        <v>AAB6EE</v>
      </c>
      <c r="V2041">
        <v>0</v>
      </c>
      <c r="W2041">
        <v>0</v>
      </c>
      <c r="X2041">
        <v>4</v>
      </c>
      <c r="Z2041">
        <v>0</v>
      </c>
      <c r="AA2041">
        <v>8</v>
      </c>
      <c r="AB2041">
        <v>3</v>
      </c>
      <c r="AC2041">
        <v>0</v>
      </c>
      <c r="AD2041">
        <v>10</v>
      </c>
      <c r="AE2041">
        <v>0</v>
      </c>
      <c r="AF2041">
        <v>0</v>
      </c>
      <c r="AG2041">
        <v>2</v>
      </c>
      <c r="AH2041">
        <v>1</v>
      </c>
      <c r="AI2041" t="s">
        <v>1482</v>
      </c>
      <c r="AJ2041">
        <v>34.820244000000002</v>
      </c>
      <c r="AK2041" t="s">
        <v>1483</v>
      </c>
      <c r="AL2041">
        <v>-76.266424999999998</v>
      </c>
      <c r="AM2041">
        <v>25</v>
      </c>
      <c r="AN2041">
        <v>2525</v>
      </c>
      <c r="AO2041" t="s">
        <v>118</v>
      </c>
      <c r="AP2041">
        <v>-132</v>
      </c>
      <c r="AQ2041">
        <v>58</v>
      </c>
      <c r="AR2041">
        <v>320</v>
      </c>
      <c r="AZ2041">
        <v>4516</v>
      </c>
      <c r="BA2041">
        <v>1</v>
      </c>
      <c r="BB2041" t="str">
        <f t="shared" si="197"/>
        <v xml:space="preserve">N79NX   </v>
      </c>
      <c r="BC2041">
        <v>1</v>
      </c>
      <c r="BE2041">
        <v>0</v>
      </c>
      <c r="BF2041">
        <v>0</v>
      </c>
      <c r="BG2041">
        <v>0</v>
      </c>
      <c r="BH2041">
        <v>2375</v>
      </c>
      <c r="BI2041">
        <v>0</v>
      </c>
      <c r="BJ2041">
        <v>0</v>
      </c>
      <c r="BK2041">
        <v>0</v>
      </c>
      <c r="BL2041">
        <v>0</v>
      </c>
      <c r="BO2041">
        <v>0</v>
      </c>
      <c r="BP2041">
        <v>0</v>
      </c>
      <c r="BW2041" t="str">
        <f>"19:00:18.726"</f>
        <v>19:00:18.726</v>
      </c>
      <c r="BZ2041">
        <v>0</v>
      </c>
      <c r="CA2041">
        <v>1888</v>
      </c>
      <c r="CB2041">
        <v>214.4</v>
      </c>
      <c r="CC2041">
        <v>625.78129999999999</v>
      </c>
      <c r="CD2041">
        <v>1</v>
      </c>
      <c r="CE2041">
        <v>0</v>
      </c>
      <c r="CF2041">
        <v>0</v>
      </c>
      <c r="CG2041">
        <v>1</v>
      </c>
      <c r="CH2041">
        <v>0</v>
      </c>
      <c r="CI2041">
        <v>1</v>
      </c>
      <c r="CJ2041">
        <v>0</v>
      </c>
      <c r="CK2041">
        <v>2</v>
      </c>
      <c r="CL2041">
        <v>0</v>
      </c>
      <c r="CM2041">
        <v>2</v>
      </c>
      <c r="CN2041">
        <v>0</v>
      </c>
      <c r="CO2041">
        <v>2</v>
      </c>
      <c r="CP2041" t="s">
        <v>119</v>
      </c>
      <c r="CQ2041">
        <v>70</v>
      </c>
      <c r="CR2041">
        <v>1</v>
      </c>
      <c r="CW2041">
        <v>3889707</v>
      </c>
      <c r="CY2041">
        <v>0</v>
      </c>
      <c r="CZ2041">
        <v>0</v>
      </c>
      <c r="DA2041">
        <v>1</v>
      </c>
      <c r="DB2041">
        <v>0</v>
      </c>
      <c r="DC2041">
        <v>0</v>
      </c>
      <c r="DD2041">
        <v>0</v>
      </c>
      <c r="DE2041">
        <v>0</v>
      </c>
      <c r="DF2041">
        <v>0</v>
      </c>
      <c r="DG2041">
        <v>0</v>
      </c>
      <c r="DH2041">
        <v>0</v>
      </c>
      <c r="DI2041">
        <v>0</v>
      </c>
    </row>
    <row r="2042" spans="1:113" x14ac:dyDescent="0.3">
      <c r="A2042" t="str">
        <f>"02/13/2022 19:00:19.807"</f>
        <v>02/13/2022 19:00:19.807</v>
      </c>
      <c r="C2042" t="str">
        <f t="shared" si="196"/>
        <v>FFDFD7C0</v>
      </c>
      <c r="D2042" t="s">
        <v>113</v>
      </c>
      <c r="E2042">
        <v>3</v>
      </c>
      <c r="F2042">
        <v>1003</v>
      </c>
      <c r="G2042" t="s">
        <v>114</v>
      </c>
      <c r="J2042" t="s">
        <v>115</v>
      </c>
      <c r="K2042">
        <v>0</v>
      </c>
      <c r="L2042">
        <v>3</v>
      </c>
      <c r="M2042">
        <v>0</v>
      </c>
      <c r="N2042">
        <v>2</v>
      </c>
      <c r="O2042">
        <v>1</v>
      </c>
      <c r="P2042">
        <v>0</v>
      </c>
      <c r="Q2042">
        <v>0</v>
      </c>
      <c r="S2042" t="str">
        <f>"19:00:19.555"</f>
        <v>19:00:19.555</v>
      </c>
      <c r="T2042" t="str">
        <f>"19:00:19.355"</f>
        <v>19:00:19.355</v>
      </c>
      <c r="U2042" t="str">
        <f t="shared" si="198"/>
        <v>AAB6EE</v>
      </c>
      <c r="V2042">
        <v>0</v>
      </c>
      <c r="W2042">
        <v>0</v>
      </c>
      <c r="X2042">
        <v>4</v>
      </c>
      <c r="Z2042">
        <v>0</v>
      </c>
      <c r="AA2042">
        <v>8</v>
      </c>
      <c r="AB2042">
        <v>3</v>
      </c>
      <c r="AC2042">
        <v>0</v>
      </c>
      <c r="AD2042">
        <v>10</v>
      </c>
      <c r="AE2042">
        <v>0</v>
      </c>
      <c r="AF2042">
        <v>0</v>
      </c>
      <c r="AG2042">
        <v>2</v>
      </c>
      <c r="AH2042">
        <v>1</v>
      </c>
      <c r="AI2042" t="s">
        <v>1484</v>
      </c>
      <c r="AJ2042">
        <v>34.820523000000001</v>
      </c>
      <c r="AK2042" t="s">
        <v>1485</v>
      </c>
      <c r="AL2042">
        <v>-76.267025000000004</v>
      </c>
      <c r="AM2042">
        <v>25</v>
      </c>
      <c r="AN2042">
        <v>2525</v>
      </c>
      <c r="AO2042" t="s">
        <v>118</v>
      </c>
      <c r="AP2042">
        <v>-131</v>
      </c>
      <c r="AQ2042">
        <v>64</v>
      </c>
      <c r="AR2042">
        <v>640</v>
      </c>
      <c r="AZ2042">
        <v>4516</v>
      </c>
      <c r="BA2042">
        <v>1</v>
      </c>
      <c r="BB2042" t="str">
        <f t="shared" si="197"/>
        <v xml:space="preserve">N79NX   </v>
      </c>
      <c r="BC2042">
        <v>1</v>
      </c>
      <c r="BE2042">
        <v>0</v>
      </c>
      <c r="BF2042">
        <v>0</v>
      </c>
      <c r="BG2042">
        <v>0</v>
      </c>
      <c r="BH2042">
        <v>2400</v>
      </c>
      <c r="BI2042">
        <v>0</v>
      </c>
      <c r="BJ2042">
        <v>0</v>
      </c>
      <c r="BK2042">
        <v>0</v>
      </c>
      <c r="BL2042">
        <v>0</v>
      </c>
      <c r="BO2042">
        <v>0</v>
      </c>
      <c r="BP2042">
        <v>0</v>
      </c>
      <c r="BW2042" t="str">
        <f>"19:00:19.556"</f>
        <v>19:00:19.556</v>
      </c>
      <c r="BZ2042">
        <v>0</v>
      </c>
      <c r="CA2042">
        <v>1888</v>
      </c>
      <c r="CB2042">
        <v>214.4</v>
      </c>
      <c r="CC2042">
        <v>625.78129999999999</v>
      </c>
      <c r="CD2042">
        <v>1</v>
      </c>
      <c r="CE2042">
        <v>0</v>
      </c>
      <c r="CF2042">
        <v>0</v>
      </c>
      <c r="CG2042">
        <v>1</v>
      </c>
      <c r="CH2042">
        <v>0</v>
      </c>
      <c r="CI2042">
        <v>1</v>
      </c>
      <c r="CJ2042">
        <v>0</v>
      </c>
      <c r="CK2042">
        <v>2</v>
      </c>
      <c r="CL2042">
        <v>0</v>
      </c>
      <c r="CM2042">
        <v>2</v>
      </c>
      <c r="CN2042">
        <v>0</v>
      </c>
      <c r="CO2042">
        <v>3</v>
      </c>
      <c r="CP2042" t="s">
        <v>119</v>
      </c>
      <c r="CQ2042">
        <v>70</v>
      </c>
      <c r="CR2042">
        <v>1</v>
      </c>
      <c r="CW2042">
        <v>3890394</v>
      </c>
      <c r="CY2042">
        <v>0</v>
      </c>
      <c r="CZ2042">
        <v>0</v>
      </c>
      <c r="DA2042">
        <v>0</v>
      </c>
      <c r="DB2042">
        <v>0</v>
      </c>
      <c r="DC2042">
        <v>0</v>
      </c>
      <c r="DD2042">
        <v>0</v>
      </c>
      <c r="DE2042">
        <v>0</v>
      </c>
      <c r="DF2042">
        <v>0</v>
      </c>
      <c r="DG2042">
        <v>0</v>
      </c>
      <c r="DH2042">
        <v>0</v>
      </c>
      <c r="DI2042">
        <v>0</v>
      </c>
    </row>
    <row r="2043" spans="1:113" x14ac:dyDescent="0.3">
      <c r="A2043" t="str">
        <f>"02/13/2022 19:00:19.838"</f>
        <v>02/13/2022 19:00:19.838</v>
      </c>
      <c r="C2043" t="str">
        <f t="shared" si="196"/>
        <v>FFDFD7C0</v>
      </c>
      <c r="D2043" t="s">
        <v>113</v>
      </c>
      <c r="E2043">
        <v>4</v>
      </c>
      <c r="F2043">
        <v>1004</v>
      </c>
      <c r="G2043" t="s">
        <v>120</v>
      </c>
      <c r="J2043" t="s">
        <v>115</v>
      </c>
      <c r="K2043">
        <v>0</v>
      </c>
      <c r="L2043">
        <v>3</v>
      </c>
      <c r="M2043">
        <v>0</v>
      </c>
      <c r="N2043">
        <v>2</v>
      </c>
      <c r="O2043">
        <v>1</v>
      </c>
      <c r="P2043">
        <v>0</v>
      </c>
      <c r="Q2043">
        <v>0</v>
      </c>
      <c r="S2043" t="str">
        <f>"19:00:19.555"</f>
        <v>19:00:19.555</v>
      </c>
      <c r="T2043" t="str">
        <f>"19:00:19.355"</f>
        <v>19:00:19.355</v>
      </c>
      <c r="U2043" t="str">
        <f t="shared" si="198"/>
        <v>AAB6EE</v>
      </c>
      <c r="V2043">
        <v>0</v>
      </c>
      <c r="W2043">
        <v>0</v>
      </c>
      <c r="X2043">
        <v>4</v>
      </c>
      <c r="Z2043">
        <v>0</v>
      </c>
      <c r="AA2043">
        <v>8</v>
      </c>
      <c r="AB2043">
        <v>3</v>
      </c>
      <c r="AC2043">
        <v>0</v>
      </c>
      <c r="AD2043">
        <v>10</v>
      </c>
      <c r="AE2043">
        <v>0</v>
      </c>
      <c r="AF2043">
        <v>0</v>
      </c>
      <c r="AG2043">
        <v>2</v>
      </c>
      <c r="AH2043">
        <v>1</v>
      </c>
      <c r="AI2043" t="s">
        <v>1484</v>
      </c>
      <c r="AJ2043">
        <v>34.820523000000001</v>
      </c>
      <c r="AK2043" t="s">
        <v>1485</v>
      </c>
      <c r="AL2043">
        <v>-76.267025000000004</v>
      </c>
      <c r="AM2043">
        <v>25</v>
      </c>
      <c r="AN2043">
        <v>2525</v>
      </c>
      <c r="AO2043" t="s">
        <v>118</v>
      </c>
      <c r="AP2043">
        <v>-131</v>
      </c>
      <c r="AQ2043">
        <v>64</v>
      </c>
      <c r="AR2043">
        <v>640</v>
      </c>
      <c r="AZ2043">
        <v>4516</v>
      </c>
      <c r="BA2043">
        <v>1</v>
      </c>
      <c r="BB2043" t="str">
        <f t="shared" si="197"/>
        <v xml:space="preserve">N79NX   </v>
      </c>
      <c r="BC2043">
        <v>1</v>
      </c>
      <c r="BE2043">
        <v>0</v>
      </c>
      <c r="BF2043">
        <v>0</v>
      </c>
      <c r="BG2043">
        <v>0</v>
      </c>
      <c r="BH2043">
        <v>2400</v>
      </c>
      <c r="BI2043">
        <v>0</v>
      </c>
      <c r="BJ2043">
        <v>0</v>
      </c>
      <c r="BK2043">
        <v>0</v>
      </c>
      <c r="BL2043">
        <v>0</v>
      </c>
      <c r="BO2043">
        <v>0</v>
      </c>
      <c r="BP2043">
        <v>0</v>
      </c>
      <c r="BW2043" t="str">
        <f>"19:00:19.556"</f>
        <v>19:00:19.556</v>
      </c>
      <c r="BZ2043">
        <v>0</v>
      </c>
      <c r="CA2043">
        <v>1888</v>
      </c>
      <c r="CB2043">
        <v>214.4</v>
      </c>
      <c r="CC2043">
        <v>625.78129999999999</v>
      </c>
      <c r="CD2043">
        <v>1</v>
      </c>
      <c r="CE2043">
        <v>0</v>
      </c>
      <c r="CF2043">
        <v>0</v>
      </c>
      <c r="CG2043">
        <v>1</v>
      </c>
      <c r="CH2043">
        <v>0</v>
      </c>
      <c r="CI2043">
        <v>1</v>
      </c>
      <c r="CJ2043">
        <v>0</v>
      </c>
      <c r="CK2043">
        <v>2</v>
      </c>
      <c r="CL2043">
        <v>0</v>
      </c>
      <c r="CM2043">
        <v>2</v>
      </c>
      <c r="CN2043">
        <v>0</v>
      </c>
      <c r="CO2043">
        <v>3</v>
      </c>
      <c r="CP2043" t="s">
        <v>119</v>
      </c>
      <c r="CQ2043">
        <v>70</v>
      </c>
      <c r="CR2043">
        <v>1</v>
      </c>
      <c r="CW2043">
        <v>3890394</v>
      </c>
      <c r="CY2043">
        <v>0</v>
      </c>
      <c r="CZ2043">
        <v>0</v>
      </c>
      <c r="DA2043">
        <v>1</v>
      </c>
      <c r="DB2043">
        <v>0</v>
      </c>
      <c r="DC2043">
        <v>0</v>
      </c>
      <c r="DD2043">
        <v>0</v>
      </c>
      <c r="DE2043">
        <v>0</v>
      </c>
      <c r="DF2043">
        <v>0</v>
      </c>
      <c r="DG2043">
        <v>0</v>
      </c>
      <c r="DH2043">
        <v>0</v>
      </c>
      <c r="DI2043">
        <v>0</v>
      </c>
    </row>
    <row r="2044" spans="1:113" x14ac:dyDescent="0.3">
      <c r="A2044" t="str">
        <f>"02/13/2022 19:00:19.838"</f>
        <v>02/13/2022 19:00:19.838</v>
      </c>
      <c r="C2044" t="str">
        <f t="shared" si="196"/>
        <v>FFDFD7C0</v>
      </c>
      <c r="D2044" t="s">
        <v>121</v>
      </c>
      <c r="E2044">
        <v>2</v>
      </c>
      <c r="H2044">
        <v>158</v>
      </c>
      <c r="I2044" t="s">
        <v>120</v>
      </c>
      <c r="J2044" t="s">
        <v>122</v>
      </c>
      <c r="K2044">
        <v>0</v>
      </c>
      <c r="L2044">
        <v>3</v>
      </c>
      <c r="M2044">
        <v>0</v>
      </c>
      <c r="N2044">
        <v>2</v>
      </c>
      <c r="O2044">
        <v>1</v>
      </c>
      <c r="P2044">
        <v>0</v>
      </c>
      <c r="Q2044">
        <v>0</v>
      </c>
      <c r="S2044" t="str">
        <f>"19:00:19.555"</f>
        <v>19:00:19.555</v>
      </c>
      <c r="T2044" t="str">
        <f>"19:00:19.355"</f>
        <v>19:00:19.355</v>
      </c>
      <c r="U2044" t="str">
        <f t="shared" si="198"/>
        <v>AAB6EE</v>
      </c>
      <c r="V2044">
        <v>0</v>
      </c>
      <c r="W2044">
        <v>0</v>
      </c>
      <c r="X2044">
        <v>4</v>
      </c>
      <c r="Z2044">
        <v>0</v>
      </c>
      <c r="AA2044">
        <v>8</v>
      </c>
      <c r="AB2044">
        <v>3</v>
      </c>
      <c r="AC2044">
        <v>0</v>
      </c>
      <c r="AD2044">
        <v>10</v>
      </c>
      <c r="AE2044">
        <v>0</v>
      </c>
      <c r="AF2044">
        <v>0</v>
      </c>
      <c r="AG2044">
        <v>2</v>
      </c>
      <c r="AH2044">
        <v>1</v>
      </c>
      <c r="AI2044" t="s">
        <v>1484</v>
      </c>
      <c r="AJ2044">
        <v>34.820523000000001</v>
      </c>
      <c r="AK2044" t="s">
        <v>1485</v>
      </c>
      <c r="AL2044">
        <v>-76.267025000000004</v>
      </c>
      <c r="AM2044">
        <v>25</v>
      </c>
      <c r="AN2044">
        <v>2525</v>
      </c>
      <c r="AO2044" t="s">
        <v>118</v>
      </c>
      <c r="AP2044">
        <v>-131</v>
      </c>
      <c r="AQ2044">
        <v>64</v>
      </c>
      <c r="AR2044">
        <v>640</v>
      </c>
      <c r="AZ2044">
        <v>4516</v>
      </c>
      <c r="BA2044">
        <v>1</v>
      </c>
      <c r="BB2044" t="str">
        <f t="shared" si="197"/>
        <v xml:space="preserve">N79NX   </v>
      </c>
      <c r="BC2044">
        <v>1</v>
      </c>
      <c r="BE2044">
        <v>0</v>
      </c>
      <c r="BF2044">
        <v>0</v>
      </c>
      <c r="BG2044">
        <v>0</v>
      </c>
      <c r="BH2044">
        <v>2400</v>
      </c>
      <c r="BI2044">
        <v>0</v>
      </c>
      <c r="BJ2044">
        <v>0</v>
      </c>
      <c r="BK2044">
        <v>0</v>
      </c>
      <c r="BL2044">
        <v>0</v>
      </c>
      <c r="BO2044">
        <v>0</v>
      </c>
      <c r="BP2044">
        <v>0</v>
      </c>
      <c r="BW2044" t="str">
        <f>"19:00:19.556"</f>
        <v>19:00:19.556</v>
      </c>
      <c r="BZ2044">
        <v>0</v>
      </c>
      <c r="CA2044">
        <v>1888</v>
      </c>
      <c r="CB2044">
        <v>214.4</v>
      </c>
      <c r="CC2044">
        <v>625.78129999999999</v>
      </c>
      <c r="CD2044">
        <v>1</v>
      </c>
      <c r="CE2044">
        <v>0</v>
      </c>
      <c r="CF2044">
        <v>0</v>
      </c>
      <c r="CG2044">
        <v>1</v>
      </c>
      <c r="CH2044">
        <v>0</v>
      </c>
      <c r="CI2044">
        <v>1</v>
      </c>
      <c r="CJ2044">
        <v>0</v>
      </c>
      <c r="CK2044">
        <v>2</v>
      </c>
      <c r="CL2044">
        <v>0</v>
      </c>
      <c r="CM2044">
        <v>2</v>
      </c>
      <c r="CN2044">
        <v>0</v>
      </c>
      <c r="CO2044">
        <v>3</v>
      </c>
      <c r="CP2044" t="s">
        <v>119</v>
      </c>
      <c r="CQ2044">
        <v>70</v>
      </c>
      <c r="CR2044">
        <v>1</v>
      </c>
      <c r="CW2044">
        <v>3890394</v>
      </c>
      <c r="CY2044">
        <v>0</v>
      </c>
      <c r="CZ2044">
        <v>0</v>
      </c>
      <c r="DA2044">
        <v>1</v>
      </c>
      <c r="DB2044">
        <v>0</v>
      </c>
      <c r="DC2044">
        <v>0</v>
      </c>
      <c r="DD2044">
        <v>0</v>
      </c>
      <c r="DE2044">
        <v>0</v>
      </c>
      <c r="DF2044">
        <v>0</v>
      </c>
      <c r="DG2044">
        <v>0</v>
      </c>
      <c r="DH2044">
        <v>0</v>
      </c>
      <c r="DI2044">
        <v>0</v>
      </c>
    </row>
    <row r="2045" spans="1:113" x14ac:dyDescent="0.3">
      <c r="A2045" t="str">
        <f>"02/13/2022 19:00:21.401"</f>
        <v>02/13/2022 19:00:21.401</v>
      </c>
      <c r="C2045" t="str">
        <f t="shared" si="196"/>
        <v>FFDFD7C0</v>
      </c>
      <c r="D2045" t="s">
        <v>113</v>
      </c>
      <c r="E2045">
        <v>3</v>
      </c>
      <c r="F2045">
        <v>1003</v>
      </c>
      <c r="G2045" t="s">
        <v>114</v>
      </c>
      <c r="J2045" t="s">
        <v>115</v>
      </c>
      <c r="K2045">
        <v>0</v>
      </c>
      <c r="L2045">
        <v>3</v>
      </c>
      <c r="M2045">
        <v>0</v>
      </c>
      <c r="N2045">
        <v>2</v>
      </c>
      <c r="O2045">
        <v>1</v>
      </c>
      <c r="P2045">
        <v>0</v>
      </c>
      <c r="Q2045">
        <v>0</v>
      </c>
      <c r="S2045" t="str">
        <f t="shared" ref="S2045:T2047" si="200">"19:00:21.203"</f>
        <v>19:00:21.203</v>
      </c>
      <c r="T2045" t="str">
        <f t="shared" si="200"/>
        <v>19:00:21.203</v>
      </c>
      <c r="U2045" t="str">
        <f t="shared" si="198"/>
        <v>AAB6EE</v>
      </c>
      <c r="V2045">
        <v>0</v>
      </c>
      <c r="W2045">
        <v>0</v>
      </c>
      <c r="X2045">
        <v>4</v>
      </c>
      <c r="Z2045">
        <v>0</v>
      </c>
      <c r="AA2045">
        <v>8</v>
      </c>
      <c r="AB2045">
        <v>3</v>
      </c>
      <c r="AC2045">
        <v>0</v>
      </c>
      <c r="AD2045">
        <v>10</v>
      </c>
      <c r="AE2045">
        <v>0</v>
      </c>
      <c r="AF2045">
        <v>0</v>
      </c>
      <c r="AG2045">
        <v>2</v>
      </c>
      <c r="AH2045">
        <v>1</v>
      </c>
      <c r="AI2045" t="s">
        <v>1486</v>
      </c>
      <c r="AJ2045">
        <v>34.821038000000001</v>
      </c>
      <c r="AK2045" t="s">
        <v>1487</v>
      </c>
      <c r="AL2045">
        <v>-76.268163000000001</v>
      </c>
      <c r="AM2045">
        <v>25</v>
      </c>
      <c r="AN2045">
        <v>2550</v>
      </c>
      <c r="AO2045" t="s">
        <v>118</v>
      </c>
      <c r="AP2045">
        <v>-129</v>
      </c>
      <c r="AQ2045">
        <v>74</v>
      </c>
      <c r="AR2045">
        <v>1152</v>
      </c>
      <c r="AZ2045">
        <v>4516</v>
      </c>
      <c r="BA2045">
        <v>1</v>
      </c>
      <c r="BB2045" t="str">
        <f t="shared" si="197"/>
        <v xml:space="preserve">N79NX   </v>
      </c>
      <c r="BC2045">
        <v>1</v>
      </c>
      <c r="BE2045">
        <v>0</v>
      </c>
      <c r="BF2045">
        <v>0</v>
      </c>
      <c r="BG2045">
        <v>0</v>
      </c>
      <c r="BH2045">
        <v>2400</v>
      </c>
      <c r="BI2045">
        <v>0</v>
      </c>
      <c r="BJ2045">
        <v>0</v>
      </c>
      <c r="BK2045">
        <v>0</v>
      </c>
      <c r="BL2045">
        <v>0</v>
      </c>
      <c r="BO2045">
        <v>0</v>
      </c>
      <c r="BP2045">
        <v>0</v>
      </c>
      <c r="BW2045" t="str">
        <f>"19:00:21.206"</f>
        <v>19:00:21.206</v>
      </c>
      <c r="BZ2045">
        <v>0</v>
      </c>
      <c r="CA2045">
        <v>1888</v>
      </c>
      <c r="CB2045">
        <v>214.4</v>
      </c>
      <c r="CC2045">
        <v>625.78129999999999</v>
      </c>
      <c r="CD2045">
        <v>1</v>
      </c>
      <c r="CE2045">
        <v>0</v>
      </c>
      <c r="CF2045">
        <v>0</v>
      </c>
      <c r="CG2045">
        <v>1</v>
      </c>
      <c r="CH2045">
        <v>0</v>
      </c>
      <c r="CI2045">
        <v>1</v>
      </c>
      <c r="CJ2045">
        <v>0</v>
      </c>
      <c r="CK2045">
        <v>2</v>
      </c>
      <c r="CL2045">
        <v>0</v>
      </c>
      <c r="CM2045">
        <v>2</v>
      </c>
      <c r="CN2045">
        <v>0</v>
      </c>
      <c r="CO2045">
        <v>3</v>
      </c>
      <c r="CP2045" t="s">
        <v>119</v>
      </c>
      <c r="CQ2045">
        <v>70</v>
      </c>
      <c r="CR2045">
        <v>1</v>
      </c>
      <c r="CW2045">
        <v>3891832</v>
      </c>
      <c r="CY2045">
        <v>0</v>
      </c>
      <c r="CZ2045">
        <v>0</v>
      </c>
      <c r="DA2045">
        <v>0</v>
      </c>
      <c r="DB2045">
        <v>0</v>
      </c>
      <c r="DC2045">
        <v>0</v>
      </c>
      <c r="DD2045">
        <v>0</v>
      </c>
      <c r="DE2045">
        <v>0</v>
      </c>
      <c r="DF2045">
        <v>0</v>
      </c>
      <c r="DG2045">
        <v>0</v>
      </c>
      <c r="DH2045">
        <v>0</v>
      </c>
      <c r="DI2045">
        <v>0</v>
      </c>
    </row>
    <row r="2046" spans="1:113" x14ac:dyDescent="0.3">
      <c r="A2046" t="str">
        <f>"02/13/2022 19:00:21.401"</f>
        <v>02/13/2022 19:00:21.401</v>
      </c>
      <c r="C2046" t="str">
        <f t="shared" si="196"/>
        <v>FFDFD7C0</v>
      </c>
      <c r="D2046" t="s">
        <v>113</v>
      </c>
      <c r="E2046">
        <v>4</v>
      </c>
      <c r="F2046">
        <v>1004</v>
      </c>
      <c r="G2046" t="s">
        <v>120</v>
      </c>
      <c r="J2046" t="s">
        <v>115</v>
      </c>
      <c r="K2046">
        <v>0</v>
      </c>
      <c r="L2046">
        <v>3</v>
      </c>
      <c r="M2046">
        <v>0</v>
      </c>
      <c r="N2046">
        <v>2</v>
      </c>
      <c r="O2046">
        <v>1</v>
      </c>
      <c r="P2046">
        <v>0</v>
      </c>
      <c r="Q2046">
        <v>0</v>
      </c>
      <c r="S2046" t="str">
        <f t="shared" si="200"/>
        <v>19:00:21.203</v>
      </c>
      <c r="T2046" t="str">
        <f t="shared" si="200"/>
        <v>19:00:21.203</v>
      </c>
      <c r="U2046" t="str">
        <f t="shared" si="198"/>
        <v>AAB6EE</v>
      </c>
      <c r="V2046">
        <v>0</v>
      </c>
      <c r="W2046">
        <v>0</v>
      </c>
      <c r="X2046">
        <v>4</v>
      </c>
      <c r="Z2046">
        <v>0</v>
      </c>
      <c r="AA2046">
        <v>8</v>
      </c>
      <c r="AB2046">
        <v>3</v>
      </c>
      <c r="AC2046">
        <v>0</v>
      </c>
      <c r="AD2046">
        <v>10</v>
      </c>
      <c r="AE2046">
        <v>0</v>
      </c>
      <c r="AF2046">
        <v>0</v>
      </c>
      <c r="AG2046">
        <v>2</v>
      </c>
      <c r="AH2046">
        <v>1</v>
      </c>
      <c r="AI2046" t="s">
        <v>1486</v>
      </c>
      <c r="AJ2046">
        <v>34.821038000000001</v>
      </c>
      <c r="AK2046" t="s">
        <v>1487</v>
      </c>
      <c r="AL2046">
        <v>-76.268163000000001</v>
      </c>
      <c r="AM2046">
        <v>25</v>
      </c>
      <c r="AN2046">
        <v>2550</v>
      </c>
      <c r="AO2046" t="s">
        <v>118</v>
      </c>
      <c r="AP2046">
        <v>-129</v>
      </c>
      <c r="AQ2046">
        <v>74</v>
      </c>
      <c r="AR2046">
        <v>1152</v>
      </c>
      <c r="AZ2046">
        <v>4516</v>
      </c>
      <c r="BA2046">
        <v>1</v>
      </c>
      <c r="BB2046" t="str">
        <f t="shared" si="197"/>
        <v xml:space="preserve">N79NX   </v>
      </c>
      <c r="BC2046">
        <v>1</v>
      </c>
      <c r="BE2046">
        <v>0</v>
      </c>
      <c r="BF2046">
        <v>0</v>
      </c>
      <c r="BG2046">
        <v>0</v>
      </c>
      <c r="BH2046">
        <v>2400</v>
      </c>
      <c r="BI2046">
        <v>0</v>
      </c>
      <c r="BJ2046">
        <v>0</v>
      </c>
      <c r="BK2046">
        <v>0</v>
      </c>
      <c r="BL2046">
        <v>0</v>
      </c>
      <c r="BO2046">
        <v>0</v>
      </c>
      <c r="BP2046">
        <v>0</v>
      </c>
      <c r="BW2046" t="str">
        <f>"19:00:21.206"</f>
        <v>19:00:21.206</v>
      </c>
      <c r="BZ2046">
        <v>0</v>
      </c>
      <c r="CA2046">
        <v>1888</v>
      </c>
      <c r="CB2046">
        <v>214.4</v>
      </c>
      <c r="CC2046">
        <v>625.78129999999999</v>
      </c>
      <c r="CD2046">
        <v>1</v>
      </c>
      <c r="CE2046">
        <v>0</v>
      </c>
      <c r="CF2046">
        <v>0</v>
      </c>
      <c r="CG2046">
        <v>1</v>
      </c>
      <c r="CH2046">
        <v>0</v>
      </c>
      <c r="CI2046">
        <v>1</v>
      </c>
      <c r="CJ2046">
        <v>0</v>
      </c>
      <c r="CK2046">
        <v>2</v>
      </c>
      <c r="CL2046">
        <v>0</v>
      </c>
      <c r="CM2046">
        <v>2</v>
      </c>
      <c r="CN2046">
        <v>0</v>
      </c>
      <c r="CO2046">
        <v>3</v>
      </c>
      <c r="CP2046" t="s">
        <v>119</v>
      </c>
      <c r="CQ2046">
        <v>70</v>
      </c>
      <c r="CR2046">
        <v>1</v>
      </c>
      <c r="CW2046">
        <v>3891832</v>
      </c>
      <c r="CY2046">
        <v>0</v>
      </c>
      <c r="CZ2046">
        <v>0</v>
      </c>
      <c r="DA2046">
        <v>1</v>
      </c>
      <c r="DB2046">
        <v>0</v>
      </c>
      <c r="DC2046">
        <v>0</v>
      </c>
      <c r="DD2046">
        <v>0</v>
      </c>
      <c r="DE2046">
        <v>0</v>
      </c>
      <c r="DF2046">
        <v>0</v>
      </c>
      <c r="DG2046">
        <v>0</v>
      </c>
      <c r="DH2046">
        <v>0</v>
      </c>
      <c r="DI2046">
        <v>0</v>
      </c>
    </row>
    <row r="2047" spans="1:113" x14ac:dyDescent="0.3">
      <c r="A2047" t="str">
        <f>"02/13/2022 19:00:21.432"</f>
        <v>02/13/2022 19:00:21.432</v>
      </c>
      <c r="C2047" t="str">
        <f t="shared" si="196"/>
        <v>FFDFD7C0</v>
      </c>
      <c r="D2047" t="s">
        <v>121</v>
      </c>
      <c r="E2047">
        <v>2</v>
      </c>
      <c r="H2047">
        <v>158</v>
      </c>
      <c r="I2047" t="s">
        <v>120</v>
      </c>
      <c r="J2047" t="s">
        <v>122</v>
      </c>
      <c r="K2047">
        <v>0</v>
      </c>
      <c r="L2047">
        <v>3</v>
      </c>
      <c r="M2047">
        <v>0</v>
      </c>
      <c r="N2047">
        <v>2</v>
      </c>
      <c r="O2047">
        <v>1</v>
      </c>
      <c r="P2047">
        <v>0</v>
      </c>
      <c r="Q2047">
        <v>0</v>
      </c>
      <c r="S2047" t="str">
        <f t="shared" si="200"/>
        <v>19:00:21.203</v>
      </c>
      <c r="T2047" t="str">
        <f t="shared" si="200"/>
        <v>19:00:21.203</v>
      </c>
      <c r="U2047" t="str">
        <f t="shared" si="198"/>
        <v>AAB6EE</v>
      </c>
      <c r="V2047">
        <v>0</v>
      </c>
      <c r="W2047">
        <v>0</v>
      </c>
      <c r="X2047">
        <v>4</v>
      </c>
      <c r="Z2047">
        <v>0</v>
      </c>
      <c r="AA2047">
        <v>8</v>
      </c>
      <c r="AB2047">
        <v>3</v>
      </c>
      <c r="AC2047">
        <v>0</v>
      </c>
      <c r="AD2047">
        <v>10</v>
      </c>
      <c r="AE2047">
        <v>0</v>
      </c>
      <c r="AF2047">
        <v>0</v>
      </c>
      <c r="AG2047">
        <v>2</v>
      </c>
      <c r="AH2047">
        <v>1</v>
      </c>
      <c r="AI2047" t="s">
        <v>1486</v>
      </c>
      <c r="AJ2047">
        <v>34.821038000000001</v>
      </c>
      <c r="AK2047" t="s">
        <v>1487</v>
      </c>
      <c r="AL2047">
        <v>-76.268163000000001</v>
      </c>
      <c r="AM2047">
        <v>25</v>
      </c>
      <c r="AN2047">
        <v>2550</v>
      </c>
      <c r="AO2047" t="s">
        <v>118</v>
      </c>
      <c r="AP2047">
        <v>-129</v>
      </c>
      <c r="AQ2047">
        <v>74</v>
      </c>
      <c r="AR2047">
        <v>1152</v>
      </c>
      <c r="AZ2047">
        <v>4516</v>
      </c>
      <c r="BA2047">
        <v>1</v>
      </c>
      <c r="BB2047" t="str">
        <f t="shared" si="197"/>
        <v xml:space="preserve">N79NX   </v>
      </c>
      <c r="BC2047">
        <v>1</v>
      </c>
      <c r="BE2047">
        <v>0</v>
      </c>
      <c r="BF2047">
        <v>0</v>
      </c>
      <c r="BG2047">
        <v>0</v>
      </c>
      <c r="BH2047">
        <v>2400</v>
      </c>
      <c r="BI2047">
        <v>0</v>
      </c>
      <c r="BJ2047">
        <v>0</v>
      </c>
      <c r="BK2047">
        <v>0</v>
      </c>
      <c r="BL2047">
        <v>0</v>
      </c>
      <c r="BO2047">
        <v>0</v>
      </c>
      <c r="BP2047">
        <v>0</v>
      </c>
      <c r="BW2047" t="str">
        <f>"19:00:21.206"</f>
        <v>19:00:21.206</v>
      </c>
      <c r="BZ2047">
        <v>0</v>
      </c>
      <c r="CA2047">
        <v>1888</v>
      </c>
      <c r="CB2047">
        <v>214.4</v>
      </c>
      <c r="CC2047">
        <v>625.78129999999999</v>
      </c>
      <c r="CD2047">
        <v>1</v>
      </c>
      <c r="CE2047">
        <v>0</v>
      </c>
      <c r="CF2047">
        <v>0</v>
      </c>
      <c r="CG2047">
        <v>1</v>
      </c>
      <c r="CH2047">
        <v>0</v>
      </c>
      <c r="CI2047">
        <v>1</v>
      </c>
      <c r="CJ2047">
        <v>0</v>
      </c>
      <c r="CK2047">
        <v>2</v>
      </c>
      <c r="CL2047">
        <v>0</v>
      </c>
      <c r="CM2047">
        <v>2</v>
      </c>
      <c r="CN2047">
        <v>0</v>
      </c>
      <c r="CO2047">
        <v>3</v>
      </c>
      <c r="CP2047" t="s">
        <v>119</v>
      </c>
      <c r="CQ2047">
        <v>70</v>
      </c>
      <c r="CR2047">
        <v>1</v>
      </c>
      <c r="CW2047">
        <v>3891832</v>
      </c>
      <c r="CY2047">
        <v>0</v>
      </c>
      <c r="CZ2047">
        <v>0</v>
      </c>
      <c r="DA2047">
        <v>1</v>
      </c>
      <c r="DB2047">
        <v>0</v>
      </c>
      <c r="DC2047">
        <v>0</v>
      </c>
      <c r="DD2047">
        <v>0</v>
      </c>
      <c r="DE2047">
        <v>0</v>
      </c>
      <c r="DF2047">
        <v>0</v>
      </c>
      <c r="DG2047">
        <v>0</v>
      </c>
      <c r="DH2047">
        <v>0</v>
      </c>
      <c r="DI2047">
        <v>0</v>
      </c>
    </row>
    <row r="2048" spans="1:113" x14ac:dyDescent="0.3">
      <c r="A2048" t="str">
        <f>"02/13/2022 19:00:23.043"</f>
        <v>02/13/2022 19:00:23.043</v>
      </c>
      <c r="C2048" t="str">
        <f t="shared" si="196"/>
        <v>FFDFD7C0</v>
      </c>
      <c r="D2048" t="s">
        <v>113</v>
      </c>
      <c r="E2048">
        <v>3</v>
      </c>
      <c r="F2048">
        <v>1003</v>
      </c>
      <c r="G2048" t="s">
        <v>114</v>
      </c>
      <c r="J2048" t="s">
        <v>115</v>
      </c>
      <c r="K2048">
        <v>0</v>
      </c>
      <c r="L2048">
        <v>3</v>
      </c>
      <c r="M2048">
        <v>0</v>
      </c>
      <c r="N2048">
        <v>2</v>
      </c>
      <c r="O2048">
        <v>1</v>
      </c>
      <c r="P2048">
        <v>0</v>
      </c>
      <c r="Q2048">
        <v>0</v>
      </c>
      <c r="S2048" t="str">
        <f t="shared" ref="S2048:T2050" si="201">"19:00:22.813"</f>
        <v>19:00:22.813</v>
      </c>
      <c r="T2048" t="str">
        <f t="shared" si="201"/>
        <v>19:00:22.813</v>
      </c>
      <c r="U2048" t="str">
        <f t="shared" si="198"/>
        <v>AAB6EE</v>
      </c>
      <c r="V2048">
        <v>0</v>
      </c>
      <c r="W2048">
        <v>0</v>
      </c>
      <c r="X2048">
        <v>4</v>
      </c>
      <c r="Z2048">
        <v>0</v>
      </c>
      <c r="AA2048">
        <v>8</v>
      </c>
      <c r="AB2048">
        <v>3</v>
      </c>
      <c r="AC2048">
        <v>0</v>
      </c>
      <c r="AD2048">
        <v>10</v>
      </c>
      <c r="AE2048">
        <v>0</v>
      </c>
      <c r="AF2048">
        <v>0</v>
      </c>
      <c r="AG2048">
        <v>2</v>
      </c>
      <c r="AH2048">
        <v>1</v>
      </c>
      <c r="AI2048" t="s">
        <v>1488</v>
      </c>
      <c r="AJ2048">
        <v>34.821638999999998</v>
      </c>
      <c r="AK2048" t="s">
        <v>1489</v>
      </c>
      <c r="AL2048">
        <v>-76.269385999999997</v>
      </c>
      <c r="AM2048">
        <v>25</v>
      </c>
      <c r="AN2048">
        <v>2575</v>
      </c>
      <c r="AO2048" t="s">
        <v>118</v>
      </c>
      <c r="AP2048">
        <v>-127</v>
      </c>
      <c r="AQ2048">
        <v>79</v>
      </c>
      <c r="AR2048">
        <v>1984</v>
      </c>
      <c r="AZ2048">
        <v>4516</v>
      </c>
      <c r="BA2048">
        <v>1</v>
      </c>
      <c r="BB2048" t="str">
        <f t="shared" si="197"/>
        <v xml:space="preserve">N79NX   </v>
      </c>
      <c r="BC2048">
        <v>1</v>
      </c>
      <c r="BE2048">
        <v>0</v>
      </c>
      <c r="BF2048">
        <v>0</v>
      </c>
      <c r="BG2048">
        <v>0</v>
      </c>
      <c r="BH2048">
        <v>2425</v>
      </c>
      <c r="BI2048">
        <v>0</v>
      </c>
      <c r="BJ2048">
        <v>0</v>
      </c>
      <c r="BK2048">
        <v>0</v>
      </c>
      <c r="BL2048">
        <v>0</v>
      </c>
      <c r="BO2048">
        <v>0</v>
      </c>
      <c r="BP2048">
        <v>0</v>
      </c>
      <c r="BW2048" t="str">
        <f>"19:00:22.816"</f>
        <v>19:00:22.816</v>
      </c>
      <c r="BZ2048">
        <v>0</v>
      </c>
      <c r="CA2048">
        <v>1888</v>
      </c>
      <c r="CB2048">
        <v>214.4</v>
      </c>
      <c r="CC2048">
        <v>625.78129999999999</v>
      </c>
      <c r="CD2048">
        <v>1</v>
      </c>
      <c r="CE2048">
        <v>0</v>
      </c>
      <c r="CF2048">
        <v>0</v>
      </c>
      <c r="CG2048">
        <v>1</v>
      </c>
      <c r="CH2048">
        <v>0</v>
      </c>
      <c r="CI2048">
        <v>1</v>
      </c>
      <c r="CJ2048">
        <v>0</v>
      </c>
      <c r="CK2048">
        <v>2</v>
      </c>
      <c r="CL2048">
        <v>0</v>
      </c>
      <c r="CM2048">
        <v>2</v>
      </c>
      <c r="CN2048">
        <v>0</v>
      </c>
      <c r="CO2048">
        <v>3</v>
      </c>
      <c r="CP2048" t="s">
        <v>119</v>
      </c>
      <c r="CQ2048">
        <v>70</v>
      </c>
      <c r="CR2048">
        <v>1</v>
      </c>
      <c r="CW2048">
        <v>3893127</v>
      </c>
      <c r="CY2048">
        <v>0</v>
      </c>
      <c r="CZ2048">
        <v>0</v>
      </c>
      <c r="DA2048">
        <v>0</v>
      </c>
      <c r="DB2048">
        <v>0</v>
      </c>
      <c r="DC2048">
        <v>0</v>
      </c>
      <c r="DD2048">
        <v>0</v>
      </c>
      <c r="DE2048">
        <v>0</v>
      </c>
      <c r="DF2048">
        <v>0</v>
      </c>
      <c r="DG2048">
        <v>0</v>
      </c>
      <c r="DH2048">
        <v>0</v>
      </c>
      <c r="DI2048">
        <v>0</v>
      </c>
    </row>
    <row r="2049" spans="1:113" x14ac:dyDescent="0.3">
      <c r="A2049" t="str">
        <f>"02/13/2022 19:00:23.043"</f>
        <v>02/13/2022 19:00:23.043</v>
      </c>
      <c r="C2049" t="str">
        <f t="shared" ref="C2049:C2112" si="202">"FFDFD7C0"</f>
        <v>FFDFD7C0</v>
      </c>
      <c r="D2049" t="s">
        <v>113</v>
      </c>
      <c r="E2049">
        <v>4</v>
      </c>
      <c r="F2049">
        <v>1004</v>
      </c>
      <c r="G2049" t="s">
        <v>120</v>
      </c>
      <c r="J2049" t="s">
        <v>115</v>
      </c>
      <c r="K2049">
        <v>0</v>
      </c>
      <c r="L2049">
        <v>3</v>
      </c>
      <c r="M2049">
        <v>0</v>
      </c>
      <c r="N2049">
        <v>2</v>
      </c>
      <c r="O2049">
        <v>1</v>
      </c>
      <c r="P2049">
        <v>0</v>
      </c>
      <c r="Q2049">
        <v>0</v>
      </c>
      <c r="S2049" t="str">
        <f t="shared" si="201"/>
        <v>19:00:22.813</v>
      </c>
      <c r="T2049" t="str">
        <f t="shared" si="201"/>
        <v>19:00:22.813</v>
      </c>
      <c r="U2049" t="str">
        <f t="shared" si="198"/>
        <v>AAB6EE</v>
      </c>
      <c r="V2049">
        <v>0</v>
      </c>
      <c r="W2049">
        <v>0</v>
      </c>
      <c r="X2049">
        <v>4</v>
      </c>
      <c r="Z2049">
        <v>0</v>
      </c>
      <c r="AA2049">
        <v>8</v>
      </c>
      <c r="AB2049">
        <v>3</v>
      </c>
      <c r="AC2049">
        <v>0</v>
      </c>
      <c r="AD2049">
        <v>10</v>
      </c>
      <c r="AE2049">
        <v>0</v>
      </c>
      <c r="AF2049">
        <v>0</v>
      </c>
      <c r="AG2049">
        <v>2</v>
      </c>
      <c r="AH2049">
        <v>1</v>
      </c>
      <c r="AI2049" t="s">
        <v>1488</v>
      </c>
      <c r="AJ2049">
        <v>34.821638999999998</v>
      </c>
      <c r="AK2049" t="s">
        <v>1489</v>
      </c>
      <c r="AL2049">
        <v>-76.269385999999997</v>
      </c>
      <c r="AM2049">
        <v>25</v>
      </c>
      <c r="AN2049">
        <v>2575</v>
      </c>
      <c r="AO2049" t="s">
        <v>118</v>
      </c>
      <c r="AP2049">
        <v>-127</v>
      </c>
      <c r="AQ2049">
        <v>79</v>
      </c>
      <c r="AR2049">
        <v>1984</v>
      </c>
      <c r="AZ2049">
        <v>4516</v>
      </c>
      <c r="BA2049">
        <v>1</v>
      </c>
      <c r="BB2049" t="str">
        <f t="shared" ref="BB2049:BB2112" si="203">"N79NX   "</f>
        <v xml:space="preserve">N79NX   </v>
      </c>
      <c r="BC2049">
        <v>1</v>
      </c>
      <c r="BE2049">
        <v>0</v>
      </c>
      <c r="BF2049">
        <v>0</v>
      </c>
      <c r="BG2049">
        <v>0</v>
      </c>
      <c r="BH2049">
        <v>2425</v>
      </c>
      <c r="BI2049">
        <v>0</v>
      </c>
      <c r="BJ2049">
        <v>0</v>
      </c>
      <c r="BK2049">
        <v>0</v>
      </c>
      <c r="BL2049">
        <v>0</v>
      </c>
      <c r="BO2049">
        <v>0</v>
      </c>
      <c r="BP2049">
        <v>0</v>
      </c>
      <c r="BW2049" t="str">
        <f>"19:00:22.816"</f>
        <v>19:00:22.816</v>
      </c>
      <c r="BZ2049">
        <v>0</v>
      </c>
      <c r="CA2049">
        <v>1888</v>
      </c>
      <c r="CB2049">
        <v>214.4</v>
      </c>
      <c r="CC2049">
        <v>625.78129999999999</v>
      </c>
      <c r="CD2049">
        <v>1</v>
      </c>
      <c r="CE2049">
        <v>0</v>
      </c>
      <c r="CF2049">
        <v>0</v>
      </c>
      <c r="CG2049">
        <v>1</v>
      </c>
      <c r="CH2049">
        <v>0</v>
      </c>
      <c r="CI2049">
        <v>1</v>
      </c>
      <c r="CJ2049">
        <v>0</v>
      </c>
      <c r="CK2049">
        <v>2</v>
      </c>
      <c r="CL2049">
        <v>0</v>
      </c>
      <c r="CM2049">
        <v>2</v>
      </c>
      <c r="CN2049">
        <v>0</v>
      </c>
      <c r="CO2049">
        <v>3</v>
      </c>
      <c r="CP2049" t="s">
        <v>119</v>
      </c>
      <c r="CQ2049">
        <v>70</v>
      </c>
      <c r="CR2049">
        <v>1</v>
      </c>
      <c r="CW2049">
        <v>3893127</v>
      </c>
      <c r="CY2049">
        <v>0</v>
      </c>
      <c r="CZ2049">
        <v>0</v>
      </c>
      <c r="DA2049">
        <v>1</v>
      </c>
      <c r="DB2049">
        <v>0</v>
      </c>
      <c r="DC2049">
        <v>0</v>
      </c>
      <c r="DD2049">
        <v>0</v>
      </c>
      <c r="DE2049">
        <v>0</v>
      </c>
      <c r="DF2049">
        <v>0</v>
      </c>
      <c r="DG2049">
        <v>0</v>
      </c>
      <c r="DH2049">
        <v>0</v>
      </c>
      <c r="DI2049">
        <v>0</v>
      </c>
    </row>
    <row r="2050" spans="1:113" x14ac:dyDescent="0.3">
      <c r="A2050" t="str">
        <f>"02/13/2022 19:00:23.043"</f>
        <v>02/13/2022 19:00:23.043</v>
      </c>
      <c r="C2050" t="str">
        <f t="shared" si="202"/>
        <v>FFDFD7C0</v>
      </c>
      <c r="D2050" t="s">
        <v>121</v>
      </c>
      <c r="E2050">
        <v>2</v>
      </c>
      <c r="H2050">
        <v>158</v>
      </c>
      <c r="I2050" t="s">
        <v>120</v>
      </c>
      <c r="J2050" t="s">
        <v>122</v>
      </c>
      <c r="K2050">
        <v>0</v>
      </c>
      <c r="L2050">
        <v>3</v>
      </c>
      <c r="M2050">
        <v>0</v>
      </c>
      <c r="N2050">
        <v>2</v>
      </c>
      <c r="O2050">
        <v>1</v>
      </c>
      <c r="P2050">
        <v>0</v>
      </c>
      <c r="Q2050">
        <v>0</v>
      </c>
      <c r="S2050" t="str">
        <f t="shared" si="201"/>
        <v>19:00:22.813</v>
      </c>
      <c r="T2050" t="str">
        <f t="shared" si="201"/>
        <v>19:00:22.813</v>
      </c>
      <c r="U2050" t="str">
        <f t="shared" ref="U2050:U2113" si="204">"AAB6EE"</f>
        <v>AAB6EE</v>
      </c>
      <c r="V2050">
        <v>0</v>
      </c>
      <c r="W2050">
        <v>0</v>
      </c>
      <c r="X2050">
        <v>4</v>
      </c>
      <c r="Z2050">
        <v>0</v>
      </c>
      <c r="AA2050">
        <v>8</v>
      </c>
      <c r="AB2050">
        <v>3</v>
      </c>
      <c r="AC2050">
        <v>0</v>
      </c>
      <c r="AD2050">
        <v>10</v>
      </c>
      <c r="AE2050">
        <v>0</v>
      </c>
      <c r="AF2050">
        <v>0</v>
      </c>
      <c r="AG2050">
        <v>2</v>
      </c>
      <c r="AH2050">
        <v>1</v>
      </c>
      <c r="AI2050" t="s">
        <v>1488</v>
      </c>
      <c r="AJ2050">
        <v>34.821638999999998</v>
      </c>
      <c r="AK2050" t="s">
        <v>1489</v>
      </c>
      <c r="AL2050">
        <v>-76.269385999999997</v>
      </c>
      <c r="AM2050">
        <v>25</v>
      </c>
      <c r="AN2050">
        <v>2575</v>
      </c>
      <c r="AO2050" t="s">
        <v>118</v>
      </c>
      <c r="AP2050">
        <v>-127</v>
      </c>
      <c r="AQ2050">
        <v>79</v>
      </c>
      <c r="AR2050">
        <v>1984</v>
      </c>
      <c r="AZ2050">
        <v>4516</v>
      </c>
      <c r="BA2050">
        <v>1</v>
      </c>
      <c r="BB2050" t="str">
        <f t="shared" si="203"/>
        <v xml:space="preserve">N79NX   </v>
      </c>
      <c r="BC2050">
        <v>1</v>
      </c>
      <c r="BE2050">
        <v>0</v>
      </c>
      <c r="BF2050">
        <v>0</v>
      </c>
      <c r="BG2050">
        <v>0</v>
      </c>
      <c r="BH2050">
        <v>2425</v>
      </c>
      <c r="BI2050">
        <v>0</v>
      </c>
      <c r="BJ2050">
        <v>0</v>
      </c>
      <c r="BK2050">
        <v>0</v>
      </c>
      <c r="BL2050">
        <v>0</v>
      </c>
      <c r="BO2050">
        <v>0</v>
      </c>
      <c r="BP2050">
        <v>0</v>
      </c>
      <c r="BW2050" t="str">
        <f>"19:00:22.816"</f>
        <v>19:00:22.816</v>
      </c>
      <c r="BZ2050">
        <v>0</v>
      </c>
      <c r="CA2050">
        <v>1888</v>
      </c>
      <c r="CB2050">
        <v>214.4</v>
      </c>
      <c r="CC2050">
        <v>625.78129999999999</v>
      </c>
      <c r="CD2050">
        <v>1</v>
      </c>
      <c r="CE2050">
        <v>0</v>
      </c>
      <c r="CF2050">
        <v>0</v>
      </c>
      <c r="CG2050">
        <v>1</v>
      </c>
      <c r="CH2050">
        <v>0</v>
      </c>
      <c r="CI2050">
        <v>1</v>
      </c>
      <c r="CJ2050">
        <v>0</v>
      </c>
      <c r="CK2050">
        <v>2</v>
      </c>
      <c r="CL2050">
        <v>0</v>
      </c>
      <c r="CM2050">
        <v>2</v>
      </c>
      <c r="CN2050">
        <v>0</v>
      </c>
      <c r="CO2050">
        <v>3</v>
      </c>
      <c r="CP2050" t="s">
        <v>119</v>
      </c>
      <c r="CQ2050">
        <v>70</v>
      </c>
      <c r="CR2050">
        <v>1</v>
      </c>
      <c r="CW2050">
        <v>3893127</v>
      </c>
      <c r="CY2050">
        <v>0</v>
      </c>
      <c r="CZ2050">
        <v>0</v>
      </c>
      <c r="DA2050">
        <v>1</v>
      </c>
      <c r="DB2050">
        <v>0</v>
      </c>
      <c r="DC2050">
        <v>0</v>
      </c>
      <c r="DD2050">
        <v>0</v>
      </c>
      <c r="DE2050">
        <v>0</v>
      </c>
      <c r="DF2050">
        <v>0</v>
      </c>
      <c r="DG2050">
        <v>0</v>
      </c>
      <c r="DH2050">
        <v>0</v>
      </c>
      <c r="DI2050">
        <v>0</v>
      </c>
    </row>
    <row r="2051" spans="1:113" x14ac:dyDescent="0.3">
      <c r="A2051" t="str">
        <f>"02/13/2022 19:00:24.121"</f>
        <v>02/13/2022 19:00:24.121</v>
      </c>
      <c r="C2051" t="str">
        <f t="shared" si="202"/>
        <v>FFDFD7C0</v>
      </c>
      <c r="D2051" t="s">
        <v>113</v>
      </c>
      <c r="E2051">
        <v>3</v>
      </c>
      <c r="F2051">
        <v>1003</v>
      </c>
      <c r="G2051" t="s">
        <v>114</v>
      </c>
      <c r="J2051" t="s">
        <v>115</v>
      </c>
      <c r="K2051">
        <v>0</v>
      </c>
      <c r="L2051">
        <v>3</v>
      </c>
      <c r="M2051">
        <v>0</v>
      </c>
      <c r="N2051">
        <v>2</v>
      </c>
      <c r="O2051">
        <v>1</v>
      </c>
      <c r="P2051">
        <v>0</v>
      </c>
      <c r="Q2051">
        <v>0</v>
      </c>
      <c r="S2051" t="str">
        <f t="shared" ref="S2051:T2053" si="205">"19:00:23.945"</f>
        <v>19:00:23.945</v>
      </c>
      <c r="T2051" t="str">
        <f t="shared" si="205"/>
        <v>19:00:23.945</v>
      </c>
      <c r="U2051" t="str">
        <f t="shared" si="204"/>
        <v>AAB6EE</v>
      </c>
      <c r="V2051">
        <v>0</v>
      </c>
      <c r="W2051">
        <v>0</v>
      </c>
      <c r="X2051">
        <v>4</v>
      </c>
      <c r="Z2051">
        <v>0</v>
      </c>
      <c r="AA2051">
        <v>8</v>
      </c>
      <c r="AB2051">
        <v>3</v>
      </c>
      <c r="AC2051">
        <v>0</v>
      </c>
      <c r="AD2051">
        <v>10</v>
      </c>
      <c r="AE2051">
        <v>0</v>
      </c>
      <c r="AF2051">
        <v>0</v>
      </c>
      <c r="AG2051">
        <v>2</v>
      </c>
      <c r="AH2051">
        <v>1</v>
      </c>
      <c r="AI2051" t="s">
        <v>1490</v>
      </c>
      <c r="AJ2051">
        <v>34.822046999999998</v>
      </c>
      <c r="AK2051" t="s">
        <v>1491</v>
      </c>
      <c r="AL2051">
        <v>-76.270179999999996</v>
      </c>
      <c r="AM2051">
        <v>25</v>
      </c>
      <c r="AN2051">
        <v>2625</v>
      </c>
      <c r="AO2051" t="s">
        <v>118</v>
      </c>
      <c r="AP2051">
        <v>-125</v>
      </c>
      <c r="AQ2051">
        <v>80</v>
      </c>
      <c r="AR2051">
        <v>2688</v>
      </c>
      <c r="AZ2051">
        <v>4516</v>
      </c>
      <c r="BA2051">
        <v>1</v>
      </c>
      <c r="BB2051" t="str">
        <f t="shared" si="203"/>
        <v xml:space="preserve">N79NX   </v>
      </c>
      <c r="BC2051">
        <v>1</v>
      </c>
      <c r="BE2051">
        <v>0</v>
      </c>
      <c r="BF2051">
        <v>0</v>
      </c>
      <c r="BG2051">
        <v>0</v>
      </c>
      <c r="BH2051">
        <v>2475</v>
      </c>
      <c r="BI2051">
        <v>0</v>
      </c>
      <c r="BJ2051">
        <v>0</v>
      </c>
      <c r="BK2051">
        <v>0</v>
      </c>
      <c r="BL2051">
        <v>0</v>
      </c>
      <c r="BO2051">
        <v>0</v>
      </c>
      <c r="BP2051">
        <v>0</v>
      </c>
      <c r="BW2051" t="str">
        <f>"19:00:23.946"</f>
        <v>19:00:23.946</v>
      </c>
      <c r="BZ2051">
        <v>0</v>
      </c>
      <c r="CA2051">
        <v>1888</v>
      </c>
      <c r="CB2051">
        <v>214.4</v>
      </c>
      <c r="CC2051">
        <v>625.78129999999999</v>
      </c>
      <c r="CD2051">
        <v>1</v>
      </c>
      <c r="CE2051">
        <v>0</v>
      </c>
      <c r="CF2051">
        <v>0</v>
      </c>
      <c r="CG2051">
        <v>1</v>
      </c>
      <c r="CH2051">
        <v>0</v>
      </c>
      <c r="CI2051">
        <v>1</v>
      </c>
      <c r="CJ2051">
        <v>0</v>
      </c>
      <c r="CK2051">
        <v>2</v>
      </c>
      <c r="CL2051">
        <v>0</v>
      </c>
      <c r="CM2051">
        <v>2</v>
      </c>
      <c r="CN2051">
        <v>0</v>
      </c>
      <c r="CO2051">
        <v>3</v>
      </c>
      <c r="CP2051" t="s">
        <v>119</v>
      </c>
      <c r="CQ2051">
        <v>70</v>
      </c>
      <c r="CR2051">
        <v>1</v>
      </c>
      <c r="CW2051">
        <v>3894067</v>
      </c>
      <c r="CY2051">
        <v>0</v>
      </c>
      <c r="CZ2051">
        <v>0</v>
      </c>
      <c r="DA2051">
        <v>0</v>
      </c>
      <c r="DB2051">
        <v>0</v>
      </c>
      <c r="DC2051">
        <v>0</v>
      </c>
      <c r="DD2051">
        <v>0</v>
      </c>
      <c r="DE2051">
        <v>0</v>
      </c>
      <c r="DF2051">
        <v>0</v>
      </c>
      <c r="DG2051">
        <v>0</v>
      </c>
      <c r="DH2051">
        <v>0</v>
      </c>
      <c r="DI2051">
        <v>0</v>
      </c>
    </row>
    <row r="2052" spans="1:113" x14ac:dyDescent="0.3">
      <c r="A2052" t="str">
        <f>"02/13/2022 19:00:24.137"</f>
        <v>02/13/2022 19:00:24.137</v>
      </c>
      <c r="C2052" t="str">
        <f t="shared" si="202"/>
        <v>FFDFD7C0</v>
      </c>
      <c r="D2052" t="s">
        <v>113</v>
      </c>
      <c r="E2052">
        <v>4</v>
      </c>
      <c r="F2052">
        <v>1004</v>
      </c>
      <c r="G2052" t="s">
        <v>120</v>
      </c>
      <c r="J2052" t="s">
        <v>115</v>
      </c>
      <c r="K2052">
        <v>0</v>
      </c>
      <c r="L2052">
        <v>3</v>
      </c>
      <c r="M2052">
        <v>0</v>
      </c>
      <c r="N2052">
        <v>2</v>
      </c>
      <c r="O2052">
        <v>1</v>
      </c>
      <c r="P2052">
        <v>0</v>
      </c>
      <c r="Q2052">
        <v>0</v>
      </c>
      <c r="S2052" t="str">
        <f t="shared" si="205"/>
        <v>19:00:23.945</v>
      </c>
      <c r="T2052" t="str">
        <f t="shared" si="205"/>
        <v>19:00:23.945</v>
      </c>
      <c r="U2052" t="str">
        <f t="shared" si="204"/>
        <v>AAB6EE</v>
      </c>
      <c r="V2052">
        <v>0</v>
      </c>
      <c r="W2052">
        <v>0</v>
      </c>
      <c r="X2052">
        <v>4</v>
      </c>
      <c r="Z2052">
        <v>0</v>
      </c>
      <c r="AA2052">
        <v>8</v>
      </c>
      <c r="AB2052">
        <v>3</v>
      </c>
      <c r="AC2052">
        <v>0</v>
      </c>
      <c r="AD2052">
        <v>10</v>
      </c>
      <c r="AE2052">
        <v>0</v>
      </c>
      <c r="AF2052">
        <v>0</v>
      </c>
      <c r="AG2052">
        <v>2</v>
      </c>
      <c r="AH2052">
        <v>1</v>
      </c>
      <c r="AI2052" t="s">
        <v>1490</v>
      </c>
      <c r="AJ2052">
        <v>34.822046999999998</v>
      </c>
      <c r="AK2052" t="s">
        <v>1491</v>
      </c>
      <c r="AL2052">
        <v>-76.270179999999996</v>
      </c>
      <c r="AM2052">
        <v>25</v>
      </c>
      <c r="AN2052">
        <v>2625</v>
      </c>
      <c r="AO2052" t="s">
        <v>118</v>
      </c>
      <c r="AP2052">
        <v>-125</v>
      </c>
      <c r="AQ2052">
        <v>80</v>
      </c>
      <c r="AR2052">
        <v>2688</v>
      </c>
      <c r="AZ2052">
        <v>4516</v>
      </c>
      <c r="BA2052">
        <v>1</v>
      </c>
      <c r="BB2052" t="str">
        <f t="shared" si="203"/>
        <v xml:space="preserve">N79NX   </v>
      </c>
      <c r="BC2052">
        <v>1</v>
      </c>
      <c r="BE2052">
        <v>0</v>
      </c>
      <c r="BF2052">
        <v>0</v>
      </c>
      <c r="BG2052">
        <v>0</v>
      </c>
      <c r="BH2052">
        <v>2475</v>
      </c>
      <c r="BI2052">
        <v>0</v>
      </c>
      <c r="BJ2052">
        <v>0</v>
      </c>
      <c r="BK2052">
        <v>0</v>
      </c>
      <c r="BL2052">
        <v>0</v>
      </c>
      <c r="BO2052">
        <v>0</v>
      </c>
      <c r="BP2052">
        <v>0</v>
      </c>
      <c r="BW2052" t="str">
        <f>"19:00:23.946"</f>
        <v>19:00:23.946</v>
      </c>
      <c r="BZ2052">
        <v>0</v>
      </c>
      <c r="CA2052">
        <v>1888</v>
      </c>
      <c r="CB2052">
        <v>214.4</v>
      </c>
      <c r="CC2052">
        <v>625.78129999999999</v>
      </c>
      <c r="CD2052">
        <v>1</v>
      </c>
      <c r="CE2052">
        <v>0</v>
      </c>
      <c r="CF2052">
        <v>0</v>
      </c>
      <c r="CG2052">
        <v>1</v>
      </c>
      <c r="CH2052">
        <v>0</v>
      </c>
      <c r="CI2052">
        <v>1</v>
      </c>
      <c r="CJ2052">
        <v>0</v>
      </c>
      <c r="CK2052">
        <v>2</v>
      </c>
      <c r="CL2052">
        <v>0</v>
      </c>
      <c r="CM2052">
        <v>2</v>
      </c>
      <c r="CN2052">
        <v>0</v>
      </c>
      <c r="CO2052">
        <v>3</v>
      </c>
      <c r="CP2052" t="s">
        <v>119</v>
      </c>
      <c r="CQ2052">
        <v>70</v>
      </c>
      <c r="CR2052">
        <v>1</v>
      </c>
      <c r="CW2052">
        <v>3894067</v>
      </c>
      <c r="CY2052">
        <v>0</v>
      </c>
      <c r="CZ2052">
        <v>0</v>
      </c>
      <c r="DA2052">
        <v>1</v>
      </c>
      <c r="DB2052">
        <v>0</v>
      </c>
      <c r="DC2052">
        <v>0</v>
      </c>
      <c r="DD2052">
        <v>0</v>
      </c>
      <c r="DE2052">
        <v>0</v>
      </c>
      <c r="DF2052">
        <v>0</v>
      </c>
      <c r="DG2052">
        <v>0</v>
      </c>
      <c r="DH2052">
        <v>0</v>
      </c>
      <c r="DI2052">
        <v>0</v>
      </c>
    </row>
    <row r="2053" spans="1:113" x14ac:dyDescent="0.3">
      <c r="A2053" t="str">
        <f>"02/13/2022 19:00:24.152"</f>
        <v>02/13/2022 19:00:24.152</v>
      </c>
      <c r="C2053" t="str">
        <f t="shared" si="202"/>
        <v>FFDFD7C0</v>
      </c>
      <c r="D2053" t="s">
        <v>121</v>
      </c>
      <c r="E2053">
        <v>2</v>
      </c>
      <c r="H2053">
        <v>158</v>
      </c>
      <c r="I2053" t="s">
        <v>120</v>
      </c>
      <c r="J2053" t="s">
        <v>122</v>
      </c>
      <c r="K2053">
        <v>0</v>
      </c>
      <c r="L2053">
        <v>3</v>
      </c>
      <c r="M2053">
        <v>0</v>
      </c>
      <c r="N2053">
        <v>2</v>
      </c>
      <c r="O2053">
        <v>1</v>
      </c>
      <c r="P2053">
        <v>0</v>
      </c>
      <c r="Q2053">
        <v>0</v>
      </c>
      <c r="S2053" t="str">
        <f t="shared" si="205"/>
        <v>19:00:23.945</v>
      </c>
      <c r="T2053" t="str">
        <f t="shared" si="205"/>
        <v>19:00:23.945</v>
      </c>
      <c r="U2053" t="str">
        <f t="shared" si="204"/>
        <v>AAB6EE</v>
      </c>
      <c r="V2053">
        <v>0</v>
      </c>
      <c r="W2053">
        <v>0</v>
      </c>
      <c r="X2053">
        <v>4</v>
      </c>
      <c r="Z2053">
        <v>0</v>
      </c>
      <c r="AA2053">
        <v>8</v>
      </c>
      <c r="AB2053">
        <v>3</v>
      </c>
      <c r="AC2053">
        <v>0</v>
      </c>
      <c r="AD2053">
        <v>10</v>
      </c>
      <c r="AE2053">
        <v>0</v>
      </c>
      <c r="AF2053">
        <v>0</v>
      </c>
      <c r="AG2053">
        <v>2</v>
      </c>
      <c r="AH2053">
        <v>1</v>
      </c>
      <c r="AI2053" t="s">
        <v>1490</v>
      </c>
      <c r="AJ2053">
        <v>34.822046999999998</v>
      </c>
      <c r="AK2053" t="s">
        <v>1491</v>
      </c>
      <c r="AL2053">
        <v>-76.270179999999996</v>
      </c>
      <c r="AM2053">
        <v>25</v>
      </c>
      <c r="AN2053">
        <v>2625</v>
      </c>
      <c r="AO2053" t="s">
        <v>118</v>
      </c>
      <c r="AP2053">
        <v>-125</v>
      </c>
      <c r="AQ2053">
        <v>80</v>
      </c>
      <c r="AR2053">
        <v>2688</v>
      </c>
      <c r="AZ2053">
        <v>4516</v>
      </c>
      <c r="BA2053">
        <v>1</v>
      </c>
      <c r="BB2053" t="str">
        <f t="shared" si="203"/>
        <v xml:space="preserve">N79NX   </v>
      </c>
      <c r="BC2053">
        <v>1</v>
      </c>
      <c r="BE2053">
        <v>0</v>
      </c>
      <c r="BF2053">
        <v>0</v>
      </c>
      <c r="BG2053">
        <v>0</v>
      </c>
      <c r="BH2053">
        <v>2475</v>
      </c>
      <c r="BI2053">
        <v>0</v>
      </c>
      <c r="BJ2053">
        <v>0</v>
      </c>
      <c r="BK2053">
        <v>0</v>
      </c>
      <c r="BL2053">
        <v>0</v>
      </c>
      <c r="BO2053">
        <v>0</v>
      </c>
      <c r="BP2053">
        <v>0</v>
      </c>
      <c r="BW2053" t="str">
        <f>"19:00:23.946"</f>
        <v>19:00:23.946</v>
      </c>
      <c r="BZ2053">
        <v>0</v>
      </c>
      <c r="CA2053">
        <v>1888</v>
      </c>
      <c r="CB2053">
        <v>214.4</v>
      </c>
      <c r="CC2053">
        <v>625.78129999999999</v>
      </c>
      <c r="CD2053">
        <v>1</v>
      </c>
      <c r="CE2053">
        <v>0</v>
      </c>
      <c r="CF2053">
        <v>0</v>
      </c>
      <c r="CG2053">
        <v>1</v>
      </c>
      <c r="CH2053">
        <v>0</v>
      </c>
      <c r="CI2053">
        <v>1</v>
      </c>
      <c r="CJ2053">
        <v>0</v>
      </c>
      <c r="CK2053">
        <v>2</v>
      </c>
      <c r="CL2053">
        <v>0</v>
      </c>
      <c r="CM2053">
        <v>2</v>
      </c>
      <c r="CN2053">
        <v>0</v>
      </c>
      <c r="CO2053">
        <v>3</v>
      </c>
      <c r="CP2053" t="s">
        <v>119</v>
      </c>
      <c r="CQ2053">
        <v>70</v>
      </c>
      <c r="CR2053">
        <v>1</v>
      </c>
      <c r="CW2053">
        <v>3894067</v>
      </c>
      <c r="CY2053">
        <v>0</v>
      </c>
      <c r="CZ2053">
        <v>0</v>
      </c>
      <c r="DA2053">
        <v>1</v>
      </c>
      <c r="DB2053">
        <v>0</v>
      </c>
      <c r="DC2053">
        <v>0</v>
      </c>
      <c r="DD2053">
        <v>0</v>
      </c>
      <c r="DE2053">
        <v>0</v>
      </c>
      <c r="DF2053">
        <v>0</v>
      </c>
      <c r="DG2053">
        <v>0</v>
      </c>
      <c r="DH2053">
        <v>0</v>
      </c>
      <c r="DI2053">
        <v>0</v>
      </c>
    </row>
    <row r="2054" spans="1:113" x14ac:dyDescent="0.3">
      <c r="A2054" t="str">
        <f>"02/13/2022 19:00:25.092"</f>
        <v>02/13/2022 19:00:25.092</v>
      </c>
      <c r="C2054" t="str">
        <f t="shared" si="202"/>
        <v>FFDFD7C0</v>
      </c>
      <c r="D2054" t="s">
        <v>113</v>
      </c>
      <c r="E2054">
        <v>3</v>
      </c>
      <c r="F2054">
        <v>1003</v>
      </c>
      <c r="G2054" t="s">
        <v>114</v>
      </c>
      <c r="J2054" t="s">
        <v>115</v>
      </c>
      <c r="K2054">
        <v>0</v>
      </c>
      <c r="L2054">
        <v>3</v>
      </c>
      <c r="M2054">
        <v>0</v>
      </c>
      <c r="N2054">
        <v>2</v>
      </c>
      <c r="O2054">
        <v>1</v>
      </c>
      <c r="P2054">
        <v>0</v>
      </c>
      <c r="Q2054">
        <v>0</v>
      </c>
      <c r="S2054" t="str">
        <f>"19:00:24.859"</f>
        <v>19:00:24.859</v>
      </c>
      <c r="T2054" t="str">
        <f>"19:00:24.559"</f>
        <v>19:00:24.559</v>
      </c>
      <c r="U2054" t="str">
        <f t="shared" si="204"/>
        <v>AAB6EE</v>
      </c>
      <c r="V2054">
        <v>0</v>
      </c>
      <c r="W2054">
        <v>0</v>
      </c>
      <c r="X2054">
        <v>4</v>
      </c>
      <c r="Z2054">
        <v>0</v>
      </c>
      <c r="AA2054">
        <v>8</v>
      </c>
      <c r="AB2054">
        <v>3</v>
      </c>
      <c r="AC2054">
        <v>0</v>
      </c>
      <c r="AD2054">
        <v>10</v>
      </c>
      <c r="AE2054">
        <v>0</v>
      </c>
      <c r="AF2054">
        <v>0</v>
      </c>
      <c r="AG2054">
        <v>2</v>
      </c>
      <c r="AH2054">
        <v>1</v>
      </c>
      <c r="AI2054" t="s">
        <v>1492</v>
      </c>
      <c r="AJ2054">
        <v>34.822369000000002</v>
      </c>
      <c r="AK2054" t="s">
        <v>1493</v>
      </c>
      <c r="AL2054">
        <v>-76.270802000000003</v>
      </c>
      <c r="AM2054">
        <v>25</v>
      </c>
      <c r="AN2054">
        <v>2650</v>
      </c>
      <c r="AO2054" t="s">
        <v>118</v>
      </c>
      <c r="AP2054">
        <v>-124</v>
      </c>
      <c r="AQ2054">
        <v>79</v>
      </c>
      <c r="AR2054">
        <v>2944</v>
      </c>
      <c r="AZ2054">
        <v>4516</v>
      </c>
      <c r="BA2054">
        <v>1</v>
      </c>
      <c r="BB2054" t="str">
        <f t="shared" si="203"/>
        <v xml:space="preserve">N79NX   </v>
      </c>
      <c r="BC2054">
        <v>1</v>
      </c>
      <c r="BE2054">
        <v>0</v>
      </c>
      <c r="BF2054">
        <v>0</v>
      </c>
      <c r="BG2054">
        <v>0</v>
      </c>
      <c r="BH2054">
        <v>2525</v>
      </c>
      <c r="BI2054">
        <v>0</v>
      </c>
      <c r="BJ2054">
        <v>0</v>
      </c>
      <c r="BK2054">
        <v>0</v>
      </c>
      <c r="BL2054">
        <v>0</v>
      </c>
      <c r="BO2054">
        <v>0</v>
      </c>
      <c r="BP2054">
        <v>0</v>
      </c>
      <c r="BW2054" t="str">
        <f>"19:00:24.866"</f>
        <v>19:00:24.866</v>
      </c>
      <c r="BZ2054">
        <v>0</v>
      </c>
      <c r="CA2054">
        <v>1888</v>
      </c>
      <c r="CB2054">
        <v>214.4</v>
      </c>
      <c r="CC2054">
        <v>625.78129999999999</v>
      </c>
      <c r="CD2054">
        <v>1</v>
      </c>
      <c r="CE2054">
        <v>0</v>
      </c>
      <c r="CF2054">
        <v>0</v>
      </c>
      <c r="CG2054">
        <v>1</v>
      </c>
      <c r="CH2054">
        <v>0</v>
      </c>
      <c r="CI2054">
        <v>1</v>
      </c>
      <c r="CJ2054">
        <v>0</v>
      </c>
      <c r="CK2054">
        <v>2</v>
      </c>
      <c r="CL2054">
        <v>0</v>
      </c>
      <c r="CM2054">
        <v>2</v>
      </c>
      <c r="CN2054">
        <v>0</v>
      </c>
      <c r="CO2054">
        <v>3</v>
      </c>
      <c r="CP2054" t="s">
        <v>119</v>
      </c>
      <c r="CQ2054">
        <v>70</v>
      </c>
      <c r="CR2054">
        <v>1</v>
      </c>
      <c r="CW2054">
        <v>3894906</v>
      </c>
      <c r="CY2054">
        <v>0</v>
      </c>
      <c r="CZ2054">
        <v>0</v>
      </c>
      <c r="DA2054">
        <v>0</v>
      </c>
      <c r="DB2054">
        <v>0</v>
      </c>
      <c r="DC2054">
        <v>0</v>
      </c>
      <c r="DD2054">
        <v>0</v>
      </c>
      <c r="DE2054">
        <v>0</v>
      </c>
      <c r="DF2054">
        <v>0</v>
      </c>
      <c r="DG2054">
        <v>0</v>
      </c>
      <c r="DH2054">
        <v>0</v>
      </c>
      <c r="DI2054">
        <v>0</v>
      </c>
    </row>
    <row r="2055" spans="1:113" x14ac:dyDescent="0.3">
      <c r="A2055" t="str">
        <f>"02/13/2022 19:00:25.123"</f>
        <v>02/13/2022 19:00:25.123</v>
      </c>
      <c r="C2055" t="str">
        <f t="shared" si="202"/>
        <v>FFDFD7C0</v>
      </c>
      <c r="D2055" t="s">
        <v>113</v>
      </c>
      <c r="E2055">
        <v>4</v>
      </c>
      <c r="F2055">
        <v>1004</v>
      </c>
      <c r="G2055" t="s">
        <v>120</v>
      </c>
      <c r="J2055" t="s">
        <v>115</v>
      </c>
      <c r="K2055">
        <v>0</v>
      </c>
      <c r="L2055">
        <v>3</v>
      </c>
      <c r="M2055">
        <v>0</v>
      </c>
      <c r="N2055">
        <v>2</v>
      </c>
      <c r="O2055">
        <v>1</v>
      </c>
      <c r="P2055">
        <v>0</v>
      </c>
      <c r="Q2055">
        <v>0</v>
      </c>
      <c r="S2055" t="str">
        <f>"19:00:24.859"</f>
        <v>19:00:24.859</v>
      </c>
      <c r="T2055" t="str">
        <f>"19:00:24.559"</f>
        <v>19:00:24.559</v>
      </c>
      <c r="U2055" t="str">
        <f t="shared" si="204"/>
        <v>AAB6EE</v>
      </c>
      <c r="V2055">
        <v>0</v>
      </c>
      <c r="W2055">
        <v>0</v>
      </c>
      <c r="X2055">
        <v>4</v>
      </c>
      <c r="Z2055">
        <v>0</v>
      </c>
      <c r="AA2055">
        <v>8</v>
      </c>
      <c r="AB2055">
        <v>3</v>
      </c>
      <c r="AC2055">
        <v>0</v>
      </c>
      <c r="AD2055">
        <v>10</v>
      </c>
      <c r="AE2055">
        <v>0</v>
      </c>
      <c r="AF2055">
        <v>0</v>
      </c>
      <c r="AG2055">
        <v>2</v>
      </c>
      <c r="AH2055">
        <v>1</v>
      </c>
      <c r="AI2055" t="s">
        <v>1492</v>
      </c>
      <c r="AJ2055">
        <v>34.822369000000002</v>
      </c>
      <c r="AK2055" t="s">
        <v>1493</v>
      </c>
      <c r="AL2055">
        <v>-76.270802000000003</v>
      </c>
      <c r="AM2055">
        <v>25</v>
      </c>
      <c r="AN2055">
        <v>2650</v>
      </c>
      <c r="AO2055" t="s">
        <v>118</v>
      </c>
      <c r="AP2055">
        <v>-124</v>
      </c>
      <c r="AQ2055">
        <v>79</v>
      </c>
      <c r="AR2055">
        <v>2944</v>
      </c>
      <c r="AZ2055">
        <v>4516</v>
      </c>
      <c r="BA2055">
        <v>1</v>
      </c>
      <c r="BB2055" t="str">
        <f t="shared" si="203"/>
        <v xml:space="preserve">N79NX   </v>
      </c>
      <c r="BC2055">
        <v>1</v>
      </c>
      <c r="BE2055">
        <v>0</v>
      </c>
      <c r="BF2055">
        <v>0</v>
      </c>
      <c r="BG2055">
        <v>0</v>
      </c>
      <c r="BH2055">
        <v>2525</v>
      </c>
      <c r="BI2055">
        <v>0</v>
      </c>
      <c r="BJ2055">
        <v>0</v>
      </c>
      <c r="BK2055">
        <v>0</v>
      </c>
      <c r="BL2055">
        <v>0</v>
      </c>
      <c r="BO2055">
        <v>0</v>
      </c>
      <c r="BP2055">
        <v>0</v>
      </c>
      <c r="BW2055" t="str">
        <f>"19:00:24.866"</f>
        <v>19:00:24.866</v>
      </c>
      <c r="BZ2055">
        <v>0</v>
      </c>
      <c r="CA2055">
        <v>1888</v>
      </c>
      <c r="CB2055">
        <v>214.4</v>
      </c>
      <c r="CC2055">
        <v>625.78129999999999</v>
      </c>
      <c r="CD2055">
        <v>1</v>
      </c>
      <c r="CE2055">
        <v>0</v>
      </c>
      <c r="CF2055">
        <v>0</v>
      </c>
      <c r="CG2055">
        <v>1</v>
      </c>
      <c r="CH2055">
        <v>0</v>
      </c>
      <c r="CI2055">
        <v>1</v>
      </c>
      <c r="CJ2055">
        <v>0</v>
      </c>
      <c r="CK2055">
        <v>2</v>
      </c>
      <c r="CL2055">
        <v>0</v>
      </c>
      <c r="CM2055">
        <v>2</v>
      </c>
      <c r="CN2055">
        <v>0</v>
      </c>
      <c r="CO2055">
        <v>3</v>
      </c>
      <c r="CP2055" t="s">
        <v>119</v>
      </c>
      <c r="CQ2055">
        <v>70</v>
      </c>
      <c r="CR2055">
        <v>1</v>
      </c>
      <c r="CW2055">
        <v>3894906</v>
      </c>
      <c r="CY2055">
        <v>0</v>
      </c>
      <c r="CZ2055">
        <v>0</v>
      </c>
      <c r="DA2055">
        <v>1</v>
      </c>
      <c r="DB2055">
        <v>0</v>
      </c>
      <c r="DC2055">
        <v>0</v>
      </c>
      <c r="DD2055">
        <v>0</v>
      </c>
      <c r="DE2055">
        <v>0</v>
      </c>
      <c r="DF2055">
        <v>0</v>
      </c>
      <c r="DG2055">
        <v>0</v>
      </c>
      <c r="DH2055">
        <v>0</v>
      </c>
      <c r="DI2055">
        <v>0</v>
      </c>
    </row>
    <row r="2056" spans="1:113" x14ac:dyDescent="0.3">
      <c r="A2056" t="str">
        <f>"02/13/2022 19:00:25.123"</f>
        <v>02/13/2022 19:00:25.123</v>
      </c>
      <c r="C2056" t="str">
        <f t="shared" si="202"/>
        <v>FFDFD7C0</v>
      </c>
      <c r="D2056" t="s">
        <v>121</v>
      </c>
      <c r="E2056">
        <v>2</v>
      </c>
      <c r="H2056">
        <v>158</v>
      </c>
      <c r="I2056" t="s">
        <v>120</v>
      </c>
      <c r="J2056" t="s">
        <v>122</v>
      </c>
      <c r="K2056">
        <v>0</v>
      </c>
      <c r="L2056">
        <v>3</v>
      </c>
      <c r="M2056">
        <v>0</v>
      </c>
      <c r="N2056">
        <v>2</v>
      </c>
      <c r="O2056">
        <v>1</v>
      </c>
      <c r="P2056">
        <v>0</v>
      </c>
      <c r="Q2056">
        <v>0</v>
      </c>
      <c r="S2056" t="str">
        <f>"19:00:24.859"</f>
        <v>19:00:24.859</v>
      </c>
      <c r="T2056" t="str">
        <f>"19:00:24.559"</f>
        <v>19:00:24.559</v>
      </c>
      <c r="U2056" t="str">
        <f t="shared" si="204"/>
        <v>AAB6EE</v>
      </c>
      <c r="V2056">
        <v>0</v>
      </c>
      <c r="W2056">
        <v>0</v>
      </c>
      <c r="X2056">
        <v>4</v>
      </c>
      <c r="Z2056">
        <v>0</v>
      </c>
      <c r="AA2056">
        <v>8</v>
      </c>
      <c r="AB2056">
        <v>3</v>
      </c>
      <c r="AC2056">
        <v>0</v>
      </c>
      <c r="AD2056">
        <v>10</v>
      </c>
      <c r="AE2056">
        <v>0</v>
      </c>
      <c r="AF2056">
        <v>0</v>
      </c>
      <c r="AG2056">
        <v>2</v>
      </c>
      <c r="AH2056">
        <v>1</v>
      </c>
      <c r="AI2056" t="s">
        <v>1492</v>
      </c>
      <c r="AJ2056">
        <v>34.822369000000002</v>
      </c>
      <c r="AK2056" t="s">
        <v>1493</v>
      </c>
      <c r="AL2056">
        <v>-76.270802000000003</v>
      </c>
      <c r="AM2056">
        <v>25</v>
      </c>
      <c r="AN2056">
        <v>2650</v>
      </c>
      <c r="AO2056" t="s">
        <v>118</v>
      </c>
      <c r="AP2056">
        <v>-124</v>
      </c>
      <c r="AQ2056">
        <v>79</v>
      </c>
      <c r="AR2056">
        <v>2944</v>
      </c>
      <c r="AZ2056">
        <v>4516</v>
      </c>
      <c r="BA2056">
        <v>1</v>
      </c>
      <c r="BB2056" t="str">
        <f t="shared" si="203"/>
        <v xml:space="preserve">N79NX   </v>
      </c>
      <c r="BC2056">
        <v>1</v>
      </c>
      <c r="BE2056">
        <v>0</v>
      </c>
      <c r="BF2056">
        <v>0</v>
      </c>
      <c r="BG2056">
        <v>0</v>
      </c>
      <c r="BH2056">
        <v>2525</v>
      </c>
      <c r="BI2056">
        <v>0</v>
      </c>
      <c r="BJ2056">
        <v>0</v>
      </c>
      <c r="BK2056">
        <v>0</v>
      </c>
      <c r="BL2056">
        <v>0</v>
      </c>
      <c r="BO2056">
        <v>0</v>
      </c>
      <c r="BP2056">
        <v>0</v>
      </c>
      <c r="BW2056" t="str">
        <f>"19:00:24.866"</f>
        <v>19:00:24.866</v>
      </c>
      <c r="BZ2056">
        <v>0</v>
      </c>
      <c r="CA2056">
        <v>1888</v>
      </c>
      <c r="CB2056">
        <v>214.4</v>
      </c>
      <c r="CC2056">
        <v>625.78129999999999</v>
      </c>
      <c r="CD2056">
        <v>1</v>
      </c>
      <c r="CE2056">
        <v>0</v>
      </c>
      <c r="CF2056">
        <v>0</v>
      </c>
      <c r="CG2056">
        <v>1</v>
      </c>
      <c r="CH2056">
        <v>0</v>
      </c>
      <c r="CI2056">
        <v>1</v>
      </c>
      <c r="CJ2056">
        <v>0</v>
      </c>
      <c r="CK2056">
        <v>2</v>
      </c>
      <c r="CL2056">
        <v>0</v>
      </c>
      <c r="CM2056">
        <v>2</v>
      </c>
      <c r="CN2056">
        <v>0</v>
      </c>
      <c r="CO2056">
        <v>3</v>
      </c>
      <c r="CP2056" t="s">
        <v>119</v>
      </c>
      <c r="CQ2056">
        <v>70</v>
      </c>
      <c r="CR2056">
        <v>1</v>
      </c>
      <c r="CW2056">
        <v>3894906</v>
      </c>
      <c r="CY2056">
        <v>0</v>
      </c>
      <c r="CZ2056">
        <v>0</v>
      </c>
      <c r="DA2056">
        <v>1</v>
      </c>
      <c r="DB2056">
        <v>0</v>
      </c>
      <c r="DC2056">
        <v>0</v>
      </c>
      <c r="DD2056">
        <v>0</v>
      </c>
      <c r="DE2056">
        <v>0</v>
      </c>
      <c r="DF2056">
        <v>0</v>
      </c>
      <c r="DG2056">
        <v>0</v>
      </c>
      <c r="DH2056">
        <v>0</v>
      </c>
      <c r="DI2056">
        <v>0</v>
      </c>
    </row>
    <row r="2057" spans="1:113" x14ac:dyDescent="0.3">
      <c r="A2057" t="str">
        <f>"02/13/2022 19:00:26.076"</f>
        <v>02/13/2022 19:00:26.076</v>
      </c>
      <c r="C2057" t="str">
        <f t="shared" si="202"/>
        <v>FFDFD7C0</v>
      </c>
      <c r="D2057" t="s">
        <v>121</v>
      </c>
      <c r="E2057">
        <v>2</v>
      </c>
      <c r="H2057">
        <v>158</v>
      </c>
      <c r="I2057" t="s">
        <v>120</v>
      </c>
      <c r="J2057" t="s">
        <v>122</v>
      </c>
      <c r="K2057">
        <v>0</v>
      </c>
      <c r="L2057">
        <v>3</v>
      </c>
      <c r="M2057">
        <v>0</v>
      </c>
      <c r="N2057">
        <v>2</v>
      </c>
      <c r="O2057">
        <v>1</v>
      </c>
      <c r="P2057">
        <v>0</v>
      </c>
      <c r="Q2057">
        <v>0</v>
      </c>
      <c r="S2057" t="str">
        <f>"19:00:25.844"</f>
        <v>19:00:25.844</v>
      </c>
      <c r="T2057" t="str">
        <f>"19:00:25.644"</f>
        <v>19:00:25.644</v>
      </c>
      <c r="U2057" t="str">
        <f t="shared" si="204"/>
        <v>AAB6EE</v>
      </c>
      <c r="V2057">
        <v>0</v>
      </c>
      <c r="W2057">
        <v>0</v>
      </c>
      <c r="X2057">
        <v>4</v>
      </c>
      <c r="Z2057">
        <v>0</v>
      </c>
      <c r="AA2057">
        <v>8</v>
      </c>
      <c r="AB2057">
        <v>3</v>
      </c>
      <c r="AC2057">
        <v>0</v>
      </c>
      <c r="AD2057">
        <v>10</v>
      </c>
      <c r="AE2057">
        <v>0</v>
      </c>
      <c r="AF2057">
        <v>0</v>
      </c>
      <c r="AG2057">
        <v>2</v>
      </c>
      <c r="AH2057">
        <v>1</v>
      </c>
      <c r="AI2057" t="s">
        <v>1494</v>
      </c>
      <c r="AJ2057">
        <v>34.822755000000001</v>
      </c>
      <c r="AK2057" t="s">
        <v>1495</v>
      </c>
      <c r="AL2057">
        <v>-76.271489000000003</v>
      </c>
      <c r="AM2057">
        <v>25</v>
      </c>
      <c r="AN2057">
        <v>2700</v>
      </c>
      <c r="AO2057" t="s">
        <v>118</v>
      </c>
      <c r="AP2057">
        <v>-122</v>
      </c>
      <c r="AQ2057">
        <v>78</v>
      </c>
      <c r="AR2057">
        <v>3264</v>
      </c>
      <c r="AZ2057">
        <v>4516</v>
      </c>
      <c r="BA2057">
        <v>1</v>
      </c>
      <c r="BB2057" t="str">
        <f t="shared" si="203"/>
        <v xml:space="preserve">N79NX   </v>
      </c>
      <c r="BC2057">
        <v>1</v>
      </c>
      <c r="BE2057">
        <v>0</v>
      </c>
      <c r="BF2057">
        <v>0</v>
      </c>
      <c r="BG2057">
        <v>0</v>
      </c>
      <c r="BH2057">
        <v>2575</v>
      </c>
      <c r="BI2057">
        <v>0</v>
      </c>
      <c r="BJ2057">
        <v>0</v>
      </c>
      <c r="BK2057">
        <v>0</v>
      </c>
      <c r="BL2057">
        <v>0</v>
      </c>
      <c r="BO2057">
        <v>0</v>
      </c>
      <c r="BP2057">
        <v>0</v>
      </c>
      <c r="BW2057" t="str">
        <f>"19:00:25.846"</f>
        <v>19:00:25.846</v>
      </c>
      <c r="BZ2057">
        <v>0</v>
      </c>
      <c r="CA2057">
        <v>1888</v>
      </c>
      <c r="CB2057">
        <v>214.4</v>
      </c>
      <c r="CC2057">
        <v>625.78129999999999</v>
      </c>
      <c r="CD2057">
        <v>1</v>
      </c>
      <c r="CE2057">
        <v>0</v>
      </c>
      <c r="CF2057">
        <v>0</v>
      </c>
      <c r="CG2057">
        <v>1</v>
      </c>
      <c r="CH2057">
        <v>0</v>
      </c>
      <c r="CI2057">
        <v>1</v>
      </c>
      <c r="CJ2057">
        <v>0</v>
      </c>
      <c r="CK2057">
        <v>2</v>
      </c>
      <c r="CL2057">
        <v>0</v>
      </c>
      <c r="CM2057">
        <v>2</v>
      </c>
      <c r="CN2057">
        <v>0</v>
      </c>
      <c r="CO2057">
        <v>3</v>
      </c>
      <c r="CP2057" t="s">
        <v>119</v>
      </c>
      <c r="CQ2057">
        <v>70</v>
      </c>
      <c r="CR2057">
        <v>1</v>
      </c>
      <c r="CW2057">
        <v>3895791</v>
      </c>
      <c r="CY2057">
        <v>0</v>
      </c>
      <c r="CZ2057">
        <v>0</v>
      </c>
      <c r="DA2057">
        <v>0</v>
      </c>
      <c r="DB2057">
        <v>0</v>
      </c>
      <c r="DC2057">
        <v>0</v>
      </c>
      <c r="DD2057">
        <v>0</v>
      </c>
      <c r="DE2057">
        <v>0</v>
      </c>
      <c r="DF2057">
        <v>0</v>
      </c>
      <c r="DG2057">
        <v>0</v>
      </c>
      <c r="DH2057">
        <v>0</v>
      </c>
      <c r="DI2057">
        <v>0</v>
      </c>
    </row>
    <row r="2058" spans="1:113" x14ac:dyDescent="0.3">
      <c r="A2058" t="str">
        <f>"02/13/2022 19:00:26.139"</f>
        <v>02/13/2022 19:00:26.139</v>
      </c>
      <c r="C2058" t="str">
        <f t="shared" si="202"/>
        <v>FFDFD7C0</v>
      </c>
      <c r="D2058" t="s">
        <v>113</v>
      </c>
      <c r="E2058">
        <v>3</v>
      </c>
      <c r="F2058">
        <v>1003</v>
      </c>
      <c r="G2058" t="s">
        <v>114</v>
      </c>
      <c r="J2058" t="s">
        <v>115</v>
      </c>
      <c r="K2058">
        <v>0</v>
      </c>
      <c r="L2058">
        <v>3</v>
      </c>
      <c r="M2058">
        <v>0</v>
      </c>
      <c r="N2058">
        <v>2</v>
      </c>
      <c r="O2058">
        <v>1</v>
      </c>
      <c r="P2058">
        <v>0</v>
      </c>
      <c r="Q2058">
        <v>0</v>
      </c>
      <c r="S2058" t="str">
        <f>"19:00:25.844"</f>
        <v>19:00:25.844</v>
      </c>
      <c r="T2058" t="str">
        <f>"19:00:25.644"</f>
        <v>19:00:25.644</v>
      </c>
      <c r="U2058" t="str">
        <f t="shared" si="204"/>
        <v>AAB6EE</v>
      </c>
      <c r="V2058">
        <v>0</v>
      </c>
      <c r="W2058">
        <v>0</v>
      </c>
      <c r="X2058">
        <v>4</v>
      </c>
      <c r="Z2058">
        <v>0</v>
      </c>
      <c r="AA2058">
        <v>8</v>
      </c>
      <c r="AB2058">
        <v>3</v>
      </c>
      <c r="AC2058">
        <v>0</v>
      </c>
      <c r="AD2058">
        <v>10</v>
      </c>
      <c r="AE2058">
        <v>0</v>
      </c>
      <c r="AF2058">
        <v>0</v>
      </c>
      <c r="AG2058">
        <v>2</v>
      </c>
      <c r="AH2058">
        <v>1</v>
      </c>
      <c r="AI2058" t="s">
        <v>1494</v>
      </c>
      <c r="AJ2058">
        <v>34.822755000000001</v>
      </c>
      <c r="AK2058" t="s">
        <v>1495</v>
      </c>
      <c r="AL2058">
        <v>-76.271489000000003</v>
      </c>
      <c r="AM2058">
        <v>25</v>
      </c>
      <c r="AN2058">
        <v>2700</v>
      </c>
      <c r="AO2058" t="s">
        <v>118</v>
      </c>
      <c r="AP2058">
        <v>-122</v>
      </c>
      <c r="AQ2058">
        <v>78</v>
      </c>
      <c r="AR2058">
        <v>3264</v>
      </c>
      <c r="AZ2058">
        <v>4516</v>
      </c>
      <c r="BA2058">
        <v>1</v>
      </c>
      <c r="BB2058" t="str">
        <f t="shared" si="203"/>
        <v xml:space="preserve">N79NX   </v>
      </c>
      <c r="BC2058">
        <v>1</v>
      </c>
      <c r="BE2058">
        <v>0</v>
      </c>
      <c r="BF2058">
        <v>0</v>
      </c>
      <c r="BG2058">
        <v>0</v>
      </c>
      <c r="BH2058">
        <v>2575</v>
      </c>
      <c r="BI2058">
        <v>0</v>
      </c>
      <c r="BJ2058">
        <v>0</v>
      </c>
      <c r="BK2058">
        <v>0</v>
      </c>
      <c r="BL2058">
        <v>0</v>
      </c>
      <c r="BO2058">
        <v>0</v>
      </c>
      <c r="BP2058">
        <v>0</v>
      </c>
      <c r="BW2058" t="str">
        <f>"19:00:25.846"</f>
        <v>19:00:25.846</v>
      </c>
      <c r="BZ2058">
        <v>0</v>
      </c>
      <c r="CA2058">
        <v>1888</v>
      </c>
      <c r="CB2058">
        <v>214.4</v>
      </c>
      <c r="CC2058">
        <v>625.78129999999999</v>
      </c>
      <c r="CD2058">
        <v>1</v>
      </c>
      <c r="CE2058">
        <v>0</v>
      </c>
      <c r="CF2058">
        <v>0</v>
      </c>
      <c r="CG2058">
        <v>1</v>
      </c>
      <c r="CH2058">
        <v>0</v>
      </c>
      <c r="CI2058">
        <v>1</v>
      </c>
      <c r="CJ2058">
        <v>0</v>
      </c>
      <c r="CK2058">
        <v>2</v>
      </c>
      <c r="CL2058">
        <v>0</v>
      </c>
      <c r="CM2058">
        <v>2</v>
      </c>
      <c r="CN2058">
        <v>0</v>
      </c>
      <c r="CO2058">
        <v>3</v>
      </c>
      <c r="CP2058" t="s">
        <v>119</v>
      </c>
      <c r="CQ2058">
        <v>70</v>
      </c>
      <c r="CR2058">
        <v>1</v>
      </c>
      <c r="CW2058">
        <v>3895791</v>
      </c>
      <c r="CY2058">
        <v>0</v>
      </c>
      <c r="CZ2058">
        <v>0</v>
      </c>
      <c r="DA2058">
        <v>1</v>
      </c>
      <c r="DB2058">
        <v>0</v>
      </c>
      <c r="DC2058">
        <v>0</v>
      </c>
      <c r="DD2058">
        <v>0</v>
      </c>
      <c r="DE2058">
        <v>0</v>
      </c>
      <c r="DF2058">
        <v>0</v>
      </c>
      <c r="DG2058">
        <v>0</v>
      </c>
      <c r="DH2058">
        <v>0</v>
      </c>
      <c r="DI2058">
        <v>0</v>
      </c>
    </row>
    <row r="2059" spans="1:113" x14ac:dyDescent="0.3">
      <c r="A2059" t="str">
        <f>"02/13/2022 19:00:26.139"</f>
        <v>02/13/2022 19:00:26.139</v>
      </c>
      <c r="C2059" t="str">
        <f t="shared" si="202"/>
        <v>FFDFD7C0</v>
      </c>
      <c r="D2059" t="s">
        <v>113</v>
      </c>
      <c r="E2059">
        <v>4</v>
      </c>
      <c r="F2059">
        <v>1004</v>
      </c>
      <c r="G2059" t="s">
        <v>120</v>
      </c>
      <c r="J2059" t="s">
        <v>115</v>
      </c>
      <c r="K2059">
        <v>0</v>
      </c>
      <c r="L2059">
        <v>3</v>
      </c>
      <c r="M2059">
        <v>0</v>
      </c>
      <c r="N2059">
        <v>2</v>
      </c>
      <c r="O2059">
        <v>1</v>
      </c>
      <c r="P2059">
        <v>0</v>
      </c>
      <c r="Q2059">
        <v>0</v>
      </c>
      <c r="S2059" t="str">
        <f>"19:00:25.844"</f>
        <v>19:00:25.844</v>
      </c>
      <c r="T2059" t="str">
        <f>"19:00:25.644"</f>
        <v>19:00:25.644</v>
      </c>
      <c r="U2059" t="str">
        <f t="shared" si="204"/>
        <v>AAB6EE</v>
      </c>
      <c r="V2059">
        <v>0</v>
      </c>
      <c r="W2059">
        <v>0</v>
      </c>
      <c r="X2059">
        <v>4</v>
      </c>
      <c r="Z2059">
        <v>0</v>
      </c>
      <c r="AA2059">
        <v>8</v>
      </c>
      <c r="AB2059">
        <v>3</v>
      </c>
      <c r="AC2059">
        <v>0</v>
      </c>
      <c r="AD2059">
        <v>10</v>
      </c>
      <c r="AE2059">
        <v>0</v>
      </c>
      <c r="AF2059">
        <v>0</v>
      </c>
      <c r="AG2059">
        <v>2</v>
      </c>
      <c r="AH2059">
        <v>1</v>
      </c>
      <c r="AI2059" t="s">
        <v>1494</v>
      </c>
      <c r="AJ2059">
        <v>34.822755000000001</v>
      </c>
      <c r="AK2059" t="s">
        <v>1495</v>
      </c>
      <c r="AL2059">
        <v>-76.271489000000003</v>
      </c>
      <c r="AM2059">
        <v>25</v>
      </c>
      <c r="AN2059">
        <v>2700</v>
      </c>
      <c r="AO2059" t="s">
        <v>118</v>
      </c>
      <c r="AP2059">
        <v>-122</v>
      </c>
      <c r="AQ2059">
        <v>78</v>
      </c>
      <c r="AR2059">
        <v>3264</v>
      </c>
      <c r="AZ2059">
        <v>4516</v>
      </c>
      <c r="BA2059">
        <v>1</v>
      </c>
      <c r="BB2059" t="str">
        <f t="shared" si="203"/>
        <v xml:space="preserve">N79NX   </v>
      </c>
      <c r="BC2059">
        <v>1</v>
      </c>
      <c r="BE2059">
        <v>0</v>
      </c>
      <c r="BF2059">
        <v>0</v>
      </c>
      <c r="BG2059">
        <v>0</v>
      </c>
      <c r="BH2059">
        <v>2575</v>
      </c>
      <c r="BI2059">
        <v>0</v>
      </c>
      <c r="BJ2059">
        <v>0</v>
      </c>
      <c r="BK2059">
        <v>0</v>
      </c>
      <c r="BL2059">
        <v>0</v>
      </c>
      <c r="BO2059">
        <v>0</v>
      </c>
      <c r="BP2059">
        <v>0</v>
      </c>
      <c r="BW2059" t="str">
        <f>"19:00:25.846"</f>
        <v>19:00:25.846</v>
      </c>
      <c r="BZ2059">
        <v>0</v>
      </c>
      <c r="CA2059">
        <v>1888</v>
      </c>
      <c r="CB2059">
        <v>214.4</v>
      </c>
      <c r="CC2059">
        <v>625.78129999999999</v>
      </c>
      <c r="CD2059">
        <v>1</v>
      </c>
      <c r="CE2059">
        <v>0</v>
      </c>
      <c r="CF2059">
        <v>0</v>
      </c>
      <c r="CG2059">
        <v>1</v>
      </c>
      <c r="CH2059">
        <v>0</v>
      </c>
      <c r="CI2059">
        <v>1</v>
      </c>
      <c r="CJ2059">
        <v>0</v>
      </c>
      <c r="CK2059">
        <v>2</v>
      </c>
      <c r="CL2059">
        <v>0</v>
      </c>
      <c r="CM2059">
        <v>2</v>
      </c>
      <c r="CN2059">
        <v>0</v>
      </c>
      <c r="CO2059">
        <v>3</v>
      </c>
      <c r="CP2059" t="s">
        <v>119</v>
      </c>
      <c r="CQ2059">
        <v>70</v>
      </c>
      <c r="CR2059">
        <v>1</v>
      </c>
      <c r="CW2059">
        <v>3895791</v>
      </c>
      <c r="CY2059">
        <v>0</v>
      </c>
      <c r="CZ2059">
        <v>0</v>
      </c>
      <c r="DA2059">
        <v>1</v>
      </c>
      <c r="DB2059">
        <v>0</v>
      </c>
      <c r="DC2059">
        <v>0</v>
      </c>
      <c r="DD2059">
        <v>0</v>
      </c>
      <c r="DE2059">
        <v>0</v>
      </c>
      <c r="DF2059">
        <v>0</v>
      </c>
      <c r="DG2059">
        <v>0</v>
      </c>
      <c r="DH2059">
        <v>0</v>
      </c>
      <c r="DI2059">
        <v>0</v>
      </c>
    </row>
    <row r="2060" spans="1:113" x14ac:dyDescent="0.3">
      <c r="A2060" t="str">
        <f>"02/13/2022 19:00:27.015"</f>
        <v>02/13/2022 19:00:27.015</v>
      </c>
      <c r="C2060" t="str">
        <f t="shared" si="202"/>
        <v>FFDFD7C0</v>
      </c>
      <c r="D2060" t="s">
        <v>121</v>
      </c>
      <c r="E2060">
        <v>2</v>
      </c>
      <c r="H2060">
        <v>158</v>
      </c>
      <c r="I2060" t="s">
        <v>120</v>
      </c>
      <c r="J2060" t="s">
        <v>122</v>
      </c>
      <c r="K2060">
        <v>0</v>
      </c>
      <c r="L2060">
        <v>3</v>
      </c>
      <c r="M2060">
        <v>0</v>
      </c>
      <c r="N2060">
        <v>2</v>
      </c>
      <c r="O2060">
        <v>1</v>
      </c>
      <c r="P2060">
        <v>0</v>
      </c>
      <c r="Q2060">
        <v>0</v>
      </c>
      <c r="S2060" t="str">
        <f>"19:00:26.781"</f>
        <v>19:00:26.781</v>
      </c>
      <c r="T2060" t="str">
        <f>"19:00:26.581"</f>
        <v>19:00:26.581</v>
      </c>
      <c r="U2060" t="str">
        <f t="shared" si="204"/>
        <v>AAB6EE</v>
      </c>
      <c r="V2060">
        <v>0</v>
      </c>
      <c r="W2060">
        <v>0</v>
      </c>
      <c r="X2060">
        <v>4</v>
      </c>
      <c r="Z2060">
        <v>0</v>
      </c>
      <c r="AA2060">
        <v>8</v>
      </c>
      <c r="AB2060">
        <v>3</v>
      </c>
      <c r="AC2060">
        <v>0</v>
      </c>
      <c r="AD2060">
        <v>10</v>
      </c>
      <c r="AE2060">
        <v>0</v>
      </c>
      <c r="AF2060">
        <v>0</v>
      </c>
      <c r="AG2060">
        <v>2</v>
      </c>
      <c r="AH2060">
        <v>1</v>
      </c>
      <c r="AI2060" t="s">
        <v>1496</v>
      </c>
      <c r="AJ2060">
        <v>34.823034</v>
      </c>
      <c r="AK2060" t="s">
        <v>1497</v>
      </c>
      <c r="AL2060">
        <v>-76.272068000000004</v>
      </c>
      <c r="AM2060">
        <v>25</v>
      </c>
      <c r="AN2060">
        <v>2750</v>
      </c>
      <c r="AO2060" t="s">
        <v>118</v>
      </c>
      <c r="AP2060">
        <v>-121</v>
      </c>
      <c r="AQ2060">
        <v>75</v>
      </c>
      <c r="AR2060">
        <v>3584</v>
      </c>
      <c r="AZ2060">
        <v>4516</v>
      </c>
      <c r="BA2060">
        <v>1</v>
      </c>
      <c r="BB2060" t="str">
        <f t="shared" si="203"/>
        <v xml:space="preserve">N79NX   </v>
      </c>
      <c r="BC2060">
        <v>1</v>
      </c>
      <c r="BE2060">
        <v>0</v>
      </c>
      <c r="BF2060">
        <v>0</v>
      </c>
      <c r="BG2060">
        <v>0</v>
      </c>
      <c r="BH2060">
        <v>2600</v>
      </c>
      <c r="BI2060">
        <v>0</v>
      </c>
      <c r="BJ2060">
        <v>0</v>
      </c>
      <c r="BK2060">
        <v>0</v>
      </c>
      <c r="BL2060">
        <v>0</v>
      </c>
      <c r="BO2060">
        <v>0</v>
      </c>
      <c r="BP2060">
        <v>0</v>
      </c>
      <c r="BW2060" t="str">
        <f>"19:00:26.786"</f>
        <v>19:00:26.786</v>
      </c>
      <c r="BZ2060">
        <v>0</v>
      </c>
      <c r="CA2060">
        <v>1888</v>
      </c>
      <c r="CB2060">
        <v>214.4</v>
      </c>
      <c r="CC2060">
        <v>625.78129999999999</v>
      </c>
      <c r="CD2060">
        <v>1</v>
      </c>
      <c r="CE2060">
        <v>0</v>
      </c>
      <c r="CF2060">
        <v>0</v>
      </c>
      <c r="CG2060">
        <v>1</v>
      </c>
      <c r="CH2060">
        <v>0</v>
      </c>
      <c r="CI2060">
        <v>1</v>
      </c>
      <c r="CJ2060">
        <v>0</v>
      </c>
      <c r="CK2060">
        <v>2</v>
      </c>
      <c r="CL2060">
        <v>0</v>
      </c>
      <c r="CM2060">
        <v>2</v>
      </c>
      <c r="CN2060">
        <v>0</v>
      </c>
      <c r="CO2060">
        <v>3</v>
      </c>
      <c r="CP2060" t="s">
        <v>119</v>
      </c>
      <c r="CQ2060">
        <v>70</v>
      </c>
      <c r="CR2060">
        <v>1</v>
      </c>
      <c r="CW2060">
        <v>3896590</v>
      </c>
      <c r="CY2060">
        <v>0</v>
      </c>
      <c r="CZ2060">
        <v>0</v>
      </c>
      <c r="DA2060">
        <v>0</v>
      </c>
      <c r="DB2060">
        <v>0</v>
      </c>
      <c r="DC2060">
        <v>0</v>
      </c>
      <c r="DD2060">
        <v>0</v>
      </c>
      <c r="DE2060">
        <v>0</v>
      </c>
      <c r="DF2060">
        <v>0</v>
      </c>
      <c r="DG2060">
        <v>0</v>
      </c>
      <c r="DH2060">
        <v>0</v>
      </c>
      <c r="DI2060">
        <v>0</v>
      </c>
    </row>
    <row r="2061" spans="1:113" x14ac:dyDescent="0.3">
      <c r="A2061" t="str">
        <f>"02/13/2022 19:00:27.015"</f>
        <v>02/13/2022 19:00:27.015</v>
      </c>
      <c r="C2061" t="str">
        <f t="shared" si="202"/>
        <v>FFDFD7C0</v>
      </c>
      <c r="D2061" t="s">
        <v>113</v>
      </c>
      <c r="E2061">
        <v>3</v>
      </c>
      <c r="F2061">
        <v>1003</v>
      </c>
      <c r="G2061" t="s">
        <v>114</v>
      </c>
      <c r="J2061" t="s">
        <v>115</v>
      </c>
      <c r="K2061">
        <v>0</v>
      </c>
      <c r="L2061">
        <v>3</v>
      </c>
      <c r="M2061">
        <v>0</v>
      </c>
      <c r="N2061">
        <v>2</v>
      </c>
      <c r="O2061">
        <v>1</v>
      </c>
      <c r="P2061">
        <v>0</v>
      </c>
      <c r="Q2061">
        <v>0</v>
      </c>
      <c r="S2061" t="str">
        <f>"19:00:26.781"</f>
        <v>19:00:26.781</v>
      </c>
      <c r="T2061" t="str">
        <f>"19:00:26.581"</f>
        <v>19:00:26.581</v>
      </c>
      <c r="U2061" t="str">
        <f t="shared" si="204"/>
        <v>AAB6EE</v>
      </c>
      <c r="V2061">
        <v>0</v>
      </c>
      <c r="W2061">
        <v>0</v>
      </c>
      <c r="X2061">
        <v>4</v>
      </c>
      <c r="Z2061">
        <v>0</v>
      </c>
      <c r="AA2061">
        <v>8</v>
      </c>
      <c r="AB2061">
        <v>3</v>
      </c>
      <c r="AC2061">
        <v>0</v>
      </c>
      <c r="AD2061">
        <v>10</v>
      </c>
      <c r="AE2061">
        <v>0</v>
      </c>
      <c r="AF2061">
        <v>0</v>
      </c>
      <c r="AG2061">
        <v>2</v>
      </c>
      <c r="AH2061">
        <v>1</v>
      </c>
      <c r="AI2061" t="s">
        <v>1496</v>
      </c>
      <c r="AJ2061">
        <v>34.823034</v>
      </c>
      <c r="AK2061" t="s">
        <v>1497</v>
      </c>
      <c r="AL2061">
        <v>-76.272068000000004</v>
      </c>
      <c r="AM2061">
        <v>25</v>
      </c>
      <c r="AN2061">
        <v>2750</v>
      </c>
      <c r="AO2061" t="s">
        <v>118</v>
      </c>
      <c r="AP2061">
        <v>-121</v>
      </c>
      <c r="AQ2061">
        <v>75</v>
      </c>
      <c r="AR2061">
        <v>3584</v>
      </c>
      <c r="AZ2061">
        <v>4516</v>
      </c>
      <c r="BA2061">
        <v>1</v>
      </c>
      <c r="BB2061" t="str">
        <f t="shared" si="203"/>
        <v xml:space="preserve">N79NX   </v>
      </c>
      <c r="BC2061">
        <v>1</v>
      </c>
      <c r="BE2061">
        <v>0</v>
      </c>
      <c r="BF2061">
        <v>0</v>
      </c>
      <c r="BG2061">
        <v>0</v>
      </c>
      <c r="BH2061">
        <v>2600</v>
      </c>
      <c r="BI2061">
        <v>0</v>
      </c>
      <c r="BJ2061">
        <v>0</v>
      </c>
      <c r="BK2061">
        <v>0</v>
      </c>
      <c r="BL2061">
        <v>0</v>
      </c>
      <c r="BO2061">
        <v>0</v>
      </c>
      <c r="BP2061">
        <v>0</v>
      </c>
      <c r="BW2061" t="str">
        <f>"19:00:26.786"</f>
        <v>19:00:26.786</v>
      </c>
      <c r="BZ2061">
        <v>0</v>
      </c>
      <c r="CA2061">
        <v>1888</v>
      </c>
      <c r="CB2061">
        <v>214.4</v>
      </c>
      <c r="CC2061">
        <v>625.78129999999999</v>
      </c>
      <c r="CD2061">
        <v>1</v>
      </c>
      <c r="CE2061">
        <v>0</v>
      </c>
      <c r="CF2061">
        <v>0</v>
      </c>
      <c r="CG2061">
        <v>1</v>
      </c>
      <c r="CH2061">
        <v>0</v>
      </c>
      <c r="CI2061">
        <v>1</v>
      </c>
      <c r="CJ2061">
        <v>0</v>
      </c>
      <c r="CK2061">
        <v>2</v>
      </c>
      <c r="CL2061">
        <v>0</v>
      </c>
      <c r="CM2061">
        <v>2</v>
      </c>
      <c r="CN2061">
        <v>0</v>
      </c>
      <c r="CO2061">
        <v>3</v>
      </c>
      <c r="CP2061" t="s">
        <v>119</v>
      </c>
      <c r="CQ2061">
        <v>70</v>
      </c>
      <c r="CR2061">
        <v>1</v>
      </c>
      <c r="CW2061">
        <v>3896590</v>
      </c>
      <c r="CY2061">
        <v>0</v>
      </c>
      <c r="CZ2061">
        <v>0</v>
      </c>
      <c r="DA2061">
        <v>1</v>
      </c>
      <c r="DB2061">
        <v>0</v>
      </c>
      <c r="DC2061">
        <v>0</v>
      </c>
      <c r="DD2061">
        <v>0</v>
      </c>
      <c r="DE2061">
        <v>0</v>
      </c>
      <c r="DF2061">
        <v>0</v>
      </c>
      <c r="DG2061">
        <v>0</v>
      </c>
      <c r="DH2061">
        <v>0</v>
      </c>
      <c r="DI2061">
        <v>0</v>
      </c>
    </row>
    <row r="2062" spans="1:113" x14ac:dyDescent="0.3">
      <c r="A2062" t="str">
        <f>"02/13/2022 19:00:27.015"</f>
        <v>02/13/2022 19:00:27.015</v>
      </c>
      <c r="C2062" t="str">
        <f t="shared" si="202"/>
        <v>FFDFD7C0</v>
      </c>
      <c r="D2062" t="s">
        <v>113</v>
      </c>
      <c r="E2062">
        <v>4</v>
      </c>
      <c r="F2062">
        <v>1004</v>
      </c>
      <c r="G2062" t="s">
        <v>120</v>
      </c>
      <c r="J2062" t="s">
        <v>115</v>
      </c>
      <c r="K2062">
        <v>0</v>
      </c>
      <c r="L2062">
        <v>3</v>
      </c>
      <c r="M2062">
        <v>0</v>
      </c>
      <c r="N2062">
        <v>2</v>
      </c>
      <c r="O2062">
        <v>1</v>
      </c>
      <c r="P2062">
        <v>0</v>
      </c>
      <c r="Q2062">
        <v>0</v>
      </c>
      <c r="S2062" t="str">
        <f>"19:00:26.781"</f>
        <v>19:00:26.781</v>
      </c>
      <c r="T2062" t="str">
        <f>"19:00:26.581"</f>
        <v>19:00:26.581</v>
      </c>
      <c r="U2062" t="str">
        <f t="shared" si="204"/>
        <v>AAB6EE</v>
      </c>
      <c r="V2062">
        <v>0</v>
      </c>
      <c r="W2062">
        <v>0</v>
      </c>
      <c r="X2062">
        <v>4</v>
      </c>
      <c r="Z2062">
        <v>0</v>
      </c>
      <c r="AA2062">
        <v>8</v>
      </c>
      <c r="AB2062">
        <v>3</v>
      </c>
      <c r="AC2062">
        <v>0</v>
      </c>
      <c r="AD2062">
        <v>10</v>
      </c>
      <c r="AE2062">
        <v>0</v>
      </c>
      <c r="AF2062">
        <v>0</v>
      </c>
      <c r="AG2062">
        <v>2</v>
      </c>
      <c r="AH2062">
        <v>1</v>
      </c>
      <c r="AI2062" t="s">
        <v>1496</v>
      </c>
      <c r="AJ2062">
        <v>34.823034</v>
      </c>
      <c r="AK2062" t="s">
        <v>1497</v>
      </c>
      <c r="AL2062">
        <v>-76.272068000000004</v>
      </c>
      <c r="AM2062">
        <v>25</v>
      </c>
      <c r="AN2062">
        <v>2750</v>
      </c>
      <c r="AO2062" t="s">
        <v>118</v>
      </c>
      <c r="AP2062">
        <v>-121</v>
      </c>
      <c r="AQ2062">
        <v>75</v>
      </c>
      <c r="AR2062">
        <v>3584</v>
      </c>
      <c r="AZ2062">
        <v>4516</v>
      </c>
      <c r="BA2062">
        <v>1</v>
      </c>
      <c r="BB2062" t="str">
        <f t="shared" si="203"/>
        <v xml:space="preserve">N79NX   </v>
      </c>
      <c r="BC2062">
        <v>1</v>
      </c>
      <c r="BE2062">
        <v>0</v>
      </c>
      <c r="BF2062">
        <v>0</v>
      </c>
      <c r="BG2062">
        <v>0</v>
      </c>
      <c r="BH2062">
        <v>2600</v>
      </c>
      <c r="BI2062">
        <v>0</v>
      </c>
      <c r="BJ2062">
        <v>0</v>
      </c>
      <c r="BK2062">
        <v>0</v>
      </c>
      <c r="BL2062">
        <v>0</v>
      </c>
      <c r="BO2062">
        <v>0</v>
      </c>
      <c r="BP2062">
        <v>0</v>
      </c>
      <c r="BW2062" t="str">
        <f>"19:00:26.786"</f>
        <v>19:00:26.786</v>
      </c>
      <c r="BZ2062">
        <v>0</v>
      </c>
      <c r="CA2062">
        <v>1888</v>
      </c>
      <c r="CB2062">
        <v>214.4</v>
      </c>
      <c r="CC2062">
        <v>625.78129999999999</v>
      </c>
      <c r="CD2062">
        <v>1</v>
      </c>
      <c r="CE2062">
        <v>0</v>
      </c>
      <c r="CF2062">
        <v>0</v>
      </c>
      <c r="CG2062">
        <v>1</v>
      </c>
      <c r="CH2062">
        <v>0</v>
      </c>
      <c r="CI2062">
        <v>1</v>
      </c>
      <c r="CJ2062">
        <v>0</v>
      </c>
      <c r="CK2062">
        <v>2</v>
      </c>
      <c r="CL2062">
        <v>0</v>
      </c>
      <c r="CM2062">
        <v>2</v>
      </c>
      <c r="CN2062">
        <v>0</v>
      </c>
      <c r="CO2062">
        <v>3</v>
      </c>
      <c r="CP2062" t="s">
        <v>119</v>
      </c>
      <c r="CQ2062">
        <v>70</v>
      </c>
      <c r="CR2062">
        <v>1</v>
      </c>
      <c r="CW2062">
        <v>3896590</v>
      </c>
      <c r="CY2062">
        <v>0</v>
      </c>
      <c r="CZ2062">
        <v>0</v>
      </c>
      <c r="DA2062">
        <v>1</v>
      </c>
      <c r="DB2062">
        <v>0</v>
      </c>
      <c r="DC2062">
        <v>0</v>
      </c>
      <c r="DD2062">
        <v>0</v>
      </c>
      <c r="DE2062">
        <v>0</v>
      </c>
      <c r="DF2062">
        <v>0</v>
      </c>
      <c r="DG2062">
        <v>0</v>
      </c>
      <c r="DH2062">
        <v>0</v>
      </c>
      <c r="DI2062">
        <v>0</v>
      </c>
    </row>
    <row r="2063" spans="1:113" x14ac:dyDescent="0.3">
      <c r="A2063" t="str">
        <f>"02/13/2022 19:00:27.812"</f>
        <v>02/13/2022 19:00:27.812</v>
      </c>
      <c r="C2063" t="str">
        <f t="shared" si="202"/>
        <v>FFDFD7C0</v>
      </c>
      <c r="D2063" t="s">
        <v>113</v>
      </c>
      <c r="E2063">
        <v>4</v>
      </c>
      <c r="F2063">
        <v>1004</v>
      </c>
      <c r="G2063" t="s">
        <v>120</v>
      </c>
      <c r="J2063" t="s">
        <v>115</v>
      </c>
      <c r="K2063">
        <v>0</v>
      </c>
      <c r="L2063">
        <v>3</v>
      </c>
      <c r="M2063">
        <v>0</v>
      </c>
      <c r="N2063">
        <v>2</v>
      </c>
      <c r="O2063">
        <v>1</v>
      </c>
      <c r="P2063">
        <v>0</v>
      </c>
      <c r="Q2063">
        <v>0</v>
      </c>
      <c r="S2063" t="str">
        <f>"19:00:27.609"</f>
        <v>19:00:27.609</v>
      </c>
      <c r="T2063" t="str">
        <f>"19:00:27.509"</f>
        <v>19:00:27.509</v>
      </c>
      <c r="U2063" t="str">
        <f t="shared" si="204"/>
        <v>AAB6EE</v>
      </c>
      <c r="V2063">
        <v>0</v>
      </c>
      <c r="W2063">
        <v>0</v>
      </c>
      <c r="X2063">
        <v>4</v>
      </c>
      <c r="Z2063">
        <v>0</v>
      </c>
      <c r="AA2063">
        <v>8</v>
      </c>
      <c r="AB2063">
        <v>3</v>
      </c>
      <c r="AC2063">
        <v>0</v>
      </c>
      <c r="AD2063">
        <v>10</v>
      </c>
      <c r="AE2063">
        <v>0</v>
      </c>
      <c r="AF2063">
        <v>0</v>
      </c>
      <c r="AG2063">
        <v>2</v>
      </c>
      <c r="AH2063">
        <v>1</v>
      </c>
      <c r="AI2063" t="s">
        <v>1498</v>
      </c>
      <c r="AJ2063">
        <v>34.823355999999997</v>
      </c>
      <c r="AK2063" t="s">
        <v>1499</v>
      </c>
      <c r="AL2063">
        <v>-76.272689999999997</v>
      </c>
      <c r="AM2063">
        <v>25</v>
      </c>
      <c r="AN2063">
        <v>2825</v>
      </c>
      <c r="AO2063" t="s">
        <v>118</v>
      </c>
      <c r="AP2063">
        <v>-120</v>
      </c>
      <c r="AQ2063">
        <v>70</v>
      </c>
      <c r="AR2063">
        <v>4096</v>
      </c>
      <c r="AZ2063">
        <v>4516</v>
      </c>
      <c r="BA2063">
        <v>1</v>
      </c>
      <c r="BB2063" t="str">
        <f t="shared" si="203"/>
        <v xml:space="preserve">N79NX   </v>
      </c>
      <c r="BC2063">
        <v>1</v>
      </c>
      <c r="BE2063">
        <v>0</v>
      </c>
      <c r="BF2063">
        <v>0</v>
      </c>
      <c r="BG2063">
        <v>0</v>
      </c>
      <c r="BH2063">
        <v>2675</v>
      </c>
      <c r="BI2063">
        <v>0</v>
      </c>
      <c r="BJ2063">
        <v>0</v>
      </c>
      <c r="BK2063">
        <v>0</v>
      </c>
      <c r="BL2063">
        <v>0</v>
      </c>
      <c r="BO2063">
        <v>0</v>
      </c>
      <c r="BP2063">
        <v>0</v>
      </c>
      <c r="BW2063" t="str">
        <f>"19:00:27.616"</f>
        <v>19:00:27.616</v>
      </c>
      <c r="BZ2063">
        <v>0</v>
      </c>
      <c r="CA2063">
        <v>1888</v>
      </c>
      <c r="CB2063">
        <v>214.4</v>
      </c>
      <c r="CC2063">
        <v>625.78129999999999</v>
      </c>
      <c r="CD2063">
        <v>1</v>
      </c>
      <c r="CE2063">
        <v>0</v>
      </c>
      <c r="CF2063">
        <v>0</v>
      </c>
      <c r="CG2063">
        <v>1</v>
      </c>
      <c r="CH2063">
        <v>0</v>
      </c>
      <c r="CI2063">
        <v>1</v>
      </c>
      <c r="CJ2063">
        <v>0</v>
      </c>
      <c r="CK2063">
        <v>2</v>
      </c>
      <c r="CL2063">
        <v>0</v>
      </c>
      <c r="CM2063">
        <v>2</v>
      </c>
      <c r="CN2063">
        <v>0</v>
      </c>
      <c r="CO2063">
        <v>4</v>
      </c>
      <c r="CP2063" t="s">
        <v>119</v>
      </c>
      <c r="CQ2063">
        <v>70</v>
      </c>
      <c r="CR2063">
        <v>1</v>
      </c>
      <c r="CW2063">
        <v>3897278</v>
      </c>
      <c r="CY2063">
        <v>0</v>
      </c>
      <c r="CZ2063">
        <v>0</v>
      </c>
      <c r="DA2063">
        <v>0</v>
      </c>
      <c r="DB2063">
        <v>0</v>
      </c>
      <c r="DC2063">
        <v>0</v>
      </c>
      <c r="DD2063">
        <v>0</v>
      </c>
      <c r="DE2063">
        <v>0</v>
      </c>
      <c r="DF2063">
        <v>0</v>
      </c>
      <c r="DG2063">
        <v>0</v>
      </c>
      <c r="DH2063">
        <v>0</v>
      </c>
      <c r="DI2063">
        <v>0</v>
      </c>
    </row>
    <row r="2064" spans="1:113" x14ac:dyDescent="0.3">
      <c r="A2064" t="str">
        <f>"02/13/2022 19:00:27.812"</f>
        <v>02/13/2022 19:00:27.812</v>
      </c>
      <c r="C2064" t="str">
        <f t="shared" si="202"/>
        <v>FFDFD7C0</v>
      </c>
      <c r="D2064" t="s">
        <v>113</v>
      </c>
      <c r="E2064">
        <v>3</v>
      </c>
      <c r="F2064">
        <v>1003</v>
      </c>
      <c r="G2064" t="s">
        <v>114</v>
      </c>
      <c r="J2064" t="s">
        <v>115</v>
      </c>
      <c r="K2064">
        <v>0</v>
      </c>
      <c r="L2064">
        <v>3</v>
      </c>
      <c r="M2064">
        <v>0</v>
      </c>
      <c r="N2064">
        <v>2</v>
      </c>
      <c r="O2064">
        <v>1</v>
      </c>
      <c r="P2064">
        <v>0</v>
      </c>
      <c r="Q2064">
        <v>0</v>
      </c>
      <c r="S2064" t="str">
        <f>"19:00:27.609"</f>
        <v>19:00:27.609</v>
      </c>
      <c r="T2064" t="str">
        <f>"19:00:27.509"</f>
        <v>19:00:27.509</v>
      </c>
      <c r="U2064" t="str">
        <f t="shared" si="204"/>
        <v>AAB6EE</v>
      </c>
      <c r="V2064">
        <v>0</v>
      </c>
      <c r="W2064">
        <v>0</v>
      </c>
      <c r="X2064">
        <v>4</v>
      </c>
      <c r="Z2064">
        <v>0</v>
      </c>
      <c r="AA2064">
        <v>8</v>
      </c>
      <c r="AB2064">
        <v>3</v>
      </c>
      <c r="AC2064">
        <v>0</v>
      </c>
      <c r="AD2064">
        <v>10</v>
      </c>
      <c r="AE2064">
        <v>0</v>
      </c>
      <c r="AF2064">
        <v>0</v>
      </c>
      <c r="AG2064">
        <v>2</v>
      </c>
      <c r="AH2064">
        <v>1</v>
      </c>
      <c r="AI2064" t="s">
        <v>1498</v>
      </c>
      <c r="AJ2064">
        <v>34.823355999999997</v>
      </c>
      <c r="AK2064" t="s">
        <v>1499</v>
      </c>
      <c r="AL2064">
        <v>-76.272689999999997</v>
      </c>
      <c r="AM2064">
        <v>25</v>
      </c>
      <c r="AN2064">
        <v>2825</v>
      </c>
      <c r="AO2064" t="s">
        <v>118</v>
      </c>
      <c r="AP2064">
        <v>-120</v>
      </c>
      <c r="AQ2064">
        <v>70</v>
      </c>
      <c r="AR2064">
        <v>4096</v>
      </c>
      <c r="AZ2064">
        <v>4516</v>
      </c>
      <c r="BA2064">
        <v>1</v>
      </c>
      <c r="BB2064" t="str">
        <f t="shared" si="203"/>
        <v xml:space="preserve">N79NX   </v>
      </c>
      <c r="BC2064">
        <v>1</v>
      </c>
      <c r="BE2064">
        <v>0</v>
      </c>
      <c r="BF2064">
        <v>0</v>
      </c>
      <c r="BG2064">
        <v>0</v>
      </c>
      <c r="BH2064">
        <v>2675</v>
      </c>
      <c r="BI2064">
        <v>0</v>
      </c>
      <c r="BJ2064">
        <v>0</v>
      </c>
      <c r="BK2064">
        <v>0</v>
      </c>
      <c r="BL2064">
        <v>0</v>
      </c>
      <c r="BO2064">
        <v>0</v>
      </c>
      <c r="BP2064">
        <v>0</v>
      </c>
      <c r="BW2064" t="str">
        <f>"19:00:27.616"</f>
        <v>19:00:27.616</v>
      </c>
      <c r="BZ2064">
        <v>0</v>
      </c>
      <c r="CA2064">
        <v>1888</v>
      </c>
      <c r="CB2064">
        <v>214.4</v>
      </c>
      <c r="CC2064">
        <v>625.78129999999999</v>
      </c>
      <c r="CD2064">
        <v>1</v>
      </c>
      <c r="CE2064">
        <v>0</v>
      </c>
      <c r="CF2064">
        <v>0</v>
      </c>
      <c r="CG2064">
        <v>1</v>
      </c>
      <c r="CH2064">
        <v>0</v>
      </c>
      <c r="CI2064">
        <v>1</v>
      </c>
      <c r="CJ2064">
        <v>0</v>
      </c>
      <c r="CK2064">
        <v>2</v>
      </c>
      <c r="CL2064">
        <v>0</v>
      </c>
      <c r="CM2064">
        <v>2</v>
      </c>
      <c r="CN2064">
        <v>0</v>
      </c>
      <c r="CO2064">
        <v>4</v>
      </c>
      <c r="CP2064" t="s">
        <v>119</v>
      </c>
      <c r="CQ2064">
        <v>70</v>
      </c>
      <c r="CR2064">
        <v>1</v>
      </c>
      <c r="CW2064">
        <v>3897278</v>
      </c>
      <c r="CY2064">
        <v>0</v>
      </c>
      <c r="CZ2064">
        <v>0</v>
      </c>
      <c r="DA2064">
        <v>1</v>
      </c>
      <c r="DB2064">
        <v>0</v>
      </c>
      <c r="DC2064">
        <v>0</v>
      </c>
      <c r="DD2064">
        <v>0</v>
      </c>
      <c r="DE2064">
        <v>0</v>
      </c>
      <c r="DF2064">
        <v>0</v>
      </c>
      <c r="DG2064">
        <v>0</v>
      </c>
      <c r="DH2064">
        <v>0</v>
      </c>
      <c r="DI2064">
        <v>0</v>
      </c>
    </row>
    <row r="2065" spans="1:113" x14ac:dyDescent="0.3">
      <c r="A2065" t="str">
        <f>"02/13/2022 19:00:27.859"</f>
        <v>02/13/2022 19:00:27.859</v>
      </c>
      <c r="C2065" t="str">
        <f t="shared" si="202"/>
        <v>FFDFD7C0</v>
      </c>
      <c r="D2065" t="s">
        <v>121</v>
      </c>
      <c r="E2065">
        <v>2</v>
      </c>
      <c r="H2065">
        <v>158</v>
      </c>
      <c r="I2065" t="s">
        <v>120</v>
      </c>
      <c r="J2065" t="s">
        <v>122</v>
      </c>
      <c r="K2065">
        <v>0</v>
      </c>
      <c r="L2065">
        <v>3</v>
      </c>
      <c r="M2065">
        <v>0</v>
      </c>
      <c r="N2065">
        <v>2</v>
      </c>
      <c r="O2065">
        <v>1</v>
      </c>
      <c r="P2065">
        <v>0</v>
      </c>
      <c r="Q2065">
        <v>0</v>
      </c>
      <c r="S2065" t="str">
        <f>"19:00:27.609"</f>
        <v>19:00:27.609</v>
      </c>
      <c r="T2065" t="str">
        <f>"19:00:27.509"</f>
        <v>19:00:27.509</v>
      </c>
      <c r="U2065" t="str">
        <f t="shared" si="204"/>
        <v>AAB6EE</v>
      </c>
      <c r="V2065">
        <v>0</v>
      </c>
      <c r="W2065">
        <v>0</v>
      </c>
      <c r="X2065">
        <v>4</v>
      </c>
      <c r="Z2065">
        <v>0</v>
      </c>
      <c r="AA2065">
        <v>8</v>
      </c>
      <c r="AB2065">
        <v>3</v>
      </c>
      <c r="AC2065">
        <v>0</v>
      </c>
      <c r="AD2065">
        <v>10</v>
      </c>
      <c r="AE2065">
        <v>0</v>
      </c>
      <c r="AF2065">
        <v>0</v>
      </c>
      <c r="AG2065">
        <v>2</v>
      </c>
      <c r="AH2065">
        <v>1</v>
      </c>
      <c r="AI2065" t="s">
        <v>1498</v>
      </c>
      <c r="AJ2065">
        <v>34.823355999999997</v>
      </c>
      <c r="AK2065" t="s">
        <v>1499</v>
      </c>
      <c r="AL2065">
        <v>-76.272689999999997</v>
      </c>
      <c r="AM2065">
        <v>25</v>
      </c>
      <c r="AN2065">
        <v>2825</v>
      </c>
      <c r="AO2065" t="s">
        <v>118</v>
      </c>
      <c r="AP2065">
        <v>-120</v>
      </c>
      <c r="AQ2065">
        <v>70</v>
      </c>
      <c r="AR2065">
        <v>4096</v>
      </c>
      <c r="AZ2065">
        <v>4516</v>
      </c>
      <c r="BA2065">
        <v>1</v>
      </c>
      <c r="BB2065" t="str">
        <f t="shared" si="203"/>
        <v xml:space="preserve">N79NX   </v>
      </c>
      <c r="BC2065">
        <v>1</v>
      </c>
      <c r="BE2065">
        <v>0</v>
      </c>
      <c r="BF2065">
        <v>0</v>
      </c>
      <c r="BG2065">
        <v>0</v>
      </c>
      <c r="BH2065">
        <v>2675</v>
      </c>
      <c r="BI2065">
        <v>0</v>
      </c>
      <c r="BJ2065">
        <v>0</v>
      </c>
      <c r="BK2065">
        <v>0</v>
      </c>
      <c r="BL2065">
        <v>0</v>
      </c>
      <c r="BO2065">
        <v>0</v>
      </c>
      <c r="BP2065">
        <v>0</v>
      </c>
      <c r="BW2065" t="str">
        <f>"19:00:27.616"</f>
        <v>19:00:27.616</v>
      </c>
      <c r="BZ2065">
        <v>0</v>
      </c>
      <c r="CA2065">
        <v>1888</v>
      </c>
      <c r="CB2065">
        <v>214.4</v>
      </c>
      <c r="CC2065">
        <v>625.78129999999999</v>
      </c>
      <c r="CD2065">
        <v>1</v>
      </c>
      <c r="CE2065">
        <v>0</v>
      </c>
      <c r="CF2065">
        <v>0</v>
      </c>
      <c r="CG2065">
        <v>1</v>
      </c>
      <c r="CH2065">
        <v>0</v>
      </c>
      <c r="CI2065">
        <v>1</v>
      </c>
      <c r="CJ2065">
        <v>0</v>
      </c>
      <c r="CK2065">
        <v>2</v>
      </c>
      <c r="CL2065">
        <v>0</v>
      </c>
      <c r="CM2065">
        <v>2</v>
      </c>
      <c r="CN2065">
        <v>0</v>
      </c>
      <c r="CO2065">
        <v>4</v>
      </c>
      <c r="CP2065" t="s">
        <v>119</v>
      </c>
      <c r="CQ2065">
        <v>70</v>
      </c>
      <c r="CR2065">
        <v>1</v>
      </c>
      <c r="CW2065">
        <v>3897278</v>
      </c>
      <c r="CY2065">
        <v>0</v>
      </c>
      <c r="CZ2065">
        <v>0</v>
      </c>
      <c r="DA2065">
        <v>1</v>
      </c>
      <c r="DB2065">
        <v>0</v>
      </c>
      <c r="DC2065">
        <v>0</v>
      </c>
      <c r="DD2065">
        <v>0</v>
      </c>
      <c r="DE2065">
        <v>0</v>
      </c>
      <c r="DF2065">
        <v>0</v>
      </c>
      <c r="DG2065">
        <v>0</v>
      </c>
      <c r="DH2065">
        <v>0</v>
      </c>
      <c r="DI2065">
        <v>0</v>
      </c>
    </row>
    <row r="2066" spans="1:113" x14ac:dyDescent="0.3">
      <c r="A2066" t="str">
        <f>"02/13/2022 19:00:28.890"</f>
        <v>02/13/2022 19:00:28.890</v>
      </c>
      <c r="C2066" t="str">
        <f t="shared" si="202"/>
        <v>FFDFD7C0</v>
      </c>
      <c r="D2066" t="s">
        <v>113</v>
      </c>
      <c r="E2066">
        <v>4</v>
      </c>
      <c r="F2066">
        <v>1004</v>
      </c>
      <c r="G2066" t="s">
        <v>120</v>
      </c>
      <c r="J2066" t="s">
        <v>115</v>
      </c>
      <c r="K2066">
        <v>0</v>
      </c>
      <c r="L2066">
        <v>3</v>
      </c>
      <c r="M2066">
        <v>0</v>
      </c>
      <c r="N2066">
        <v>2</v>
      </c>
      <c r="O2066">
        <v>1</v>
      </c>
      <c r="P2066">
        <v>0</v>
      </c>
      <c r="Q2066">
        <v>0</v>
      </c>
      <c r="S2066" t="str">
        <f>"19:00:28.664"</f>
        <v>19:00:28.664</v>
      </c>
      <c r="T2066" t="str">
        <f>"19:00:28.564"</f>
        <v>19:00:28.564</v>
      </c>
      <c r="U2066" t="str">
        <f t="shared" si="204"/>
        <v>AAB6EE</v>
      </c>
      <c r="V2066">
        <v>0</v>
      </c>
      <c r="W2066">
        <v>0</v>
      </c>
      <c r="X2066">
        <v>4</v>
      </c>
      <c r="Z2066">
        <v>0</v>
      </c>
      <c r="AA2066">
        <v>8</v>
      </c>
      <c r="AB2066">
        <v>3</v>
      </c>
      <c r="AC2066">
        <v>0</v>
      </c>
      <c r="AD2066">
        <v>10</v>
      </c>
      <c r="AE2066">
        <v>0</v>
      </c>
      <c r="AF2066">
        <v>0</v>
      </c>
      <c r="AG2066">
        <v>2</v>
      </c>
      <c r="AH2066">
        <v>1</v>
      </c>
      <c r="AI2066" t="s">
        <v>1500</v>
      </c>
      <c r="AJ2066">
        <v>34.823635000000003</v>
      </c>
      <c r="AK2066" t="s">
        <v>1501</v>
      </c>
      <c r="AL2066">
        <v>-76.273376999999996</v>
      </c>
      <c r="AM2066">
        <v>25</v>
      </c>
      <c r="AN2066">
        <v>2900</v>
      </c>
      <c r="AO2066" t="s">
        <v>118</v>
      </c>
      <c r="AP2066">
        <v>-118</v>
      </c>
      <c r="AQ2066">
        <v>65</v>
      </c>
      <c r="AR2066">
        <v>4544</v>
      </c>
      <c r="AZ2066">
        <v>4516</v>
      </c>
      <c r="BA2066">
        <v>1</v>
      </c>
      <c r="BB2066" t="str">
        <f t="shared" si="203"/>
        <v xml:space="preserve">N79NX   </v>
      </c>
      <c r="BC2066">
        <v>1</v>
      </c>
      <c r="BE2066">
        <v>0</v>
      </c>
      <c r="BF2066">
        <v>0</v>
      </c>
      <c r="BG2066">
        <v>0</v>
      </c>
      <c r="BH2066">
        <v>2725</v>
      </c>
      <c r="BI2066">
        <v>0</v>
      </c>
      <c r="BJ2066">
        <v>0</v>
      </c>
      <c r="BK2066">
        <v>0</v>
      </c>
      <c r="BL2066">
        <v>0</v>
      </c>
      <c r="BO2066">
        <v>0</v>
      </c>
      <c r="BP2066">
        <v>0</v>
      </c>
      <c r="BW2066" t="str">
        <f>"19:00:28.666"</f>
        <v>19:00:28.666</v>
      </c>
      <c r="BZ2066">
        <v>0</v>
      </c>
      <c r="CA2066">
        <v>1888</v>
      </c>
      <c r="CB2066">
        <v>214.4</v>
      </c>
      <c r="CC2066">
        <v>625.78129999999999</v>
      </c>
      <c r="CD2066">
        <v>1</v>
      </c>
      <c r="CE2066">
        <v>0</v>
      </c>
      <c r="CF2066">
        <v>0</v>
      </c>
      <c r="CG2066">
        <v>1</v>
      </c>
      <c r="CH2066">
        <v>0</v>
      </c>
      <c r="CI2066">
        <v>1</v>
      </c>
      <c r="CJ2066">
        <v>0</v>
      </c>
      <c r="CK2066">
        <v>2</v>
      </c>
      <c r="CL2066">
        <v>0</v>
      </c>
      <c r="CM2066">
        <v>2</v>
      </c>
      <c r="CN2066">
        <v>0</v>
      </c>
      <c r="CO2066">
        <v>4</v>
      </c>
      <c r="CP2066" t="s">
        <v>119</v>
      </c>
      <c r="CQ2066">
        <v>70</v>
      </c>
      <c r="CR2066">
        <v>1</v>
      </c>
      <c r="CW2066">
        <v>3898177</v>
      </c>
      <c r="CY2066">
        <v>0</v>
      </c>
      <c r="CZ2066">
        <v>0</v>
      </c>
      <c r="DA2066">
        <v>0</v>
      </c>
      <c r="DB2066">
        <v>0</v>
      </c>
      <c r="DC2066">
        <v>0</v>
      </c>
      <c r="DD2066">
        <v>0</v>
      </c>
      <c r="DE2066">
        <v>0</v>
      </c>
      <c r="DF2066">
        <v>0</v>
      </c>
      <c r="DG2066">
        <v>0</v>
      </c>
      <c r="DH2066">
        <v>0</v>
      </c>
      <c r="DI2066">
        <v>0</v>
      </c>
    </row>
    <row r="2067" spans="1:113" x14ac:dyDescent="0.3">
      <c r="A2067" t="str">
        <f>"02/13/2022 19:00:28.890"</f>
        <v>02/13/2022 19:00:28.890</v>
      </c>
      <c r="C2067" t="str">
        <f t="shared" si="202"/>
        <v>FFDFD7C0</v>
      </c>
      <c r="D2067" t="s">
        <v>121</v>
      </c>
      <c r="E2067">
        <v>2</v>
      </c>
      <c r="H2067">
        <v>158</v>
      </c>
      <c r="I2067" t="s">
        <v>120</v>
      </c>
      <c r="J2067" t="s">
        <v>122</v>
      </c>
      <c r="K2067">
        <v>0</v>
      </c>
      <c r="L2067">
        <v>3</v>
      </c>
      <c r="M2067">
        <v>0</v>
      </c>
      <c r="N2067">
        <v>2</v>
      </c>
      <c r="O2067">
        <v>1</v>
      </c>
      <c r="P2067">
        <v>0</v>
      </c>
      <c r="Q2067">
        <v>0</v>
      </c>
      <c r="S2067" t="str">
        <f>"19:00:28.664"</f>
        <v>19:00:28.664</v>
      </c>
      <c r="T2067" t="str">
        <f>"19:00:28.564"</f>
        <v>19:00:28.564</v>
      </c>
      <c r="U2067" t="str">
        <f t="shared" si="204"/>
        <v>AAB6EE</v>
      </c>
      <c r="V2067">
        <v>0</v>
      </c>
      <c r="W2067">
        <v>0</v>
      </c>
      <c r="X2067">
        <v>4</v>
      </c>
      <c r="Z2067">
        <v>0</v>
      </c>
      <c r="AA2067">
        <v>8</v>
      </c>
      <c r="AB2067">
        <v>3</v>
      </c>
      <c r="AC2067">
        <v>0</v>
      </c>
      <c r="AD2067">
        <v>10</v>
      </c>
      <c r="AE2067">
        <v>0</v>
      </c>
      <c r="AF2067">
        <v>0</v>
      </c>
      <c r="AG2067">
        <v>2</v>
      </c>
      <c r="AH2067">
        <v>1</v>
      </c>
      <c r="AI2067" t="s">
        <v>1500</v>
      </c>
      <c r="AJ2067">
        <v>34.823635000000003</v>
      </c>
      <c r="AK2067" t="s">
        <v>1501</v>
      </c>
      <c r="AL2067">
        <v>-76.273376999999996</v>
      </c>
      <c r="AM2067">
        <v>25</v>
      </c>
      <c r="AN2067">
        <v>2900</v>
      </c>
      <c r="AO2067" t="s">
        <v>118</v>
      </c>
      <c r="AP2067">
        <v>-118</v>
      </c>
      <c r="AQ2067">
        <v>65</v>
      </c>
      <c r="AR2067">
        <v>4544</v>
      </c>
      <c r="AZ2067">
        <v>4516</v>
      </c>
      <c r="BA2067">
        <v>1</v>
      </c>
      <c r="BB2067" t="str">
        <f t="shared" si="203"/>
        <v xml:space="preserve">N79NX   </v>
      </c>
      <c r="BC2067">
        <v>1</v>
      </c>
      <c r="BE2067">
        <v>0</v>
      </c>
      <c r="BF2067">
        <v>0</v>
      </c>
      <c r="BG2067">
        <v>0</v>
      </c>
      <c r="BH2067">
        <v>2725</v>
      </c>
      <c r="BI2067">
        <v>0</v>
      </c>
      <c r="BJ2067">
        <v>0</v>
      </c>
      <c r="BK2067">
        <v>0</v>
      </c>
      <c r="BL2067">
        <v>0</v>
      </c>
      <c r="BO2067">
        <v>0</v>
      </c>
      <c r="BP2067">
        <v>0</v>
      </c>
      <c r="BW2067" t="str">
        <f>"19:00:28.666"</f>
        <v>19:00:28.666</v>
      </c>
      <c r="BZ2067">
        <v>0</v>
      </c>
      <c r="CA2067">
        <v>1888</v>
      </c>
      <c r="CB2067">
        <v>214.4</v>
      </c>
      <c r="CC2067">
        <v>625.78129999999999</v>
      </c>
      <c r="CD2067">
        <v>1</v>
      </c>
      <c r="CE2067">
        <v>0</v>
      </c>
      <c r="CF2067">
        <v>0</v>
      </c>
      <c r="CG2067">
        <v>1</v>
      </c>
      <c r="CH2067">
        <v>0</v>
      </c>
      <c r="CI2067">
        <v>1</v>
      </c>
      <c r="CJ2067">
        <v>0</v>
      </c>
      <c r="CK2067">
        <v>2</v>
      </c>
      <c r="CL2067">
        <v>0</v>
      </c>
      <c r="CM2067">
        <v>2</v>
      </c>
      <c r="CN2067">
        <v>0</v>
      </c>
      <c r="CO2067">
        <v>4</v>
      </c>
      <c r="CP2067" t="s">
        <v>119</v>
      </c>
      <c r="CQ2067">
        <v>70</v>
      </c>
      <c r="CR2067">
        <v>1</v>
      </c>
      <c r="CW2067">
        <v>3898177</v>
      </c>
      <c r="CY2067">
        <v>0</v>
      </c>
      <c r="CZ2067">
        <v>0</v>
      </c>
      <c r="DA2067">
        <v>1</v>
      </c>
      <c r="DB2067">
        <v>0</v>
      </c>
      <c r="DC2067">
        <v>0</v>
      </c>
      <c r="DD2067">
        <v>0</v>
      </c>
      <c r="DE2067">
        <v>0</v>
      </c>
      <c r="DF2067">
        <v>0</v>
      </c>
      <c r="DG2067">
        <v>0</v>
      </c>
      <c r="DH2067">
        <v>0</v>
      </c>
      <c r="DI2067">
        <v>0</v>
      </c>
    </row>
    <row r="2068" spans="1:113" x14ac:dyDescent="0.3">
      <c r="A2068" t="str">
        <f>"02/13/2022 19:00:29.000"</f>
        <v>02/13/2022 19:00:29.000</v>
      </c>
      <c r="C2068" t="str">
        <f t="shared" si="202"/>
        <v>FFDFD7C0</v>
      </c>
      <c r="D2068" t="s">
        <v>113</v>
      </c>
      <c r="E2068">
        <v>3</v>
      </c>
      <c r="F2068">
        <v>1003</v>
      </c>
      <c r="G2068" t="s">
        <v>114</v>
      </c>
      <c r="J2068" t="s">
        <v>115</v>
      </c>
      <c r="K2068">
        <v>0</v>
      </c>
      <c r="L2068">
        <v>3</v>
      </c>
      <c r="M2068">
        <v>0</v>
      </c>
      <c r="N2068">
        <v>2</v>
      </c>
      <c r="O2068">
        <v>1</v>
      </c>
      <c r="P2068">
        <v>0</v>
      </c>
      <c r="Q2068">
        <v>0</v>
      </c>
      <c r="S2068" t="str">
        <f>"19:00:28.664"</f>
        <v>19:00:28.664</v>
      </c>
      <c r="T2068" t="str">
        <f>"19:00:28.564"</f>
        <v>19:00:28.564</v>
      </c>
      <c r="U2068" t="str">
        <f t="shared" si="204"/>
        <v>AAB6EE</v>
      </c>
      <c r="V2068">
        <v>0</v>
      </c>
      <c r="W2068">
        <v>0</v>
      </c>
      <c r="X2068">
        <v>4</v>
      </c>
      <c r="Z2068">
        <v>0</v>
      </c>
      <c r="AA2068">
        <v>8</v>
      </c>
      <c r="AB2068">
        <v>3</v>
      </c>
      <c r="AC2068">
        <v>0</v>
      </c>
      <c r="AD2068">
        <v>10</v>
      </c>
      <c r="AE2068">
        <v>0</v>
      </c>
      <c r="AF2068">
        <v>0</v>
      </c>
      <c r="AG2068">
        <v>2</v>
      </c>
      <c r="AH2068">
        <v>1</v>
      </c>
      <c r="AI2068" t="s">
        <v>1500</v>
      </c>
      <c r="AJ2068">
        <v>34.823635000000003</v>
      </c>
      <c r="AK2068" t="s">
        <v>1501</v>
      </c>
      <c r="AL2068">
        <v>-76.273376999999996</v>
      </c>
      <c r="AM2068">
        <v>25</v>
      </c>
      <c r="AN2068">
        <v>2900</v>
      </c>
      <c r="AO2068" t="s">
        <v>118</v>
      </c>
      <c r="AP2068">
        <v>-118</v>
      </c>
      <c r="AQ2068">
        <v>65</v>
      </c>
      <c r="AR2068">
        <v>4544</v>
      </c>
      <c r="AZ2068">
        <v>4516</v>
      </c>
      <c r="BA2068">
        <v>1</v>
      </c>
      <c r="BB2068" t="str">
        <f t="shared" si="203"/>
        <v xml:space="preserve">N79NX   </v>
      </c>
      <c r="BC2068">
        <v>1</v>
      </c>
      <c r="BE2068">
        <v>0</v>
      </c>
      <c r="BF2068">
        <v>0</v>
      </c>
      <c r="BG2068">
        <v>0</v>
      </c>
      <c r="BH2068">
        <v>2725</v>
      </c>
      <c r="BI2068">
        <v>0</v>
      </c>
      <c r="BJ2068">
        <v>0</v>
      </c>
      <c r="BK2068">
        <v>0</v>
      </c>
      <c r="BL2068">
        <v>0</v>
      </c>
      <c r="BO2068">
        <v>0</v>
      </c>
      <c r="BP2068">
        <v>0</v>
      </c>
      <c r="BW2068" t="str">
        <f>"19:00:28.666"</f>
        <v>19:00:28.666</v>
      </c>
      <c r="BZ2068">
        <v>0</v>
      </c>
      <c r="CA2068">
        <v>1888</v>
      </c>
      <c r="CB2068">
        <v>214.4</v>
      </c>
      <c r="CC2068">
        <v>625.78129999999999</v>
      </c>
      <c r="CD2068">
        <v>1</v>
      </c>
      <c r="CE2068">
        <v>0</v>
      </c>
      <c r="CF2068">
        <v>0</v>
      </c>
      <c r="CG2068">
        <v>1</v>
      </c>
      <c r="CH2068">
        <v>0</v>
      </c>
      <c r="CI2068">
        <v>1</v>
      </c>
      <c r="CJ2068">
        <v>0</v>
      </c>
      <c r="CK2068">
        <v>2</v>
      </c>
      <c r="CL2068">
        <v>0</v>
      </c>
      <c r="CM2068">
        <v>2</v>
      </c>
      <c r="CN2068">
        <v>0</v>
      </c>
      <c r="CO2068">
        <v>4</v>
      </c>
      <c r="CP2068" t="s">
        <v>119</v>
      </c>
      <c r="CQ2068">
        <v>70</v>
      </c>
      <c r="CR2068">
        <v>1</v>
      </c>
      <c r="CW2068">
        <v>3898177</v>
      </c>
      <c r="CY2068">
        <v>0</v>
      </c>
      <c r="CZ2068">
        <v>0</v>
      </c>
      <c r="DA2068">
        <v>1</v>
      </c>
      <c r="DB2068">
        <v>0</v>
      </c>
      <c r="DC2068">
        <v>0</v>
      </c>
      <c r="DD2068">
        <v>0</v>
      </c>
      <c r="DE2068">
        <v>0</v>
      </c>
      <c r="DF2068">
        <v>0</v>
      </c>
      <c r="DG2068">
        <v>0</v>
      </c>
      <c r="DH2068">
        <v>0</v>
      </c>
      <c r="DI2068">
        <v>0</v>
      </c>
    </row>
    <row r="2069" spans="1:113" x14ac:dyDescent="0.3">
      <c r="A2069" t="str">
        <f>"02/13/2022 19:00:31.075"</f>
        <v>02/13/2022 19:00:31.075</v>
      </c>
      <c r="C2069" t="str">
        <f t="shared" si="202"/>
        <v>FFDFD7C0</v>
      </c>
      <c r="D2069" t="s">
        <v>121</v>
      </c>
      <c r="E2069">
        <v>2</v>
      </c>
      <c r="H2069">
        <v>158</v>
      </c>
      <c r="I2069" t="s">
        <v>120</v>
      </c>
      <c r="J2069" t="s">
        <v>122</v>
      </c>
      <c r="K2069">
        <v>0</v>
      </c>
      <c r="L2069">
        <v>3</v>
      </c>
      <c r="M2069">
        <v>0</v>
      </c>
      <c r="N2069">
        <v>2</v>
      </c>
      <c r="O2069">
        <v>1</v>
      </c>
      <c r="P2069">
        <v>0</v>
      </c>
      <c r="Q2069">
        <v>0</v>
      </c>
      <c r="S2069" t="str">
        <f t="shared" ref="S2069:T2071" si="206">"19:00:30.859"</f>
        <v>19:00:30.859</v>
      </c>
      <c r="T2069" t="str">
        <f t="shared" si="206"/>
        <v>19:00:30.859</v>
      </c>
      <c r="U2069" t="str">
        <f t="shared" si="204"/>
        <v>AAB6EE</v>
      </c>
      <c r="V2069">
        <v>0</v>
      </c>
      <c r="W2069">
        <v>0</v>
      </c>
      <c r="X2069">
        <v>4</v>
      </c>
      <c r="Z2069">
        <v>0</v>
      </c>
      <c r="AA2069">
        <v>8</v>
      </c>
      <c r="AB2069">
        <v>3</v>
      </c>
      <c r="AC2069">
        <v>0</v>
      </c>
      <c r="AD2069">
        <v>10</v>
      </c>
      <c r="AE2069">
        <v>0</v>
      </c>
      <c r="AF2069">
        <v>0</v>
      </c>
      <c r="AG2069">
        <v>2</v>
      </c>
      <c r="AH2069">
        <v>1</v>
      </c>
      <c r="AI2069" t="s">
        <v>1502</v>
      </c>
      <c r="AJ2069">
        <v>34.824235000000002</v>
      </c>
      <c r="AK2069" t="s">
        <v>1503</v>
      </c>
      <c r="AL2069">
        <v>-76.274815000000004</v>
      </c>
      <c r="AM2069">
        <v>25</v>
      </c>
      <c r="AN2069">
        <v>3050</v>
      </c>
      <c r="AO2069" t="s">
        <v>118</v>
      </c>
      <c r="AP2069">
        <v>-118</v>
      </c>
      <c r="AQ2069">
        <v>53</v>
      </c>
      <c r="AR2069">
        <v>3840</v>
      </c>
      <c r="AZ2069">
        <v>4516</v>
      </c>
      <c r="BA2069">
        <v>1</v>
      </c>
      <c r="BB2069" t="str">
        <f t="shared" si="203"/>
        <v xml:space="preserve">N79NX   </v>
      </c>
      <c r="BC2069">
        <v>1</v>
      </c>
      <c r="BE2069">
        <v>0</v>
      </c>
      <c r="BF2069">
        <v>0</v>
      </c>
      <c r="BG2069">
        <v>0</v>
      </c>
      <c r="BH2069">
        <v>2850</v>
      </c>
      <c r="BI2069">
        <v>0</v>
      </c>
      <c r="BJ2069">
        <v>0</v>
      </c>
      <c r="BK2069">
        <v>0</v>
      </c>
      <c r="BL2069">
        <v>0</v>
      </c>
      <c r="BO2069">
        <v>0</v>
      </c>
      <c r="BP2069">
        <v>0</v>
      </c>
      <c r="BW2069" t="str">
        <f>"19:00:30.866"</f>
        <v>19:00:30.866</v>
      </c>
      <c r="BZ2069">
        <v>0</v>
      </c>
      <c r="CA2069">
        <v>1888</v>
      </c>
      <c r="CB2069">
        <v>214.4</v>
      </c>
      <c r="CC2069">
        <v>625.78129999999999</v>
      </c>
      <c r="CD2069">
        <v>1</v>
      </c>
      <c r="CE2069">
        <v>0</v>
      </c>
      <c r="CF2069">
        <v>0</v>
      </c>
      <c r="CG2069">
        <v>1</v>
      </c>
      <c r="CH2069">
        <v>0</v>
      </c>
      <c r="CI2069">
        <v>1</v>
      </c>
      <c r="CJ2069">
        <v>0</v>
      </c>
      <c r="CK2069">
        <v>2</v>
      </c>
      <c r="CL2069">
        <v>0</v>
      </c>
      <c r="CM2069">
        <v>2</v>
      </c>
      <c r="CN2069">
        <v>0</v>
      </c>
      <c r="CO2069">
        <v>5</v>
      </c>
      <c r="CP2069" t="s">
        <v>119</v>
      </c>
      <c r="CQ2069">
        <v>70</v>
      </c>
      <c r="CR2069">
        <v>1</v>
      </c>
      <c r="CW2069">
        <v>3900130</v>
      </c>
      <c r="CY2069">
        <v>0</v>
      </c>
      <c r="CZ2069">
        <v>0</v>
      </c>
      <c r="DA2069">
        <v>0</v>
      </c>
      <c r="DB2069">
        <v>0</v>
      </c>
      <c r="DC2069">
        <v>0</v>
      </c>
      <c r="DD2069">
        <v>0</v>
      </c>
      <c r="DE2069">
        <v>0</v>
      </c>
      <c r="DF2069">
        <v>0</v>
      </c>
      <c r="DG2069">
        <v>0</v>
      </c>
      <c r="DH2069">
        <v>0</v>
      </c>
      <c r="DI2069">
        <v>0</v>
      </c>
    </row>
    <row r="2070" spans="1:113" x14ac:dyDescent="0.3">
      <c r="A2070" t="str">
        <f>"02/13/2022 19:00:31.137"</f>
        <v>02/13/2022 19:00:31.137</v>
      </c>
      <c r="C2070" t="str">
        <f t="shared" si="202"/>
        <v>FFDFD7C0</v>
      </c>
      <c r="D2070" t="s">
        <v>113</v>
      </c>
      <c r="E2070">
        <v>3</v>
      </c>
      <c r="F2070">
        <v>1003</v>
      </c>
      <c r="G2070" t="s">
        <v>114</v>
      </c>
      <c r="J2070" t="s">
        <v>115</v>
      </c>
      <c r="K2070">
        <v>0</v>
      </c>
      <c r="L2070">
        <v>3</v>
      </c>
      <c r="M2070">
        <v>0</v>
      </c>
      <c r="N2070">
        <v>2</v>
      </c>
      <c r="O2070">
        <v>1</v>
      </c>
      <c r="P2070">
        <v>0</v>
      </c>
      <c r="Q2070">
        <v>0</v>
      </c>
      <c r="S2070" t="str">
        <f t="shared" si="206"/>
        <v>19:00:30.859</v>
      </c>
      <c r="T2070" t="str">
        <f t="shared" si="206"/>
        <v>19:00:30.859</v>
      </c>
      <c r="U2070" t="str">
        <f t="shared" si="204"/>
        <v>AAB6EE</v>
      </c>
      <c r="V2070">
        <v>0</v>
      </c>
      <c r="W2070">
        <v>0</v>
      </c>
      <c r="X2070">
        <v>4</v>
      </c>
      <c r="Z2070">
        <v>0</v>
      </c>
      <c r="AA2070">
        <v>8</v>
      </c>
      <c r="AB2070">
        <v>3</v>
      </c>
      <c r="AC2070">
        <v>0</v>
      </c>
      <c r="AD2070">
        <v>10</v>
      </c>
      <c r="AE2070">
        <v>0</v>
      </c>
      <c r="AF2070">
        <v>0</v>
      </c>
      <c r="AG2070">
        <v>2</v>
      </c>
      <c r="AH2070">
        <v>1</v>
      </c>
      <c r="AI2070" t="s">
        <v>1502</v>
      </c>
      <c r="AJ2070">
        <v>34.824235000000002</v>
      </c>
      <c r="AK2070" t="s">
        <v>1503</v>
      </c>
      <c r="AL2070">
        <v>-76.274815000000004</v>
      </c>
      <c r="AM2070">
        <v>25</v>
      </c>
      <c r="AN2070">
        <v>3050</v>
      </c>
      <c r="AO2070" t="s">
        <v>118</v>
      </c>
      <c r="AP2070">
        <v>-118</v>
      </c>
      <c r="AQ2070">
        <v>53</v>
      </c>
      <c r="AR2070">
        <v>3840</v>
      </c>
      <c r="AZ2070">
        <v>4516</v>
      </c>
      <c r="BA2070">
        <v>1</v>
      </c>
      <c r="BB2070" t="str">
        <f t="shared" si="203"/>
        <v xml:space="preserve">N79NX   </v>
      </c>
      <c r="BC2070">
        <v>1</v>
      </c>
      <c r="BE2070">
        <v>0</v>
      </c>
      <c r="BF2070">
        <v>0</v>
      </c>
      <c r="BG2070">
        <v>0</v>
      </c>
      <c r="BH2070">
        <v>2850</v>
      </c>
      <c r="BI2070">
        <v>0</v>
      </c>
      <c r="BJ2070">
        <v>0</v>
      </c>
      <c r="BK2070">
        <v>0</v>
      </c>
      <c r="BL2070">
        <v>0</v>
      </c>
      <c r="BO2070">
        <v>0</v>
      </c>
      <c r="BP2070">
        <v>0</v>
      </c>
      <c r="BW2070" t="str">
        <f>"19:00:30.866"</f>
        <v>19:00:30.866</v>
      </c>
      <c r="BZ2070">
        <v>0</v>
      </c>
      <c r="CA2070">
        <v>1888</v>
      </c>
      <c r="CB2070">
        <v>214.4</v>
      </c>
      <c r="CC2070">
        <v>625.78129999999999</v>
      </c>
      <c r="CD2070">
        <v>1</v>
      </c>
      <c r="CE2070">
        <v>0</v>
      </c>
      <c r="CF2070">
        <v>0</v>
      </c>
      <c r="CG2070">
        <v>1</v>
      </c>
      <c r="CH2070">
        <v>0</v>
      </c>
      <c r="CI2070">
        <v>1</v>
      </c>
      <c r="CJ2070">
        <v>0</v>
      </c>
      <c r="CK2070">
        <v>2</v>
      </c>
      <c r="CL2070">
        <v>0</v>
      </c>
      <c r="CM2070">
        <v>2</v>
      </c>
      <c r="CN2070">
        <v>0</v>
      </c>
      <c r="CO2070">
        <v>5</v>
      </c>
      <c r="CP2070" t="s">
        <v>119</v>
      </c>
      <c r="CQ2070">
        <v>70</v>
      </c>
      <c r="CR2070">
        <v>1</v>
      </c>
      <c r="CW2070">
        <v>3900130</v>
      </c>
      <c r="CY2070">
        <v>0</v>
      </c>
      <c r="CZ2070">
        <v>0</v>
      </c>
      <c r="DA2070">
        <v>1</v>
      </c>
      <c r="DB2070">
        <v>0</v>
      </c>
      <c r="DC2070">
        <v>0</v>
      </c>
      <c r="DD2070">
        <v>0</v>
      </c>
      <c r="DE2070">
        <v>0</v>
      </c>
      <c r="DF2070">
        <v>0</v>
      </c>
      <c r="DG2070">
        <v>0</v>
      </c>
      <c r="DH2070">
        <v>0</v>
      </c>
      <c r="DI2070">
        <v>0</v>
      </c>
    </row>
    <row r="2071" spans="1:113" x14ac:dyDescent="0.3">
      <c r="A2071" t="str">
        <f>"02/13/2022 19:00:31.137"</f>
        <v>02/13/2022 19:00:31.137</v>
      </c>
      <c r="C2071" t="str">
        <f t="shared" si="202"/>
        <v>FFDFD7C0</v>
      </c>
      <c r="D2071" t="s">
        <v>113</v>
      </c>
      <c r="E2071">
        <v>4</v>
      </c>
      <c r="F2071">
        <v>1004</v>
      </c>
      <c r="G2071" t="s">
        <v>120</v>
      </c>
      <c r="J2071" t="s">
        <v>115</v>
      </c>
      <c r="K2071">
        <v>0</v>
      </c>
      <c r="L2071">
        <v>3</v>
      </c>
      <c r="M2071">
        <v>0</v>
      </c>
      <c r="N2071">
        <v>2</v>
      </c>
      <c r="O2071">
        <v>1</v>
      </c>
      <c r="P2071">
        <v>0</v>
      </c>
      <c r="Q2071">
        <v>0</v>
      </c>
      <c r="S2071" t="str">
        <f t="shared" si="206"/>
        <v>19:00:30.859</v>
      </c>
      <c r="T2071" t="str">
        <f t="shared" si="206"/>
        <v>19:00:30.859</v>
      </c>
      <c r="U2071" t="str">
        <f t="shared" si="204"/>
        <v>AAB6EE</v>
      </c>
      <c r="V2071">
        <v>0</v>
      </c>
      <c r="W2071">
        <v>0</v>
      </c>
      <c r="X2071">
        <v>4</v>
      </c>
      <c r="Z2071">
        <v>0</v>
      </c>
      <c r="AA2071">
        <v>8</v>
      </c>
      <c r="AB2071">
        <v>3</v>
      </c>
      <c r="AC2071">
        <v>0</v>
      </c>
      <c r="AD2071">
        <v>10</v>
      </c>
      <c r="AE2071">
        <v>0</v>
      </c>
      <c r="AF2071">
        <v>0</v>
      </c>
      <c r="AG2071">
        <v>2</v>
      </c>
      <c r="AH2071">
        <v>1</v>
      </c>
      <c r="AI2071" t="s">
        <v>1502</v>
      </c>
      <c r="AJ2071">
        <v>34.824235000000002</v>
      </c>
      <c r="AK2071" t="s">
        <v>1503</v>
      </c>
      <c r="AL2071">
        <v>-76.274815000000004</v>
      </c>
      <c r="AM2071">
        <v>25</v>
      </c>
      <c r="AN2071">
        <v>3050</v>
      </c>
      <c r="AO2071" t="s">
        <v>118</v>
      </c>
      <c r="AP2071">
        <v>-118</v>
      </c>
      <c r="AQ2071">
        <v>53</v>
      </c>
      <c r="AR2071">
        <v>3840</v>
      </c>
      <c r="AZ2071">
        <v>4516</v>
      </c>
      <c r="BA2071">
        <v>1</v>
      </c>
      <c r="BB2071" t="str">
        <f t="shared" si="203"/>
        <v xml:space="preserve">N79NX   </v>
      </c>
      <c r="BC2071">
        <v>1</v>
      </c>
      <c r="BE2071">
        <v>0</v>
      </c>
      <c r="BF2071">
        <v>0</v>
      </c>
      <c r="BG2071">
        <v>0</v>
      </c>
      <c r="BH2071">
        <v>2850</v>
      </c>
      <c r="BI2071">
        <v>0</v>
      </c>
      <c r="BJ2071">
        <v>0</v>
      </c>
      <c r="BK2071">
        <v>0</v>
      </c>
      <c r="BL2071">
        <v>0</v>
      </c>
      <c r="BO2071">
        <v>0</v>
      </c>
      <c r="BP2071">
        <v>0</v>
      </c>
      <c r="BW2071" t="str">
        <f>"19:00:30.866"</f>
        <v>19:00:30.866</v>
      </c>
      <c r="BZ2071">
        <v>0</v>
      </c>
      <c r="CA2071">
        <v>1888</v>
      </c>
      <c r="CB2071">
        <v>214.4</v>
      </c>
      <c r="CC2071">
        <v>625.78129999999999</v>
      </c>
      <c r="CD2071">
        <v>1</v>
      </c>
      <c r="CE2071">
        <v>0</v>
      </c>
      <c r="CF2071">
        <v>0</v>
      </c>
      <c r="CG2071">
        <v>1</v>
      </c>
      <c r="CH2071">
        <v>0</v>
      </c>
      <c r="CI2071">
        <v>1</v>
      </c>
      <c r="CJ2071">
        <v>0</v>
      </c>
      <c r="CK2071">
        <v>2</v>
      </c>
      <c r="CL2071">
        <v>0</v>
      </c>
      <c r="CM2071">
        <v>2</v>
      </c>
      <c r="CN2071">
        <v>0</v>
      </c>
      <c r="CO2071">
        <v>5</v>
      </c>
      <c r="CP2071" t="s">
        <v>119</v>
      </c>
      <c r="CQ2071">
        <v>70</v>
      </c>
      <c r="CR2071">
        <v>1</v>
      </c>
      <c r="CW2071">
        <v>3900130</v>
      </c>
      <c r="CY2071">
        <v>0</v>
      </c>
      <c r="CZ2071">
        <v>0</v>
      </c>
      <c r="DA2071">
        <v>1</v>
      </c>
      <c r="DB2071">
        <v>0</v>
      </c>
      <c r="DC2071">
        <v>0</v>
      </c>
      <c r="DD2071">
        <v>0</v>
      </c>
      <c r="DE2071">
        <v>0</v>
      </c>
      <c r="DF2071">
        <v>0</v>
      </c>
      <c r="DG2071">
        <v>0</v>
      </c>
      <c r="DH2071">
        <v>0</v>
      </c>
      <c r="DI2071">
        <v>0</v>
      </c>
    </row>
    <row r="2072" spans="1:113" x14ac:dyDescent="0.3">
      <c r="A2072" t="str">
        <f>"02/13/2022 19:00:32.154"</f>
        <v>02/13/2022 19:00:32.154</v>
      </c>
      <c r="C2072" t="str">
        <f t="shared" si="202"/>
        <v>FFDFD7C0</v>
      </c>
      <c r="D2072" t="s">
        <v>113</v>
      </c>
      <c r="E2072">
        <v>4</v>
      </c>
      <c r="F2072">
        <v>1004</v>
      </c>
      <c r="G2072" t="s">
        <v>120</v>
      </c>
      <c r="J2072" t="s">
        <v>115</v>
      </c>
      <c r="K2072">
        <v>0</v>
      </c>
      <c r="L2072">
        <v>3</v>
      </c>
      <c r="M2072">
        <v>0</v>
      </c>
      <c r="N2072">
        <v>2</v>
      </c>
      <c r="O2072">
        <v>1</v>
      </c>
      <c r="P2072">
        <v>0</v>
      </c>
      <c r="Q2072">
        <v>0</v>
      </c>
      <c r="S2072" t="str">
        <f t="shared" ref="S2072:T2074" si="207">"19:00:31.992"</f>
        <v>19:00:31.992</v>
      </c>
      <c r="T2072" t="str">
        <f t="shared" si="207"/>
        <v>19:00:31.992</v>
      </c>
      <c r="U2072" t="str">
        <f t="shared" si="204"/>
        <v>AAB6EE</v>
      </c>
      <c r="V2072">
        <v>0</v>
      </c>
      <c r="W2072">
        <v>0</v>
      </c>
      <c r="X2072">
        <v>4</v>
      </c>
      <c r="Z2072">
        <v>0</v>
      </c>
      <c r="AA2072">
        <v>8</v>
      </c>
      <c r="AB2072">
        <v>3</v>
      </c>
      <c r="AC2072">
        <v>0</v>
      </c>
      <c r="AD2072">
        <v>10</v>
      </c>
      <c r="AE2072">
        <v>0</v>
      </c>
      <c r="AF2072">
        <v>0</v>
      </c>
      <c r="AG2072">
        <v>2</v>
      </c>
      <c r="AH2072">
        <v>1</v>
      </c>
      <c r="AI2072" t="s">
        <v>1504</v>
      </c>
      <c r="AJ2072">
        <v>34.824471000000003</v>
      </c>
      <c r="AK2072" t="s">
        <v>1505</v>
      </c>
      <c r="AL2072">
        <v>-76.275543999999996</v>
      </c>
      <c r="AM2072">
        <v>25</v>
      </c>
      <c r="AN2072">
        <v>3125</v>
      </c>
      <c r="AO2072" t="s">
        <v>118</v>
      </c>
      <c r="AP2072">
        <v>-118</v>
      </c>
      <c r="AQ2072">
        <v>46</v>
      </c>
      <c r="AR2072">
        <v>3776</v>
      </c>
      <c r="AZ2072">
        <v>4516</v>
      </c>
      <c r="BA2072">
        <v>1</v>
      </c>
      <c r="BB2072" t="str">
        <f t="shared" si="203"/>
        <v xml:space="preserve">N79NX   </v>
      </c>
      <c r="BC2072">
        <v>1</v>
      </c>
      <c r="BE2072">
        <v>0</v>
      </c>
      <c r="BF2072">
        <v>0</v>
      </c>
      <c r="BG2072">
        <v>0</v>
      </c>
      <c r="BH2072">
        <v>2950</v>
      </c>
      <c r="BI2072">
        <v>0</v>
      </c>
      <c r="BJ2072">
        <v>0</v>
      </c>
      <c r="BK2072">
        <v>0</v>
      </c>
      <c r="BL2072">
        <v>0</v>
      </c>
      <c r="BO2072">
        <v>0</v>
      </c>
      <c r="BP2072">
        <v>0</v>
      </c>
      <c r="BW2072" t="str">
        <f>"19:00:31.996"</f>
        <v>19:00:31.996</v>
      </c>
      <c r="BZ2072">
        <v>0</v>
      </c>
      <c r="CA2072">
        <v>1888</v>
      </c>
      <c r="CB2072">
        <v>214.4</v>
      </c>
      <c r="CC2072">
        <v>625.78129999999999</v>
      </c>
      <c r="CD2072">
        <v>1</v>
      </c>
      <c r="CE2072">
        <v>0</v>
      </c>
      <c r="CF2072">
        <v>0</v>
      </c>
      <c r="CG2072">
        <v>1</v>
      </c>
      <c r="CH2072">
        <v>0</v>
      </c>
      <c r="CI2072">
        <v>1</v>
      </c>
      <c r="CJ2072">
        <v>0</v>
      </c>
      <c r="CK2072">
        <v>2</v>
      </c>
      <c r="CL2072">
        <v>0</v>
      </c>
      <c r="CM2072">
        <v>2</v>
      </c>
      <c r="CN2072">
        <v>0</v>
      </c>
      <c r="CO2072">
        <v>5</v>
      </c>
      <c r="CP2072" t="s">
        <v>119</v>
      </c>
      <c r="CQ2072">
        <v>70</v>
      </c>
      <c r="CR2072">
        <v>1</v>
      </c>
      <c r="CW2072">
        <v>3901081</v>
      </c>
      <c r="CY2072">
        <v>0</v>
      </c>
      <c r="CZ2072">
        <v>0</v>
      </c>
      <c r="DA2072">
        <v>0</v>
      </c>
      <c r="DB2072">
        <v>0</v>
      </c>
      <c r="DC2072">
        <v>0</v>
      </c>
      <c r="DD2072">
        <v>0</v>
      </c>
      <c r="DE2072">
        <v>0</v>
      </c>
      <c r="DF2072">
        <v>0</v>
      </c>
      <c r="DG2072">
        <v>0</v>
      </c>
      <c r="DH2072">
        <v>0</v>
      </c>
      <c r="DI2072">
        <v>0</v>
      </c>
    </row>
    <row r="2073" spans="1:113" x14ac:dyDescent="0.3">
      <c r="A2073" t="str">
        <f>"02/13/2022 19:00:32.216"</f>
        <v>02/13/2022 19:00:32.216</v>
      </c>
      <c r="C2073" t="str">
        <f t="shared" si="202"/>
        <v>FFDFD7C0</v>
      </c>
      <c r="D2073" t="s">
        <v>121</v>
      </c>
      <c r="E2073">
        <v>2</v>
      </c>
      <c r="H2073">
        <v>158</v>
      </c>
      <c r="I2073" t="s">
        <v>120</v>
      </c>
      <c r="J2073" t="s">
        <v>122</v>
      </c>
      <c r="K2073">
        <v>0</v>
      </c>
      <c r="L2073">
        <v>3</v>
      </c>
      <c r="M2073">
        <v>0</v>
      </c>
      <c r="N2073">
        <v>2</v>
      </c>
      <c r="O2073">
        <v>1</v>
      </c>
      <c r="P2073">
        <v>0</v>
      </c>
      <c r="Q2073">
        <v>0</v>
      </c>
      <c r="S2073" t="str">
        <f t="shared" si="207"/>
        <v>19:00:31.992</v>
      </c>
      <c r="T2073" t="str">
        <f t="shared" si="207"/>
        <v>19:00:31.992</v>
      </c>
      <c r="U2073" t="str">
        <f t="shared" si="204"/>
        <v>AAB6EE</v>
      </c>
      <c r="V2073">
        <v>0</v>
      </c>
      <c r="W2073">
        <v>0</v>
      </c>
      <c r="X2073">
        <v>4</v>
      </c>
      <c r="Z2073">
        <v>0</v>
      </c>
      <c r="AA2073">
        <v>8</v>
      </c>
      <c r="AB2073">
        <v>3</v>
      </c>
      <c r="AC2073">
        <v>0</v>
      </c>
      <c r="AD2073">
        <v>10</v>
      </c>
      <c r="AE2073">
        <v>0</v>
      </c>
      <c r="AF2073">
        <v>0</v>
      </c>
      <c r="AG2073">
        <v>2</v>
      </c>
      <c r="AH2073">
        <v>1</v>
      </c>
      <c r="AI2073" t="s">
        <v>1504</v>
      </c>
      <c r="AJ2073">
        <v>34.824471000000003</v>
      </c>
      <c r="AK2073" t="s">
        <v>1505</v>
      </c>
      <c r="AL2073">
        <v>-76.275543999999996</v>
      </c>
      <c r="AM2073">
        <v>25</v>
      </c>
      <c r="AN2073">
        <v>3125</v>
      </c>
      <c r="AO2073" t="s">
        <v>118</v>
      </c>
      <c r="AP2073">
        <v>-118</v>
      </c>
      <c r="AQ2073">
        <v>46</v>
      </c>
      <c r="AR2073">
        <v>3776</v>
      </c>
      <c r="AZ2073">
        <v>4516</v>
      </c>
      <c r="BA2073">
        <v>1</v>
      </c>
      <c r="BB2073" t="str">
        <f t="shared" si="203"/>
        <v xml:space="preserve">N79NX   </v>
      </c>
      <c r="BC2073">
        <v>1</v>
      </c>
      <c r="BE2073">
        <v>0</v>
      </c>
      <c r="BF2073">
        <v>0</v>
      </c>
      <c r="BG2073">
        <v>0</v>
      </c>
      <c r="BH2073">
        <v>2950</v>
      </c>
      <c r="BI2073">
        <v>0</v>
      </c>
      <c r="BJ2073">
        <v>0</v>
      </c>
      <c r="BK2073">
        <v>0</v>
      </c>
      <c r="BL2073">
        <v>0</v>
      </c>
      <c r="BO2073">
        <v>0</v>
      </c>
      <c r="BP2073">
        <v>0</v>
      </c>
      <c r="BW2073" t="str">
        <f>"19:00:31.996"</f>
        <v>19:00:31.996</v>
      </c>
      <c r="BZ2073">
        <v>0</v>
      </c>
      <c r="CA2073">
        <v>1888</v>
      </c>
      <c r="CB2073">
        <v>214.4</v>
      </c>
      <c r="CC2073">
        <v>625.78129999999999</v>
      </c>
      <c r="CD2073">
        <v>1</v>
      </c>
      <c r="CE2073">
        <v>0</v>
      </c>
      <c r="CF2073">
        <v>0</v>
      </c>
      <c r="CG2073">
        <v>1</v>
      </c>
      <c r="CH2073">
        <v>0</v>
      </c>
      <c r="CI2073">
        <v>1</v>
      </c>
      <c r="CJ2073">
        <v>0</v>
      </c>
      <c r="CK2073">
        <v>2</v>
      </c>
      <c r="CL2073">
        <v>0</v>
      </c>
      <c r="CM2073">
        <v>2</v>
      </c>
      <c r="CN2073">
        <v>0</v>
      </c>
      <c r="CO2073">
        <v>5</v>
      </c>
      <c r="CP2073" t="s">
        <v>119</v>
      </c>
      <c r="CQ2073">
        <v>70</v>
      </c>
      <c r="CR2073">
        <v>1</v>
      </c>
      <c r="CW2073">
        <v>3901081</v>
      </c>
      <c r="CY2073">
        <v>0</v>
      </c>
      <c r="CZ2073">
        <v>0</v>
      </c>
      <c r="DA2073">
        <v>1</v>
      </c>
      <c r="DB2073">
        <v>0</v>
      </c>
      <c r="DC2073">
        <v>0</v>
      </c>
      <c r="DD2073">
        <v>0</v>
      </c>
      <c r="DE2073">
        <v>0</v>
      </c>
      <c r="DF2073">
        <v>0</v>
      </c>
      <c r="DG2073">
        <v>0</v>
      </c>
      <c r="DH2073">
        <v>0</v>
      </c>
      <c r="DI2073">
        <v>0</v>
      </c>
    </row>
    <row r="2074" spans="1:113" x14ac:dyDescent="0.3">
      <c r="A2074" t="str">
        <f>"02/13/2022 19:00:32.216"</f>
        <v>02/13/2022 19:00:32.216</v>
      </c>
      <c r="C2074" t="str">
        <f t="shared" si="202"/>
        <v>FFDFD7C0</v>
      </c>
      <c r="D2074" t="s">
        <v>113</v>
      </c>
      <c r="E2074">
        <v>3</v>
      </c>
      <c r="F2074">
        <v>1003</v>
      </c>
      <c r="G2074" t="s">
        <v>114</v>
      </c>
      <c r="J2074" t="s">
        <v>115</v>
      </c>
      <c r="K2074">
        <v>0</v>
      </c>
      <c r="L2074">
        <v>3</v>
      </c>
      <c r="M2074">
        <v>0</v>
      </c>
      <c r="N2074">
        <v>2</v>
      </c>
      <c r="O2074">
        <v>1</v>
      </c>
      <c r="P2074">
        <v>0</v>
      </c>
      <c r="Q2074">
        <v>0</v>
      </c>
      <c r="S2074" t="str">
        <f t="shared" si="207"/>
        <v>19:00:31.992</v>
      </c>
      <c r="T2074" t="str">
        <f t="shared" si="207"/>
        <v>19:00:31.992</v>
      </c>
      <c r="U2074" t="str">
        <f t="shared" si="204"/>
        <v>AAB6EE</v>
      </c>
      <c r="V2074">
        <v>0</v>
      </c>
      <c r="W2074">
        <v>0</v>
      </c>
      <c r="X2074">
        <v>4</v>
      </c>
      <c r="Z2074">
        <v>0</v>
      </c>
      <c r="AA2074">
        <v>8</v>
      </c>
      <c r="AB2074">
        <v>3</v>
      </c>
      <c r="AC2074">
        <v>0</v>
      </c>
      <c r="AD2074">
        <v>10</v>
      </c>
      <c r="AE2074">
        <v>0</v>
      </c>
      <c r="AF2074">
        <v>0</v>
      </c>
      <c r="AG2074">
        <v>2</v>
      </c>
      <c r="AH2074">
        <v>1</v>
      </c>
      <c r="AI2074" t="s">
        <v>1504</v>
      </c>
      <c r="AJ2074">
        <v>34.824471000000003</v>
      </c>
      <c r="AK2074" t="s">
        <v>1505</v>
      </c>
      <c r="AL2074">
        <v>-76.275543999999996</v>
      </c>
      <c r="AM2074">
        <v>25</v>
      </c>
      <c r="AN2074">
        <v>3125</v>
      </c>
      <c r="AO2074" t="s">
        <v>118</v>
      </c>
      <c r="AP2074">
        <v>-118</v>
      </c>
      <c r="AQ2074">
        <v>46</v>
      </c>
      <c r="AR2074">
        <v>3776</v>
      </c>
      <c r="AZ2074">
        <v>4516</v>
      </c>
      <c r="BA2074">
        <v>1</v>
      </c>
      <c r="BB2074" t="str">
        <f t="shared" si="203"/>
        <v xml:space="preserve">N79NX   </v>
      </c>
      <c r="BC2074">
        <v>1</v>
      </c>
      <c r="BE2074">
        <v>0</v>
      </c>
      <c r="BF2074">
        <v>0</v>
      </c>
      <c r="BG2074">
        <v>0</v>
      </c>
      <c r="BH2074">
        <v>2950</v>
      </c>
      <c r="BI2074">
        <v>0</v>
      </c>
      <c r="BJ2074">
        <v>0</v>
      </c>
      <c r="BK2074">
        <v>0</v>
      </c>
      <c r="BL2074">
        <v>0</v>
      </c>
      <c r="BO2074">
        <v>0</v>
      </c>
      <c r="BP2074">
        <v>0</v>
      </c>
      <c r="BW2074" t="str">
        <f>"19:00:31.996"</f>
        <v>19:00:31.996</v>
      </c>
      <c r="BZ2074">
        <v>0</v>
      </c>
      <c r="CA2074">
        <v>1888</v>
      </c>
      <c r="CB2074">
        <v>214.4</v>
      </c>
      <c r="CC2074">
        <v>625.78129999999999</v>
      </c>
      <c r="CD2074">
        <v>1</v>
      </c>
      <c r="CE2074">
        <v>0</v>
      </c>
      <c r="CF2074">
        <v>0</v>
      </c>
      <c r="CG2074">
        <v>1</v>
      </c>
      <c r="CH2074">
        <v>0</v>
      </c>
      <c r="CI2074">
        <v>1</v>
      </c>
      <c r="CJ2074">
        <v>0</v>
      </c>
      <c r="CK2074">
        <v>2</v>
      </c>
      <c r="CL2074">
        <v>0</v>
      </c>
      <c r="CM2074">
        <v>2</v>
      </c>
      <c r="CN2074">
        <v>0</v>
      </c>
      <c r="CO2074">
        <v>5</v>
      </c>
      <c r="CP2074" t="s">
        <v>119</v>
      </c>
      <c r="CQ2074">
        <v>70</v>
      </c>
      <c r="CR2074">
        <v>1</v>
      </c>
      <c r="CW2074">
        <v>3901081</v>
      </c>
      <c r="CY2074">
        <v>0</v>
      </c>
      <c r="CZ2074">
        <v>0</v>
      </c>
      <c r="DA2074">
        <v>1</v>
      </c>
      <c r="DB2074">
        <v>0</v>
      </c>
      <c r="DC2074">
        <v>0</v>
      </c>
      <c r="DD2074">
        <v>0</v>
      </c>
      <c r="DE2074">
        <v>0</v>
      </c>
      <c r="DF2074">
        <v>0</v>
      </c>
      <c r="DG2074">
        <v>0</v>
      </c>
      <c r="DH2074">
        <v>0</v>
      </c>
      <c r="DI2074">
        <v>0</v>
      </c>
    </row>
    <row r="2075" spans="1:113" x14ac:dyDescent="0.3">
      <c r="A2075" t="str">
        <f>"02/13/2022 19:00:33.091"</f>
        <v>02/13/2022 19:00:33.091</v>
      </c>
      <c r="C2075" t="str">
        <f t="shared" si="202"/>
        <v>FFDFD7C0</v>
      </c>
      <c r="D2075" t="s">
        <v>121</v>
      </c>
      <c r="E2075">
        <v>2</v>
      </c>
      <c r="H2075">
        <v>158</v>
      </c>
      <c r="I2075" t="s">
        <v>120</v>
      </c>
      <c r="J2075" t="s">
        <v>122</v>
      </c>
      <c r="K2075">
        <v>0</v>
      </c>
      <c r="L2075">
        <v>3</v>
      </c>
      <c r="M2075">
        <v>0</v>
      </c>
      <c r="N2075">
        <v>2</v>
      </c>
      <c r="O2075">
        <v>1</v>
      </c>
      <c r="P2075">
        <v>0</v>
      </c>
      <c r="Q2075">
        <v>0</v>
      </c>
      <c r="S2075" t="str">
        <f>"19:00:32.914"</f>
        <v>19:00:32.914</v>
      </c>
      <c r="T2075" t="str">
        <f>"19:00:32.814"</f>
        <v>19:00:32.814</v>
      </c>
      <c r="U2075" t="str">
        <f t="shared" si="204"/>
        <v>AAB6EE</v>
      </c>
      <c r="V2075">
        <v>0</v>
      </c>
      <c r="W2075">
        <v>0</v>
      </c>
      <c r="X2075">
        <v>4</v>
      </c>
      <c r="Z2075">
        <v>0</v>
      </c>
      <c r="AA2075">
        <v>8</v>
      </c>
      <c r="AB2075">
        <v>3</v>
      </c>
      <c r="AC2075">
        <v>0</v>
      </c>
      <c r="AD2075">
        <v>10</v>
      </c>
      <c r="AE2075">
        <v>0</v>
      </c>
      <c r="AF2075">
        <v>0</v>
      </c>
      <c r="AG2075">
        <v>2</v>
      </c>
      <c r="AH2075">
        <v>1</v>
      </c>
      <c r="AI2075" t="s">
        <v>1506</v>
      </c>
      <c r="AJ2075">
        <v>34.824643000000002</v>
      </c>
      <c r="AK2075" t="s">
        <v>1507</v>
      </c>
      <c r="AL2075">
        <v>-76.276230999999996</v>
      </c>
      <c r="AM2075">
        <v>25</v>
      </c>
      <c r="AN2075">
        <v>3175</v>
      </c>
      <c r="AO2075" t="s">
        <v>118</v>
      </c>
      <c r="AP2075">
        <v>-118</v>
      </c>
      <c r="AQ2075">
        <v>39</v>
      </c>
      <c r="AR2075">
        <v>3776</v>
      </c>
      <c r="AZ2075">
        <v>4516</v>
      </c>
      <c r="BA2075">
        <v>1</v>
      </c>
      <c r="BB2075" t="str">
        <f t="shared" si="203"/>
        <v xml:space="preserve">N79NX   </v>
      </c>
      <c r="BC2075">
        <v>1</v>
      </c>
      <c r="BE2075">
        <v>0</v>
      </c>
      <c r="BF2075">
        <v>0</v>
      </c>
      <c r="BG2075">
        <v>0</v>
      </c>
      <c r="BH2075">
        <v>3025</v>
      </c>
      <c r="BI2075">
        <v>0</v>
      </c>
      <c r="BJ2075">
        <v>0</v>
      </c>
      <c r="BK2075">
        <v>0</v>
      </c>
      <c r="BL2075">
        <v>0</v>
      </c>
      <c r="BO2075">
        <v>0</v>
      </c>
      <c r="BP2075">
        <v>0</v>
      </c>
      <c r="BW2075" t="str">
        <f>"19:00:32.916"</f>
        <v>19:00:32.916</v>
      </c>
      <c r="BZ2075">
        <v>0</v>
      </c>
      <c r="CA2075">
        <v>1888</v>
      </c>
      <c r="CB2075">
        <v>214.4</v>
      </c>
      <c r="CC2075">
        <v>625.78129999999999</v>
      </c>
      <c r="CD2075">
        <v>1</v>
      </c>
      <c r="CE2075">
        <v>0</v>
      </c>
      <c r="CF2075">
        <v>0</v>
      </c>
      <c r="CG2075">
        <v>1</v>
      </c>
      <c r="CH2075">
        <v>0</v>
      </c>
      <c r="CI2075">
        <v>1</v>
      </c>
      <c r="CJ2075">
        <v>0</v>
      </c>
      <c r="CK2075">
        <v>2</v>
      </c>
      <c r="CL2075">
        <v>0</v>
      </c>
      <c r="CM2075">
        <v>2</v>
      </c>
      <c r="CN2075">
        <v>0</v>
      </c>
      <c r="CO2075">
        <v>4</v>
      </c>
      <c r="CP2075" t="s">
        <v>119</v>
      </c>
      <c r="CQ2075">
        <v>70</v>
      </c>
      <c r="CR2075">
        <v>1</v>
      </c>
      <c r="CW2075">
        <v>3901924</v>
      </c>
      <c r="CY2075">
        <v>0</v>
      </c>
      <c r="CZ2075">
        <v>0</v>
      </c>
      <c r="DA2075">
        <v>0</v>
      </c>
      <c r="DB2075">
        <v>0</v>
      </c>
      <c r="DC2075">
        <v>0</v>
      </c>
      <c r="DD2075">
        <v>0</v>
      </c>
      <c r="DE2075">
        <v>0</v>
      </c>
      <c r="DF2075">
        <v>0</v>
      </c>
      <c r="DG2075">
        <v>0</v>
      </c>
      <c r="DH2075">
        <v>0</v>
      </c>
      <c r="DI2075">
        <v>0</v>
      </c>
    </row>
    <row r="2076" spans="1:113" x14ac:dyDescent="0.3">
      <c r="A2076" t="str">
        <f>"02/13/2022 19:00:33.123"</f>
        <v>02/13/2022 19:00:33.123</v>
      </c>
      <c r="C2076" t="str">
        <f t="shared" si="202"/>
        <v>FFDFD7C0</v>
      </c>
      <c r="D2076" t="s">
        <v>113</v>
      </c>
      <c r="E2076">
        <v>3</v>
      </c>
      <c r="F2076">
        <v>1003</v>
      </c>
      <c r="G2076" t="s">
        <v>114</v>
      </c>
      <c r="J2076" t="s">
        <v>115</v>
      </c>
      <c r="K2076">
        <v>0</v>
      </c>
      <c r="L2076">
        <v>3</v>
      </c>
      <c r="M2076">
        <v>0</v>
      </c>
      <c r="N2076">
        <v>2</v>
      </c>
      <c r="O2076">
        <v>1</v>
      </c>
      <c r="P2076">
        <v>0</v>
      </c>
      <c r="Q2076">
        <v>0</v>
      </c>
      <c r="S2076" t="str">
        <f>"19:00:32.914"</f>
        <v>19:00:32.914</v>
      </c>
      <c r="T2076" t="str">
        <f>"19:00:32.814"</f>
        <v>19:00:32.814</v>
      </c>
      <c r="U2076" t="str">
        <f t="shared" si="204"/>
        <v>AAB6EE</v>
      </c>
      <c r="V2076">
        <v>0</v>
      </c>
      <c r="W2076">
        <v>0</v>
      </c>
      <c r="X2076">
        <v>4</v>
      </c>
      <c r="Z2076">
        <v>0</v>
      </c>
      <c r="AA2076">
        <v>8</v>
      </c>
      <c r="AB2076">
        <v>3</v>
      </c>
      <c r="AC2076">
        <v>0</v>
      </c>
      <c r="AD2076">
        <v>10</v>
      </c>
      <c r="AE2076">
        <v>0</v>
      </c>
      <c r="AF2076">
        <v>0</v>
      </c>
      <c r="AG2076">
        <v>2</v>
      </c>
      <c r="AH2076">
        <v>1</v>
      </c>
      <c r="AI2076" t="s">
        <v>1506</v>
      </c>
      <c r="AJ2076">
        <v>34.824643000000002</v>
      </c>
      <c r="AK2076" t="s">
        <v>1507</v>
      </c>
      <c r="AL2076">
        <v>-76.276230999999996</v>
      </c>
      <c r="AM2076">
        <v>25</v>
      </c>
      <c r="AN2076">
        <v>3175</v>
      </c>
      <c r="AO2076" t="s">
        <v>118</v>
      </c>
      <c r="AP2076">
        <v>-118</v>
      </c>
      <c r="AQ2076">
        <v>39</v>
      </c>
      <c r="AR2076">
        <v>3776</v>
      </c>
      <c r="AZ2076">
        <v>4516</v>
      </c>
      <c r="BA2076">
        <v>1</v>
      </c>
      <c r="BB2076" t="str">
        <f t="shared" si="203"/>
        <v xml:space="preserve">N79NX   </v>
      </c>
      <c r="BC2076">
        <v>1</v>
      </c>
      <c r="BE2076">
        <v>0</v>
      </c>
      <c r="BF2076">
        <v>0</v>
      </c>
      <c r="BG2076">
        <v>0</v>
      </c>
      <c r="BH2076">
        <v>3025</v>
      </c>
      <c r="BI2076">
        <v>0</v>
      </c>
      <c r="BJ2076">
        <v>0</v>
      </c>
      <c r="BK2076">
        <v>0</v>
      </c>
      <c r="BL2076">
        <v>0</v>
      </c>
      <c r="BO2076">
        <v>0</v>
      </c>
      <c r="BP2076">
        <v>0</v>
      </c>
      <c r="BW2076" t="str">
        <f>"19:00:32.916"</f>
        <v>19:00:32.916</v>
      </c>
      <c r="BZ2076">
        <v>0</v>
      </c>
      <c r="CA2076">
        <v>1888</v>
      </c>
      <c r="CB2076">
        <v>214.4</v>
      </c>
      <c r="CC2076">
        <v>625.78129999999999</v>
      </c>
      <c r="CD2076">
        <v>1</v>
      </c>
      <c r="CE2076">
        <v>0</v>
      </c>
      <c r="CF2076">
        <v>0</v>
      </c>
      <c r="CG2076">
        <v>1</v>
      </c>
      <c r="CH2076">
        <v>0</v>
      </c>
      <c r="CI2076">
        <v>1</v>
      </c>
      <c r="CJ2076">
        <v>0</v>
      </c>
      <c r="CK2076">
        <v>2</v>
      </c>
      <c r="CL2076">
        <v>0</v>
      </c>
      <c r="CM2076">
        <v>2</v>
      </c>
      <c r="CN2076">
        <v>0</v>
      </c>
      <c r="CO2076">
        <v>4</v>
      </c>
      <c r="CP2076" t="s">
        <v>119</v>
      </c>
      <c r="CQ2076">
        <v>70</v>
      </c>
      <c r="CR2076">
        <v>1</v>
      </c>
      <c r="CW2076">
        <v>3901924</v>
      </c>
      <c r="CY2076">
        <v>0</v>
      </c>
      <c r="CZ2076">
        <v>0</v>
      </c>
      <c r="DA2076">
        <v>1</v>
      </c>
      <c r="DB2076">
        <v>0</v>
      </c>
      <c r="DC2076">
        <v>0</v>
      </c>
      <c r="DD2076">
        <v>0</v>
      </c>
      <c r="DE2076">
        <v>0</v>
      </c>
      <c r="DF2076">
        <v>0</v>
      </c>
      <c r="DG2076">
        <v>0</v>
      </c>
      <c r="DH2076">
        <v>0</v>
      </c>
      <c r="DI2076">
        <v>0</v>
      </c>
    </row>
    <row r="2077" spans="1:113" x14ac:dyDescent="0.3">
      <c r="A2077" t="str">
        <f>"02/13/2022 19:00:33.123"</f>
        <v>02/13/2022 19:00:33.123</v>
      </c>
      <c r="C2077" t="str">
        <f t="shared" si="202"/>
        <v>FFDFD7C0</v>
      </c>
      <c r="D2077" t="s">
        <v>113</v>
      </c>
      <c r="E2077">
        <v>4</v>
      </c>
      <c r="F2077">
        <v>1004</v>
      </c>
      <c r="G2077" t="s">
        <v>120</v>
      </c>
      <c r="J2077" t="s">
        <v>115</v>
      </c>
      <c r="K2077">
        <v>0</v>
      </c>
      <c r="L2077">
        <v>3</v>
      </c>
      <c r="M2077">
        <v>0</v>
      </c>
      <c r="N2077">
        <v>2</v>
      </c>
      <c r="O2077">
        <v>1</v>
      </c>
      <c r="P2077">
        <v>0</v>
      </c>
      <c r="Q2077">
        <v>0</v>
      </c>
      <c r="S2077" t="str">
        <f>"19:00:32.914"</f>
        <v>19:00:32.914</v>
      </c>
      <c r="T2077" t="str">
        <f>"19:00:32.814"</f>
        <v>19:00:32.814</v>
      </c>
      <c r="U2077" t="str">
        <f t="shared" si="204"/>
        <v>AAB6EE</v>
      </c>
      <c r="V2077">
        <v>0</v>
      </c>
      <c r="W2077">
        <v>0</v>
      </c>
      <c r="X2077">
        <v>4</v>
      </c>
      <c r="Z2077">
        <v>0</v>
      </c>
      <c r="AA2077">
        <v>8</v>
      </c>
      <c r="AB2077">
        <v>3</v>
      </c>
      <c r="AC2077">
        <v>0</v>
      </c>
      <c r="AD2077">
        <v>10</v>
      </c>
      <c r="AE2077">
        <v>0</v>
      </c>
      <c r="AF2077">
        <v>0</v>
      </c>
      <c r="AG2077">
        <v>2</v>
      </c>
      <c r="AH2077">
        <v>1</v>
      </c>
      <c r="AI2077" t="s">
        <v>1506</v>
      </c>
      <c r="AJ2077">
        <v>34.824643000000002</v>
      </c>
      <c r="AK2077" t="s">
        <v>1507</v>
      </c>
      <c r="AL2077">
        <v>-76.276230999999996</v>
      </c>
      <c r="AM2077">
        <v>25</v>
      </c>
      <c r="AN2077">
        <v>3175</v>
      </c>
      <c r="AO2077" t="s">
        <v>118</v>
      </c>
      <c r="AP2077">
        <v>-118</v>
      </c>
      <c r="AQ2077">
        <v>39</v>
      </c>
      <c r="AR2077">
        <v>3776</v>
      </c>
      <c r="AZ2077">
        <v>4516</v>
      </c>
      <c r="BA2077">
        <v>1</v>
      </c>
      <c r="BB2077" t="str">
        <f t="shared" si="203"/>
        <v xml:space="preserve">N79NX   </v>
      </c>
      <c r="BC2077">
        <v>1</v>
      </c>
      <c r="BE2077">
        <v>0</v>
      </c>
      <c r="BF2077">
        <v>0</v>
      </c>
      <c r="BG2077">
        <v>0</v>
      </c>
      <c r="BH2077">
        <v>3025</v>
      </c>
      <c r="BI2077">
        <v>0</v>
      </c>
      <c r="BJ2077">
        <v>0</v>
      </c>
      <c r="BK2077">
        <v>0</v>
      </c>
      <c r="BL2077">
        <v>0</v>
      </c>
      <c r="BO2077">
        <v>0</v>
      </c>
      <c r="BP2077">
        <v>0</v>
      </c>
      <c r="BW2077" t="str">
        <f>"19:00:32.916"</f>
        <v>19:00:32.916</v>
      </c>
      <c r="BZ2077">
        <v>0</v>
      </c>
      <c r="CA2077">
        <v>1888</v>
      </c>
      <c r="CB2077">
        <v>214.4</v>
      </c>
      <c r="CC2077">
        <v>625.78129999999999</v>
      </c>
      <c r="CD2077">
        <v>1</v>
      </c>
      <c r="CE2077">
        <v>0</v>
      </c>
      <c r="CF2077">
        <v>0</v>
      </c>
      <c r="CG2077">
        <v>1</v>
      </c>
      <c r="CH2077">
        <v>0</v>
      </c>
      <c r="CI2077">
        <v>1</v>
      </c>
      <c r="CJ2077">
        <v>0</v>
      </c>
      <c r="CK2077">
        <v>2</v>
      </c>
      <c r="CL2077">
        <v>0</v>
      </c>
      <c r="CM2077">
        <v>2</v>
      </c>
      <c r="CN2077">
        <v>0</v>
      </c>
      <c r="CO2077">
        <v>4</v>
      </c>
      <c r="CP2077" t="s">
        <v>119</v>
      </c>
      <c r="CQ2077">
        <v>70</v>
      </c>
      <c r="CR2077">
        <v>1</v>
      </c>
      <c r="CW2077">
        <v>3901924</v>
      </c>
      <c r="CY2077">
        <v>0</v>
      </c>
      <c r="CZ2077">
        <v>0</v>
      </c>
      <c r="DA2077">
        <v>1</v>
      </c>
      <c r="DB2077">
        <v>0</v>
      </c>
      <c r="DC2077">
        <v>0</v>
      </c>
      <c r="DD2077">
        <v>0</v>
      </c>
      <c r="DE2077">
        <v>0</v>
      </c>
      <c r="DF2077">
        <v>0</v>
      </c>
      <c r="DG2077">
        <v>0</v>
      </c>
      <c r="DH2077">
        <v>0</v>
      </c>
      <c r="DI2077">
        <v>0</v>
      </c>
    </row>
    <row r="2078" spans="1:113" x14ac:dyDescent="0.3">
      <c r="A2078" t="str">
        <f>"02/13/2022 19:00:34.531"</f>
        <v>02/13/2022 19:00:34.531</v>
      </c>
      <c r="C2078" t="str">
        <f t="shared" si="202"/>
        <v>FFDFD7C0</v>
      </c>
      <c r="D2078" t="s">
        <v>113</v>
      </c>
      <c r="E2078">
        <v>4</v>
      </c>
      <c r="F2078">
        <v>1004</v>
      </c>
      <c r="G2078" t="s">
        <v>120</v>
      </c>
      <c r="J2078" t="s">
        <v>115</v>
      </c>
      <c r="K2078">
        <v>0</v>
      </c>
      <c r="L2078">
        <v>3</v>
      </c>
      <c r="M2078">
        <v>0</v>
      </c>
      <c r="N2078">
        <v>2</v>
      </c>
      <c r="O2078">
        <v>1</v>
      </c>
      <c r="P2078">
        <v>0</v>
      </c>
      <c r="Q2078">
        <v>0</v>
      </c>
      <c r="S2078" t="str">
        <f>"19:00:34.359"</f>
        <v>19:00:34.359</v>
      </c>
      <c r="T2078" t="str">
        <f>"19:00:34.159"</f>
        <v>19:00:34.159</v>
      </c>
      <c r="U2078" t="str">
        <f t="shared" si="204"/>
        <v>AAB6EE</v>
      </c>
      <c r="V2078">
        <v>0</v>
      </c>
      <c r="W2078">
        <v>0</v>
      </c>
      <c r="X2078">
        <v>4</v>
      </c>
      <c r="Z2078">
        <v>0</v>
      </c>
      <c r="AA2078">
        <v>8</v>
      </c>
      <c r="AB2078">
        <v>3</v>
      </c>
      <c r="AC2078">
        <v>0</v>
      </c>
      <c r="AD2078">
        <v>10</v>
      </c>
      <c r="AE2078">
        <v>0</v>
      </c>
      <c r="AF2078">
        <v>0</v>
      </c>
      <c r="AG2078">
        <v>2</v>
      </c>
      <c r="AH2078">
        <v>1</v>
      </c>
      <c r="AI2078" t="s">
        <v>1508</v>
      </c>
      <c r="AJ2078">
        <v>34.824835999999998</v>
      </c>
      <c r="AK2078" t="s">
        <v>1509</v>
      </c>
      <c r="AL2078">
        <v>-76.277131999999995</v>
      </c>
      <c r="AM2078">
        <v>25</v>
      </c>
      <c r="AN2078">
        <v>3275</v>
      </c>
      <c r="AO2078" t="s">
        <v>118</v>
      </c>
      <c r="AP2078">
        <v>-117</v>
      </c>
      <c r="AQ2078">
        <v>26</v>
      </c>
      <c r="AR2078">
        <v>3904</v>
      </c>
      <c r="AZ2078">
        <v>4516</v>
      </c>
      <c r="BA2078">
        <v>1</v>
      </c>
      <c r="BB2078" t="str">
        <f t="shared" si="203"/>
        <v xml:space="preserve">N79NX   </v>
      </c>
      <c r="BC2078">
        <v>1</v>
      </c>
      <c r="BE2078">
        <v>0</v>
      </c>
      <c r="BF2078">
        <v>0</v>
      </c>
      <c r="BG2078">
        <v>0</v>
      </c>
      <c r="BH2078">
        <v>3100</v>
      </c>
      <c r="BI2078">
        <v>0</v>
      </c>
      <c r="BJ2078">
        <v>0</v>
      </c>
      <c r="BK2078">
        <v>0</v>
      </c>
      <c r="BL2078">
        <v>0</v>
      </c>
      <c r="BO2078">
        <v>0</v>
      </c>
      <c r="BP2078">
        <v>0</v>
      </c>
      <c r="BW2078" t="str">
        <f>"19:00:34.366"</f>
        <v>19:00:34.366</v>
      </c>
      <c r="BZ2078">
        <v>0</v>
      </c>
      <c r="CA2078">
        <v>1888</v>
      </c>
      <c r="CB2078">
        <v>214.4</v>
      </c>
      <c r="CC2078">
        <v>625.78129999999999</v>
      </c>
      <c r="CD2078">
        <v>1</v>
      </c>
      <c r="CE2078">
        <v>0</v>
      </c>
      <c r="CF2078">
        <v>0</v>
      </c>
      <c r="CG2078">
        <v>1</v>
      </c>
      <c r="CH2078">
        <v>0</v>
      </c>
      <c r="CI2078">
        <v>1</v>
      </c>
      <c r="CJ2078">
        <v>0</v>
      </c>
      <c r="CK2078">
        <v>2</v>
      </c>
      <c r="CL2078">
        <v>0</v>
      </c>
      <c r="CM2078">
        <v>2</v>
      </c>
      <c r="CN2078">
        <v>0</v>
      </c>
      <c r="CO2078">
        <v>5</v>
      </c>
      <c r="CP2078" t="s">
        <v>119</v>
      </c>
      <c r="CQ2078">
        <v>70</v>
      </c>
      <c r="CR2078">
        <v>1</v>
      </c>
      <c r="CW2078">
        <v>3903189</v>
      </c>
      <c r="CY2078">
        <v>0</v>
      </c>
      <c r="CZ2078">
        <v>0</v>
      </c>
      <c r="DA2078">
        <v>0</v>
      </c>
      <c r="DB2078">
        <v>0</v>
      </c>
      <c r="DC2078">
        <v>0</v>
      </c>
      <c r="DD2078">
        <v>0</v>
      </c>
      <c r="DE2078">
        <v>0</v>
      </c>
      <c r="DF2078">
        <v>0</v>
      </c>
      <c r="DG2078">
        <v>0</v>
      </c>
      <c r="DH2078">
        <v>0</v>
      </c>
      <c r="DI2078">
        <v>0</v>
      </c>
    </row>
    <row r="2079" spans="1:113" x14ac:dyDescent="0.3">
      <c r="A2079" t="str">
        <f>"02/13/2022 19:00:34.578"</f>
        <v>02/13/2022 19:00:34.578</v>
      </c>
      <c r="C2079" t="str">
        <f t="shared" si="202"/>
        <v>FFDFD7C0</v>
      </c>
      <c r="D2079" t="s">
        <v>121</v>
      </c>
      <c r="E2079">
        <v>2</v>
      </c>
      <c r="H2079">
        <v>158</v>
      </c>
      <c r="I2079" t="s">
        <v>120</v>
      </c>
      <c r="J2079" t="s">
        <v>122</v>
      </c>
      <c r="K2079">
        <v>0</v>
      </c>
      <c r="L2079">
        <v>3</v>
      </c>
      <c r="M2079">
        <v>0</v>
      </c>
      <c r="N2079">
        <v>2</v>
      </c>
      <c r="O2079">
        <v>1</v>
      </c>
      <c r="P2079">
        <v>0</v>
      </c>
      <c r="Q2079">
        <v>0</v>
      </c>
      <c r="S2079" t="str">
        <f>"19:00:34.359"</f>
        <v>19:00:34.359</v>
      </c>
      <c r="T2079" t="str">
        <f>"19:00:34.159"</f>
        <v>19:00:34.159</v>
      </c>
      <c r="U2079" t="str">
        <f t="shared" si="204"/>
        <v>AAB6EE</v>
      </c>
      <c r="V2079">
        <v>0</v>
      </c>
      <c r="W2079">
        <v>0</v>
      </c>
      <c r="X2079">
        <v>4</v>
      </c>
      <c r="Z2079">
        <v>0</v>
      </c>
      <c r="AA2079">
        <v>8</v>
      </c>
      <c r="AB2079">
        <v>3</v>
      </c>
      <c r="AC2079">
        <v>0</v>
      </c>
      <c r="AD2079">
        <v>10</v>
      </c>
      <c r="AE2079">
        <v>0</v>
      </c>
      <c r="AF2079">
        <v>0</v>
      </c>
      <c r="AG2079">
        <v>2</v>
      </c>
      <c r="AH2079">
        <v>1</v>
      </c>
      <c r="AI2079" t="s">
        <v>1508</v>
      </c>
      <c r="AJ2079">
        <v>34.824835999999998</v>
      </c>
      <c r="AK2079" t="s">
        <v>1509</v>
      </c>
      <c r="AL2079">
        <v>-76.277131999999995</v>
      </c>
      <c r="AM2079">
        <v>25</v>
      </c>
      <c r="AN2079">
        <v>3275</v>
      </c>
      <c r="AO2079" t="s">
        <v>118</v>
      </c>
      <c r="AP2079">
        <v>-117</v>
      </c>
      <c r="AQ2079">
        <v>26</v>
      </c>
      <c r="AR2079">
        <v>3904</v>
      </c>
      <c r="AZ2079">
        <v>4516</v>
      </c>
      <c r="BA2079">
        <v>1</v>
      </c>
      <c r="BB2079" t="str">
        <f t="shared" si="203"/>
        <v xml:space="preserve">N79NX   </v>
      </c>
      <c r="BC2079">
        <v>1</v>
      </c>
      <c r="BE2079">
        <v>0</v>
      </c>
      <c r="BF2079">
        <v>0</v>
      </c>
      <c r="BG2079">
        <v>0</v>
      </c>
      <c r="BH2079">
        <v>3100</v>
      </c>
      <c r="BI2079">
        <v>0</v>
      </c>
      <c r="BJ2079">
        <v>0</v>
      </c>
      <c r="BK2079">
        <v>0</v>
      </c>
      <c r="BL2079">
        <v>0</v>
      </c>
      <c r="BO2079">
        <v>0</v>
      </c>
      <c r="BP2079">
        <v>0</v>
      </c>
      <c r="BW2079" t="str">
        <f>"19:00:34.366"</f>
        <v>19:00:34.366</v>
      </c>
      <c r="BZ2079">
        <v>0</v>
      </c>
      <c r="CA2079">
        <v>1888</v>
      </c>
      <c r="CB2079">
        <v>214.4</v>
      </c>
      <c r="CC2079">
        <v>625.78129999999999</v>
      </c>
      <c r="CD2079">
        <v>1</v>
      </c>
      <c r="CE2079">
        <v>0</v>
      </c>
      <c r="CF2079">
        <v>0</v>
      </c>
      <c r="CG2079">
        <v>1</v>
      </c>
      <c r="CH2079">
        <v>0</v>
      </c>
      <c r="CI2079">
        <v>1</v>
      </c>
      <c r="CJ2079">
        <v>0</v>
      </c>
      <c r="CK2079">
        <v>2</v>
      </c>
      <c r="CL2079">
        <v>0</v>
      </c>
      <c r="CM2079">
        <v>2</v>
      </c>
      <c r="CN2079">
        <v>0</v>
      </c>
      <c r="CO2079">
        <v>5</v>
      </c>
      <c r="CP2079" t="s">
        <v>119</v>
      </c>
      <c r="CQ2079">
        <v>70</v>
      </c>
      <c r="CR2079">
        <v>1</v>
      </c>
      <c r="CW2079">
        <v>3903189</v>
      </c>
      <c r="CY2079">
        <v>0</v>
      </c>
      <c r="CZ2079">
        <v>0</v>
      </c>
      <c r="DA2079">
        <v>1</v>
      </c>
      <c r="DB2079">
        <v>0</v>
      </c>
      <c r="DC2079">
        <v>0</v>
      </c>
      <c r="DD2079">
        <v>0</v>
      </c>
      <c r="DE2079">
        <v>0</v>
      </c>
      <c r="DF2079">
        <v>0</v>
      </c>
      <c r="DG2079">
        <v>0</v>
      </c>
      <c r="DH2079">
        <v>0</v>
      </c>
      <c r="DI2079">
        <v>0</v>
      </c>
    </row>
    <row r="2080" spans="1:113" x14ac:dyDescent="0.3">
      <c r="A2080" t="str">
        <f>"02/13/2022 19:00:34.578"</f>
        <v>02/13/2022 19:00:34.578</v>
      </c>
      <c r="C2080" t="str">
        <f t="shared" si="202"/>
        <v>FFDFD7C0</v>
      </c>
      <c r="D2080" t="s">
        <v>113</v>
      </c>
      <c r="E2080">
        <v>3</v>
      </c>
      <c r="F2080">
        <v>1003</v>
      </c>
      <c r="G2080" t="s">
        <v>114</v>
      </c>
      <c r="J2080" t="s">
        <v>115</v>
      </c>
      <c r="K2080">
        <v>0</v>
      </c>
      <c r="L2080">
        <v>3</v>
      </c>
      <c r="M2080">
        <v>0</v>
      </c>
      <c r="N2080">
        <v>2</v>
      </c>
      <c r="O2080">
        <v>1</v>
      </c>
      <c r="P2080">
        <v>0</v>
      </c>
      <c r="Q2080">
        <v>0</v>
      </c>
      <c r="S2080" t="str">
        <f>"19:00:34.359"</f>
        <v>19:00:34.359</v>
      </c>
      <c r="T2080" t="str">
        <f>"19:00:34.159"</f>
        <v>19:00:34.159</v>
      </c>
      <c r="U2080" t="str">
        <f t="shared" si="204"/>
        <v>AAB6EE</v>
      </c>
      <c r="V2080">
        <v>0</v>
      </c>
      <c r="W2080">
        <v>0</v>
      </c>
      <c r="X2080">
        <v>4</v>
      </c>
      <c r="Z2080">
        <v>0</v>
      </c>
      <c r="AA2080">
        <v>8</v>
      </c>
      <c r="AB2080">
        <v>3</v>
      </c>
      <c r="AC2080">
        <v>0</v>
      </c>
      <c r="AD2080">
        <v>10</v>
      </c>
      <c r="AE2080">
        <v>0</v>
      </c>
      <c r="AF2080">
        <v>0</v>
      </c>
      <c r="AG2080">
        <v>2</v>
      </c>
      <c r="AH2080">
        <v>1</v>
      </c>
      <c r="AI2080" t="s">
        <v>1508</v>
      </c>
      <c r="AJ2080">
        <v>34.824835999999998</v>
      </c>
      <c r="AK2080" t="s">
        <v>1509</v>
      </c>
      <c r="AL2080">
        <v>-76.277131999999995</v>
      </c>
      <c r="AM2080">
        <v>25</v>
      </c>
      <c r="AN2080">
        <v>3275</v>
      </c>
      <c r="AO2080" t="s">
        <v>118</v>
      </c>
      <c r="AP2080">
        <v>-117</v>
      </c>
      <c r="AQ2080">
        <v>26</v>
      </c>
      <c r="AR2080">
        <v>3904</v>
      </c>
      <c r="AZ2080">
        <v>4516</v>
      </c>
      <c r="BA2080">
        <v>1</v>
      </c>
      <c r="BB2080" t="str">
        <f t="shared" si="203"/>
        <v xml:space="preserve">N79NX   </v>
      </c>
      <c r="BC2080">
        <v>1</v>
      </c>
      <c r="BE2080">
        <v>0</v>
      </c>
      <c r="BF2080">
        <v>0</v>
      </c>
      <c r="BG2080">
        <v>0</v>
      </c>
      <c r="BH2080">
        <v>3100</v>
      </c>
      <c r="BI2080">
        <v>0</v>
      </c>
      <c r="BJ2080">
        <v>0</v>
      </c>
      <c r="BK2080">
        <v>0</v>
      </c>
      <c r="BL2080">
        <v>0</v>
      </c>
      <c r="BO2080">
        <v>0</v>
      </c>
      <c r="BP2080">
        <v>0</v>
      </c>
      <c r="BW2080" t="str">
        <f>"19:00:34.366"</f>
        <v>19:00:34.366</v>
      </c>
      <c r="BZ2080">
        <v>0</v>
      </c>
      <c r="CA2080">
        <v>1888</v>
      </c>
      <c r="CB2080">
        <v>214.4</v>
      </c>
      <c r="CC2080">
        <v>625.78129999999999</v>
      </c>
      <c r="CD2080">
        <v>1</v>
      </c>
      <c r="CE2080">
        <v>0</v>
      </c>
      <c r="CF2080">
        <v>0</v>
      </c>
      <c r="CG2080">
        <v>1</v>
      </c>
      <c r="CH2080">
        <v>0</v>
      </c>
      <c r="CI2080">
        <v>1</v>
      </c>
      <c r="CJ2080">
        <v>0</v>
      </c>
      <c r="CK2080">
        <v>2</v>
      </c>
      <c r="CL2080">
        <v>0</v>
      </c>
      <c r="CM2080">
        <v>2</v>
      </c>
      <c r="CN2080">
        <v>0</v>
      </c>
      <c r="CO2080">
        <v>5</v>
      </c>
      <c r="CP2080" t="s">
        <v>119</v>
      </c>
      <c r="CQ2080">
        <v>70</v>
      </c>
      <c r="CR2080">
        <v>1</v>
      </c>
      <c r="CW2080">
        <v>3903189</v>
      </c>
      <c r="CY2080">
        <v>0</v>
      </c>
      <c r="CZ2080">
        <v>0</v>
      </c>
      <c r="DA2080">
        <v>1</v>
      </c>
      <c r="DB2080">
        <v>0</v>
      </c>
      <c r="DC2080">
        <v>0</v>
      </c>
      <c r="DD2080">
        <v>0</v>
      </c>
      <c r="DE2080">
        <v>0</v>
      </c>
      <c r="DF2080">
        <v>0</v>
      </c>
      <c r="DG2080">
        <v>0</v>
      </c>
      <c r="DH2080">
        <v>0</v>
      </c>
      <c r="DI2080">
        <v>0</v>
      </c>
    </row>
    <row r="2081" spans="1:113" x14ac:dyDescent="0.3">
      <c r="A2081" t="str">
        <f>"02/13/2022 19:00:35.594"</f>
        <v>02/13/2022 19:00:35.594</v>
      </c>
      <c r="C2081" t="str">
        <f t="shared" si="202"/>
        <v>FFDFD7C0</v>
      </c>
      <c r="D2081" t="s">
        <v>121</v>
      </c>
      <c r="E2081">
        <v>2</v>
      </c>
      <c r="H2081">
        <v>158</v>
      </c>
      <c r="I2081" t="s">
        <v>120</v>
      </c>
      <c r="J2081" t="s">
        <v>122</v>
      </c>
      <c r="K2081">
        <v>0</v>
      </c>
      <c r="L2081">
        <v>3</v>
      </c>
      <c r="M2081">
        <v>0</v>
      </c>
      <c r="N2081">
        <v>2</v>
      </c>
      <c r="O2081">
        <v>1</v>
      </c>
      <c r="P2081">
        <v>0</v>
      </c>
      <c r="Q2081">
        <v>0</v>
      </c>
      <c r="S2081" t="str">
        <f>"19:00:35.414"</f>
        <v>19:00:35.414</v>
      </c>
      <c r="T2081" t="str">
        <f>"19:00:35.214"</f>
        <v>19:00:35.214</v>
      </c>
      <c r="U2081" t="str">
        <f t="shared" si="204"/>
        <v>AAB6EE</v>
      </c>
      <c r="V2081">
        <v>0</v>
      </c>
      <c r="W2081">
        <v>0</v>
      </c>
      <c r="X2081">
        <v>4</v>
      </c>
      <c r="Z2081">
        <v>0</v>
      </c>
      <c r="AA2081">
        <v>8</v>
      </c>
      <c r="AB2081">
        <v>3</v>
      </c>
      <c r="AC2081">
        <v>0</v>
      </c>
      <c r="AD2081">
        <v>10</v>
      </c>
      <c r="AE2081">
        <v>0</v>
      </c>
      <c r="AF2081">
        <v>0</v>
      </c>
      <c r="AG2081">
        <v>2</v>
      </c>
      <c r="AH2081">
        <v>1</v>
      </c>
      <c r="AI2081" t="s">
        <v>1510</v>
      </c>
      <c r="AJ2081">
        <v>34.824944000000002</v>
      </c>
      <c r="AK2081" t="s">
        <v>1511</v>
      </c>
      <c r="AL2081">
        <v>-76.277839999999998</v>
      </c>
      <c r="AM2081">
        <v>25</v>
      </c>
      <c r="AN2081">
        <v>3350</v>
      </c>
      <c r="AO2081" t="s">
        <v>118</v>
      </c>
      <c r="AP2081">
        <v>-115</v>
      </c>
      <c r="AQ2081">
        <v>16</v>
      </c>
      <c r="AR2081">
        <v>4032</v>
      </c>
      <c r="AZ2081">
        <v>4516</v>
      </c>
      <c r="BA2081">
        <v>1</v>
      </c>
      <c r="BB2081" t="str">
        <f t="shared" si="203"/>
        <v xml:space="preserve">N79NX   </v>
      </c>
      <c r="BC2081">
        <v>1</v>
      </c>
      <c r="BE2081">
        <v>0</v>
      </c>
      <c r="BF2081">
        <v>0</v>
      </c>
      <c r="BG2081">
        <v>0</v>
      </c>
      <c r="BH2081">
        <v>3175</v>
      </c>
      <c r="BI2081">
        <v>0</v>
      </c>
      <c r="BJ2081">
        <v>0</v>
      </c>
      <c r="BK2081">
        <v>0</v>
      </c>
      <c r="BL2081">
        <v>0</v>
      </c>
      <c r="BO2081">
        <v>0</v>
      </c>
      <c r="BP2081">
        <v>0</v>
      </c>
      <c r="BW2081" t="str">
        <f>"19:00:35.416"</f>
        <v>19:00:35.416</v>
      </c>
      <c r="BZ2081">
        <v>0</v>
      </c>
      <c r="CA2081">
        <v>1888</v>
      </c>
      <c r="CB2081">
        <v>214.4</v>
      </c>
      <c r="CC2081">
        <v>625.78129999999999</v>
      </c>
      <c r="CD2081">
        <v>1</v>
      </c>
      <c r="CE2081">
        <v>0</v>
      </c>
      <c r="CF2081">
        <v>0</v>
      </c>
      <c r="CG2081">
        <v>1</v>
      </c>
      <c r="CH2081">
        <v>0</v>
      </c>
      <c r="CI2081">
        <v>1</v>
      </c>
      <c r="CJ2081">
        <v>0</v>
      </c>
      <c r="CK2081">
        <v>2</v>
      </c>
      <c r="CL2081">
        <v>0</v>
      </c>
      <c r="CM2081">
        <v>2</v>
      </c>
      <c r="CN2081">
        <v>0</v>
      </c>
      <c r="CO2081">
        <v>5</v>
      </c>
      <c r="CP2081" t="s">
        <v>119</v>
      </c>
      <c r="CQ2081">
        <v>70</v>
      </c>
      <c r="CR2081">
        <v>1</v>
      </c>
      <c r="CW2081">
        <v>3904116</v>
      </c>
      <c r="CY2081">
        <v>0</v>
      </c>
      <c r="CZ2081">
        <v>0</v>
      </c>
      <c r="DA2081">
        <v>0</v>
      </c>
      <c r="DB2081">
        <v>0</v>
      </c>
      <c r="DC2081">
        <v>0</v>
      </c>
      <c r="DD2081">
        <v>0</v>
      </c>
      <c r="DE2081">
        <v>0</v>
      </c>
      <c r="DF2081">
        <v>0</v>
      </c>
      <c r="DG2081">
        <v>0</v>
      </c>
      <c r="DH2081">
        <v>0</v>
      </c>
      <c r="DI2081">
        <v>0</v>
      </c>
    </row>
    <row r="2082" spans="1:113" x14ac:dyDescent="0.3">
      <c r="A2082" t="str">
        <f>"02/13/2022 19:00:35.594"</f>
        <v>02/13/2022 19:00:35.594</v>
      </c>
      <c r="C2082" t="str">
        <f t="shared" si="202"/>
        <v>FFDFD7C0</v>
      </c>
      <c r="D2082" t="s">
        <v>113</v>
      </c>
      <c r="E2082">
        <v>3</v>
      </c>
      <c r="F2082">
        <v>1003</v>
      </c>
      <c r="G2082" t="s">
        <v>114</v>
      </c>
      <c r="J2082" t="s">
        <v>115</v>
      </c>
      <c r="K2082">
        <v>0</v>
      </c>
      <c r="L2082">
        <v>3</v>
      </c>
      <c r="M2082">
        <v>0</v>
      </c>
      <c r="N2082">
        <v>2</v>
      </c>
      <c r="O2082">
        <v>1</v>
      </c>
      <c r="P2082">
        <v>0</v>
      </c>
      <c r="Q2082">
        <v>0</v>
      </c>
      <c r="S2082" t="str">
        <f>"19:00:35.414"</f>
        <v>19:00:35.414</v>
      </c>
      <c r="T2082" t="str">
        <f>"19:00:35.214"</f>
        <v>19:00:35.214</v>
      </c>
      <c r="U2082" t="str">
        <f t="shared" si="204"/>
        <v>AAB6EE</v>
      </c>
      <c r="V2082">
        <v>0</v>
      </c>
      <c r="W2082">
        <v>0</v>
      </c>
      <c r="X2082">
        <v>4</v>
      </c>
      <c r="Z2082">
        <v>0</v>
      </c>
      <c r="AA2082">
        <v>8</v>
      </c>
      <c r="AB2082">
        <v>3</v>
      </c>
      <c r="AC2082">
        <v>0</v>
      </c>
      <c r="AD2082">
        <v>10</v>
      </c>
      <c r="AE2082">
        <v>0</v>
      </c>
      <c r="AF2082">
        <v>0</v>
      </c>
      <c r="AG2082">
        <v>2</v>
      </c>
      <c r="AH2082">
        <v>1</v>
      </c>
      <c r="AI2082" t="s">
        <v>1510</v>
      </c>
      <c r="AJ2082">
        <v>34.824944000000002</v>
      </c>
      <c r="AK2082" t="s">
        <v>1511</v>
      </c>
      <c r="AL2082">
        <v>-76.277839999999998</v>
      </c>
      <c r="AM2082">
        <v>25</v>
      </c>
      <c r="AN2082">
        <v>3350</v>
      </c>
      <c r="AO2082" t="s">
        <v>118</v>
      </c>
      <c r="AP2082">
        <v>-115</v>
      </c>
      <c r="AQ2082">
        <v>16</v>
      </c>
      <c r="AR2082">
        <v>4032</v>
      </c>
      <c r="AZ2082">
        <v>4516</v>
      </c>
      <c r="BA2082">
        <v>1</v>
      </c>
      <c r="BB2082" t="str">
        <f t="shared" si="203"/>
        <v xml:space="preserve">N79NX   </v>
      </c>
      <c r="BC2082">
        <v>1</v>
      </c>
      <c r="BE2082">
        <v>0</v>
      </c>
      <c r="BF2082">
        <v>0</v>
      </c>
      <c r="BG2082">
        <v>0</v>
      </c>
      <c r="BH2082">
        <v>3175</v>
      </c>
      <c r="BI2082">
        <v>0</v>
      </c>
      <c r="BJ2082">
        <v>0</v>
      </c>
      <c r="BK2082">
        <v>0</v>
      </c>
      <c r="BL2082">
        <v>0</v>
      </c>
      <c r="BO2082">
        <v>0</v>
      </c>
      <c r="BP2082">
        <v>0</v>
      </c>
      <c r="BW2082" t="str">
        <f>"19:00:35.416"</f>
        <v>19:00:35.416</v>
      </c>
      <c r="BZ2082">
        <v>0</v>
      </c>
      <c r="CA2082">
        <v>1888</v>
      </c>
      <c r="CB2082">
        <v>214.4</v>
      </c>
      <c r="CC2082">
        <v>625.78129999999999</v>
      </c>
      <c r="CD2082">
        <v>1</v>
      </c>
      <c r="CE2082">
        <v>0</v>
      </c>
      <c r="CF2082">
        <v>0</v>
      </c>
      <c r="CG2082">
        <v>1</v>
      </c>
      <c r="CH2082">
        <v>0</v>
      </c>
      <c r="CI2082">
        <v>1</v>
      </c>
      <c r="CJ2082">
        <v>0</v>
      </c>
      <c r="CK2082">
        <v>2</v>
      </c>
      <c r="CL2082">
        <v>0</v>
      </c>
      <c r="CM2082">
        <v>2</v>
      </c>
      <c r="CN2082">
        <v>0</v>
      </c>
      <c r="CO2082">
        <v>5</v>
      </c>
      <c r="CP2082" t="s">
        <v>119</v>
      </c>
      <c r="CQ2082">
        <v>70</v>
      </c>
      <c r="CR2082">
        <v>1</v>
      </c>
      <c r="CW2082">
        <v>3904116</v>
      </c>
      <c r="CY2082">
        <v>0</v>
      </c>
      <c r="CZ2082">
        <v>0</v>
      </c>
      <c r="DA2082">
        <v>1</v>
      </c>
      <c r="DB2082">
        <v>0</v>
      </c>
      <c r="DC2082">
        <v>0</v>
      </c>
      <c r="DD2082">
        <v>0</v>
      </c>
      <c r="DE2082">
        <v>0</v>
      </c>
      <c r="DF2082">
        <v>0</v>
      </c>
      <c r="DG2082">
        <v>0</v>
      </c>
      <c r="DH2082">
        <v>0</v>
      </c>
      <c r="DI2082">
        <v>0</v>
      </c>
    </row>
    <row r="2083" spans="1:113" x14ac:dyDescent="0.3">
      <c r="A2083" t="str">
        <f>"02/13/2022 19:00:35.594"</f>
        <v>02/13/2022 19:00:35.594</v>
      </c>
      <c r="C2083" t="str">
        <f t="shared" si="202"/>
        <v>FFDFD7C0</v>
      </c>
      <c r="D2083" t="s">
        <v>113</v>
      </c>
      <c r="E2083">
        <v>4</v>
      </c>
      <c r="F2083">
        <v>1004</v>
      </c>
      <c r="G2083" t="s">
        <v>120</v>
      </c>
      <c r="J2083" t="s">
        <v>115</v>
      </c>
      <c r="K2083">
        <v>0</v>
      </c>
      <c r="L2083">
        <v>3</v>
      </c>
      <c r="M2083">
        <v>0</v>
      </c>
      <c r="N2083">
        <v>2</v>
      </c>
      <c r="O2083">
        <v>1</v>
      </c>
      <c r="P2083">
        <v>0</v>
      </c>
      <c r="Q2083">
        <v>0</v>
      </c>
      <c r="S2083" t="str">
        <f>"19:00:35.414"</f>
        <v>19:00:35.414</v>
      </c>
      <c r="T2083" t="str">
        <f>"19:00:35.214"</f>
        <v>19:00:35.214</v>
      </c>
      <c r="U2083" t="str">
        <f t="shared" si="204"/>
        <v>AAB6EE</v>
      </c>
      <c r="V2083">
        <v>0</v>
      </c>
      <c r="W2083">
        <v>0</v>
      </c>
      <c r="X2083">
        <v>4</v>
      </c>
      <c r="Z2083">
        <v>0</v>
      </c>
      <c r="AA2083">
        <v>8</v>
      </c>
      <c r="AB2083">
        <v>3</v>
      </c>
      <c r="AC2083">
        <v>0</v>
      </c>
      <c r="AD2083">
        <v>10</v>
      </c>
      <c r="AE2083">
        <v>0</v>
      </c>
      <c r="AF2083">
        <v>0</v>
      </c>
      <c r="AG2083">
        <v>2</v>
      </c>
      <c r="AH2083">
        <v>1</v>
      </c>
      <c r="AI2083" t="s">
        <v>1510</v>
      </c>
      <c r="AJ2083">
        <v>34.824944000000002</v>
      </c>
      <c r="AK2083" t="s">
        <v>1511</v>
      </c>
      <c r="AL2083">
        <v>-76.277839999999998</v>
      </c>
      <c r="AM2083">
        <v>25</v>
      </c>
      <c r="AN2083">
        <v>3350</v>
      </c>
      <c r="AO2083" t="s">
        <v>118</v>
      </c>
      <c r="AP2083">
        <v>-115</v>
      </c>
      <c r="AQ2083">
        <v>16</v>
      </c>
      <c r="AR2083">
        <v>4032</v>
      </c>
      <c r="AZ2083">
        <v>4516</v>
      </c>
      <c r="BA2083">
        <v>1</v>
      </c>
      <c r="BB2083" t="str">
        <f t="shared" si="203"/>
        <v xml:space="preserve">N79NX   </v>
      </c>
      <c r="BC2083">
        <v>1</v>
      </c>
      <c r="BE2083">
        <v>0</v>
      </c>
      <c r="BF2083">
        <v>0</v>
      </c>
      <c r="BG2083">
        <v>0</v>
      </c>
      <c r="BH2083">
        <v>3175</v>
      </c>
      <c r="BI2083">
        <v>0</v>
      </c>
      <c r="BJ2083">
        <v>0</v>
      </c>
      <c r="BK2083">
        <v>0</v>
      </c>
      <c r="BL2083">
        <v>0</v>
      </c>
      <c r="BO2083">
        <v>0</v>
      </c>
      <c r="BP2083">
        <v>0</v>
      </c>
      <c r="BW2083" t="str">
        <f>"19:00:35.416"</f>
        <v>19:00:35.416</v>
      </c>
      <c r="BZ2083">
        <v>0</v>
      </c>
      <c r="CA2083">
        <v>1888</v>
      </c>
      <c r="CB2083">
        <v>214.4</v>
      </c>
      <c r="CC2083">
        <v>625.78129999999999</v>
      </c>
      <c r="CD2083">
        <v>1</v>
      </c>
      <c r="CE2083">
        <v>0</v>
      </c>
      <c r="CF2083">
        <v>0</v>
      </c>
      <c r="CG2083">
        <v>1</v>
      </c>
      <c r="CH2083">
        <v>0</v>
      </c>
      <c r="CI2083">
        <v>1</v>
      </c>
      <c r="CJ2083">
        <v>0</v>
      </c>
      <c r="CK2083">
        <v>2</v>
      </c>
      <c r="CL2083">
        <v>0</v>
      </c>
      <c r="CM2083">
        <v>2</v>
      </c>
      <c r="CN2083">
        <v>0</v>
      </c>
      <c r="CO2083">
        <v>5</v>
      </c>
      <c r="CP2083" t="s">
        <v>119</v>
      </c>
      <c r="CQ2083">
        <v>70</v>
      </c>
      <c r="CR2083">
        <v>1</v>
      </c>
      <c r="CW2083">
        <v>3904116</v>
      </c>
      <c r="CY2083">
        <v>0</v>
      </c>
      <c r="CZ2083">
        <v>0</v>
      </c>
      <c r="DA2083">
        <v>1</v>
      </c>
      <c r="DB2083">
        <v>0</v>
      </c>
      <c r="DC2083">
        <v>0</v>
      </c>
      <c r="DD2083">
        <v>0</v>
      </c>
      <c r="DE2083">
        <v>0</v>
      </c>
      <c r="DF2083">
        <v>0</v>
      </c>
      <c r="DG2083">
        <v>0</v>
      </c>
      <c r="DH2083">
        <v>0</v>
      </c>
      <c r="DI2083">
        <v>0</v>
      </c>
    </row>
    <row r="2084" spans="1:113" x14ac:dyDescent="0.3">
      <c r="A2084" t="str">
        <f>"02/13/2022 19:00:36.547"</f>
        <v>02/13/2022 19:00:36.547</v>
      </c>
      <c r="C2084" t="str">
        <f t="shared" si="202"/>
        <v>FFDFD7C0</v>
      </c>
      <c r="D2084" t="s">
        <v>113</v>
      </c>
      <c r="E2084">
        <v>4</v>
      </c>
      <c r="F2084">
        <v>1004</v>
      </c>
      <c r="G2084" t="s">
        <v>120</v>
      </c>
      <c r="J2084" t="s">
        <v>115</v>
      </c>
      <c r="K2084">
        <v>0</v>
      </c>
      <c r="L2084">
        <v>3</v>
      </c>
      <c r="M2084">
        <v>0</v>
      </c>
      <c r="N2084">
        <v>2</v>
      </c>
      <c r="O2084">
        <v>1</v>
      </c>
      <c r="P2084">
        <v>0</v>
      </c>
      <c r="Q2084">
        <v>0</v>
      </c>
      <c r="S2084" t="str">
        <f>"19:00:36.375"</f>
        <v>19:00:36.375</v>
      </c>
      <c r="T2084" t="str">
        <f>"19:00:36.275"</f>
        <v>19:00:36.275</v>
      </c>
      <c r="U2084" t="str">
        <f t="shared" si="204"/>
        <v>AAB6EE</v>
      </c>
      <c r="V2084">
        <v>0</v>
      </c>
      <c r="W2084">
        <v>0</v>
      </c>
      <c r="X2084">
        <v>4</v>
      </c>
      <c r="Z2084">
        <v>0</v>
      </c>
      <c r="AA2084">
        <v>8</v>
      </c>
      <c r="AB2084">
        <v>3</v>
      </c>
      <c r="AC2084">
        <v>0</v>
      </c>
      <c r="AD2084">
        <v>10</v>
      </c>
      <c r="AE2084">
        <v>0</v>
      </c>
      <c r="AF2084">
        <v>0</v>
      </c>
      <c r="AG2084">
        <v>2</v>
      </c>
      <c r="AH2084">
        <v>1</v>
      </c>
      <c r="AI2084" t="s">
        <v>1512</v>
      </c>
      <c r="AJ2084">
        <v>34.824964999999999</v>
      </c>
      <c r="AK2084" t="s">
        <v>1513</v>
      </c>
      <c r="AL2084">
        <v>-76.278419</v>
      </c>
      <c r="AM2084">
        <v>25</v>
      </c>
      <c r="AN2084">
        <v>3400</v>
      </c>
      <c r="AO2084" t="s">
        <v>118</v>
      </c>
      <c r="AP2084">
        <v>-113</v>
      </c>
      <c r="AQ2084">
        <v>5</v>
      </c>
      <c r="AR2084">
        <v>4032</v>
      </c>
      <c r="AZ2084">
        <v>4516</v>
      </c>
      <c r="BA2084">
        <v>1</v>
      </c>
      <c r="BB2084" t="str">
        <f t="shared" si="203"/>
        <v xml:space="preserve">N79NX   </v>
      </c>
      <c r="BC2084">
        <v>1</v>
      </c>
      <c r="BE2084">
        <v>0</v>
      </c>
      <c r="BF2084">
        <v>0</v>
      </c>
      <c r="BG2084">
        <v>0</v>
      </c>
      <c r="BH2084">
        <v>3250</v>
      </c>
      <c r="BI2084">
        <v>0</v>
      </c>
      <c r="BJ2084">
        <v>0</v>
      </c>
      <c r="BK2084">
        <v>0</v>
      </c>
      <c r="BL2084">
        <v>0</v>
      </c>
      <c r="BO2084">
        <v>0</v>
      </c>
      <c r="BP2084">
        <v>0</v>
      </c>
      <c r="BW2084" t="str">
        <f>"19:00:36.376"</f>
        <v>19:00:36.376</v>
      </c>
      <c r="BZ2084">
        <v>0</v>
      </c>
      <c r="CA2084">
        <v>1888</v>
      </c>
      <c r="CB2084">
        <v>214.4</v>
      </c>
      <c r="CC2084">
        <v>625.78129999999999</v>
      </c>
      <c r="CD2084">
        <v>1</v>
      </c>
      <c r="CE2084">
        <v>0</v>
      </c>
      <c r="CF2084">
        <v>0</v>
      </c>
      <c r="CG2084">
        <v>1</v>
      </c>
      <c r="CH2084">
        <v>0</v>
      </c>
      <c r="CI2084">
        <v>1</v>
      </c>
      <c r="CJ2084">
        <v>0</v>
      </c>
      <c r="CK2084">
        <v>2</v>
      </c>
      <c r="CL2084">
        <v>0</v>
      </c>
      <c r="CM2084">
        <v>2</v>
      </c>
      <c r="CN2084">
        <v>0</v>
      </c>
      <c r="CO2084">
        <v>5</v>
      </c>
      <c r="CP2084" t="s">
        <v>119</v>
      </c>
      <c r="CQ2084">
        <v>70</v>
      </c>
      <c r="CR2084">
        <v>1</v>
      </c>
      <c r="CW2084">
        <v>3904872</v>
      </c>
      <c r="CY2084">
        <v>0</v>
      </c>
      <c r="CZ2084">
        <v>0</v>
      </c>
      <c r="DA2084">
        <v>0</v>
      </c>
      <c r="DB2084">
        <v>0</v>
      </c>
      <c r="DC2084">
        <v>0</v>
      </c>
      <c r="DD2084">
        <v>0</v>
      </c>
      <c r="DE2084">
        <v>0</v>
      </c>
      <c r="DF2084">
        <v>0</v>
      </c>
      <c r="DG2084">
        <v>0</v>
      </c>
      <c r="DH2084">
        <v>0</v>
      </c>
      <c r="DI2084">
        <v>0</v>
      </c>
    </row>
    <row r="2085" spans="1:113" x14ac:dyDescent="0.3">
      <c r="A2085" t="str">
        <f>"02/13/2022 19:00:36.578"</f>
        <v>02/13/2022 19:00:36.578</v>
      </c>
      <c r="C2085" t="str">
        <f t="shared" si="202"/>
        <v>FFDFD7C0</v>
      </c>
      <c r="D2085" t="s">
        <v>121</v>
      </c>
      <c r="E2085">
        <v>2</v>
      </c>
      <c r="H2085">
        <v>158</v>
      </c>
      <c r="I2085" t="s">
        <v>120</v>
      </c>
      <c r="J2085" t="s">
        <v>122</v>
      </c>
      <c r="K2085">
        <v>0</v>
      </c>
      <c r="L2085">
        <v>3</v>
      </c>
      <c r="M2085">
        <v>0</v>
      </c>
      <c r="N2085">
        <v>2</v>
      </c>
      <c r="O2085">
        <v>1</v>
      </c>
      <c r="P2085">
        <v>0</v>
      </c>
      <c r="Q2085">
        <v>0</v>
      </c>
      <c r="S2085" t="str">
        <f>"19:00:36.375"</f>
        <v>19:00:36.375</v>
      </c>
      <c r="T2085" t="str">
        <f>"19:00:36.275"</f>
        <v>19:00:36.275</v>
      </c>
      <c r="U2085" t="str">
        <f t="shared" si="204"/>
        <v>AAB6EE</v>
      </c>
      <c r="V2085">
        <v>0</v>
      </c>
      <c r="W2085">
        <v>0</v>
      </c>
      <c r="X2085">
        <v>4</v>
      </c>
      <c r="Z2085">
        <v>0</v>
      </c>
      <c r="AA2085">
        <v>8</v>
      </c>
      <c r="AB2085">
        <v>3</v>
      </c>
      <c r="AC2085">
        <v>0</v>
      </c>
      <c r="AD2085">
        <v>10</v>
      </c>
      <c r="AE2085">
        <v>0</v>
      </c>
      <c r="AF2085">
        <v>0</v>
      </c>
      <c r="AG2085">
        <v>2</v>
      </c>
      <c r="AH2085">
        <v>1</v>
      </c>
      <c r="AI2085" t="s">
        <v>1512</v>
      </c>
      <c r="AJ2085">
        <v>34.824964999999999</v>
      </c>
      <c r="AK2085" t="s">
        <v>1513</v>
      </c>
      <c r="AL2085">
        <v>-76.278419</v>
      </c>
      <c r="AM2085">
        <v>25</v>
      </c>
      <c r="AN2085">
        <v>3400</v>
      </c>
      <c r="AO2085" t="s">
        <v>118</v>
      </c>
      <c r="AP2085">
        <v>-113</v>
      </c>
      <c r="AQ2085">
        <v>5</v>
      </c>
      <c r="AR2085">
        <v>4032</v>
      </c>
      <c r="AZ2085">
        <v>4516</v>
      </c>
      <c r="BA2085">
        <v>1</v>
      </c>
      <c r="BB2085" t="str">
        <f t="shared" si="203"/>
        <v xml:space="preserve">N79NX   </v>
      </c>
      <c r="BC2085">
        <v>1</v>
      </c>
      <c r="BE2085">
        <v>0</v>
      </c>
      <c r="BF2085">
        <v>0</v>
      </c>
      <c r="BG2085">
        <v>0</v>
      </c>
      <c r="BH2085">
        <v>3250</v>
      </c>
      <c r="BI2085">
        <v>0</v>
      </c>
      <c r="BJ2085">
        <v>0</v>
      </c>
      <c r="BK2085">
        <v>0</v>
      </c>
      <c r="BL2085">
        <v>0</v>
      </c>
      <c r="BO2085">
        <v>0</v>
      </c>
      <c r="BP2085">
        <v>0</v>
      </c>
      <c r="BW2085" t="str">
        <f>"19:00:36.376"</f>
        <v>19:00:36.376</v>
      </c>
      <c r="BZ2085">
        <v>0</v>
      </c>
      <c r="CA2085">
        <v>1888</v>
      </c>
      <c r="CB2085">
        <v>214.4</v>
      </c>
      <c r="CC2085">
        <v>625.78129999999999</v>
      </c>
      <c r="CD2085">
        <v>1</v>
      </c>
      <c r="CE2085">
        <v>0</v>
      </c>
      <c r="CF2085">
        <v>0</v>
      </c>
      <c r="CG2085">
        <v>1</v>
      </c>
      <c r="CH2085">
        <v>0</v>
      </c>
      <c r="CI2085">
        <v>1</v>
      </c>
      <c r="CJ2085">
        <v>0</v>
      </c>
      <c r="CK2085">
        <v>2</v>
      </c>
      <c r="CL2085">
        <v>0</v>
      </c>
      <c r="CM2085">
        <v>2</v>
      </c>
      <c r="CN2085">
        <v>0</v>
      </c>
      <c r="CO2085">
        <v>5</v>
      </c>
      <c r="CP2085" t="s">
        <v>119</v>
      </c>
      <c r="CQ2085">
        <v>70</v>
      </c>
      <c r="CR2085">
        <v>1</v>
      </c>
      <c r="CW2085">
        <v>3904872</v>
      </c>
      <c r="CY2085">
        <v>0</v>
      </c>
      <c r="CZ2085">
        <v>0</v>
      </c>
      <c r="DA2085">
        <v>1</v>
      </c>
      <c r="DB2085">
        <v>0</v>
      </c>
      <c r="DC2085">
        <v>0</v>
      </c>
      <c r="DD2085">
        <v>0</v>
      </c>
      <c r="DE2085">
        <v>0</v>
      </c>
      <c r="DF2085">
        <v>0</v>
      </c>
      <c r="DG2085">
        <v>0</v>
      </c>
      <c r="DH2085">
        <v>0</v>
      </c>
      <c r="DI2085">
        <v>0</v>
      </c>
    </row>
    <row r="2086" spans="1:113" x14ac:dyDescent="0.3">
      <c r="A2086" t="str">
        <f>"02/13/2022 19:00:36.578"</f>
        <v>02/13/2022 19:00:36.578</v>
      </c>
      <c r="C2086" t="str">
        <f t="shared" si="202"/>
        <v>FFDFD7C0</v>
      </c>
      <c r="D2086" t="s">
        <v>113</v>
      </c>
      <c r="E2086">
        <v>3</v>
      </c>
      <c r="F2086">
        <v>1003</v>
      </c>
      <c r="G2086" t="s">
        <v>114</v>
      </c>
      <c r="J2086" t="s">
        <v>115</v>
      </c>
      <c r="K2086">
        <v>0</v>
      </c>
      <c r="L2086">
        <v>3</v>
      </c>
      <c r="M2086">
        <v>0</v>
      </c>
      <c r="N2086">
        <v>2</v>
      </c>
      <c r="O2086">
        <v>1</v>
      </c>
      <c r="P2086">
        <v>0</v>
      </c>
      <c r="Q2086">
        <v>0</v>
      </c>
      <c r="S2086" t="str">
        <f>"19:00:36.375"</f>
        <v>19:00:36.375</v>
      </c>
      <c r="T2086" t="str">
        <f>"19:00:36.275"</f>
        <v>19:00:36.275</v>
      </c>
      <c r="U2086" t="str">
        <f t="shared" si="204"/>
        <v>AAB6EE</v>
      </c>
      <c r="V2086">
        <v>0</v>
      </c>
      <c r="W2086">
        <v>0</v>
      </c>
      <c r="X2086">
        <v>4</v>
      </c>
      <c r="Z2086">
        <v>0</v>
      </c>
      <c r="AA2086">
        <v>8</v>
      </c>
      <c r="AB2086">
        <v>3</v>
      </c>
      <c r="AC2086">
        <v>0</v>
      </c>
      <c r="AD2086">
        <v>10</v>
      </c>
      <c r="AE2086">
        <v>0</v>
      </c>
      <c r="AF2086">
        <v>0</v>
      </c>
      <c r="AG2086">
        <v>2</v>
      </c>
      <c r="AH2086">
        <v>1</v>
      </c>
      <c r="AI2086" t="s">
        <v>1512</v>
      </c>
      <c r="AJ2086">
        <v>34.824964999999999</v>
      </c>
      <c r="AK2086" t="s">
        <v>1513</v>
      </c>
      <c r="AL2086">
        <v>-76.278419</v>
      </c>
      <c r="AM2086">
        <v>25</v>
      </c>
      <c r="AN2086">
        <v>3400</v>
      </c>
      <c r="AO2086" t="s">
        <v>118</v>
      </c>
      <c r="AP2086">
        <v>-113</v>
      </c>
      <c r="AQ2086">
        <v>5</v>
      </c>
      <c r="AR2086">
        <v>4032</v>
      </c>
      <c r="AZ2086">
        <v>4516</v>
      </c>
      <c r="BA2086">
        <v>1</v>
      </c>
      <c r="BB2086" t="str">
        <f t="shared" si="203"/>
        <v xml:space="preserve">N79NX   </v>
      </c>
      <c r="BC2086">
        <v>1</v>
      </c>
      <c r="BE2086">
        <v>0</v>
      </c>
      <c r="BF2086">
        <v>0</v>
      </c>
      <c r="BG2086">
        <v>0</v>
      </c>
      <c r="BH2086">
        <v>3250</v>
      </c>
      <c r="BI2086">
        <v>0</v>
      </c>
      <c r="BJ2086">
        <v>0</v>
      </c>
      <c r="BK2086">
        <v>0</v>
      </c>
      <c r="BL2086">
        <v>0</v>
      </c>
      <c r="BO2086">
        <v>0</v>
      </c>
      <c r="BP2086">
        <v>0</v>
      </c>
      <c r="BW2086" t="str">
        <f>"19:00:36.376"</f>
        <v>19:00:36.376</v>
      </c>
      <c r="BZ2086">
        <v>0</v>
      </c>
      <c r="CA2086">
        <v>1888</v>
      </c>
      <c r="CB2086">
        <v>214.4</v>
      </c>
      <c r="CC2086">
        <v>625.78129999999999</v>
      </c>
      <c r="CD2086">
        <v>1</v>
      </c>
      <c r="CE2086">
        <v>0</v>
      </c>
      <c r="CF2086">
        <v>0</v>
      </c>
      <c r="CG2086">
        <v>1</v>
      </c>
      <c r="CH2086">
        <v>0</v>
      </c>
      <c r="CI2086">
        <v>1</v>
      </c>
      <c r="CJ2086">
        <v>0</v>
      </c>
      <c r="CK2086">
        <v>2</v>
      </c>
      <c r="CL2086">
        <v>0</v>
      </c>
      <c r="CM2086">
        <v>2</v>
      </c>
      <c r="CN2086">
        <v>0</v>
      </c>
      <c r="CO2086">
        <v>5</v>
      </c>
      <c r="CP2086" t="s">
        <v>119</v>
      </c>
      <c r="CQ2086">
        <v>70</v>
      </c>
      <c r="CR2086">
        <v>1</v>
      </c>
      <c r="CW2086">
        <v>3904872</v>
      </c>
      <c r="CY2086">
        <v>0</v>
      </c>
      <c r="CZ2086">
        <v>0</v>
      </c>
      <c r="DA2086">
        <v>1</v>
      </c>
      <c r="DB2086">
        <v>0</v>
      </c>
      <c r="DC2086">
        <v>0</v>
      </c>
      <c r="DD2086">
        <v>0</v>
      </c>
      <c r="DE2086">
        <v>0</v>
      </c>
      <c r="DF2086">
        <v>0</v>
      </c>
      <c r="DG2086">
        <v>0</v>
      </c>
      <c r="DH2086">
        <v>0</v>
      </c>
      <c r="DI2086">
        <v>0</v>
      </c>
    </row>
    <row r="2087" spans="1:113" x14ac:dyDescent="0.3">
      <c r="A2087" t="str">
        <f>"02/13/2022 19:00:38.533"</f>
        <v>02/13/2022 19:00:38.533</v>
      </c>
      <c r="C2087" t="str">
        <f t="shared" si="202"/>
        <v>FFDFD7C0</v>
      </c>
      <c r="D2087" t="s">
        <v>113</v>
      </c>
      <c r="E2087">
        <v>3</v>
      </c>
      <c r="F2087">
        <v>1003</v>
      </c>
      <c r="G2087" t="s">
        <v>114</v>
      </c>
      <c r="J2087" t="s">
        <v>115</v>
      </c>
      <c r="K2087">
        <v>0</v>
      </c>
      <c r="L2087">
        <v>3</v>
      </c>
      <c r="M2087">
        <v>0</v>
      </c>
      <c r="N2087">
        <v>2</v>
      </c>
      <c r="O2087">
        <v>1</v>
      </c>
      <c r="P2087">
        <v>0</v>
      </c>
      <c r="Q2087">
        <v>0</v>
      </c>
      <c r="S2087" t="str">
        <f>"19:00:38.313"</f>
        <v>19:00:38.313</v>
      </c>
      <c r="T2087" t="str">
        <f>"19:00:37.413"</f>
        <v>19:00:37.413</v>
      </c>
      <c r="U2087" t="str">
        <f t="shared" si="204"/>
        <v>AAB6EE</v>
      </c>
      <c r="V2087">
        <v>0</v>
      </c>
      <c r="W2087">
        <v>0</v>
      </c>
      <c r="X2087">
        <v>4</v>
      </c>
      <c r="Z2087">
        <v>0</v>
      </c>
      <c r="AA2087">
        <v>8</v>
      </c>
      <c r="AB2087">
        <v>3</v>
      </c>
      <c r="AC2087">
        <v>0</v>
      </c>
      <c r="AD2087">
        <v>10</v>
      </c>
      <c r="AE2087">
        <v>0</v>
      </c>
      <c r="AF2087">
        <v>0</v>
      </c>
      <c r="AG2087">
        <v>2</v>
      </c>
      <c r="AH2087">
        <v>1</v>
      </c>
      <c r="AI2087" t="s">
        <v>1514</v>
      </c>
      <c r="AJ2087">
        <v>34.824879000000003</v>
      </c>
      <c r="AK2087" t="s">
        <v>1515</v>
      </c>
      <c r="AL2087">
        <v>-76.279642999999993</v>
      </c>
      <c r="AM2087">
        <v>25</v>
      </c>
      <c r="AN2087">
        <v>3550</v>
      </c>
      <c r="AO2087" t="s">
        <v>118</v>
      </c>
      <c r="AP2087">
        <v>-109</v>
      </c>
      <c r="AQ2087">
        <v>-6</v>
      </c>
      <c r="AR2087">
        <v>4032</v>
      </c>
      <c r="AZ2087">
        <v>4516</v>
      </c>
      <c r="BA2087">
        <v>1</v>
      </c>
      <c r="BB2087" t="str">
        <f t="shared" si="203"/>
        <v xml:space="preserve">N79NX   </v>
      </c>
      <c r="BC2087">
        <v>1</v>
      </c>
      <c r="BE2087">
        <v>0</v>
      </c>
      <c r="BF2087">
        <v>0</v>
      </c>
      <c r="BG2087">
        <v>0</v>
      </c>
      <c r="BH2087">
        <v>3325</v>
      </c>
      <c r="BI2087">
        <v>0</v>
      </c>
      <c r="BJ2087">
        <v>0</v>
      </c>
      <c r="BK2087">
        <v>0</v>
      </c>
      <c r="BL2087">
        <v>0</v>
      </c>
      <c r="BO2087">
        <v>0</v>
      </c>
      <c r="BP2087">
        <v>0</v>
      </c>
      <c r="BW2087" t="str">
        <f>"19:00:38.316"</f>
        <v>19:00:38.316</v>
      </c>
      <c r="BZ2087">
        <v>0</v>
      </c>
      <c r="CA2087">
        <v>1888</v>
      </c>
      <c r="CB2087">
        <v>214.4</v>
      </c>
      <c r="CC2087">
        <v>625.78129999999999</v>
      </c>
      <c r="CD2087">
        <v>1</v>
      </c>
      <c r="CE2087">
        <v>0</v>
      </c>
      <c r="CF2087">
        <v>0</v>
      </c>
      <c r="CG2087">
        <v>1</v>
      </c>
      <c r="CH2087">
        <v>0</v>
      </c>
      <c r="CI2087">
        <v>0</v>
      </c>
      <c r="CJ2087">
        <v>0</v>
      </c>
      <c r="CK2087">
        <v>2</v>
      </c>
      <c r="CL2087">
        <v>0</v>
      </c>
      <c r="CM2087">
        <v>2</v>
      </c>
      <c r="CN2087">
        <v>0</v>
      </c>
      <c r="CO2087">
        <v>5</v>
      </c>
      <c r="CP2087" t="s">
        <v>119</v>
      </c>
      <c r="CQ2087">
        <v>70</v>
      </c>
      <c r="CR2087">
        <v>1</v>
      </c>
      <c r="CW2087">
        <v>3906507</v>
      </c>
      <c r="CY2087">
        <v>0</v>
      </c>
      <c r="CZ2087">
        <v>0</v>
      </c>
      <c r="DA2087">
        <v>0</v>
      </c>
      <c r="DB2087">
        <v>0</v>
      </c>
      <c r="DC2087">
        <v>0</v>
      </c>
      <c r="DD2087">
        <v>0</v>
      </c>
      <c r="DE2087">
        <v>0</v>
      </c>
      <c r="DF2087">
        <v>0</v>
      </c>
      <c r="DG2087">
        <v>0</v>
      </c>
      <c r="DH2087">
        <v>0</v>
      </c>
      <c r="DI2087">
        <v>0</v>
      </c>
    </row>
    <row r="2088" spans="1:113" x14ac:dyDescent="0.3">
      <c r="A2088" t="str">
        <f>"02/13/2022 19:00:38.533"</f>
        <v>02/13/2022 19:00:38.533</v>
      </c>
      <c r="C2088" t="str">
        <f t="shared" si="202"/>
        <v>FFDFD7C0</v>
      </c>
      <c r="D2088" t="s">
        <v>121</v>
      </c>
      <c r="E2088">
        <v>2</v>
      </c>
      <c r="H2088">
        <v>158</v>
      </c>
      <c r="I2088" t="s">
        <v>120</v>
      </c>
      <c r="J2088" t="s">
        <v>122</v>
      </c>
      <c r="K2088">
        <v>0</v>
      </c>
      <c r="L2088">
        <v>3</v>
      </c>
      <c r="M2088">
        <v>0</v>
      </c>
      <c r="N2088">
        <v>2</v>
      </c>
      <c r="O2088">
        <v>1</v>
      </c>
      <c r="P2088">
        <v>0</v>
      </c>
      <c r="Q2088">
        <v>0</v>
      </c>
      <c r="S2088" t="str">
        <f>"19:00:38.313"</f>
        <v>19:00:38.313</v>
      </c>
      <c r="T2088" t="str">
        <f>"19:00:37.413"</f>
        <v>19:00:37.413</v>
      </c>
      <c r="U2088" t="str">
        <f t="shared" si="204"/>
        <v>AAB6EE</v>
      </c>
      <c r="V2088">
        <v>0</v>
      </c>
      <c r="W2088">
        <v>0</v>
      </c>
      <c r="X2088">
        <v>4</v>
      </c>
      <c r="Z2088">
        <v>0</v>
      </c>
      <c r="AA2088">
        <v>8</v>
      </c>
      <c r="AB2088">
        <v>3</v>
      </c>
      <c r="AC2088">
        <v>0</v>
      </c>
      <c r="AD2088">
        <v>10</v>
      </c>
      <c r="AE2088">
        <v>0</v>
      </c>
      <c r="AF2088">
        <v>0</v>
      </c>
      <c r="AG2088">
        <v>2</v>
      </c>
      <c r="AH2088">
        <v>1</v>
      </c>
      <c r="AI2088" t="s">
        <v>1514</v>
      </c>
      <c r="AJ2088">
        <v>34.824879000000003</v>
      </c>
      <c r="AK2088" t="s">
        <v>1515</v>
      </c>
      <c r="AL2088">
        <v>-76.279642999999993</v>
      </c>
      <c r="AM2088">
        <v>25</v>
      </c>
      <c r="AN2088">
        <v>3550</v>
      </c>
      <c r="AO2088" t="s">
        <v>118</v>
      </c>
      <c r="AP2088">
        <v>-109</v>
      </c>
      <c r="AQ2088">
        <v>-6</v>
      </c>
      <c r="AR2088">
        <v>4032</v>
      </c>
      <c r="AZ2088">
        <v>4516</v>
      </c>
      <c r="BA2088">
        <v>1</v>
      </c>
      <c r="BB2088" t="str">
        <f t="shared" si="203"/>
        <v xml:space="preserve">N79NX   </v>
      </c>
      <c r="BC2088">
        <v>1</v>
      </c>
      <c r="BE2088">
        <v>0</v>
      </c>
      <c r="BF2088">
        <v>0</v>
      </c>
      <c r="BG2088">
        <v>0</v>
      </c>
      <c r="BH2088">
        <v>3325</v>
      </c>
      <c r="BI2088">
        <v>0</v>
      </c>
      <c r="BJ2088">
        <v>0</v>
      </c>
      <c r="BK2088">
        <v>0</v>
      </c>
      <c r="BL2088">
        <v>0</v>
      </c>
      <c r="BO2088">
        <v>0</v>
      </c>
      <c r="BP2088">
        <v>0</v>
      </c>
      <c r="BW2088" t="str">
        <f>"19:00:38.316"</f>
        <v>19:00:38.316</v>
      </c>
      <c r="BZ2088">
        <v>0</v>
      </c>
      <c r="CA2088">
        <v>1888</v>
      </c>
      <c r="CB2088">
        <v>214.4</v>
      </c>
      <c r="CC2088">
        <v>625.78129999999999</v>
      </c>
      <c r="CD2088">
        <v>1</v>
      </c>
      <c r="CE2088">
        <v>0</v>
      </c>
      <c r="CF2088">
        <v>0</v>
      </c>
      <c r="CG2088">
        <v>1</v>
      </c>
      <c r="CH2088">
        <v>0</v>
      </c>
      <c r="CI2088">
        <v>0</v>
      </c>
      <c r="CJ2088">
        <v>0</v>
      </c>
      <c r="CK2088">
        <v>2</v>
      </c>
      <c r="CL2088">
        <v>0</v>
      </c>
      <c r="CM2088">
        <v>2</v>
      </c>
      <c r="CN2088">
        <v>0</v>
      </c>
      <c r="CO2088">
        <v>5</v>
      </c>
      <c r="CP2088" t="s">
        <v>119</v>
      </c>
      <c r="CQ2088">
        <v>70</v>
      </c>
      <c r="CR2088">
        <v>1</v>
      </c>
      <c r="CW2088">
        <v>3906507</v>
      </c>
      <c r="CY2088">
        <v>0</v>
      </c>
      <c r="CZ2088">
        <v>0</v>
      </c>
      <c r="DA2088">
        <v>1</v>
      </c>
      <c r="DB2088">
        <v>0</v>
      </c>
      <c r="DC2088">
        <v>0</v>
      </c>
      <c r="DD2088">
        <v>0</v>
      </c>
      <c r="DE2088">
        <v>0</v>
      </c>
      <c r="DF2088">
        <v>0</v>
      </c>
      <c r="DG2088">
        <v>0</v>
      </c>
      <c r="DH2088">
        <v>0</v>
      </c>
      <c r="DI2088">
        <v>0</v>
      </c>
    </row>
    <row r="2089" spans="1:113" x14ac:dyDescent="0.3">
      <c r="A2089" t="str">
        <f>"02/13/2022 19:00:38.533"</f>
        <v>02/13/2022 19:00:38.533</v>
      </c>
      <c r="C2089" t="str">
        <f t="shared" si="202"/>
        <v>FFDFD7C0</v>
      </c>
      <c r="D2089" t="s">
        <v>113</v>
      </c>
      <c r="E2089">
        <v>4</v>
      </c>
      <c r="F2089">
        <v>1004</v>
      </c>
      <c r="G2089" t="s">
        <v>120</v>
      </c>
      <c r="J2089" t="s">
        <v>115</v>
      </c>
      <c r="K2089">
        <v>0</v>
      </c>
      <c r="L2089">
        <v>3</v>
      </c>
      <c r="M2089">
        <v>0</v>
      </c>
      <c r="N2089">
        <v>2</v>
      </c>
      <c r="O2089">
        <v>1</v>
      </c>
      <c r="P2089">
        <v>0</v>
      </c>
      <c r="Q2089">
        <v>0</v>
      </c>
      <c r="S2089" t="str">
        <f>"19:00:38.313"</f>
        <v>19:00:38.313</v>
      </c>
      <c r="T2089" t="str">
        <f>"19:00:37.413"</f>
        <v>19:00:37.413</v>
      </c>
      <c r="U2089" t="str">
        <f t="shared" si="204"/>
        <v>AAB6EE</v>
      </c>
      <c r="V2089">
        <v>0</v>
      </c>
      <c r="W2089">
        <v>0</v>
      </c>
      <c r="X2089">
        <v>4</v>
      </c>
      <c r="Z2089">
        <v>0</v>
      </c>
      <c r="AA2089">
        <v>8</v>
      </c>
      <c r="AB2089">
        <v>3</v>
      </c>
      <c r="AC2089">
        <v>0</v>
      </c>
      <c r="AD2089">
        <v>10</v>
      </c>
      <c r="AE2089">
        <v>0</v>
      </c>
      <c r="AF2089">
        <v>0</v>
      </c>
      <c r="AG2089">
        <v>2</v>
      </c>
      <c r="AH2089">
        <v>1</v>
      </c>
      <c r="AI2089" t="s">
        <v>1514</v>
      </c>
      <c r="AJ2089">
        <v>34.824879000000003</v>
      </c>
      <c r="AK2089" t="s">
        <v>1515</v>
      </c>
      <c r="AL2089">
        <v>-76.279642999999993</v>
      </c>
      <c r="AM2089">
        <v>25</v>
      </c>
      <c r="AN2089">
        <v>3550</v>
      </c>
      <c r="AO2089" t="s">
        <v>118</v>
      </c>
      <c r="AP2089">
        <v>-109</v>
      </c>
      <c r="AQ2089">
        <v>-6</v>
      </c>
      <c r="AR2089">
        <v>4032</v>
      </c>
      <c r="AZ2089">
        <v>4516</v>
      </c>
      <c r="BA2089">
        <v>1</v>
      </c>
      <c r="BB2089" t="str">
        <f t="shared" si="203"/>
        <v xml:space="preserve">N79NX   </v>
      </c>
      <c r="BC2089">
        <v>1</v>
      </c>
      <c r="BE2089">
        <v>0</v>
      </c>
      <c r="BF2089">
        <v>0</v>
      </c>
      <c r="BG2089">
        <v>0</v>
      </c>
      <c r="BH2089">
        <v>3325</v>
      </c>
      <c r="BI2089">
        <v>0</v>
      </c>
      <c r="BJ2089">
        <v>0</v>
      </c>
      <c r="BK2089">
        <v>0</v>
      </c>
      <c r="BL2089">
        <v>0</v>
      </c>
      <c r="BO2089">
        <v>0</v>
      </c>
      <c r="BP2089">
        <v>0</v>
      </c>
      <c r="BW2089" t="str">
        <f>"19:00:38.316"</f>
        <v>19:00:38.316</v>
      </c>
      <c r="BZ2089">
        <v>0</v>
      </c>
      <c r="CA2089">
        <v>1888</v>
      </c>
      <c r="CB2089">
        <v>214.4</v>
      </c>
      <c r="CC2089">
        <v>625.78129999999999</v>
      </c>
      <c r="CD2089">
        <v>1</v>
      </c>
      <c r="CE2089">
        <v>0</v>
      </c>
      <c r="CF2089">
        <v>0</v>
      </c>
      <c r="CG2089">
        <v>1</v>
      </c>
      <c r="CH2089">
        <v>0</v>
      </c>
      <c r="CI2089">
        <v>0</v>
      </c>
      <c r="CJ2089">
        <v>0</v>
      </c>
      <c r="CK2089">
        <v>2</v>
      </c>
      <c r="CL2089">
        <v>0</v>
      </c>
      <c r="CM2089">
        <v>2</v>
      </c>
      <c r="CN2089">
        <v>0</v>
      </c>
      <c r="CO2089">
        <v>5</v>
      </c>
      <c r="CP2089" t="s">
        <v>119</v>
      </c>
      <c r="CQ2089">
        <v>70</v>
      </c>
      <c r="CR2089">
        <v>1</v>
      </c>
      <c r="CW2089">
        <v>3906507</v>
      </c>
      <c r="CY2089">
        <v>0</v>
      </c>
      <c r="CZ2089">
        <v>0</v>
      </c>
      <c r="DA2089">
        <v>1</v>
      </c>
      <c r="DB2089">
        <v>0</v>
      </c>
      <c r="DC2089">
        <v>0</v>
      </c>
      <c r="DD2089">
        <v>0</v>
      </c>
      <c r="DE2089">
        <v>0</v>
      </c>
      <c r="DF2089">
        <v>0</v>
      </c>
      <c r="DG2089">
        <v>0</v>
      </c>
      <c r="DH2089">
        <v>0</v>
      </c>
      <c r="DI2089">
        <v>0</v>
      </c>
    </row>
    <row r="2090" spans="1:113" x14ac:dyDescent="0.3">
      <c r="A2090" t="str">
        <f>"02/13/2022 19:00:39.471"</f>
        <v>02/13/2022 19:00:39.471</v>
      </c>
      <c r="C2090" t="str">
        <f t="shared" si="202"/>
        <v>FFDFD7C0</v>
      </c>
      <c r="D2090" t="s">
        <v>121</v>
      </c>
      <c r="E2090">
        <v>2</v>
      </c>
      <c r="H2090">
        <v>158</v>
      </c>
      <c r="I2090" t="s">
        <v>120</v>
      </c>
      <c r="J2090" t="s">
        <v>122</v>
      </c>
      <c r="K2090">
        <v>0</v>
      </c>
      <c r="L2090">
        <v>3</v>
      </c>
      <c r="M2090">
        <v>0</v>
      </c>
      <c r="N2090">
        <v>2</v>
      </c>
      <c r="O2090">
        <v>1</v>
      </c>
      <c r="P2090">
        <v>0</v>
      </c>
      <c r="Q2090">
        <v>0</v>
      </c>
      <c r="S2090" t="str">
        <f>"19:00:39.242"</f>
        <v>19:00:39.242</v>
      </c>
      <c r="T2090" t="str">
        <f>"19:00:38.542"</f>
        <v>19:00:38.542</v>
      </c>
      <c r="U2090" t="str">
        <f t="shared" si="204"/>
        <v>AAB6EE</v>
      </c>
      <c r="V2090">
        <v>0</v>
      </c>
      <c r="W2090">
        <v>0</v>
      </c>
      <c r="X2090">
        <v>4</v>
      </c>
      <c r="Z2090">
        <v>0</v>
      </c>
      <c r="AA2090">
        <v>8</v>
      </c>
      <c r="AB2090">
        <v>3</v>
      </c>
      <c r="AC2090">
        <v>0</v>
      </c>
      <c r="AD2090">
        <v>10</v>
      </c>
      <c r="AE2090">
        <v>0</v>
      </c>
      <c r="AF2090">
        <v>0</v>
      </c>
      <c r="AG2090">
        <v>2</v>
      </c>
      <c r="AH2090">
        <v>1</v>
      </c>
      <c r="AI2090" t="s">
        <v>1516</v>
      </c>
      <c r="AJ2090">
        <v>34.824793</v>
      </c>
      <c r="AK2090" t="s">
        <v>1517</v>
      </c>
      <c r="AL2090">
        <v>-76.280135999999999</v>
      </c>
      <c r="AM2090">
        <v>25</v>
      </c>
      <c r="AN2090">
        <v>3600</v>
      </c>
      <c r="AO2090" t="s">
        <v>118</v>
      </c>
      <c r="AP2090">
        <v>-104</v>
      </c>
      <c r="AQ2090">
        <v>-19</v>
      </c>
      <c r="AR2090">
        <v>3904</v>
      </c>
      <c r="AZ2090">
        <v>4516</v>
      </c>
      <c r="BA2090">
        <v>1</v>
      </c>
      <c r="BB2090" t="str">
        <f t="shared" si="203"/>
        <v xml:space="preserve">N79NX   </v>
      </c>
      <c r="BC2090">
        <v>1</v>
      </c>
      <c r="BE2090">
        <v>0</v>
      </c>
      <c r="BF2090">
        <v>0</v>
      </c>
      <c r="BG2090">
        <v>0</v>
      </c>
      <c r="BH2090">
        <v>3425</v>
      </c>
      <c r="BI2090">
        <v>0</v>
      </c>
      <c r="BJ2090">
        <v>0</v>
      </c>
      <c r="BK2090">
        <v>0</v>
      </c>
      <c r="BL2090">
        <v>0</v>
      </c>
      <c r="BO2090">
        <v>0</v>
      </c>
      <c r="BP2090">
        <v>0</v>
      </c>
      <c r="BW2090" t="str">
        <f>"19:00:39.246"</f>
        <v>19:00:39.246</v>
      </c>
      <c r="BZ2090">
        <v>0</v>
      </c>
      <c r="CA2090">
        <v>1888</v>
      </c>
      <c r="CB2090">
        <v>214.4</v>
      </c>
      <c r="CC2090">
        <v>625.78129999999999</v>
      </c>
      <c r="CD2090">
        <v>1</v>
      </c>
      <c r="CE2090">
        <v>0</v>
      </c>
      <c r="CF2090">
        <v>0</v>
      </c>
      <c r="CG2090">
        <v>1</v>
      </c>
      <c r="CH2090">
        <v>0</v>
      </c>
      <c r="CI2090">
        <v>1</v>
      </c>
      <c r="CJ2090">
        <v>0</v>
      </c>
      <c r="CK2090">
        <v>2</v>
      </c>
      <c r="CL2090">
        <v>0</v>
      </c>
      <c r="CM2090">
        <v>2</v>
      </c>
      <c r="CN2090">
        <v>0</v>
      </c>
      <c r="CO2090">
        <v>6</v>
      </c>
      <c r="CP2090" t="s">
        <v>119</v>
      </c>
      <c r="CQ2090">
        <v>70</v>
      </c>
      <c r="CR2090">
        <v>1</v>
      </c>
      <c r="CW2090">
        <v>3907351</v>
      </c>
      <c r="CY2090">
        <v>0</v>
      </c>
      <c r="CZ2090">
        <v>0</v>
      </c>
      <c r="DA2090">
        <v>0</v>
      </c>
      <c r="DB2090">
        <v>0</v>
      </c>
      <c r="DC2090">
        <v>0</v>
      </c>
      <c r="DD2090">
        <v>0</v>
      </c>
      <c r="DE2090">
        <v>0</v>
      </c>
      <c r="DF2090">
        <v>0</v>
      </c>
      <c r="DG2090">
        <v>0</v>
      </c>
      <c r="DH2090">
        <v>0</v>
      </c>
      <c r="DI2090">
        <v>0</v>
      </c>
    </row>
    <row r="2091" spans="1:113" x14ac:dyDescent="0.3">
      <c r="A2091" t="str">
        <f>"02/13/2022 19:00:39.471"</f>
        <v>02/13/2022 19:00:39.471</v>
      </c>
      <c r="C2091" t="str">
        <f t="shared" si="202"/>
        <v>FFDFD7C0</v>
      </c>
      <c r="D2091" t="s">
        <v>113</v>
      </c>
      <c r="E2091">
        <v>3</v>
      </c>
      <c r="F2091">
        <v>1003</v>
      </c>
      <c r="G2091" t="s">
        <v>114</v>
      </c>
      <c r="J2091" t="s">
        <v>115</v>
      </c>
      <c r="K2091">
        <v>0</v>
      </c>
      <c r="L2091">
        <v>3</v>
      </c>
      <c r="M2091">
        <v>0</v>
      </c>
      <c r="N2091">
        <v>2</v>
      </c>
      <c r="O2091">
        <v>1</v>
      </c>
      <c r="P2091">
        <v>0</v>
      </c>
      <c r="Q2091">
        <v>0</v>
      </c>
      <c r="S2091" t="str">
        <f>"19:00:39.242"</f>
        <v>19:00:39.242</v>
      </c>
      <c r="T2091" t="str">
        <f>"19:00:38.542"</f>
        <v>19:00:38.542</v>
      </c>
      <c r="U2091" t="str">
        <f t="shared" si="204"/>
        <v>AAB6EE</v>
      </c>
      <c r="V2091">
        <v>0</v>
      </c>
      <c r="W2091">
        <v>0</v>
      </c>
      <c r="X2091">
        <v>4</v>
      </c>
      <c r="Z2091">
        <v>0</v>
      </c>
      <c r="AA2091">
        <v>8</v>
      </c>
      <c r="AB2091">
        <v>3</v>
      </c>
      <c r="AC2091">
        <v>0</v>
      </c>
      <c r="AD2091">
        <v>10</v>
      </c>
      <c r="AE2091">
        <v>0</v>
      </c>
      <c r="AF2091">
        <v>0</v>
      </c>
      <c r="AG2091">
        <v>2</v>
      </c>
      <c r="AH2091">
        <v>1</v>
      </c>
      <c r="AI2091" t="s">
        <v>1516</v>
      </c>
      <c r="AJ2091">
        <v>34.824793</v>
      </c>
      <c r="AK2091" t="s">
        <v>1517</v>
      </c>
      <c r="AL2091">
        <v>-76.280135999999999</v>
      </c>
      <c r="AM2091">
        <v>25</v>
      </c>
      <c r="AN2091">
        <v>3600</v>
      </c>
      <c r="AO2091" t="s">
        <v>118</v>
      </c>
      <c r="AP2091">
        <v>-104</v>
      </c>
      <c r="AQ2091">
        <v>-19</v>
      </c>
      <c r="AR2091">
        <v>3904</v>
      </c>
      <c r="AZ2091">
        <v>4516</v>
      </c>
      <c r="BA2091">
        <v>1</v>
      </c>
      <c r="BB2091" t="str">
        <f t="shared" si="203"/>
        <v xml:space="preserve">N79NX   </v>
      </c>
      <c r="BC2091">
        <v>1</v>
      </c>
      <c r="BE2091">
        <v>0</v>
      </c>
      <c r="BF2091">
        <v>0</v>
      </c>
      <c r="BG2091">
        <v>0</v>
      </c>
      <c r="BH2091">
        <v>3425</v>
      </c>
      <c r="BI2091">
        <v>0</v>
      </c>
      <c r="BJ2091">
        <v>0</v>
      </c>
      <c r="BK2091">
        <v>0</v>
      </c>
      <c r="BL2091">
        <v>0</v>
      </c>
      <c r="BO2091">
        <v>0</v>
      </c>
      <c r="BP2091">
        <v>0</v>
      </c>
      <c r="BW2091" t="str">
        <f>"19:00:39.246"</f>
        <v>19:00:39.246</v>
      </c>
      <c r="BZ2091">
        <v>0</v>
      </c>
      <c r="CA2091">
        <v>1888</v>
      </c>
      <c r="CB2091">
        <v>214.4</v>
      </c>
      <c r="CC2091">
        <v>625.78129999999999</v>
      </c>
      <c r="CD2091">
        <v>1</v>
      </c>
      <c r="CE2091">
        <v>0</v>
      </c>
      <c r="CF2091">
        <v>0</v>
      </c>
      <c r="CG2091">
        <v>1</v>
      </c>
      <c r="CH2091">
        <v>0</v>
      </c>
      <c r="CI2091">
        <v>1</v>
      </c>
      <c r="CJ2091">
        <v>0</v>
      </c>
      <c r="CK2091">
        <v>2</v>
      </c>
      <c r="CL2091">
        <v>0</v>
      </c>
      <c r="CM2091">
        <v>2</v>
      </c>
      <c r="CN2091">
        <v>0</v>
      </c>
      <c r="CO2091">
        <v>6</v>
      </c>
      <c r="CP2091" t="s">
        <v>119</v>
      </c>
      <c r="CQ2091">
        <v>70</v>
      </c>
      <c r="CR2091">
        <v>1</v>
      </c>
      <c r="CW2091">
        <v>3907351</v>
      </c>
      <c r="CY2091">
        <v>0</v>
      </c>
      <c r="CZ2091">
        <v>0</v>
      </c>
      <c r="DA2091">
        <v>1</v>
      </c>
      <c r="DB2091">
        <v>0</v>
      </c>
      <c r="DC2091">
        <v>0</v>
      </c>
      <c r="DD2091">
        <v>0</v>
      </c>
      <c r="DE2091">
        <v>0</v>
      </c>
      <c r="DF2091">
        <v>0</v>
      </c>
      <c r="DG2091">
        <v>0</v>
      </c>
      <c r="DH2091">
        <v>0</v>
      </c>
      <c r="DI2091">
        <v>0</v>
      </c>
    </row>
    <row r="2092" spans="1:113" x14ac:dyDescent="0.3">
      <c r="A2092" t="str">
        <f>"02/13/2022 19:00:39.471"</f>
        <v>02/13/2022 19:00:39.471</v>
      </c>
      <c r="C2092" t="str">
        <f t="shared" si="202"/>
        <v>FFDFD7C0</v>
      </c>
      <c r="D2092" t="s">
        <v>113</v>
      </c>
      <c r="E2092">
        <v>4</v>
      </c>
      <c r="F2092">
        <v>1004</v>
      </c>
      <c r="G2092" t="s">
        <v>120</v>
      </c>
      <c r="J2092" t="s">
        <v>115</v>
      </c>
      <c r="K2092">
        <v>0</v>
      </c>
      <c r="L2092">
        <v>3</v>
      </c>
      <c r="M2092">
        <v>0</v>
      </c>
      <c r="N2092">
        <v>2</v>
      </c>
      <c r="O2092">
        <v>1</v>
      </c>
      <c r="P2092">
        <v>0</v>
      </c>
      <c r="Q2092">
        <v>0</v>
      </c>
      <c r="S2092" t="str">
        <f>"19:00:39.242"</f>
        <v>19:00:39.242</v>
      </c>
      <c r="T2092" t="str">
        <f>"19:00:38.542"</f>
        <v>19:00:38.542</v>
      </c>
      <c r="U2092" t="str">
        <f t="shared" si="204"/>
        <v>AAB6EE</v>
      </c>
      <c r="V2092">
        <v>0</v>
      </c>
      <c r="W2092">
        <v>0</v>
      </c>
      <c r="X2092">
        <v>4</v>
      </c>
      <c r="Z2092">
        <v>0</v>
      </c>
      <c r="AA2092">
        <v>8</v>
      </c>
      <c r="AB2092">
        <v>3</v>
      </c>
      <c r="AC2092">
        <v>0</v>
      </c>
      <c r="AD2092">
        <v>10</v>
      </c>
      <c r="AE2092">
        <v>0</v>
      </c>
      <c r="AF2092">
        <v>0</v>
      </c>
      <c r="AG2092">
        <v>2</v>
      </c>
      <c r="AH2092">
        <v>1</v>
      </c>
      <c r="AI2092" t="s">
        <v>1516</v>
      </c>
      <c r="AJ2092">
        <v>34.824793</v>
      </c>
      <c r="AK2092" t="s">
        <v>1517</v>
      </c>
      <c r="AL2092">
        <v>-76.280135999999999</v>
      </c>
      <c r="AM2092">
        <v>25</v>
      </c>
      <c r="AN2092">
        <v>3600</v>
      </c>
      <c r="AO2092" t="s">
        <v>118</v>
      </c>
      <c r="AP2092">
        <v>-104</v>
      </c>
      <c r="AQ2092">
        <v>-19</v>
      </c>
      <c r="AR2092">
        <v>3904</v>
      </c>
      <c r="AZ2092">
        <v>4516</v>
      </c>
      <c r="BA2092">
        <v>1</v>
      </c>
      <c r="BB2092" t="str">
        <f t="shared" si="203"/>
        <v xml:space="preserve">N79NX   </v>
      </c>
      <c r="BC2092">
        <v>1</v>
      </c>
      <c r="BE2092">
        <v>0</v>
      </c>
      <c r="BF2092">
        <v>0</v>
      </c>
      <c r="BG2092">
        <v>0</v>
      </c>
      <c r="BH2092">
        <v>3425</v>
      </c>
      <c r="BI2092">
        <v>0</v>
      </c>
      <c r="BJ2092">
        <v>0</v>
      </c>
      <c r="BK2092">
        <v>0</v>
      </c>
      <c r="BL2092">
        <v>0</v>
      </c>
      <c r="BO2092">
        <v>0</v>
      </c>
      <c r="BP2092">
        <v>0</v>
      </c>
      <c r="BW2092" t="str">
        <f>"19:00:39.246"</f>
        <v>19:00:39.246</v>
      </c>
      <c r="BZ2092">
        <v>0</v>
      </c>
      <c r="CA2092">
        <v>1888</v>
      </c>
      <c r="CB2092">
        <v>214.4</v>
      </c>
      <c r="CC2092">
        <v>625.78129999999999</v>
      </c>
      <c r="CD2092">
        <v>1</v>
      </c>
      <c r="CE2092">
        <v>0</v>
      </c>
      <c r="CF2092">
        <v>0</v>
      </c>
      <c r="CG2092">
        <v>1</v>
      </c>
      <c r="CH2092">
        <v>0</v>
      </c>
      <c r="CI2092">
        <v>1</v>
      </c>
      <c r="CJ2092">
        <v>0</v>
      </c>
      <c r="CK2092">
        <v>2</v>
      </c>
      <c r="CL2092">
        <v>0</v>
      </c>
      <c r="CM2092">
        <v>2</v>
      </c>
      <c r="CN2092">
        <v>0</v>
      </c>
      <c r="CO2092">
        <v>6</v>
      </c>
      <c r="CP2092" t="s">
        <v>119</v>
      </c>
      <c r="CQ2092">
        <v>70</v>
      </c>
      <c r="CR2092">
        <v>1</v>
      </c>
      <c r="CW2092">
        <v>3907351</v>
      </c>
      <c r="CY2092">
        <v>0</v>
      </c>
      <c r="CZ2092">
        <v>0</v>
      </c>
      <c r="DA2092">
        <v>1</v>
      </c>
      <c r="DB2092">
        <v>0</v>
      </c>
      <c r="DC2092">
        <v>0</v>
      </c>
      <c r="DD2092">
        <v>0</v>
      </c>
      <c r="DE2092">
        <v>0</v>
      </c>
      <c r="DF2092">
        <v>0</v>
      </c>
      <c r="DG2092">
        <v>0</v>
      </c>
      <c r="DH2092">
        <v>0</v>
      </c>
      <c r="DI2092">
        <v>0</v>
      </c>
    </row>
    <row r="2093" spans="1:113" x14ac:dyDescent="0.3">
      <c r="A2093" t="str">
        <f>"02/13/2022 19:00:40.333"</f>
        <v>02/13/2022 19:00:40.333</v>
      </c>
      <c r="C2093" t="str">
        <f t="shared" si="202"/>
        <v>FFDFD7C0</v>
      </c>
      <c r="D2093" t="s">
        <v>113</v>
      </c>
      <c r="E2093">
        <v>3</v>
      </c>
      <c r="F2093">
        <v>1003</v>
      </c>
      <c r="G2093" t="s">
        <v>114</v>
      </c>
      <c r="J2093" t="s">
        <v>115</v>
      </c>
      <c r="K2093">
        <v>0</v>
      </c>
      <c r="L2093">
        <v>3</v>
      </c>
      <c r="M2093">
        <v>0</v>
      </c>
      <c r="N2093">
        <v>2</v>
      </c>
      <c r="O2093">
        <v>1</v>
      </c>
      <c r="P2093">
        <v>0</v>
      </c>
      <c r="Q2093">
        <v>0</v>
      </c>
      <c r="S2093" t="str">
        <f>"19:00:40.148"</f>
        <v>19:00:40.148</v>
      </c>
      <c r="T2093" t="str">
        <f>"19:00:39.548"</f>
        <v>19:00:39.548</v>
      </c>
      <c r="U2093" t="str">
        <f t="shared" si="204"/>
        <v>AAB6EE</v>
      </c>
      <c r="V2093">
        <v>0</v>
      </c>
      <c r="W2093">
        <v>0</v>
      </c>
      <c r="X2093">
        <v>4</v>
      </c>
      <c r="Z2093">
        <v>0</v>
      </c>
      <c r="AA2093">
        <v>8</v>
      </c>
      <c r="AB2093">
        <v>3</v>
      </c>
      <c r="AC2093">
        <v>0</v>
      </c>
      <c r="AD2093">
        <v>10</v>
      </c>
      <c r="AE2093">
        <v>0</v>
      </c>
      <c r="AF2093">
        <v>0</v>
      </c>
      <c r="AG2093">
        <v>2</v>
      </c>
      <c r="AH2093">
        <v>1</v>
      </c>
      <c r="AI2093" t="s">
        <v>1506</v>
      </c>
      <c r="AJ2093">
        <v>34.824643000000002</v>
      </c>
      <c r="AK2093" t="s">
        <v>1518</v>
      </c>
      <c r="AL2093">
        <v>-76.280651000000006</v>
      </c>
      <c r="AM2093">
        <v>25</v>
      </c>
      <c r="AN2093">
        <v>3650</v>
      </c>
      <c r="AO2093" t="s">
        <v>118</v>
      </c>
      <c r="AP2093">
        <v>-99</v>
      </c>
      <c r="AQ2093">
        <v>-30</v>
      </c>
      <c r="AR2093">
        <v>3712</v>
      </c>
      <c r="AZ2093">
        <v>4516</v>
      </c>
      <c r="BA2093">
        <v>1</v>
      </c>
      <c r="BB2093" t="str">
        <f t="shared" si="203"/>
        <v xml:space="preserve">N79NX   </v>
      </c>
      <c r="BC2093">
        <v>1</v>
      </c>
      <c r="BE2093">
        <v>0</v>
      </c>
      <c r="BF2093">
        <v>0</v>
      </c>
      <c r="BG2093">
        <v>0</v>
      </c>
      <c r="BH2093">
        <v>3475</v>
      </c>
      <c r="BI2093">
        <v>0</v>
      </c>
      <c r="BJ2093">
        <v>0</v>
      </c>
      <c r="BK2093">
        <v>0</v>
      </c>
      <c r="BL2093">
        <v>0</v>
      </c>
      <c r="BO2093">
        <v>0</v>
      </c>
      <c r="BP2093">
        <v>0</v>
      </c>
      <c r="BW2093" t="str">
        <f>"19:00:40.156"</f>
        <v>19:00:40.156</v>
      </c>
      <c r="BZ2093">
        <v>0</v>
      </c>
      <c r="CA2093">
        <v>1888</v>
      </c>
      <c r="CB2093">
        <v>214.4</v>
      </c>
      <c r="CC2093">
        <v>625.78129999999999</v>
      </c>
      <c r="CD2093">
        <v>1</v>
      </c>
      <c r="CE2093">
        <v>0</v>
      </c>
      <c r="CF2093">
        <v>0</v>
      </c>
      <c r="CG2093">
        <v>1</v>
      </c>
      <c r="CH2093">
        <v>0</v>
      </c>
      <c r="CI2093">
        <v>1</v>
      </c>
      <c r="CJ2093">
        <v>0</v>
      </c>
      <c r="CK2093">
        <v>2</v>
      </c>
      <c r="CL2093">
        <v>0</v>
      </c>
      <c r="CM2093">
        <v>2</v>
      </c>
      <c r="CN2093">
        <v>0</v>
      </c>
      <c r="CO2093">
        <v>6</v>
      </c>
      <c r="CP2093" t="s">
        <v>119</v>
      </c>
      <c r="CQ2093">
        <v>70</v>
      </c>
      <c r="CR2093">
        <v>1</v>
      </c>
      <c r="CW2093">
        <v>3908178</v>
      </c>
      <c r="CY2093">
        <v>0</v>
      </c>
      <c r="CZ2093">
        <v>0</v>
      </c>
      <c r="DA2093">
        <v>0</v>
      </c>
      <c r="DB2093">
        <v>0</v>
      </c>
      <c r="DC2093">
        <v>0</v>
      </c>
      <c r="DD2093">
        <v>0</v>
      </c>
      <c r="DE2093">
        <v>0</v>
      </c>
      <c r="DF2093">
        <v>0</v>
      </c>
      <c r="DG2093">
        <v>0</v>
      </c>
      <c r="DH2093">
        <v>0</v>
      </c>
      <c r="DI2093">
        <v>0</v>
      </c>
    </row>
    <row r="2094" spans="1:113" x14ac:dyDescent="0.3">
      <c r="A2094" t="str">
        <f>"02/13/2022 19:00:40.333"</f>
        <v>02/13/2022 19:00:40.333</v>
      </c>
      <c r="C2094" t="str">
        <f t="shared" si="202"/>
        <v>FFDFD7C0</v>
      </c>
      <c r="D2094" t="s">
        <v>113</v>
      </c>
      <c r="E2094">
        <v>4</v>
      </c>
      <c r="F2094">
        <v>1004</v>
      </c>
      <c r="G2094" t="s">
        <v>120</v>
      </c>
      <c r="J2094" t="s">
        <v>115</v>
      </c>
      <c r="K2094">
        <v>0</v>
      </c>
      <c r="L2094">
        <v>3</v>
      </c>
      <c r="M2094">
        <v>0</v>
      </c>
      <c r="N2094">
        <v>2</v>
      </c>
      <c r="O2094">
        <v>1</v>
      </c>
      <c r="P2094">
        <v>0</v>
      </c>
      <c r="Q2094">
        <v>0</v>
      </c>
      <c r="S2094" t="str">
        <f>"19:00:40.148"</f>
        <v>19:00:40.148</v>
      </c>
      <c r="T2094" t="str">
        <f>"19:00:39.548"</f>
        <v>19:00:39.548</v>
      </c>
      <c r="U2094" t="str">
        <f t="shared" si="204"/>
        <v>AAB6EE</v>
      </c>
      <c r="V2094">
        <v>0</v>
      </c>
      <c r="W2094">
        <v>0</v>
      </c>
      <c r="X2094">
        <v>4</v>
      </c>
      <c r="Z2094">
        <v>0</v>
      </c>
      <c r="AA2094">
        <v>8</v>
      </c>
      <c r="AB2094">
        <v>3</v>
      </c>
      <c r="AC2094">
        <v>0</v>
      </c>
      <c r="AD2094">
        <v>10</v>
      </c>
      <c r="AE2094">
        <v>0</v>
      </c>
      <c r="AF2094">
        <v>0</v>
      </c>
      <c r="AG2094">
        <v>2</v>
      </c>
      <c r="AH2094">
        <v>1</v>
      </c>
      <c r="AI2094" t="s">
        <v>1506</v>
      </c>
      <c r="AJ2094">
        <v>34.824643000000002</v>
      </c>
      <c r="AK2094" t="s">
        <v>1518</v>
      </c>
      <c r="AL2094">
        <v>-76.280651000000006</v>
      </c>
      <c r="AM2094">
        <v>25</v>
      </c>
      <c r="AN2094">
        <v>3650</v>
      </c>
      <c r="AO2094" t="s">
        <v>118</v>
      </c>
      <c r="AP2094">
        <v>-99</v>
      </c>
      <c r="AQ2094">
        <v>-30</v>
      </c>
      <c r="AR2094">
        <v>3712</v>
      </c>
      <c r="AZ2094">
        <v>4516</v>
      </c>
      <c r="BA2094">
        <v>1</v>
      </c>
      <c r="BB2094" t="str">
        <f t="shared" si="203"/>
        <v xml:space="preserve">N79NX   </v>
      </c>
      <c r="BC2094">
        <v>1</v>
      </c>
      <c r="BE2094">
        <v>0</v>
      </c>
      <c r="BF2094">
        <v>0</v>
      </c>
      <c r="BG2094">
        <v>0</v>
      </c>
      <c r="BH2094">
        <v>3475</v>
      </c>
      <c r="BI2094">
        <v>0</v>
      </c>
      <c r="BJ2094">
        <v>0</v>
      </c>
      <c r="BK2094">
        <v>0</v>
      </c>
      <c r="BL2094">
        <v>0</v>
      </c>
      <c r="BO2094">
        <v>0</v>
      </c>
      <c r="BP2094">
        <v>0</v>
      </c>
      <c r="BW2094" t="str">
        <f>"19:00:40.156"</f>
        <v>19:00:40.156</v>
      </c>
      <c r="BZ2094">
        <v>0</v>
      </c>
      <c r="CA2094">
        <v>1888</v>
      </c>
      <c r="CB2094">
        <v>214.4</v>
      </c>
      <c r="CC2094">
        <v>625.78129999999999</v>
      </c>
      <c r="CD2094">
        <v>1</v>
      </c>
      <c r="CE2094">
        <v>0</v>
      </c>
      <c r="CF2094">
        <v>0</v>
      </c>
      <c r="CG2094">
        <v>1</v>
      </c>
      <c r="CH2094">
        <v>0</v>
      </c>
      <c r="CI2094">
        <v>1</v>
      </c>
      <c r="CJ2094">
        <v>0</v>
      </c>
      <c r="CK2094">
        <v>2</v>
      </c>
      <c r="CL2094">
        <v>0</v>
      </c>
      <c r="CM2094">
        <v>2</v>
      </c>
      <c r="CN2094">
        <v>0</v>
      </c>
      <c r="CO2094">
        <v>6</v>
      </c>
      <c r="CP2094" t="s">
        <v>119</v>
      </c>
      <c r="CQ2094">
        <v>70</v>
      </c>
      <c r="CR2094">
        <v>1</v>
      </c>
      <c r="CW2094">
        <v>3908178</v>
      </c>
      <c r="CY2094">
        <v>0</v>
      </c>
      <c r="CZ2094">
        <v>0</v>
      </c>
      <c r="DA2094">
        <v>1</v>
      </c>
      <c r="DB2094">
        <v>0</v>
      </c>
      <c r="DC2094">
        <v>0</v>
      </c>
      <c r="DD2094">
        <v>0</v>
      </c>
      <c r="DE2094">
        <v>0</v>
      </c>
      <c r="DF2094">
        <v>0</v>
      </c>
      <c r="DG2094">
        <v>0</v>
      </c>
      <c r="DH2094">
        <v>0</v>
      </c>
      <c r="DI2094">
        <v>0</v>
      </c>
    </row>
    <row r="2095" spans="1:113" x14ac:dyDescent="0.3">
      <c r="A2095" t="str">
        <f>"02/13/2022 19:00:40.333"</f>
        <v>02/13/2022 19:00:40.333</v>
      </c>
      <c r="C2095" t="str">
        <f t="shared" si="202"/>
        <v>FFDFD7C0</v>
      </c>
      <c r="D2095" t="s">
        <v>121</v>
      </c>
      <c r="E2095">
        <v>2</v>
      </c>
      <c r="H2095">
        <v>158</v>
      </c>
      <c r="I2095" t="s">
        <v>120</v>
      </c>
      <c r="J2095" t="s">
        <v>122</v>
      </c>
      <c r="K2095">
        <v>0</v>
      </c>
      <c r="L2095">
        <v>3</v>
      </c>
      <c r="M2095">
        <v>0</v>
      </c>
      <c r="N2095">
        <v>2</v>
      </c>
      <c r="O2095">
        <v>1</v>
      </c>
      <c r="P2095">
        <v>0</v>
      </c>
      <c r="Q2095">
        <v>0</v>
      </c>
      <c r="S2095" t="str">
        <f>"19:00:40.148"</f>
        <v>19:00:40.148</v>
      </c>
      <c r="T2095" t="str">
        <f>"19:00:39.548"</f>
        <v>19:00:39.548</v>
      </c>
      <c r="U2095" t="str">
        <f t="shared" si="204"/>
        <v>AAB6EE</v>
      </c>
      <c r="V2095">
        <v>0</v>
      </c>
      <c r="W2095">
        <v>0</v>
      </c>
      <c r="X2095">
        <v>4</v>
      </c>
      <c r="Z2095">
        <v>0</v>
      </c>
      <c r="AA2095">
        <v>8</v>
      </c>
      <c r="AB2095">
        <v>3</v>
      </c>
      <c r="AC2095">
        <v>0</v>
      </c>
      <c r="AD2095">
        <v>10</v>
      </c>
      <c r="AE2095">
        <v>0</v>
      </c>
      <c r="AF2095">
        <v>0</v>
      </c>
      <c r="AG2095">
        <v>2</v>
      </c>
      <c r="AH2095">
        <v>1</v>
      </c>
      <c r="AI2095" t="s">
        <v>1506</v>
      </c>
      <c r="AJ2095">
        <v>34.824643000000002</v>
      </c>
      <c r="AK2095" t="s">
        <v>1518</v>
      </c>
      <c r="AL2095">
        <v>-76.280651000000006</v>
      </c>
      <c r="AM2095">
        <v>25</v>
      </c>
      <c r="AN2095">
        <v>3650</v>
      </c>
      <c r="AO2095" t="s">
        <v>118</v>
      </c>
      <c r="AP2095">
        <v>-99</v>
      </c>
      <c r="AQ2095">
        <v>-30</v>
      </c>
      <c r="AR2095">
        <v>3712</v>
      </c>
      <c r="AZ2095">
        <v>4516</v>
      </c>
      <c r="BA2095">
        <v>1</v>
      </c>
      <c r="BB2095" t="str">
        <f t="shared" si="203"/>
        <v xml:space="preserve">N79NX   </v>
      </c>
      <c r="BC2095">
        <v>1</v>
      </c>
      <c r="BE2095">
        <v>0</v>
      </c>
      <c r="BF2095">
        <v>0</v>
      </c>
      <c r="BG2095">
        <v>0</v>
      </c>
      <c r="BH2095">
        <v>3475</v>
      </c>
      <c r="BI2095">
        <v>0</v>
      </c>
      <c r="BJ2095">
        <v>0</v>
      </c>
      <c r="BK2095">
        <v>0</v>
      </c>
      <c r="BL2095">
        <v>0</v>
      </c>
      <c r="BO2095">
        <v>0</v>
      </c>
      <c r="BP2095">
        <v>0</v>
      </c>
      <c r="BW2095" t="str">
        <f>"19:00:40.156"</f>
        <v>19:00:40.156</v>
      </c>
      <c r="BZ2095">
        <v>0</v>
      </c>
      <c r="CA2095">
        <v>1888</v>
      </c>
      <c r="CB2095">
        <v>214.4</v>
      </c>
      <c r="CC2095">
        <v>625.78129999999999</v>
      </c>
      <c r="CD2095">
        <v>1</v>
      </c>
      <c r="CE2095">
        <v>0</v>
      </c>
      <c r="CF2095">
        <v>0</v>
      </c>
      <c r="CG2095">
        <v>1</v>
      </c>
      <c r="CH2095">
        <v>0</v>
      </c>
      <c r="CI2095">
        <v>1</v>
      </c>
      <c r="CJ2095">
        <v>0</v>
      </c>
      <c r="CK2095">
        <v>2</v>
      </c>
      <c r="CL2095">
        <v>0</v>
      </c>
      <c r="CM2095">
        <v>2</v>
      </c>
      <c r="CN2095">
        <v>0</v>
      </c>
      <c r="CO2095">
        <v>6</v>
      </c>
      <c r="CP2095" t="s">
        <v>119</v>
      </c>
      <c r="CQ2095">
        <v>70</v>
      </c>
      <c r="CR2095">
        <v>1</v>
      </c>
      <c r="CW2095">
        <v>3908178</v>
      </c>
      <c r="CY2095">
        <v>0</v>
      </c>
      <c r="CZ2095">
        <v>0</v>
      </c>
      <c r="DA2095">
        <v>1</v>
      </c>
      <c r="DB2095">
        <v>0</v>
      </c>
      <c r="DC2095">
        <v>0</v>
      </c>
      <c r="DD2095">
        <v>0</v>
      </c>
      <c r="DE2095">
        <v>0</v>
      </c>
      <c r="DF2095">
        <v>0</v>
      </c>
      <c r="DG2095">
        <v>0</v>
      </c>
      <c r="DH2095">
        <v>0</v>
      </c>
      <c r="DI2095">
        <v>0</v>
      </c>
    </row>
    <row r="2096" spans="1:113" x14ac:dyDescent="0.3">
      <c r="A2096" t="str">
        <f>"02/13/2022 19:00:41.583"</f>
        <v>02/13/2022 19:00:41.583</v>
      </c>
      <c r="C2096" t="str">
        <f t="shared" si="202"/>
        <v>FFDFD7C0</v>
      </c>
      <c r="D2096" t="s">
        <v>113</v>
      </c>
      <c r="E2096">
        <v>3</v>
      </c>
      <c r="F2096">
        <v>1003</v>
      </c>
      <c r="G2096" t="s">
        <v>114</v>
      </c>
      <c r="J2096" t="s">
        <v>115</v>
      </c>
      <c r="K2096">
        <v>0</v>
      </c>
      <c r="L2096">
        <v>3</v>
      </c>
      <c r="M2096">
        <v>0</v>
      </c>
      <c r="N2096">
        <v>2</v>
      </c>
      <c r="O2096">
        <v>1</v>
      </c>
      <c r="P2096">
        <v>0</v>
      </c>
      <c r="Q2096">
        <v>0</v>
      </c>
      <c r="S2096" t="str">
        <f t="shared" ref="S2096:T2098" si="208">"19:00:41.313"</f>
        <v>19:00:41.313</v>
      </c>
      <c r="T2096" t="str">
        <f t="shared" si="208"/>
        <v>19:00:41.313</v>
      </c>
      <c r="U2096" t="str">
        <f t="shared" si="204"/>
        <v>AAB6EE</v>
      </c>
      <c r="V2096">
        <v>0</v>
      </c>
      <c r="W2096">
        <v>0</v>
      </c>
      <c r="X2096">
        <v>4</v>
      </c>
      <c r="Z2096">
        <v>0</v>
      </c>
      <c r="AA2096">
        <v>8</v>
      </c>
      <c r="AB2096">
        <v>3</v>
      </c>
      <c r="AC2096">
        <v>0</v>
      </c>
      <c r="AD2096">
        <v>10</v>
      </c>
      <c r="AE2096">
        <v>0</v>
      </c>
      <c r="AF2096">
        <v>0</v>
      </c>
      <c r="AG2096">
        <v>2</v>
      </c>
      <c r="AH2096">
        <v>1</v>
      </c>
      <c r="AI2096" t="s">
        <v>1519</v>
      </c>
      <c r="AJ2096">
        <v>34.824364000000003</v>
      </c>
      <c r="AK2096" t="s">
        <v>1520</v>
      </c>
      <c r="AL2096">
        <v>-76.281272999999999</v>
      </c>
      <c r="AM2096">
        <v>25</v>
      </c>
      <c r="AN2096">
        <v>3725</v>
      </c>
      <c r="AO2096" t="s">
        <v>118</v>
      </c>
      <c r="AP2096">
        <v>-88</v>
      </c>
      <c r="AQ2096">
        <v>-52</v>
      </c>
      <c r="AR2096">
        <v>3264</v>
      </c>
      <c r="AZ2096">
        <v>4516</v>
      </c>
      <c r="BA2096">
        <v>1</v>
      </c>
      <c r="BB2096" t="str">
        <f t="shared" si="203"/>
        <v xml:space="preserve">N79NX   </v>
      </c>
      <c r="BC2096">
        <v>1</v>
      </c>
      <c r="BE2096">
        <v>0</v>
      </c>
      <c r="BF2096">
        <v>0</v>
      </c>
      <c r="BG2096">
        <v>0</v>
      </c>
      <c r="BH2096">
        <v>3575</v>
      </c>
      <c r="BI2096">
        <v>0</v>
      </c>
      <c r="BJ2096">
        <v>0</v>
      </c>
      <c r="BK2096">
        <v>0</v>
      </c>
      <c r="BL2096">
        <v>0</v>
      </c>
      <c r="BO2096">
        <v>0</v>
      </c>
      <c r="BP2096">
        <v>0</v>
      </c>
      <c r="BW2096" t="str">
        <f>"19:00:41.316"</f>
        <v>19:00:41.316</v>
      </c>
      <c r="BZ2096">
        <v>0</v>
      </c>
      <c r="CA2096">
        <v>1888</v>
      </c>
      <c r="CB2096">
        <v>214.4</v>
      </c>
      <c r="CC2096">
        <v>625.78129999999999</v>
      </c>
      <c r="CD2096">
        <v>1</v>
      </c>
      <c r="CE2096">
        <v>0</v>
      </c>
      <c r="CF2096">
        <v>0</v>
      </c>
      <c r="CG2096">
        <v>1</v>
      </c>
      <c r="CH2096">
        <v>0</v>
      </c>
      <c r="CI2096">
        <v>1</v>
      </c>
      <c r="CJ2096">
        <v>0</v>
      </c>
      <c r="CK2096">
        <v>2</v>
      </c>
      <c r="CL2096">
        <v>0</v>
      </c>
      <c r="CM2096">
        <v>2</v>
      </c>
      <c r="CN2096">
        <v>0</v>
      </c>
      <c r="CO2096">
        <v>5</v>
      </c>
      <c r="CP2096" t="s">
        <v>119</v>
      </c>
      <c r="CQ2096">
        <v>70</v>
      </c>
      <c r="CR2096">
        <v>1</v>
      </c>
      <c r="CW2096">
        <v>3909077</v>
      </c>
      <c r="CY2096">
        <v>0</v>
      </c>
      <c r="CZ2096">
        <v>0</v>
      </c>
      <c r="DA2096">
        <v>0</v>
      </c>
      <c r="DB2096">
        <v>0</v>
      </c>
      <c r="DC2096">
        <v>0</v>
      </c>
      <c r="DD2096">
        <v>0</v>
      </c>
      <c r="DE2096">
        <v>0</v>
      </c>
      <c r="DF2096">
        <v>0</v>
      </c>
      <c r="DG2096">
        <v>0</v>
      </c>
      <c r="DH2096">
        <v>0</v>
      </c>
      <c r="DI2096">
        <v>0</v>
      </c>
    </row>
    <row r="2097" spans="1:113" x14ac:dyDescent="0.3">
      <c r="A2097" t="str">
        <f>"02/13/2022 19:00:41.583"</f>
        <v>02/13/2022 19:00:41.583</v>
      </c>
      <c r="C2097" t="str">
        <f t="shared" si="202"/>
        <v>FFDFD7C0</v>
      </c>
      <c r="D2097" t="s">
        <v>113</v>
      </c>
      <c r="E2097">
        <v>4</v>
      </c>
      <c r="F2097">
        <v>1004</v>
      </c>
      <c r="G2097" t="s">
        <v>120</v>
      </c>
      <c r="J2097" t="s">
        <v>115</v>
      </c>
      <c r="K2097">
        <v>0</v>
      </c>
      <c r="L2097">
        <v>3</v>
      </c>
      <c r="M2097">
        <v>0</v>
      </c>
      <c r="N2097">
        <v>2</v>
      </c>
      <c r="O2097">
        <v>1</v>
      </c>
      <c r="P2097">
        <v>0</v>
      </c>
      <c r="Q2097">
        <v>0</v>
      </c>
      <c r="S2097" t="str">
        <f t="shared" si="208"/>
        <v>19:00:41.313</v>
      </c>
      <c r="T2097" t="str">
        <f t="shared" si="208"/>
        <v>19:00:41.313</v>
      </c>
      <c r="U2097" t="str">
        <f t="shared" si="204"/>
        <v>AAB6EE</v>
      </c>
      <c r="V2097">
        <v>0</v>
      </c>
      <c r="W2097">
        <v>0</v>
      </c>
      <c r="X2097">
        <v>4</v>
      </c>
      <c r="Z2097">
        <v>0</v>
      </c>
      <c r="AA2097">
        <v>8</v>
      </c>
      <c r="AB2097">
        <v>3</v>
      </c>
      <c r="AC2097">
        <v>0</v>
      </c>
      <c r="AD2097">
        <v>10</v>
      </c>
      <c r="AE2097">
        <v>0</v>
      </c>
      <c r="AF2097">
        <v>0</v>
      </c>
      <c r="AG2097">
        <v>2</v>
      </c>
      <c r="AH2097">
        <v>1</v>
      </c>
      <c r="AI2097" t="s">
        <v>1519</v>
      </c>
      <c r="AJ2097">
        <v>34.824364000000003</v>
      </c>
      <c r="AK2097" t="s">
        <v>1520</v>
      </c>
      <c r="AL2097">
        <v>-76.281272999999999</v>
      </c>
      <c r="AM2097">
        <v>25</v>
      </c>
      <c r="AN2097">
        <v>3725</v>
      </c>
      <c r="AO2097" t="s">
        <v>118</v>
      </c>
      <c r="AP2097">
        <v>-88</v>
      </c>
      <c r="AQ2097">
        <v>-52</v>
      </c>
      <c r="AR2097">
        <v>3264</v>
      </c>
      <c r="AZ2097">
        <v>4516</v>
      </c>
      <c r="BA2097">
        <v>1</v>
      </c>
      <c r="BB2097" t="str">
        <f t="shared" si="203"/>
        <v xml:space="preserve">N79NX   </v>
      </c>
      <c r="BC2097">
        <v>1</v>
      </c>
      <c r="BE2097">
        <v>0</v>
      </c>
      <c r="BF2097">
        <v>0</v>
      </c>
      <c r="BG2097">
        <v>0</v>
      </c>
      <c r="BH2097">
        <v>3575</v>
      </c>
      <c r="BI2097">
        <v>0</v>
      </c>
      <c r="BJ2097">
        <v>0</v>
      </c>
      <c r="BK2097">
        <v>0</v>
      </c>
      <c r="BL2097">
        <v>0</v>
      </c>
      <c r="BO2097">
        <v>0</v>
      </c>
      <c r="BP2097">
        <v>0</v>
      </c>
      <c r="BW2097" t="str">
        <f>"19:00:41.316"</f>
        <v>19:00:41.316</v>
      </c>
      <c r="BZ2097">
        <v>0</v>
      </c>
      <c r="CA2097">
        <v>1888</v>
      </c>
      <c r="CB2097">
        <v>214.4</v>
      </c>
      <c r="CC2097">
        <v>625.78129999999999</v>
      </c>
      <c r="CD2097">
        <v>1</v>
      </c>
      <c r="CE2097">
        <v>0</v>
      </c>
      <c r="CF2097">
        <v>0</v>
      </c>
      <c r="CG2097">
        <v>1</v>
      </c>
      <c r="CH2097">
        <v>0</v>
      </c>
      <c r="CI2097">
        <v>1</v>
      </c>
      <c r="CJ2097">
        <v>0</v>
      </c>
      <c r="CK2097">
        <v>2</v>
      </c>
      <c r="CL2097">
        <v>0</v>
      </c>
      <c r="CM2097">
        <v>2</v>
      </c>
      <c r="CN2097">
        <v>0</v>
      </c>
      <c r="CO2097">
        <v>5</v>
      </c>
      <c r="CP2097" t="s">
        <v>119</v>
      </c>
      <c r="CQ2097">
        <v>70</v>
      </c>
      <c r="CR2097">
        <v>1</v>
      </c>
      <c r="CW2097">
        <v>3909077</v>
      </c>
      <c r="CY2097">
        <v>0</v>
      </c>
      <c r="CZ2097">
        <v>0</v>
      </c>
      <c r="DA2097">
        <v>1</v>
      </c>
      <c r="DB2097">
        <v>0</v>
      </c>
      <c r="DC2097">
        <v>0</v>
      </c>
      <c r="DD2097">
        <v>0</v>
      </c>
      <c r="DE2097">
        <v>0</v>
      </c>
      <c r="DF2097">
        <v>0</v>
      </c>
      <c r="DG2097">
        <v>0</v>
      </c>
      <c r="DH2097">
        <v>0</v>
      </c>
      <c r="DI2097">
        <v>0</v>
      </c>
    </row>
    <row r="2098" spans="1:113" x14ac:dyDescent="0.3">
      <c r="A2098" t="str">
        <f>"02/13/2022 19:00:41.583"</f>
        <v>02/13/2022 19:00:41.583</v>
      </c>
      <c r="C2098" t="str">
        <f t="shared" si="202"/>
        <v>FFDFD7C0</v>
      </c>
      <c r="D2098" t="s">
        <v>121</v>
      </c>
      <c r="E2098">
        <v>2</v>
      </c>
      <c r="H2098">
        <v>158</v>
      </c>
      <c r="I2098" t="s">
        <v>120</v>
      </c>
      <c r="J2098" t="s">
        <v>122</v>
      </c>
      <c r="K2098">
        <v>0</v>
      </c>
      <c r="L2098">
        <v>3</v>
      </c>
      <c r="M2098">
        <v>0</v>
      </c>
      <c r="N2098">
        <v>2</v>
      </c>
      <c r="O2098">
        <v>1</v>
      </c>
      <c r="P2098">
        <v>0</v>
      </c>
      <c r="Q2098">
        <v>0</v>
      </c>
      <c r="S2098" t="str">
        <f t="shared" si="208"/>
        <v>19:00:41.313</v>
      </c>
      <c r="T2098" t="str">
        <f t="shared" si="208"/>
        <v>19:00:41.313</v>
      </c>
      <c r="U2098" t="str">
        <f t="shared" si="204"/>
        <v>AAB6EE</v>
      </c>
      <c r="V2098">
        <v>0</v>
      </c>
      <c r="W2098">
        <v>0</v>
      </c>
      <c r="X2098">
        <v>4</v>
      </c>
      <c r="Z2098">
        <v>0</v>
      </c>
      <c r="AA2098">
        <v>8</v>
      </c>
      <c r="AB2098">
        <v>3</v>
      </c>
      <c r="AC2098">
        <v>0</v>
      </c>
      <c r="AD2098">
        <v>10</v>
      </c>
      <c r="AE2098">
        <v>0</v>
      </c>
      <c r="AF2098">
        <v>0</v>
      </c>
      <c r="AG2098">
        <v>2</v>
      </c>
      <c r="AH2098">
        <v>1</v>
      </c>
      <c r="AI2098" t="s">
        <v>1519</v>
      </c>
      <c r="AJ2098">
        <v>34.824364000000003</v>
      </c>
      <c r="AK2098" t="s">
        <v>1520</v>
      </c>
      <c r="AL2098">
        <v>-76.281272999999999</v>
      </c>
      <c r="AM2098">
        <v>25</v>
      </c>
      <c r="AN2098">
        <v>3725</v>
      </c>
      <c r="AO2098" t="s">
        <v>118</v>
      </c>
      <c r="AP2098">
        <v>-88</v>
      </c>
      <c r="AQ2098">
        <v>-52</v>
      </c>
      <c r="AR2098">
        <v>3264</v>
      </c>
      <c r="AZ2098">
        <v>4516</v>
      </c>
      <c r="BA2098">
        <v>1</v>
      </c>
      <c r="BB2098" t="str">
        <f t="shared" si="203"/>
        <v xml:space="preserve">N79NX   </v>
      </c>
      <c r="BC2098">
        <v>1</v>
      </c>
      <c r="BE2098">
        <v>0</v>
      </c>
      <c r="BF2098">
        <v>0</v>
      </c>
      <c r="BG2098">
        <v>0</v>
      </c>
      <c r="BH2098">
        <v>3575</v>
      </c>
      <c r="BI2098">
        <v>0</v>
      </c>
      <c r="BJ2098">
        <v>0</v>
      </c>
      <c r="BK2098">
        <v>0</v>
      </c>
      <c r="BL2098">
        <v>0</v>
      </c>
      <c r="BO2098">
        <v>0</v>
      </c>
      <c r="BP2098">
        <v>0</v>
      </c>
      <c r="BW2098" t="str">
        <f>"19:00:41.316"</f>
        <v>19:00:41.316</v>
      </c>
      <c r="BZ2098">
        <v>0</v>
      </c>
      <c r="CA2098">
        <v>1888</v>
      </c>
      <c r="CB2098">
        <v>214.4</v>
      </c>
      <c r="CC2098">
        <v>625.78129999999999</v>
      </c>
      <c r="CD2098">
        <v>1</v>
      </c>
      <c r="CE2098">
        <v>0</v>
      </c>
      <c r="CF2098">
        <v>0</v>
      </c>
      <c r="CG2098">
        <v>1</v>
      </c>
      <c r="CH2098">
        <v>0</v>
      </c>
      <c r="CI2098">
        <v>1</v>
      </c>
      <c r="CJ2098">
        <v>0</v>
      </c>
      <c r="CK2098">
        <v>2</v>
      </c>
      <c r="CL2098">
        <v>0</v>
      </c>
      <c r="CM2098">
        <v>2</v>
      </c>
      <c r="CN2098">
        <v>0</v>
      </c>
      <c r="CO2098">
        <v>5</v>
      </c>
      <c r="CP2098" t="s">
        <v>119</v>
      </c>
      <c r="CQ2098">
        <v>70</v>
      </c>
      <c r="CR2098">
        <v>1</v>
      </c>
      <c r="CW2098">
        <v>3909077</v>
      </c>
      <c r="CY2098">
        <v>0</v>
      </c>
      <c r="CZ2098">
        <v>0</v>
      </c>
      <c r="DA2098">
        <v>1</v>
      </c>
      <c r="DB2098">
        <v>0</v>
      </c>
      <c r="DC2098">
        <v>0</v>
      </c>
      <c r="DD2098">
        <v>0</v>
      </c>
      <c r="DE2098">
        <v>0</v>
      </c>
      <c r="DF2098">
        <v>0</v>
      </c>
      <c r="DG2098">
        <v>0</v>
      </c>
      <c r="DH2098">
        <v>0</v>
      </c>
      <c r="DI2098">
        <v>0</v>
      </c>
    </row>
    <row r="2099" spans="1:113" x14ac:dyDescent="0.3">
      <c r="A2099" t="str">
        <f>"02/13/2022 19:00:42.553"</f>
        <v>02/13/2022 19:00:42.553</v>
      </c>
      <c r="C2099" t="str">
        <f t="shared" si="202"/>
        <v>FFDFD7C0</v>
      </c>
      <c r="D2099" t="s">
        <v>121</v>
      </c>
      <c r="E2099">
        <v>2</v>
      </c>
      <c r="H2099">
        <v>158</v>
      </c>
      <c r="I2099" t="s">
        <v>120</v>
      </c>
      <c r="J2099" t="s">
        <v>122</v>
      </c>
      <c r="K2099">
        <v>0</v>
      </c>
      <c r="L2099">
        <v>3</v>
      </c>
      <c r="M2099">
        <v>0</v>
      </c>
      <c r="N2099">
        <v>2</v>
      </c>
      <c r="O2099">
        <v>1</v>
      </c>
      <c r="P2099">
        <v>0</v>
      </c>
      <c r="Q2099">
        <v>0</v>
      </c>
      <c r="S2099" t="str">
        <f>"19:00:42.328"</f>
        <v>19:00:42.328</v>
      </c>
      <c r="T2099" t="str">
        <f>"19:00:42.228"</f>
        <v>19:00:42.228</v>
      </c>
      <c r="U2099" t="str">
        <f t="shared" si="204"/>
        <v>AAB6EE</v>
      </c>
      <c r="V2099">
        <v>0</v>
      </c>
      <c r="W2099">
        <v>0</v>
      </c>
      <c r="X2099">
        <v>4</v>
      </c>
      <c r="Z2099">
        <v>0</v>
      </c>
      <c r="AA2099">
        <v>8</v>
      </c>
      <c r="AB2099">
        <v>3</v>
      </c>
      <c r="AC2099">
        <v>0</v>
      </c>
      <c r="AD2099">
        <v>10</v>
      </c>
      <c r="AE2099">
        <v>0</v>
      </c>
      <c r="AF2099">
        <v>0</v>
      </c>
      <c r="AG2099">
        <v>2</v>
      </c>
      <c r="AH2099">
        <v>1</v>
      </c>
      <c r="AI2099" t="s">
        <v>1521</v>
      </c>
      <c r="AJ2099">
        <v>34.824106999999998</v>
      </c>
      <c r="AK2099" t="s">
        <v>1522</v>
      </c>
      <c r="AL2099">
        <v>-76.281723999999997</v>
      </c>
      <c r="AM2099">
        <v>25</v>
      </c>
      <c r="AN2099">
        <v>3775</v>
      </c>
      <c r="AO2099" t="s">
        <v>118</v>
      </c>
      <c r="AP2099">
        <v>-80</v>
      </c>
      <c r="AQ2099">
        <v>-64</v>
      </c>
      <c r="AR2099">
        <v>2944</v>
      </c>
      <c r="AZ2099">
        <v>4516</v>
      </c>
      <c r="BA2099">
        <v>1</v>
      </c>
      <c r="BB2099" t="str">
        <f t="shared" si="203"/>
        <v xml:space="preserve">N79NX   </v>
      </c>
      <c r="BC2099">
        <v>1</v>
      </c>
      <c r="BE2099">
        <v>0</v>
      </c>
      <c r="BF2099">
        <v>0</v>
      </c>
      <c r="BG2099">
        <v>0</v>
      </c>
      <c r="BH2099">
        <v>3600</v>
      </c>
      <c r="BI2099">
        <v>0</v>
      </c>
      <c r="BJ2099">
        <v>0</v>
      </c>
      <c r="BK2099">
        <v>0</v>
      </c>
      <c r="BL2099">
        <v>0</v>
      </c>
      <c r="BO2099">
        <v>0</v>
      </c>
      <c r="BP2099">
        <v>0</v>
      </c>
      <c r="BW2099" t="str">
        <f>"19:00:42.336"</f>
        <v>19:00:42.336</v>
      </c>
      <c r="BZ2099">
        <v>0</v>
      </c>
      <c r="CA2099">
        <v>1888</v>
      </c>
      <c r="CB2099">
        <v>214.4</v>
      </c>
      <c r="CC2099">
        <v>625.78129999999999</v>
      </c>
      <c r="CD2099">
        <v>1</v>
      </c>
      <c r="CE2099">
        <v>0</v>
      </c>
      <c r="CF2099">
        <v>0</v>
      </c>
      <c r="CG2099">
        <v>1</v>
      </c>
      <c r="CH2099">
        <v>0</v>
      </c>
      <c r="CI2099">
        <v>1</v>
      </c>
      <c r="CJ2099">
        <v>0</v>
      </c>
      <c r="CK2099">
        <v>2</v>
      </c>
      <c r="CL2099">
        <v>0</v>
      </c>
      <c r="CM2099">
        <v>2</v>
      </c>
      <c r="CN2099">
        <v>0</v>
      </c>
      <c r="CO2099">
        <v>5</v>
      </c>
      <c r="CP2099" t="s">
        <v>119</v>
      </c>
      <c r="CQ2099">
        <v>70</v>
      </c>
      <c r="CR2099">
        <v>1</v>
      </c>
      <c r="CW2099">
        <v>3909973</v>
      </c>
      <c r="CY2099">
        <v>0</v>
      </c>
      <c r="CZ2099">
        <v>0</v>
      </c>
      <c r="DA2099">
        <v>0</v>
      </c>
      <c r="DB2099">
        <v>0</v>
      </c>
      <c r="DC2099">
        <v>0</v>
      </c>
      <c r="DD2099">
        <v>0</v>
      </c>
      <c r="DE2099">
        <v>0</v>
      </c>
      <c r="DF2099">
        <v>0</v>
      </c>
      <c r="DG2099">
        <v>0</v>
      </c>
      <c r="DH2099">
        <v>0</v>
      </c>
      <c r="DI2099">
        <v>0</v>
      </c>
    </row>
    <row r="2100" spans="1:113" x14ac:dyDescent="0.3">
      <c r="A2100" t="str">
        <f>"02/13/2022 19:00:42.553"</f>
        <v>02/13/2022 19:00:42.553</v>
      </c>
      <c r="C2100" t="str">
        <f t="shared" si="202"/>
        <v>FFDFD7C0</v>
      </c>
      <c r="D2100" t="s">
        <v>113</v>
      </c>
      <c r="E2100">
        <v>3</v>
      </c>
      <c r="F2100">
        <v>1003</v>
      </c>
      <c r="G2100" t="s">
        <v>114</v>
      </c>
      <c r="J2100" t="s">
        <v>115</v>
      </c>
      <c r="K2100">
        <v>0</v>
      </c>
      <c r="L2100">
        <v>3</v>
      </c>
      <c r="M2100">
        <v>0</v>
      </c>
      <c r="N2100">
        <v>2</v>
      </c>
      <c r="O2100">
        <v>1</v>
      </c>
      <c r="P2100">
        <v>0</v>
      </c>
      <c r="Q2100">
        <v>0</v>
      </c>
      <c r="S2100" t="str">
        <f>"19:00:42.328"</f>
        <v>19:00:42.328</v>
      </c>
      <c r="T2100" t="str">
        <f>"19:00:42.228"</f>
        <v>19:00:42.228</v>
      </c>
      <c r="U2100" t="str">
        <f t="shared" si="204"/>
        <v>AAB6EE</v>
      </c>
      <c r="V2100">
        <v>0</v>
      </c>
      <c r="W2100">
        <v>0</v>
      </c>
      <c r="X2100">
        <v>4</v>
      </c>
      <c r="Z2100">
        <v>0</v>
      </c>
      <c r="AA2100">
        <v>8</v>
      </c>
      <c r="AB2100">
        <v>3</v>
      </c>
      <c r="AC2100">
        <v>0</v>
      </c>
      <c r="AD2100">
        <v>10</v>
      </c>
      <c r="AE2100">
        <v>0</v>
      </c>
      <c r="AF2100">
        <v>0</v>
      </c>
      <c r="AG2100">
        <v>2</v>
      </c>
      <c r="AH2100">
        <v>1</v>
      </c>
      <c r="AI2100" t="s">
        <v>1521</v>
      </c>
      <c r="AJ2100">
        <v>34.824106999999998</v>
      </c>
      <c r="AK2100" t="s">
        <v>1522</v>
      </c>
      <c r="AL2100">
        <v>-76.281723999999997</v>
      </c>
      <c r="AM2100">
        <v>25</v>
      </c>
      <c r="AN2100">
        <v>3775</v>
      </c>
      <c r="AO2100" t="s">
        <v>118</v>
      </c>
      <c r="AP2100">
        <v>-80</v>
      </c>
      <c r="AQ2100">
        <v>-64</v>
      </c>
      <c r="AR2100">
        <v>2944</v>
      </c>
      <c r="AZ2100">
        <v>4516</v>
      </c>
      <c r="BA2100">
        <v>1</v>
      </c>
      <c r="BB2100" t="str">
        <f t="shared" si="203"/>
        <v xml:space="preserve">N79NX   </v>
      </c>
      <c r="BC2100">
        <v>1</v>
      </c>
      <c r="BE2100">
        <v>0</v>
      </c>
      <c r="BF2100">
        <v>0</v>
      </c>
      <c r="BG2100">
        <v>0</v>
      </c>
      <c r="BH2100">
        <v>3600</v>
      </c>
      <c r="BI2100">
        <v>0</v>
      </c>
      <c r="BJ2100">
        <v>0</v>
      </c>
      <c r="BK2100">
        <v>0</v>
      </c>
      <c r="BL2100">
        <v>0</v>
      </c>
      <c r="BO2100">
        <v>0</v>
      </c>
      <c r="BP2100">
        <v>0</v>
      </c>
      <c r="BW2100" t="str">
        <f>"19:00:42.336"</f>
        <v>19:00:42.336</v>
      </c>
      <c r="BZ2100">
        <v>0</v>
      </c>
      <c r="CA2100">
        <v>1888</v>
      </c>
      <c r="CB2100">
        <v>214.4</v>
      </c>
      <c r="CC2100">
        <v>625.78129999999999</v>
      </c>
      <c r="CD2100">
        <v>1</v>
      </c>
      <c r="CE2100">
        <v>0</v>
      </c>
      <c r="CF2100">
        <v>0</v>
      </c>
      <c r="CG2100">
        <v>1</v>
      </c>
      <c r="CH2100">
        <v>0</v>
      </c>
      <c r="CI2100">
        <v>1</v>
      </c>
      <c r="CJ2100">
        <v>0</v>
      </c>
      <c r="CK2100">
        <v>2</v>
      </c>
      <c r="CL2100">
        <v>0</v>
      </c>
      <c r="CM2100">
        <v>2</v>
      </c>
      <c r="CN2100">
        <v>0</v>
      </c>
      <c r="CO2100">
        <v>5</v>
      </c>
      <c r="CP2100" t="s">
        <v>119</v>
      </c>
      <c r="CQ2100">
        <v>70</v>
      </c>
      <c r="CR2100">
        <v>1</v>
      </c>
      <c r="CW2100">
        <v>3909973</v>
      </c>
      <c r="CY2100">
        <v>0</v>
      </c>
      <c r="CZ2100">
        <v>0</v>
      </c>
      <c r="DA2100">
        <v>1</v>
      </c>
      <c r="DB2100">
        <v>0</v>
      </c>
      <c r="DC2100">
        <v>0</v>
      </c>
      <c r="DD2100">
        <v>0</v>
      </c>
      <c r="DE2100">
        <v>0</v>
      </c>
      <c r="DF2100">
        <v>0</v>
      </c>
      <c r="DG2100">
        <v>0</v>
      </c>
      <c r="DH2100">
        <v>0</v>
      </c>
      <c r="DI2100">
        <v>0</v>
      </c>
    </row>
    <row r="2101" spans="1:113" x14ac:dyDescent="0.3">
      <c r="A2101" t="str">
        <f>"02/13/2022 19:00:42.553"</f>
        <v>02/13/2022 19:00:42.553</v>
      </c>
      <c r="C2101" t="str">
        <f t="shared" si="202"/>
        <v>FFDFD7C0</v>
      </c>
      <c r="D2101" t="s">
        <v>113</v>
      </c>
      <c r="E2101">
        <v>4</v>
      </c>
      <c r="F2101">
        <v>1004</v>
      </c>
      <c r="G2101" t="s">
        <v>120</v>
      </c>
      <c r="J2101" t="s">
        <v>115</v>
      </c>
      <c r="K2101">
        <v>0</v>
      </c>
      <c r="L2101">
        <v>3</v>
      </c>
      <c r="M2101">
        <v>0</v>
      </c>
      <c r="N2101">
        <v>2</v>
      </c>
      <c r="O2101">
        <v>1</v>
      </c>
      <c r="P2101">
        <v>0</v>
      </c>
      <c r="Q2101">
        <v>0</v>
      </c>
      <c r="S2101" t="str">
        <f>"19:00:42.328"</f>
        <v>19:00:42.328</v>
      </c>
      <c r="T2101" t="str">
        <f>"19:00:42.228"</f>
        <v>19:00:42.228</v>
      </c>
      <c r="U2101" t="str">
        <f t="shared" si="204"/>
        <v>AAB6EE</v>
      </c>
      <c r="V2101">
        <v>0</v>
      </c>
      <c r="W2101">
        <v>0</v>
      </c>
      <c r="X2101">
        <v>4</v>
      </c>
      <c r="Z2101">
        <v>0</v>
      </c>
      <c r="AA2101">
        <v>8</v>
      </c>
      <c r="AB2101">
        <v>3</v>
      </c>
      <c r="AC2101">
        <v>0</v>
      </c>
      <c r="AD2101">
        <v>10</v>
      </c>
      <c r="AE2101">
        <v>0</v>
      </c>
      <c r="AF2101">
        <v>0</v>
      </c>
      <c r="AG2101">
        <v>2</v>
      </c>
      <c r="AH2101">
        <v>1</v>
      </c>
      <c r="AI2101" t="s">
        <v>1521</v>
      </c>
      <c r="AJ2101">
        <v>34.824106999999998</v>
      </c>
      <c r="AK2101" t="s">
        <v>1522</v>
      </c>
      <c r="AL2101">
        <v>-76.281723999999997</v>
      </c>
      <c r="AM2101">
        <v>25</v>
      </c>
      <c r="AN2101">
        <v>3775</v>
      </c>
      <c r="AO2101" t="s">
        <v>118</v>
      </c>
      <c r="AP2101">
        <v>-80</v>
      </c>
      <c r="AQ2101">
        <v>-64</v>
      </c>
      <c r="AR2101">
        <v>2944</v>
      </c>
      <c r="AZ2101">
        <v>4516</v>
      </c>
      <c r="BA2101">
        <v>1</v>
      </c>
      <c r="BB2101" t="str">
        <f t="shared" si="203"/>
        <v xml:space="preserve">N79NX   </v>
      </c>
      <c r="BC2101">
        <v>1</v>
      </c>
      <c r="BE2101">
        <v>0</v>
      </c>
      <c r="BF2101">
        <v>0</v>
      </c>
      <c r="BG2101">
        <v>0</v>
      </c>
      <c r="BH2101">
        <v>3600</v>
      </c>
      <c r="BI2101">
        <v>0</v>
      </c>
      <c r="BJ2101">
        <v>0</v>
      </c>
      <c r="BK2101">
        <v>0</v>
      </c>
      <c r="BL2101">
        <v>0</v>
      </c>
      <c r="BO2101">
        <v>0</v>
      </c>
      <c r="BP2101">
        <v>0</v>
      </c>
      <c r="BW2101" t="str">
        <f>"19:00:42.336"</f>
        <v>19:00:42.336</v>
      </c>
      <c r="BZ2101">
        <v>0</v>
      </c>
      <c r="CA2101">
        <v>1888</v>
      </c>
      <c r="CB2101">
        <v>214.4</v>
      </c>
      <c r="CC2101">
        <v>625.78129999999999</v>
      </c>
      <c r="CD2101">
        <v>1</v>
      </c>
      <c r="CE2101">
        <v>0</v>
      </c>
      <c r="CF2101">
        <v>0</v>
      </c>
      <c r="CG2101">
        <v>1</v>
      </c>
      <c r="CH2101">
        <v>0</v>
      </c>
      <c r="CI2101">
        <v>1</v>
      </c>
      <c r="CJ2101">
        <v>0</v>
      </c>
      <c r="CK2101">
        <v>2</v>
      </c>
      <c r="CL2101">
        <v>0</v>
      </c>
      <c r="CM2101">
        <v>2</v>
      </c>
      <c r="CN2101">
        <v>0</v>
      </c>
      <c r="CO2101">
        <v>5</v>
      </c>
      <c r="CP2101" t="s">
        <v>119</v>
      </c>
      <c r="CQ2101">
        <v>70</v>
      </c>
      <c r="CR2101">
        <v>1</v>
      </c>
      <c r="CW2101">
        <v>3909973</v>
      </c>
      <c r="CY2101">
        <v>0</v>
      </c>
      <c r="CZ2101">
        <v>0</v>
      </c>
      <c r="DA2101">
        <v>1</v>
      </c>
      <c r="DB2101">
        <v>0</v>
      </c>
      <c r="DC2101">
        <v>0</v>
      </c>
      <c r="DD2101">
        <v>0</v>
      </c>
      <c r="DE2101">
        <v>0</v>
      </c>
      <c r="DF2101">
        <v>0</v>
      </c>
      <c r="DG2101">
        <v>0</v>
      </c>
      <c r="DH2101">
        <v>0</v>
      </c>
      <c r="DI2101">
        <v>0</v>
      </c>
    </row>
    <row r="2102" spans="1:113" x14ac:dyDescent="0.3">
      <c r="A2102" t="str">
        <f>"02/13/2022 19:00:43.740"</f>
        <v>02/13/2022 19:00:43.740</v>
      </c>
      <c r="C2102" t="str">
        <f t="shared" si="202"/>
        <v>FFDFD7C0</v>
      </c>
      <c r="D2102" t="s">
        <v>113</v>
      </c>
      <c r="E2102">
        <v>3</v>
      </c>
      <c r="F2102">
        <v>1003</v>
      </c>
      <c r="G2102" t="s">
        <v>114</v>
      </c>
      <c r="J2102" t="s">
        <v>115</v>
      </c>
      <c r="K2102">
        <v>0</v>
      </c>
      <c r="L2102">
        <v>3</v>
      </c>
      <c r="M2102">
        <v>0</v>
      </c>
      <c r="N2102">
        <v>2</v>
      </c>
      <c r="O2102">
        <v>1</v>
      </c>
      <c r="P2102">
        <v>0</v>
      </c>
      <c r="Q2102">
        <v>0</v>
      </c>
      <c r="S2102" t="str">
        <f>"19:00:43.492"</f>
        <v>19:00:43.492</v>
      </c>
      <c r="T2102" t="str">
        <f>"19:00:42.792"</f>
        <v>19:00:42.792</v>
      </c>
      <c r="U2102" t="str">
        <f t="shared" si="204"/>
        <v>AAB6EE</v>
      </c>
      <c r="V2102">
        <v>0</v>
      </c>
      <c r="W2102">
        <v>0</v>
      </c>
      <c r="X2102">
        <v>4</v>
      </c>
      <c r="Z2102">
        <v>0</v>
      </c>
      <c r="AA2102">
        <v>8</v>
      </c>
      <c r="AB2102">
        <v>3</v>
      </c>
      <c r="AC2102">
        <v>0</v>
      </c>
      <c r="AD2102">
        <v>10</v>
      </c>
      <c r="AE2102">
        <v>0</v>
      </c>
      <c r="AF2102">
        <v>0</v>
      </c>
      <c r="AG2102">
        <v>2</v>
      </c>
      <c r="AH2102">
        <v>1</v>
      </c>
      <c r="AI2102" t="s">
        <v>1523</v>
      </c>
      <c r="AJ2102">
        <v>34.823720000000002</v>
      </c>
      <c r="AK2102" t="s">
        <v>1524</v>
      </c>
      <c r="AL2102">
        <v>-76.282195999999999</v>
      </c>
      <c r="AM2102">
        <v>25</v>
      </c>
      <c r="AN2102">
        <v>3825</v>
      </c>
      <c r="AO2102" t="s">
        <v>118</v>
      </c>
      <c r="AP2102">
        <v>-77</v>
      </c>
      <c r="AQ2102">
        <v>-68</v>
      </c>
      <c r="AR2102">
        <v>2752</v>
      </c>
      <c r="AZ2102">
        <v>4516</v>
      </c>
      <c r="BA2102">
        <v>1</v>
      </c>
      <c r="BB2102" t="str">
        <f t="shared" si="203"/>
        <v xml:space="preserve">N79NX   </v>
      </c>
      <c r="BC2102">
        <v>1</v>
      </c>
      <c r="BE2102">
        <v>0</v>
      </c>
      <c r="BF2102">
        <v>0</v>
      </c>
      <c r="BG2102">
        <v>0</v>
      </c>
      <c r="BH2102">
        <v>3650</v>
      </c>
      <c r="BI2102">
        <v>0</v>
      </c>
      <c r="BJ2102">
        <v>0</v>
      </c>
      <c r="BK2102">
        <v>0</v>
      </c>
      <c r="BL2102">
        <v>0</v>
      </c>
      <c r="BO2102">
        <v>0</v>
      </c>
      <c r="BP2102">
        <v>0</v>
      </c>
      <c r="BW2102" t="str">
        <f>"19:00:43.496"</f>
        <v>19:00:43.496</v>
      </c>
      <c r="BZ2102">
        <v>0</v>
      </c>
      <c r="CA2102">
        <v>1888</v>
      </c>
      <c r="CB2102">
        <v>214.4</v>
      </c>
      <c r="CC2102">
        <v>625.78129999999999</v>
      </c>
      <c r="CD2102">
        <v>1</v>
      </c>
      <c r="CE2102">
        <v>0</v>
      </c>
      <c r="CF2102">
        <v>0</v>
      </c>
      <c r="CG2102">
        <v>1</v>
      </c>
      <c r="CH2102">
        <v>0</v>
      </c>
      <c r="CI2102">
        <v>1</v>
      </c>
      <c r="CJ2102">
        <v>0</v>
      </c>
      <c r="CK2102">
        <v>2</v>
      </c>
      <c r="CL2102">
        <v>0</v>
      </c>
      <c r="CM2102">
        <v>2</v>
      </c>
      <c r="CN2102">
        <v>0</v>
      </c>
      <c r="CO2102">
        <v>5</v>
      </c>
      <c r="CP2102" t="s">
        <v>119</v>
      </c>
      <c r="CQ2102">
        <v>70</v>
      </c>
      <c r="CR2102">
        <v>1</v>
      </c>
      <c r="CW2102">
        <v>3910973</v>
      </c>
      <c r="CY2102">
        <v>0</v>
      </c>
      <c r="CZ2102">
        <v>0</v>
      </c>
      <c r="DA2102">
        <v>0</v>
      </c>
      <c r="DB2102">
        <v>0</v>
      </c>
      <c r="DC2102">
        <v>0</v>
      </c>
      <c r="DD2102">
        <v>0</v>
      </c>
      <c r="DE2102">
        <v>0</v>
      </c>
      <c r="DF2102">
        <v>0</v>
      </c>
      <c r="DG2102">
        <v>0</v>
      </c>
      <c r="DH2102">
        <v>0</v>
      </c>
      <c r="DI2102">
        <v>0</v>
      </c>
    </row>
    <row r="2103" spans="1:113" x14ac:dyDescent="0.3">
      <c r="A2103" t="str">
        <f>"02/13/2022 19:00:43.740"</f>
        <v>02/13/2022 19:00:43.740</v>
      </c>
      <c r="C2103" t="str">
        <f t="shared" si="202"/>
        <v>FFDFD7C0</v>
      </c>
      <c r="D2103" t="s">
        <v>113</v>
      </c>
      <c r="E2103">
        <v>4</v>
      </c>
      <c r="F2103">
        <v>1004</v>
      </c>
      <c r="G2103" t="s">
        <v>120</v>
      </c>
      <c r="J2103" t="s">
        <v>115</v>
      </c>
      <c r="K2103">
        <v>0</v>
      </c>
      <c r="L2103">
        <v>3</v>
      </c>
      <c r="M2103">
        <v>0</v>
      </c>
      <c r="N2103">
        <v>2</v>
      </c>
      <c r="O2103">
        <v>1</v>
      </c>
      <c r="P2103">
        <v>0</v>
      </c>
      <c r="Q2103">
        <v>0</v>
      </c>
      <c r="S2103" t="str">
        <f>"19:00:43.492"</f>
        <v>19:00:43.492</v>
      </c>
      <c r="T2103" t="str">
        <f>"19:00:42.792"</f>
        <v>19:00:42.792</v>
      </c>
      <c r="U2103" t="str">
        <f t="shared" si="204"/>
        <v>AAB6EE</v>
      </c>
      <c r="V2103">
        <v>0</v>
      </c>
      <c r="W2103">
        <v>0</v>
      </c>
      <c r="X2103">
        <v>4</v>
      </c>
      <c r="Z2103">
        <v>0</v>
      </c>
      <c r="AA2103">
        <v>8</v>
      </c>
      <c r="AB2103">
        <v>3</v>
      </c>
      <c r="AC2103">
        <v>0</v>
      </c>
      <c r="AD2103">
        <v>10</v>
      </c>
      <c r="AE2103">
        <v>0</v>
      </c>
      <c r="AF2103">
        <v>0</v>
      </c>
      <c r="AG2103">
        <v>2</v>
      </c>
      <c r="AH2103">
        <v>1</v>
      </c>
      <c r="AI2103" t="s">
        <v>1523</v>
      </c>
      <c r="AJ2103">
        <v>34.823720000000002</v>
      </c>
      <c r="AK2103" t="s">
        <v>1524</v>
      </c>
      <c r="AL2103">
        <v>-76.282195999999999</v>
      </c>
      <c r="AM2103">
        <v>25</v>
      </c>
      <c r="AN2103">
        <v>3825</v>
      </c>
      <c r="AO2103" t="s">
        <v>118</v>
      </c>
      <c r="AP2103">
        <v>-77</v>
      </c>
      <c r="AQ2103">
        <v>-68</v>
      </c>
      <c r="AR2103">
        <v>2752</v>
      </c>
      <c r="AZ2103">
        <v>4516</v>
      </c>
      <c r="BA2103">
        <v>1</v>
      </c>
      <c r="BB2103" t="str">
        <f t="shared" si="203"/>
        <v xml:space="preserve">N79NX   </v>
      </c>
      <c r="BC2103">
        <v>1</v>
      </c>
      <c r="BE2103">
        <v>0</v>
      </c>
      <c r="BF2103">
        <v>0</v>
      </c>
      <c r="BG2103">
        <v>0</v>
      </c>
      <c r="BH2103">
        <v>3650</v>
      </c>
      <c r="BI2103">
        <v>0</v>
      </c>
      <c r="BJ2103">
        <v>0</v>
      </c>
      <c r="BK2103">
        <v>0</v>
      </c>
      <c r="BL2103">
        <v>0</v>
      </c>
      <c r="BO2103">
        <v>0</v>
      </c>
      <c r="BP2103">
        <v>0</v>
      </c>
      <c r="BW2103" t="str">
        <f>"19:00:43.496"</f>
        <v>19:00:43.496</v>
      </c>
      <c r="BZ2103">
        <v>0</v>
      </c>
      <c r="CA2103">
        <v>1888</v>
      </c>
      <c r="CB2103">
        <v>214.4</v>
      </c>
      <c r="CC2103">
        <v>625.78129999999999</v>
      </c>
      <c r="CD2103">
        <v>1</v>
      </c>
      <c r="CE2103">
        <v>0</v>
      </c>
      <c r="CF2103">
        <v>0</v>
      </c>
      <c r="CG2103">
        <v>1</v>
      </c>
      <c r="CH2103">
        <v>0</v>
      </c>
      <c r="CI2103">
        <v>1</v>
      </c>
      <c r="CJ2103">
        <v>0</v>
      </c>
      <c r="CK2103">
        <v>2</v>
      </c>
      <c r="CL2103">
        <v>0</v>
      </c>
      <c r="CM2103">
        <v>2</v>
      </c>
      <c r="CN2103">
        <v>0</v>
      </c>
      <c r="CO2103">
        <v>5</v>
      </c>
      <c r="CP2103" t="s">
        <v>119</v>
      </c>
      <c r="CQ2103">
        <v>70</v>
      </c>
      <c r="CR2103">
        <v>1</v>
      </c>
      <c r="CW2103">
        <v>3910973</v>
      </c>
      <c r="CY2103">
        <v>0</v>
      </c>
      <c r="CZ2103">
        <v>0</v>
      </c>
      <c r="DA2103">
        <v>1</v>
      </c>
      <c r="DB2103">
        <v>0</v>
      </c>
      <c r="DC2103">
        <v>0</v>
      </c>
      <c r="DD2103">
        <v>0</v>
      </c>
      <c r="DE2103">
        <v>0</v>
      </c>
      <c r="DF2103">
        <v>0</v>
      </c>
      <c r="DG2103">
        <v>0</v>
      </c>
      <c r="DH2103">
        <v>0</v>
      </c>
      <c r="DI2103">
        <v>0</v>
      </c>
    </row>
    <row r="2104" spans="1:113" x14ac:dyDescent="0.3">
      <c r="A2104" t="str">
        <f>"02/13/2022 19:00:43.740"</f>
        <v>02/13/2022 19:00:43.740</v>
      </c>
      <c r="C2104" t="str">
        <f t="shared" si="202"/>
        <v>FFDFD7C0</v>
      </c>
      <c r="D2104" t="s">
        <v>121</v>
      </c>
      <c r="E2104">
        <v>2</v>
      </c>
      <c r="H2104">
        <v>158</v>
      </c>
      <c r="I2104" t="s">
        <v>120</v>
      </c>
      <c r="J2104" t="s">
        <v>122</v>
      </c>
      <c r="K2104">
        <v>0</v>
      </c>
      <c r="L2104">
        <v>3</v>
      </c>
      <c r="M2104">
        <v>0</v>
      </c>
      <c r="N2104">
        <v>2</v>
      </c>
      <c r="O2104">
        <v>1</v>
      </c>
      <c r="P2104">
        <v>0</v>
      </c>
      <c r="Q2104">
        <v>0</v>
      </c>
      <c r="S2104" t="str">
        <f>"19:00:43.492"</f>
        <v>19:00:43.492</v>
      </c>
      <c r="T2104" t="str">
        <f>"19:00:42.792"</f>
        <v>19:00:42.792</v>
      </c>
      <c r="U2104" t="str">
        <f t="shared" si="204"/>
        <v>AAB6EE</v>
      </c>
      <c r="V2104">
        <v>0</v>
      </c>
      <c r="W2104">
        <v>0</v>
      </c>
      <c r="X2104">
        <v>4</v>
      </c>
      <c r="Z2104">
        <v>0</v>
      </c>
      <c r="AA2104">
        <v>8</v>
      </c>
      <c r="AB2104">
        <v>3</v>
      </c>
      <c r="AC2104">
        <v>0</v>
      </c>
      <c r="AD2104">
        <v>10</v>
      </c>
      <c r="AE2104">
        <v>0</v>
      </c>
      <c r="AF2104">
        <v>0</v>
      </c>
      <c r="AG2104">
        <v>2</v>
      </c>
      <c r="AH2104">
        <v>1</v>
      </c>
      <c r="AI2104" t="s">
        <v>1523</v>
      </c>
      <c r="AJ2104">
        <v>34.823720000000002</v>
      </c>
      <c r="AK2104" t="s">
        <v>1524</v>
      </c>
      <c r="AL2104">
        <v>-76.282195999999999</v>
      </c>
      <c r="AM2104">
        <v>25</v>
      </c>
      <c r="AN2104">
        <v>3825</v>
      </c>
      <c r="AO2104" t="s">
        <v>118</v>
      </c>
      <c r="AP2104">
        <v>-77</v>
      </c>
      <c r="AQ2104">
        <v>-68</v>
      </c>
      <c r="AR2104">
        <v>2752</v>
      </c>
      <c r="AZ2104">
        <v>4516</v>
      </c>
      <c r="BA2104">
        <v>1</v>
      </c>
      <c r="BB2104" t="str">
        <f t="shared" si="203"/>
        <v xml:space="preserve">N79NX   </v>
      </c>
      <c r="BC2104">
        <v>1</v>
      </c>
      <c r="BE2104">
        <v>0</v>
      </c>
      <c r="BF2104">
        <v>0</v>
      </c>
      <c r="BG2104">
        <v>0</v>
      </c>
      <c r="BH2104">
        <v>3650</v>
      </c>
      <c r="BI2104">
        <v>0</v>
      </c>
      <c r="BJ2104">
        <v>0</v>
      </c>
      <c r="BK2104">
        <v>0</v>
      </c>
      <c r="BL2104">
        <v>0</v>
      </c>
      <c r="BO2104">
        <v>0</v>
      </c>
      <c r="BP2104">
        <v>0</v>
      </c>
      <c r="BW2104" t="str">
        <f>"19:00:43.496"</f>
        <v>19:00:43.496</v>
      </c>
      <c r="BZ2104">
        <v>0</v>
      </c>
      <c r="CA2104">
        <v>1888</v>
      </c>
      <c r="CB2104">
        <v>214.4</v>
      </c>
      <c r="CC2104">
        <v>625.78129999999999</v>
      </c>
      <c r="CD2104">
        <v>1</v>
      </c>
      <c r="CE2104">
        <v>0</v>
      </c>
      <c r="CF2104">
        <v>0</v>
      </c>
      <c r="CG2104">
        <v>1</v>
      </c>
      <c r="CH2104">
        <v>0</v>
      </c>
      <c r="CI2104">
        <v>1</v>
      </c>
      <c r="CJ2104">
        <v>0</v>
      </c>
      <c r="CK2104">
        <v>2</v>
      </c>
      <c r="CL2104">
        <v>0</v>
      </c>
      <c r="CM2104">
        <v>2</v>
      </c>
      <c r="CN2104">
        <v>0</v>
      </c>
      <c r="CO2104">
        <v>5</v>
      </c>
      <c r="CP2104" t="s">
        <v>119</v>
      </c>
      <c r="CQ2104">
        <v>70</v>
      </c>
      <c r="CR2104">
        <v>1</v>
      </c>
      <c r="CW2104">
        <v>3910973</v>
      </c>
      <c r="CY2104">
        <v>0</v>
      </c>
      <c r="CZ2104">
        <v>0</v>
      </c>
      <c r="DA2104">
        <v>1</v>
      </c>
      <c r="DB2104">
        <v>0</v>
      </c>
      <c r="DC2104">
        <v>0</v>
      </c>
      <c r="DD2104">
        <v>0</v>
      </c>
      <c r="DE2104">
        <v>0</v>
      </c>
      <c r="DF2104">
        <v>0</v>
      </c>
      <c r="DG2104">
        <v>0</v>
      </c>
      <c r="DH2104">
        <v>0</v>
      </c>
      <c r="DI2104">
        <v>0</v>
      </c>
    </row>
    <row r="2105" spans="1:113" x14ac:dyDescent="0.3">
      <c r="A2105" t="str">
        <f>"02/13/2022 19:00:44.852"</f>
        <v>02/13/2022 19:00:44.852</v>
      </c>
      <c r="C2105" t="str">
        <f t="shared" si="202"/>
        <v>FFDFD7C0</v>
      </c>
      <c r="D2105" t="s">
        <v>113</v>
      </c>
      <c r="E2105">
        <v>3</v>
      </c>
      <c r="F2105">
        <v>1003</v>
      </c>
      <c r="G2105" t="s">
        <v>114</v>
      </c>
      <c r="J2105" t="s">
        <v>115</v>
      </c>
      <c r="K2105">
        <v>0</v>
      </c>
      <c r="L2105">
        <v>3</v>
      </c>
      <c r="M2105">
        <v>0</v>
      </c>
      <c r="N2105">
        <v>2</v>
      </c>
      <c r="O2105">
        <v>1</v>
      </c>
      <c r="P2105">
        <v>0</v>
      </c>
      <c r="Q2105">
        <v>0</v>
      </c>
      <c r="S2105" t="str">
        <f>"19:00:44.570"</f>
        <v>19:00:44.570</v>
      </c>
      <c r="T2105" t="str">
        <f>"19:00:42.770"</f>
        <v>19:00:42.770</v>
      </c>
      <c r="U2105" t="str">
        <f t="shared" si="204"/>
        <v>AAB6EE</v>
      </c>
      <c r="V2105">
        <v>0</v>
      </c>
      <c r="W2105">
        <v>0</v>
      </c>
      <c r="X2105">
        <v>4</v>
      </c>
      <c r="Z2105">
        <v>0</v>
      </c>
      <c r="AA2105">
        <v>8</v>
      </c>
      <c r="AB2105">
        <v>3</v>
      </c>
      <c r="AC2105">
        <v>0</v>
      </c>
      <c r="AD2105">
        <v>10</v>
      </c>
      <c r="AE2105">
        <v>0</v>
      </c>
      <c r="AF2105">
        <v>0</v>
      </c>
      <c r="AG2105">
        <v>2</v>
      </c>
      <c r="AH2105">
        <v>1</v>
      </c>
      <c r="AI2105" t="s">
        <v>1525</v>
      </c>
      <c r="AJ2105">
        <v>34.823270000000001</v>
      </c>
      <c r="AK2105" t="s">
        <v>1526</v>
      </c>
      <c r="AL2105">
        <v>-76.282561000000001</v>
      </c>
      <c r="AM2105">
        <v>25</v>
      </c>
      <c r="AN2105">
        <v>3875</v>
      </c>
      <c r="AO2105" t="s">
        <v>118</v>
      </c>
      <c r="AP2105">
        <v>-77</v>
      </c>
      <c r="AQ2105">
        <v>-68</v>
      </c>
      <c r="AR2105">
        <v>2752</v>
      </c>
      <c r="AZ2105">
        <v>4516</v>
      </c>
      <c r="BA2105">
        <v>1</v>
      </c>
      <c r="BB2105" t="str">
        <f t="shared" si="203"/>
        <v xml:space="preserve">N79NX   </v>
      </c>
      <c r="BC2105">
        <v>1</v>
      </c>
      <c r="BE2105">
        <v>0</v>
      </c>
      <c r="BF2105">
        <v>0</v>
      </c>
      <c r="BG2105">
        <v>0</v>
      </c>
      <c r="BH2105">
        <v>3600</v>
      </c>
      <c r="BI2105">
        <v>0</v>
      </c>
      <c r="BJ2105">
        <v>0</v>
      </c>
      <c r="BK2105">
        <v>0</v>
      </c>
      <c r="BL2105">
        <v>0</v>
      </c>
      <c r="BO2105">
        <v>0</v>
      </c>
      <c r="BP2105">
        <v>0</v>
      </c>
      <c r="BW2105" t="str">
        <f>"19:00:44.576"</f>
        <v>19:00:44.576</v>
      </c>
      <c r="BZ2105">
        <v>0</v>
      </c>
      <c r="CA2105">
        <v>1888</v>
      </c>
      <c r="CB2105">
        <v>214.4</v>
      </c>
      <c r="CC2105">
        <v>625.78129999999999</v>
      </c>
      <c r="CD2105">
        <v>1</v>
      </c>
      <c r="CE2105">
        <v>0</v>
      </c>
      <c r="CF2105">
        <v>0</v>
      </c>
      <c r="CG2105">
        <v>1</v>
      </c>
      <c r="CH2105">
        <v>0</v>
      </c>
      <c r="CI2105">
        <v>0</v>
      </c>
      <c r="CJ2105">
        <v>0</v>
      </c>
      <c r="CK2105">
        <v>2</v>
      </c>
      <c r="CL2105">
        <v>0</v>
      </c>
      <c r="CM2105">
        <v>2</v>
      </c>
      <c r="CN2105">
        <v>0</v>
      </c>
      <c r="CO2105">
        <v>5</v>
      </c>
      <c r="CP2105" t="s">
        <v>119</v>
      </c>
      <c r="CQ2105">
        <v>70</v>
      </c>
      <c r="CR2105">
        <v>0</v>
      </c>
      <c r="CW2105">
        <v>1687032</v>
      </c>
      <c r="CY2105">
        <v>0</v>
      </c>
      <c r="CZ2105">
        <v>0</v>
      </c>
      <c r="DA2105">
        <v>0</v>
      </c>
      <c r="DB2105">
        <v>0</v>
      </c>
      <c r="DC2105">
        <v>0</v>
      </c>
      <c r="DD2105">
        <v>0</v>
      </c>
      <c r="DE2105">
        <v>0</v>
      </c>
      <c r="DF2105">
        <v>0</v>
      </c>
      <c r="DG2105">
        <v>0</v>
      </c>
      <c r="DH2105">
        <v>0</v>
      </c>
      <c r="DI2105">
        <v>0</v>
      </c>
    </row>
    <row r="2106" spans="1:113" x14ac:dyDescent="0.3">
      <c r="A2106" t="str">
        <f>"02/13/2022 19:00:44.852"</f>
        <v>02/13/2022 19:00:44.852</v>
      </c>
      <c r="C2106" t="str">
        <f t="shared" si="202"/>
        <v>FFDFD7C0</v>
      </c>
      <c r="D2106" t="s">
        <v>113</v>
      </c>
      <c r="E2106">
        <v>4</v>
      </c>
      <c r="F2106">
        <v>1004</v>
      </c>
      <c r="G2106" t="s">
        <v>120</v>
      </c>
      <c r="J2106" t="s">
        <v>115</v>
      </c>
      <c r="K2106">
        <v>0</v>
      </c>
      <c r="L2106">
        <v>3</v>
      </c>
      <c r="M2106">
        <v>0</v>
      </c>
      <c r="N2106">
        <v>2</v>
      </c>
      <c r="O2106">
        <v>1</v>
      </c>
      <c r="P2106">
        <v>0</v>
      </c>
      <c r="Q2106">
        <v>0</v>
      </c>
      <c r="S2106" t="str">
        <f>"19:00:44.570"</f>
        <v>19:00:44.570</v>
      </c>
      <c r="T2106" t="str">
        <f>"19:00:42.770"</f>
        <v>19:00:42.770</v>
      </c>
      <c r="U2106" t="str">
        <f t="shared" si="204"/>
        <v>AAB6EE</v>
      </c>
      <c r="V2106">
        <v>0</v>
      </c>
      <c r="W2106">
        <v>0</v>
      </c>
      <c r="X2106">
        <v>4</v>
      </c>
      <c r="Z2106">
        <v>0</v>
      </c>
      <c r="AA2106">
        <v>8</v>
      </c>
      <c r="AB2106">
        <v>3</v>
      </c>
      <c r="AC2106">
        <v>0</v>
      </c>
      <c r="AD2106">
        <v>10</v>
      </c>
      <c r="AE2106">
        <v>0</v>
      </c>
      <c r="AF2106">
        <v>0</v>
      </c>
      <c r="AG2106">
        <v>2</v>
      </c>
      <c r="AH2106">
        <v>1</v>
      </c>
      <c r="AI2106" t="s">
        <v>1525</v>
      </c>
      <c r="AJ2106">
        <v>34.823270000000001</v>
      </c>
      <c r="AK2106" t="s">
        <v>1526</v>
      </c>
      <c r="AL2106">
        <v>-76.282561000000001</v>
      </c>
      <c r="AM2106">
        <v>25</v>
      </c>
      <c r="AN2106">
        <v>3875</v>
      </c>
      <c r="AO2106" t="s">
        <v>118</v>
      </c>
      <c r="AP2106">
        <v>-77</v>
      </c>
      <c r="AQ2106">
        <v>-68</v>
      </c>
      <c r="AR2106">
        <v>2752</v>
      </c>
      <c r="AZ2106">
        <v>4516</v>
      </c>
      <c r="BA2106">
        <v>1</v>
      </c>
      <c r="BB2106" t="str">
        <f t="shared" si="203"/>
        <v xml:space="preserve">N79NX   </v>
      </c>
      <c r="BC2106">
        <v>1</v>
      </c>
      <c r="BE2106">
        <v>0</v>
      </c>
      <c r="BF2106">
        <v>0</v>
      </c>
      <c r="BG2106">
        <v>0</v>
      </c>
      <c r="BH2106">
        <v>3600</v>
      </c>
      <c r="BI2106">
        <v>0</v>
      </c>
      <c r="BJ2106">
        <v>0</v>
      </c>
      <c r="BK2106">
        <v>0</v>
      </c>
      <c r="BL2106">
        <v>0</v>
      </c>
      <c r="BO2106">
        <v>0</v>
      </c>
      <c r="BP2106">
        <v>0</v>
      </c>
      <c r="BW2106" t="str">
        <f>"19:00:44.576"</f>
        <v>19:00:44.576</v>
      </c>
      <c r="BZ2106">
        <v>0</v>
      </c>
      <c r="CA2106">
        <v>1888</v>
      </c>
      <c r="CB2106">
        <v>214.4</v>
      </c>
      <c r="CC2106">
        <v>625.78129999999999</v>
      </c>
      <c r="CD2106">
        <v>1</v>
      </c>
      <c r="CE2106">
        <v>0</v>
      </c>
      <c r="CF2106">
        <v>0</v>
      </c>
      <c r="CG2106">
        <v>1</v>
      </c>
      <c r="CH2106">
        <v>0</v>
      </c>
      <c r="CI2106">
        <v>0</v>
      </c>
      <c r="CJ2106">
        <v>0</v>
      </c>
      <c r="CK2106">
        <v>2</v>
      </c>
      <c r="CL2106">
        <v>0</v>
      </c>
      <c r="CM2106">
        <v>2</v>
      </c>
      <c r="CN2106">
        <v>0</v>
      </c>
      <c r="CO2106">
        <v>5</v>
      </c>
      <c r="CP2106" t="s">
        <v>119</v>
      </c>
      <c r="CQ2106">
        <v>70</v>
      </c>
      <c r="CR2106">
        <v>0</v>
      </c>
      <c r="CW2106">
        <v>1687032</v>
      </c>
      <c r="CY2106">
        <v>0</v>
      </c>
      <c r="CZ2106">
        <v>0</v>
      </c>
      <c r="DA2106">
        <v>1</v>
      </c>
      <c r="DB2106">
        <v>0</v>
      </c>
      <c r="DC2106">
        <v>0</v>
      </c>
      <c r="DD2106">
        <v>0</v>
      </c>
      <c r="DE2106">
        <v>0</v>
      </c>
      <c r="DF2106">
        <v>0</v>
      </c>
      <c r="DG2106">
        <v>0</v>
      </c>
      <c r="DH2106">
        <v>0</v>
      </c>
      <c r="DI2106">
        <v>0</v>
      </c>
    </row>
    <row r="2107" spans="1:113" x14ac:dyDescent="0.3">
      <c r="A2107" t="str">
        <f>"02/13/2022 19:00:44.852"</f>
        <v>02/13/2022 19:00:44.852</v>
      </c>
      <c r="C2107" t="str">
        <f t="shared" si="202"/>
        <v>FFDFD7C0</v>
      </c>
      <c r="D2107" t="s">
        <v>121</v>
      </c>
      <c r="E2107">
        <v>2</v>
      </c>
      <c r="H2107">
        <v>158</v>
      </c>
      <c r="I2107" t="s">
        <v>120</v>
      </c>
      <c r="J2107" t="s">
        <v>122</v>
      </c>
      <c r="K2107">
        <v>0</v>
      </c>
      <c r="L2107">
        <v>3</v>
      </c>
      <c r="M2107">
        <v>0</v>
      </c>
      <c r="N2107">
        <v>2</v>
      </c>
      <c r="O2107">
        <v>1</v>
      </c>
      <c r="P2107">
        <v>0</v>
      </c>
      <c r="Q2107">
        <v>0</v>
      </c>
      <c r="S2107" t="str">
        <f>"19:00:44.570"</f>
        <v>19:00:44.570</v>
      </c>
      <c r="T2107" t="str">
        <f>"19:00:42.770"</f>
        <v>19:00:42.770</v>
      </c>
      <c r="U2107" t="str">
        <f t="shared" si="204"/>
        <v>AAB6EE</v>
      </c>
      <c r="V2107">
        <v>0</v>
      </c>
      <c r="W2107">
        <v>0</v>
      </c>
      <c r="X2107">
        <v>4</v>
      </c>
      <c r="Z2107">
        <v>0</v>
      </c>
      <c r="AA2107">
        <v>8</v>
      </c>
      <c r="AB2107">
        <v>3</v>
      </c>
      <c r="AC2107">
        <v>0</v>
      </c>
      <c r="AD2107">
        <v>10</v>
      </c>
      <c r="AE2107">
        <v>0</v>
      </c>
      <c r="AF2107">
        <v>0</v>
      </c>
      <c r="AG2107">
        <v>2</v>
      </c>
      <c r="AH2107">
        <v>1</v>
      </c>
      <c r="AI2107" t="s">
        <v>1525</v>
      </c>
      <c r="AJ2107">
        <v>34.823270000000001</v>
      </c>
      <c r="AK2107" t="s">
        <v>1526</v>
      </c>
      <c r="AL2107">
        <v>-76.282561000000001</v>
      </c>
      <c r="AM2107">
        <v>25</v>
      </c>
      <c r="AN2107">
        <v>3875</v>
      </c>
      <c r="AO2107" t="s">
        <v>118</v>
      </c>
      <c r="AP2107">
        <v>-77</v>
      </c>
      <c r="AQ2107">
        <v>-68</v>
      </c>
      <c r="AR2107">
        <v>2752</v>
      </c>
      <c r="AZ2107">
        <v>4516</v>
      </c>
      <c r="BA2107">
        <v>1</v>
      </c>
      <c r="BB2107" t="str">
        <f t="shared" si="203"/>
        <v xml:space="preserve">N79NX   </v>
      </c>
      <c r="BC2107">
        <v>1</v>
      </c>
      <c r="BE2107">
        <v>0</v>
      </c>
      <c r="BF2107">
        <v>0</v>
      </c>
      <c r="BG2107">
        <v>0</v>
      </c>
      <c r="BH2107">
        <v>3600</v>
      </c>
      <c r="BI2107">
        <v>0</v>
      </c>
      <c r="BJ2107">
        <v>0</v>
      </c>
      <c r="BK2107">
        <v>0</v>
      </c>
      <c r="BL2107">
        <v>0</v>
      </c>
      <c r="BO2107">
        <v>0</v>
      </c>
      <c r="BP2107">
        <v>0</v>
      </c>
      <c r="BW2107" t="str">
        <f>"19:00:44.576"</f>
        <v>19:00:44.576</v>
      </c>
      <c r="BZ2107">
        <v>0</v>
      </c>
      <c r="CA2107">
        <v>1888</v>
      </c>
      <c r="CB2107">
        <v>214.4</v>
      </c>
      <c r="CC2107">
        <v>625.78129999999999</v>
      </c>
      <c r="CD2107">
        <v>1</v>
      </c>
      <c r="CE2107">
        <v>0</v>
      </c>
      <c r="CF2107">
        <v>0</v>
      </c>
      <c r="CG2107">
        <v>1</v>
      </c>
      <c r="CH2107">
        <v>0</v>
      </c>
      <c r="CI2107">
        <v>0</v>
      </c>
      <c r="CJ2107">
        <v>0</v>
      </c>
      <c r="CK2107">
        <v>2</v>
      </c>
      <c r="CL2107">
        <v>0</v>
      </c>
      <c r="CM2107">
        <v>2</v>
      </c>
      <c r="CN2107">
        <v>0</v>
      </c>
      <c r="CO2107">
        <v>5</v>
      </c>
      <c r="CP2107" t="s">
        <v>119</v>
      </c>
      <c r="CQ2107">
        <v>70</v>
      </c>
      <c r="CR2107">
        <v>0</v>
      </c>
      <c r="CW2107">
        <v>1687032</v>
      </c>
      <c r="CY2107">
        <v>0</v>
      </c>
      <c r="CZ2107">
        <v>0</v>
      </c>
      <c r="DA2107">
        <v>1</v>
      </c>
      <c r="DB2107">
        <v>0</v>
      </c>
      <c r="DC2107">
        <v>0</v>
      </c>
      <c r="DD2107">
        <v>0</v>
      </c>
      <c r="DE2107">
        <v>0</v>
      </c>
      <c r="DF2107">
        <v>0</v>
      </c>
      <c r="DG2107">
        <v>0</v>
      </c>
      <c r="DH2107">
        <v>0</v>
      </c>
      <c r="DI2107">
        <v>0</v>
      </c>
    </row>
    <row r="2108" spans="1:113" x14ac:dyDescent="0.3">
      <c r="A2108" t="str">
        <f>"02/13/2022 19:00:45.711"</f>
        <v>02/13/2022 19:00:45.711</v>
      </c>
      <c r="C2108" t="str">
        <f t="shared" si="202"/>
        <v>FFDFD7C0</v>
      </c>
      <c r="D2108" t="s">
        <v>121</v>
      </c>
      <c r="E2108">
        <v>2</v>
      </c>
      <c r="H2108">
        <v>158</v>
      </c>
      <c r="I2108" t="s">
        <v>120</v>
      </c>
      <c r="J2108" t="s">
        <v>122</v>
      </c>
      <c r="K2108">
        <v>0</v>
      </c>
      <c r="L2108">
        <v>3</v>
      </c>
      <c r="M2108">
        <v>0</v>
      </c>
      <c r="N2108">
        <v>2</v>
      </c>
      <c r="O2108">
        <v>1</v>
      </c>
      <c r="P2108">
        <v>0</v>
      </c>
      <c r="Q2108">
        <v>0</v>
      </c>
      <c r="S2108" t="str">
        <f>"19:00:45.516"</f>
        <v>19:00:45.516</v>
      </c>
      <c r="T2108" t="str">
        <f>"19:00:45.316"</f>
        <v>19:00:45.316</v>
      </c>
      <c r="U2108" t="str">
        <f t="shared" si="204"/>
        <v>AAB6EE</v>
      </c>
      <c r="V2108">
        <v>0</v>
      </c>
      <c r="W2108">
        <v>0</v>
      </c>
      <c r="X2108">
        <v>4</v>
      </c>
      <c r="Z2108">
        <v>0</v>
      </c>
      <c r="AA2108">
        <v>8</v>
      </c>
      <c r="AB2108">
        <v>3</v>
      </c>
      <c r="AC2108">
        <v>0</v>
      </c>
      <c r="AD2108">
        <v>10</v>
      </c>
      <c r="AE2108">
        <v>0</v>
      </c>
      <c r="AF2108">
        <v>0</v>
      </c>
      <c r="AG2108">
        <v>2</v>
      </c>
      <c r="AH2108">
        <v>1</v>
      </c>
      <c r="AI2108" t="s">
        <v>1527</v>
      </c>
      <c r="AJ2108">
        <v>34.822862000000001</v>
      </c>
      <c r="AK2108" t="s">
        <v>1528</v>
      </c>
      <c r="AL2108">
        <v>-76.282904000000002</v>
      </c>
      <c r="AM2108">
        <v>25</v>
      </c>
      <c r="AN2108">
        <v>3900</v>
      </c>
      <c r="AO2108" t="s">
        <v>118</v>
      </c>
      <c r="AP2108">
        <v>-55</v>
      </c>
      <c r="AQ2108">
        <v>-94</v>
      </c>
      <c r="AR2108">
        <v>1728</v>
      </c>
      <c r="AZ2108">
        <v>4516</v>
      </c>
      <c r="BA2108">
        <v>1</v>
      </c>
      <c r="BB2108" t="str">
        <f t="shared" si="203"/>
        <v xml:space="preserve">N79NX   </v>
      </c>
      <c r="BC2108">
        <v>1</v>
      </c>
      <c r="BE2108">
        <v>0</v>
      </c>
      <c r="BF2108">
        <v>0</v>
      </c>
      <c r="BG2108">
        <v>0</v>
      </c>
      <c r="BH2108">
        <v>3725</v>
      </c>
      <c r="BI2108">
        <v>0</v>
      </c>
      <c r="BJ2108">
        <v>0</v>
      </c>
      <c r="BK2108">
        <v>0</v>
      </c>
      <c r="BL2108">
        <v>0</v>
      </c>
      <c r="BO2108">
        <v>0</v>
      </c>
      <c r="BP2108">
        <v>0</v>
      </c>
      <c r="BW2108" t="str">
        <f>"19:00:45.516"</f>
        <v>19:00:45.516</v>
      </c>
      <c r="BZ2108">
        <v>0</v>
      </c>
      <c r="CA2108">
        <v>1888</v>
      </c>
      <c r="CB2108">
        <v>214.4</v>
      </c>
      <c r="CC2108">
        <v>625.78129999999999</v>
      </c>
      <c r="CD2108">
        <v>1</v>
      </c>
      <c r="CE2108">
        <v>0</v>
      </c>
      <c r="CF2108">
        <v>0</v>
      </c>
      <c r="CG2108">
        <v>1</v>
      </c>
      <c r="CH2108">
        <v>0</v>
      </c>
      <c r="CI2108">
        <v>0</v>
      </c>
      <c r="CJ2108">
        <v>0</v>
      </c>
      <c r="CK2108">
        <v>2</v>
      </c>
      <c r="CL2108">
        <v>0</v>
      </c>
      <c r="CM2108">
        <v>2</v>
      </c>
      <c r="CN2108">
        <v>0</v>
      </c>
      <c r="CO2108">
        <v>6</v>
      </c>
      <c r="CP2108" t="s">
        <v>119</v>
      </c>
      <c r="CQ2108">
        <v>70</v>
      </c>
      <c r="CR2108">
        <v>1</v>
      </c>
      <c r="CW2108">
        <v>3912701</v>
      </c>
      <c r="CY2108">
        <v>0</v>
      </c>
      <c r="CZ2108">
        <v>0</v>
      </c>
      <c r="DA2108">
        <v>0</v>
      </c>
      <c r="DB2108">
        <v>0</v>
      </c>
      <c r="DC2108">
        <v>0</v>
      </c>
      <c r="DD2108">
        <v>0</v>
      </c>
      <c r="DE2108">
        <v>0</v>
      </c>
      <c r="DF2108">
        <v>0</v>
      </c>
      <c r="DG2108">
        <v>0</v>
      </c>
      <c r="DH2108">
        <v>0</v>
      </c>
      <c r="DI2108">
        <v>0</v>
      </c>
    </row>
    <row r="2109" spans="1:113" x14ac:dyDescent="0.3">
      <c r="A2109" t="str">
        <f>"02/13/2022 19:00:45.758"</f>
        <v>02/13/2022 19:00:45.758</v>
      </c>
      <c r="C2109" t="str">
        <f t="shared" si="202"/>
        <v>FFDFD7C0</v>
      </c>
      <c r="D2109" t="s">
        <v>113</v>
      </c>
      <c r="E2109">
        <v>3</v>
      </c>
      <c r="F2109">
        <v>1003</v>
      </c>
      <c r="G2109" t="s">
        <v>114</v>
      </c>
      <c r="J2109" t="s">
        <v>115</v>
      </c>
      <c r="K2109">
        <v>0</v>
      </c>
      <c r="L2109">
        <v>3</v>
      </c>
      <c r="M2109">
        <v>0</v>
      </c>
      <c r="N2109">
        <v>2</v>
      </c>
      <c r="O2109">
        <v>1</v>
      </c>
      <c r="P2109">
        <v>0</v>
      </c>
      <c r="Q2109">
        <v>0</v>
      </c>
      <c r="S2109" t="str">
        <f>"19:00:45.516"</f>
        <v>19:00:45.516</v>
      </c>
      <c r="T2109" t="str">
        <f>"19:00:45.316"</f>
        <v>19:00:45.316</v>
      </c>
      <c r="U2109" t="str">
        <f t="shared" si="204"/>
        <v>AAB6EE</v>
      </c>
      <c r="V2109">
        <v>0</v>
      </c>
      <c r="W2109">
        <v>0</v>
      </c>
      <c r="X2109">
        <v>4</v>
      </c>
      <c r="Z2109">
        <v>0</v>
      </c>
      <c r="AA2109">
        <v>8</v>
      </c>
      <c r="AB2109">
        <v>3</v>
      </c>
      <c r="AC2109">
        <v>0</v>
      </c>
      <c r="AD2109">
        <v>10</v>
      </c>
      <c r="AE2109">
        <v>0</v>
      </c>
      <c r="AF2109">
        <v>0</v>
      </c>
      <c r="AG2109">
        <v>2</v>
      </c>
      <c r="AH2109">
        <v>1</v>
      </c>
      <c r="AI2109" t="s">
        <v>1527</v>
      </c>
      <c r="AJ2109">
        <v>34.822862000000001</v>
      </c>
      <c r="AK2109" t="s">
        <v>1528</v>
      </c>
      <c r="AL2109">
        <v>-76.282904000000002</v>
      </c>
      <c r="AM2109">
        <v>25</v>
      </c>
      <c r="AN2109">
        <v>3900</v>
      </c>
      <c r="AO2109" t="s">
        <v>118</v>
      </c>
      <c r="AP2109">
        <v>-55</v>
      </c>
      <c r="AQ2109">
        <v>-94</v>
      </c>
      <c r="AR2109">
        <v>1728</v>
      </c>
      <c r="AZ2109">
        <v>4516</v>
      </c>
      <c r="BA2109">
        <v>1</v>
      </c>
      <c r="BB2109" t="str">
        <f t="shared" si="203"/>
        <v xml:space="preserve">N79NX   </v>
      </c>
      <c r="BC2109">
        <v>1</v>
      </c>
      <c r="BE2109">
        <v>0</v>
      </c>
      <c r="BF2109">
        <v>0</v>
      </c>
      <c r="BG2109">
        <v>0</v>
      </c>
      <c r="BH2109">
        <v>3725</v>
      </c>
      <c r="BI2109">
        <v>0</v>
      </c>
      <c r="BJ2109">
        <v>0</v>
      </c>
      <c r="BK2109">
        <v>0</v>
      </c>
      <c r="BL2109">
        <v>0</v>
      </c>
      <c r="BO2109">
        <v>0</v>
      </c>
      <c r="BP2109">
        <v>0</v>
      </c>
      <c r="BW2109" t="str">
        <f>"19:00:45.516"</f>
        <v>19:00:45.516</v>
      </c>
      <c r="BZ2109">
        <v>0</v>
      </c>
      <c r="CA2109">
        <v>1888</v>
      </c>
      <c r="CB2109">
        <v>214.4</v>
      </c>
      <c r="CC2109">
        <v>625.78129999999999</v>
      </c>
      <c r="CD2109">
        <v>1</v>
      </c>
      <c r="CE2109">
        <v>0</v>
      </c>
      <c r="CF2109">
        <v>0</v>
      </c>
      <c r="CG2109">
        <v>1</v>
      </c>
      <c r="CH2109">
        <v>0</v>
      </c>
      <c r="CI2109">
        <v>0</v>
      </c>
      <c r="CJ2109">
        <v>0</v>
      </c>
      <c r="CK2109">
        <v>2</v>
      </c>
      <c r="CL2109">
        <v>0</v>
      </c>
      <c r="CM2109">
        <v>2</v>
      </c>
      <c r="CN2109">
        <v>0</v>
      </c>
      <c r="CO2109">
        <v>6</v>
      </c>
      <c r="CP2109" t="s">
        <v>119</v>
      </c>
      <c r="CQ2109">
        <v>70</v>
      </c>
      <c r="CR2109">
        <v>1</v>
      </c>
      <c r="CW2109">
        <v>3912701</v>
      </c>
      <c r="CY2109">
        <v>0</v>
      </c>
      <c r="CZ2109">
        <v>0</v>
      </c>
      <c r="DA2109">
        <v>1</v>
      </c>
      <c r="DB2109">
        <v>0</v>
      </c>
      <c r="DC2109">
        <v>0</v>
      </c>
      <c r="DD2109">
        <v>0</v>
      </c>
      <c r="DE2109">
        <v>0</v>
      </c>
      <c r="DF2109">
        <v>0</v>
      </c>
      <c r="DG2109">
        <v>0</v>
      </c>
      <c r="DH2109">
        <v>0</v>
      </c>
      <c r="DI2109">
        <v>0</v>
      </c>
    </row>
    <row r="2110" spans="1:113" x14ac:dyDescent="0.3">
      <c r="A2110" t="str">
        <f>"02/13/2022 19:00:45.821"</f>
        <v>02/13/2022 19:00:45.821</v>
      </c>
      <c r="C2110" t="str">
        <f t="shared" si="202"/>
        <v>FFDFD7C0</v>
      </c>
      <c r="D2110" t="s">
        <v>113</v>
      </c>
      <c r="E2110">
        <v>4</v>
      </c>
      <c r="F2110">
        <v>1004</v>
      </c>
      <c r="G2110" t="s">
        <v>120</v>
      </c>
      <c r="J2110" t="s">
        <v>115</v>
      </c>
      <c r="K2110">
        <v>0</v>
      </c>
      <c r="L2110">
        <v>3</v>
      </c>
      <c r="M2110">
        <v>0</v>
      </c>
      <c r="N2110">
        <v>2</v>
      </c>
      <c r="O2110">
        <v>1</v>
      </c>
      <c r="P2110">
        <v>0</v>
      </c>
      <c r="Q2110">
        <v>0</v>
      </c>
      <c r="S2110" t="str">
        <f>"19:00:45.516"</f>
        <v>19:00:45.516</v>
      </c>
      <c r="T2110" t="str">
        <f>"19:00:45.316"</f>
        <v>19:00:45.316</v>
      </c>
      <c r="U2110" t="str">
        <f t="shared" si="204"/>
        <v>AAB6EE</v>
      </c>
      <c r="V2110">
        <v>0</v>
      </c>
      <c r="W2110">
        <v>0</v>
      </c>
      <c r="X2110">
        <v>4</v>
      </c>
      <c r="Z2110">
        <v>0</v>
      </c>
      <c r="AA2110">
        <v>8</v>
      </c>
      <c r="AB2110">
        <v>3</v>
      </c>
      <c r="AC2110">
        <v>0</v>
      </c>
      <c r="AD2110">
        <v>10</v>
      </c>
      <c r="AE2110">
        <v>0</v>
      </c>
      <c r="AF2110">
        <v>0</v>
      </c>
      <c r="AG2110">
        <v>2</v>
      </c>
      <c r="AH2110">
        <v>1</v>
      </c>
      <c r="AI2110" t="s">
        <v>1527</v>
      </c>
      <c r="AJ2110">
        <v>34.822862000000001</v>
      </c>
      <c r="AK2110" t="s">
        <v>1528</v>
      </c>
      <c r="AL2110">
        <v>-76.282904000000002</v>
      </c>
      <c r="AM2110">
        <v>25</v>
      </c>
      <c r="AN2110">
        <v>3900</v>
      </c>
      <c r="AO2110" t="s">
        <v>118</v>
      </c>
      <c r="AP2110">
        <v>-55</v>
      </c>
      <c r="AQ2110">
        <v>-94</v>
      </c>
      <c r="AR2110">
        <v>1728</v>
      </c>
      <c r="AZ2110">
        <v>4516</v>
      </c>
      <c r="BA2110">
        <v>1</v>
      </c>
      <c r="BB2110" t="str">
        <f t="shared" si="203"/>
        <v xml:space="preserve">N79NX   </v>
      </c>
      <c r="BC2110">
        <v>1</v>
      </c>
      <c r="BE2110">
        <v>0</v>
      </c>
      <c r="BF2110">
        <v>0</v>
      </c>
      <c r="BG2110">
        <v>0</v>
      </c>
      <c r="BH2110">
        <v>3725</v>
      </c>
      <c r="BI2110">
        <v>0</v>
      </c>
      <c r="BJ2110">
        <v>0</v>
      </c>
      <c r="BK2110">
        <v>0</v>
      </c>
      <c r="BL2110">
        <v>0</v>
      </c>
      <c r="BO2110">
        <v>0</v>
      </c>
      <c r="BP2110">
        <v>0</v>
      </c>
      <c r="BW2110" t="str">
        <f>"19:00:45.516"</f>
        <v>19:00:45.516</v>
      </c>
      <c r="BZ2110">
        <v>0</v>
      </c>
      <c r="CA2110">
        <v>1888</v>
      </c>
      <c r="CB2110">
        <v>214.4</v>
      </c>
      <c r="CC2110">
        <v>625.78129999999999</v>
      </c>
      <c r="CD2110">
        <v>1</v>
      </c>
      <c r="CE2110">
        <v>0</v>
      </c>
      <c r="CF2110">
        <v>0</v>
      </c>
      <c r="CG2110">
        <v>1</v>
      </c>
      <c r="CH2110">
        <v>0</v>
      </c>
      <c r="CI2110">
        <v>0</v>
      </c>
      <c r="CJ2110">
        <v>0</v>
      </c>
      <c r="CK2110">
        <v>2</v>
      </c>
      <c r="CL2110">
        <v>0</v>
      </c>
      <c r="CM2110">
        <v>2</v>
      </c>
      <c r="CN2110">
        <v>0</v>
      </c>
      <c r="CO2110">
        <v>6</v>
      </c>
      <c r="CP2110" t="s">
        <v>119</v>
      </c>
      <c r="CQ2110">
        <v>70</v>
      </c>
      <c r="CR2110">
        <v>1</v>
      </c>
      <c r="CW2110">
        <v>3912701</v>
      </c>
      <c r="CY2110">
        <v>0</v>
      </c>
      <c r="CZ2110">
        <v>0</v>
      </c>
      <c r="DA2110">
        <v>1</v>
      </c>
      <c r="DB2110">
        <v>0</v>
      </c>
      <c r="DC2110">
        <v>0</v>
      </c>
      <c r="DD2110">
        <v>0</v>
      </c>
      <c r="DE2110">
        <v>0</v>
      </c>
      <c r="DF2110">
        <v>0</v>
      </c>
      <c r="DG2110">
        <v>0</v>
      </c>
      <c r="DH2110">
        <v>0</v>
      </c>
      <c r="DI2110">
        <v>0</v>
      </c>
    </row>
    <row r="2111" spans="1:113" x14ac:dyDescent="0.3">
      <c r="A2111" t="str">
        <f>"02/13/2022 19:00:46.649"</f>
        <v>02/13/2022 19:00:46.649</v>
      </c>
      <c r="C2111" t="str">
        <f t="shared" si="202"/>
        <v>FFDFD7C0</v>
      </c>
      <c r="D2111" t="s">
        <v>113</v>
      </c>
      <c r="E2111">
        <v>3</v>
      </c>
      <c r="F2111">
        <v>1003</v>
      </c>
      <c r="G2111" t="s">
        <v>114</v>
      </c>
      <c r="J2111" t="s">
        <v>115</v>
      </c>
      <c r="K2111">
        <v>0</v>
      </c>
      <c r="L2111">
        <v>3</v>
      </c>
      <c r="M2111">
        <v>0</v>
      </c>
      <c r="N2111">
        <v>2</v>
      </c>
      <c r="O2111">
        <v>1</v>
      </c>
      <c r="P2111">
        <v>0</v>
      </c>
      <c r="Q2111">
        <v>0</v>
      </c>
      <c r="S2111" t="str">
        <f>"19:00:46.422"</f>
        <v>19:00:46.422</v>
      </c>
      <c r="T2111" t="str">
        <f>"19:00:46.122"</f>
        <v>19:00:46.122</v>
      </c>
      <c r="U2111" t="str">
        <f t="shared" si="204"/>
        <v>AAB6EE</v>
      </c>
      <c r="V2111">
        <v>0</v>
      </c>
      <c r="W2111">
        <v>0</v>
      </c>
      <c r="X2111">
        <v>4</v>
      </c>
      <c r="Z2111">
        <v>0</v>
      </c>
      <c r="AA2111">
        <v>8</v>
      </c>
      <c r="AB2111">
        <v>3</v>
      </c>
      <c r="AC2111">
        <v>0</v>
      </c>
      <c r="AD2111">
        <v>10</v>
      </c>
      <c r="AE2111">
        <v>0</v>
      </c>
      <c r="AF2111">
        <v>0</v>
      </c>
      <c r="AG2111">
        <v>2</v>
      </c>
      <c r="AH2111">
        <v>1</v>
      </c>
      <c r="AI2111" t="s">
        <v>1529</v>
      </c>
      <c r="AJ2111">
        <v>34.822432999999997</v>
      </c>
      <c r="AK2111" t="s">
        <v>1530</v>
      </c>
      <c r="AL2111">
        <v>-76.283118999999999</v>
      </c>
      <c r="AM2111">
        <v>25</v>
      </c>
      <c r="AN2111">
        <v>3925</v>
      </c>
      <c r="AO2111" t="s">
        <v>118</v>
      </c>
      <c r="AP2111">
        <v>-48</v>
      </c>
      <c r="AQ2111">
        <v>-100</v>
      </c>
      <c r="AR2111">
        <v>1536</v>
      </c>
      <c r="AZ2111">
        <v>4516</v>
      </c>
      <c r="BA2111">
        <v>1</v>
      </c>
      <c r="BB2111" t="str">
        <f t="shared" si="203"/>
        <v xml:space="preserve">N79NX   </v>
      </c>
      <c r="BC2111">
        <v>1</v>
      </c>
      <c r="BE2111">
        <v>0</v>
      </c>
      <c r="BF2111">
        <v>0</v>
      </c>
      <c r="BG2111">
        <v>0</v>
      </c>
      <c r="BH2111">
        <v>3775</v>
      </c>
      <c r="BI2111">
        <v>0</v>
      </c>
      <c r="BJ2111">
        <v>0</v>
      </c>
      <c r="BK2111">
        <v>0</v>
      </c>
      <c r="BL2111">
        <v>0</v>
      </c>
      <c r="BO2111">
        <v>0</v>
      </c>
      <c r="BP2111">
        <v>0</v>
      </c>
      <c r="BW2111" t="str">
        <f>"19:00:46.426"</f>
        <v>19:00:46.426</v>
      </c>
      <c r="BZ2111">
        <v>0</v>
      </c>
      <c r="CA2111">
        <v>1888</v>
      </c>
      <c r="CB2111">
        <v>214.4</v>
      </c>
      <c r="CC2111">
        <v>625.78129999999999</v>
      </c>
      <c r="CD2111">
        <v>1</v>
      </c>
      <c r="CE2111">
        <v>0</v>
      </c>
      <c r="CF2111">
        <v>0</v>
      </c>
      <c r="CG2111">
        <v>1</v>
      </c>
      <c r="CH2111">
        <v>0</v>
      </c>
      <c r="CI2111">
        <v>0</v>
      </c>
      <c r="CJ2111">
        <v>0</v>
      </c>
      <c r="CK2111">
        <v>2</v>
      </c>
      <c r="CL2111">
        <v>0</v>
      </c>
      <c r="CM2111">
        <v>2</v>
      </c>
      <c r="CN2111">
        <v>0</v>
      </c>
      <c r="CO2111">
        <v>6</v>
      </c>
      <c r="CP2111" t="s">
        <v>119</v>
      </c>
      <c r="CQ2111">
        <v>70</v>
      </c>
      <c r="CR2111">
        <v>1</v>
      </c>
      <c r="CW2111">
        <v>3913464</v>
      </c>
      <c r="CY2111">
        <v>0</v>
      </c>
      <c r="CZ2111">
        <v>0</v>
      </c>
      <c r="DA2111">
        <v>0</v>
      </c>
      <c r="DB2111">
        <v>0</v>
      </c>
      <c r="DC2111">
        <v>0</v>
      </c>
      <c r="DD2111">
        <v>0</v>
      </c>
      <c r="DE2111">
        <v>0</v>
      </c>
      <c r="DF2111">
        <v>0</v>
      </c>
      <c r="DG2111">
        <v>0</v>
      </c>
      <c r="DH2111">
        <v>0</v>
      </c>
      <c r="DI2111">
        <v>0</v>
      </c>
    </row>
    <row r="2112" spans="1:113" x14ac:dyDescent="0.3">
      <c r="A2112" t="str">
        <f>"02/13/2022 19:00:46.649"</f>
        <v>02/13/2022 19:00:46.649</v>
      </c>
      <c r="C2112" t="str">
        <f t="shared" si="202"/>
        <v>FFDFD7C0</v>
      </c>
      <c r="D2112" t="s">
        <v>113</v>
      </c>
      <c r="E2112">
        <v>4</v>
      </c>
      <c r="F2112">
        <v>1004</v>
      </c>
      <c r="G2112" t="s">
        <v>120</v>
      </c>
      <c r="J2112" t="s">
        <v>115</v>
      </c>
      <c r="K2112">
        <v>0</v>
      </c>
      <c r="L2112">
        <v>3</v>
      </c>
      <c r="M2112">
        <v>0</v>
      </c>
      <c r="N2112">
        <v>2</v>
      </c>
      <c r="O2112">
        <v>1</v>
      </c>
      <c r="P2112">
        <v>0</v>
      </c>
      <c r="Q2112">
        <v>0</v>
      </c>
      <c r="S2112" t="str">
        <f>"19:00:46.422"</f>
        <v>19:00:46.422</v>
      </c>
      <c r="T2112" t="str">
        <f>"19:00:46.122"</f>
        <v>19:00:46.122</v>
      </c>
      <c r="U2112" t="str">
        <f t="shared" si="204"/>
        <v>AAB6EE</v>
      </c>
      <c r="V2112">
        <v>0</v>
      </c>
      <c r="W2112">
        <v>0</v>
      </c>
      <c r="X2112">
        <v>4</v>
      </c>
      <c r="Z2112">
        <v>0</v>
      </c>
      <c r="AA2112">
        <v>8</v>
      </c>
      <c r="AB2112">
        <v>3</v>
      </c>
      <c r="AC2112">
        <v>0</v>
      </c>
      <c r="AD2112">
        <v>10</v>
      </c>
      <c r="AE2112">
        <v>0</v>
      </c>
      <c r="AF2112">
        <v>0</v>
      </c>
      <c r="AG2112">
        <v>2</v>
      </c>
      <c r="AH2112">
        <v>1</v>
      </c>
      <c r="AI2112" t="s">
        <v>1529</v>
      </c>
      <c r="AJ2112">
        <v>34.822432999999997</v>
      </c>
      <c r="AK2112" t="s">
        <v>1530</v>
      </c>
      <c r="AL2112">
        <v>-76.283118999999999</v>
      </c>
      <c r="AM2112">
        <v>25</v>
      </c>
      <c r="AN2112">
        <v>3925</v>
      </c>
      <c r="AO2112" t="s">
        <v>118</v>
      </c>
      <c r="AP2112">
        <v>-48</v>
      </c>
      <c r="AQ2112">
        <v>-100</v>
      </c>
      <c r="AR2112">
        <v>1536</v>
      </c>
      <c r="AZ2112">
        <v>4516</v>
      </c>
      <c r="BA2112">
        <v>1</v>
      </c>
      <c r="BB2112" t="str">
        <f t="shared" si="203"/>
        <v xml:space="preserve">N79NX   </v>
      </c>
      <c r="BC2112">
        <v>1</v>
      </c>
      <c r="BE2112">
        <v>0</v>
      </c>
      <c r="BF2112">
        <v>0</v>
      </c>
      <c r="BG2112">
        <v>0</v>
      </c>
      <c r="BH2112">
        <v>3775</v>
      </c>
      <c r="BI2112">
        <v>0</v>
      </c>
      <c r="BJ2112">
        <v>0</v>
      </c>
      <c r="BK2112">
        <v>0</v>
      </c>
      <c r="BL2112">
        <v>0</v>
      </c>
      <c r="BO2112">
        <v>0</v>
      </c>
      <c r="BP2112">
        <v>0</v>
      </c>
      <c r="BW2112" t="str">
        <f>"19:00:46.426"</f>
        <v>19:00:46.426</v>
      </c>
      <c r="BZ2112">
        <v>0</v>
      </c>
      <c r="CA2112">
        <v>1888</v>
      </c>
      <c r="CB2112">
        <v>214.4</v>
      </c>
      <c r="CC2112">
        <v>625.78129999999999</v>
      </c>
      <c r="CD2112">
        <v>1</v>
      </c>
      <c r="CE2112">
        <v>0</v>
      </c>
      <c r="CF2112">
        <v>0</v>
      </c>
      <c r="CG2112">
        <v>1</v>
      </c>
      <c r="CH2112">
        <v>0</v>
      </c>
      <c r="CI2112">
        <v>0</v>
      </c>
      <c r="CJ2112">
        <v>0</v>
      </c>
      <c r="CK2112">
        <v>2</v>
      </c>
      <c r="CL2112">
        <v>0</v>
      </c>
      <c r="CM2112">
        <v>2</v>
      </c>
      <c r="CN2112">
        <v>0</v>
      </c>
      <c r="CO2112">
        <v>6</v>
      </c>
      <c r="CP2112" t="s">
        <v>119</v>
      </c>
      <c r="CQ2112">
        <v>70</v>
      </c>
      <c r="CR2112">
        <v>1</v>
      </c>
      <c r="CW2112">
        <v>3913464</v>
      </c>
      <c r="CY2112">
        <v>0</v>
      </c>
      <c r="CZ2112">
        <v>0</v>
      </c>
      <c r="DA2112">
        <v>1</v>
      </c>
      <c r="DB2112">
        <v>0</v>
      </c>
      <c r="DC2112">
        <v>0</v>
      </c>
      <c r="DD2112">
        <v>0</v>
      </c>
      <c r="DE2112">
        <v>0</v>
      </c>
      <c r="DF2112">
        <v>0</v>
      </c>
      <c r="DG2112">
        <v>0</v>
      </c>
      <c r="DH2112">
        <v>0</v>
      </c>
      <c r="DI2112">
        <v>0</v>
      </c>
    </row>
    <row r="2113" spans="1:113" x14ac:dyDescent="0.3">
      <c r="A2113" t="str">
        <f>"02/13/2022 19:00:46.649"</f>
        <v>02/13/2022 19:00:46.649</v>
      </c>
      <c r="C2113" t="str">
        <f t="shared" ref="C2113:C2176" si="209">"FFDFD7C0"</f>
        <v>FFDFD7C0</v>
      </c>
      <c r="D2113" t="s">
        <v>121</v>
      </c>
      <c r="E2113">
        <v>2</v>
      </c>
      <c r="H2113">
        <v>158</v>
      </c>
      <c r="I2113" t="s">
        <v>120</v>
      </c>
      <c r="J2113" t="s">
        <v>122</v>
      </c>
      <c r="K2113">
        <v>0</v>
      </c>
      <c r="L2113">
        <v>3</v>
      </c>
      <c r="M2113">
        <v>0</v>
      </c>
      <c r="N2113">
        <v>2</v>
      </c>
      <c r="O2113">
        <v>1</v>
      </c>
      <c r="P2113">
        <v>0</v>
      </c>
      <c r="Q2113">
        <v>0</v>
      </c>
      <c r="S2113" t="str">
        <f>"19:00:46.422"</f>
        <v>19:00:46.422</v>
      </c>
      <c r="T2113" t="str">
        <f>"19:00:46.122"</f>
        <v>19:00:46.122</v>
      </c>
      <c r="U2113" t="str">
        <f t="shared" si="204"/>
        <v>AAB6EE</v>
      </c>
      <c r="V2113">
        <v>0</v>
      </c>
      <c r="W2113">
        <v>0</v>
      </c>
      <c r="X2113">
        <v>4</v>
      </c>
      <c r="Z2113">
        <v>0</v>
      </c>
      <c r="AA2113">
        <v>8</v>
      </c>
      <c r="AB2113">
        <v>3</v>
      </c>
      <c r="AC2113">
        <v>0</v>
      </c>
      <c r="AD2113">
        <v>10</v>
      </c>
      <c r="AE2113">
        <v>0</v>
      </c>
      <c r="AF2113">
        <v>0</v>
      </c>
      <c r="AG2113">
        <v>2</v>
      </c>
      <c r="AH2113">
        <v>1</v>
      </c>
      <c r="AI2113" t="s">
        <v>1529</v>
      </c>
      <c r="AJ2113">
        <v>34.822432999999997</v>
      </c>
      <c r="AK2113" t="s">
        <v>1530</v>
      </c>
      <c r="AL2113">
        <v>-76.283118999999999</v>
      </c>
      <c r="AM2113">
        <v>25</v>
      </c>
      <c r="AN2113">
        <v>3925</v>
      </c>
      <c r="AO2113" t="s">
        <v>118</v>
      </c>
      <c r="AP2113">
        <v>-48</v>
      </c>
      <c r="AQ2113">
        <v>-100</v>
      </c>
      <c r="AR2113">
        <v>1536</v>
      </c>
      <c r="AZ2113">
        <v>4516</v>
      </c>
      <c r="BA2113">
        <v>1</v>
      </c>
      <c r="BB2113" t="str">
        <f t="shared" ref="BB2113:BB2176" si="210">"N79NX   "</f>
        <v xml:space="preserve">N79NX   </v>
      </c>
      <c r="BC2113">
        <v>1</v>
      </c>
      <c r="BE2113">
        <v>0</v>
      </c>
      <c r="BF2113">
        <v>0</v>
      </c>
      <c r="BG2113">
        <v>0</v>
      </c>
      <c r="BH2113">
        <v>3775</v>
      </c>
      <c r="BI2113">
        <v>0</v>
      </c>
      <c r="BJ2113">
        <v>0</v>
      </c>
      <c r="BK2113">
        <v>0</v>
      </c>
      <c r="BL2113">
        <v>0</v>
      </c>
      <c r="BO2113">
        <v>0</v>
      </c>
      <c r="BP2113">
        <v>0</v>
      </c>
      <c r="BW2113" t="str">
        <f>"19:00:46.426"</f>
        <v>19:00:46.426</v>
      </c>
      <c r="BZ2113">
        <v>0</v>
      </c>
      <c r="CA2113">
        <v>1888</v>
      </c>
      <c r="CB2113">
        <v>214.4</v>
      </c>
      <c r="CC2113">
        <v>625.78129999999999</v>
      </c>
      <c r="CD2113">
        <v>1</v>
      </c>
      <c r="CE2113">
        <v>0</v>
      </c>
      <c r="CF2113">
        <v>0</v>
      </c>
      <c r="CG2113">
        <v>1</v>
      </c>
      <c r="CH2113">
        <v>0</v>
      </c>
      <c r="CI2113">
        <v>0</v>
      </c>
      <c r="CJ2113">
        <v>0</v>
      </c>
      <c r="CK2113">
        <v>2</v>
      </c>
      <c r="CL2113">
        <v>0</v>
      </c>
      <c r="CM2113">
        <v>2</v>
      </c>
      <c r="CN2113">
        <v>0</v>
      </c>
      <c r="CO2113">
        <v>6</v>
      </c>
      <c r="CP2113" t="s">
        <v>119</v>
      </c>
      <c r="CQ2113">
        <v>70</v>
      </c>
      <c r="CR2113">
        <v>1</v>
      </c>
      <c r="CW2113">
        <v>3913464</v>
      </c>
      <c r="CY2113">
        <v>0</v>
      </c>
      <c r="CZ2113">
        <v>0</v>
      </c>
      <c r="DA2113">
        <v>1</v>
      </c>
      <c r="DB2113">
        <v>0</v>
      </c>
      <c r="DC2113">
        <v>0</v>
      </c>
      <c r="DD2113">
        <v>0</v>
      </c>
      <c r="DE2113">
        <v>0</v>
      </c>
      <c r="DF2113">
        <v>0</v>
      </c>
      <c r="DG2113">
        <v>0</v>
      </c>
      <c r="DH2113">
        <v>0</v>
      </c>
      <c r="DI2113">
        <v>0</v>
      </c>
    </row>
    <row r="2114" spans="1:113" x14ac:dyDescent="0.3">
      <c r="A2114" t="str">
        <f>"02/13/2022 19:00:47.791"</f>
        <v>02/13/2022 19:00:47.791</v>
      </c>
      <c r="C2114" t="str">
        <f t="shared" si="209"/>
        <v>FFDFD7C0</v>
      </c>
      <c r="D2114" t="s">
        <v>113</v>
      </c>
      <c r="E2114">
        <v>3</v>
      </c>
      <c r="F2114">
        <v>1003</v>
      </c>
      <c r="G2114" t="s">
        <v>114</v>
      </c>
      <c r="J2114" t="s">
        <v>115</v>
      </c>
      <c r="K2114">
        <v>0</v>
      </c>
      <c r="L2114">
        <v>3</v>
      </c>
      <c r="M2114">
        <v>0</v>
      </c>
      <c r="N2114">
        <v>2</v>
      </c>
      <c r="O2114">
        <v>1</v>
      </c>
      <c r="P2114">
        <v>0</v>
      </c>
      <c r="Q2114">
        <v>0</v>
      </c>
      <c r="S2114" t="str">
        <f>"19:00:47.578"</f>
        <v>19:00:47.578</v>
      </c>
      <c r="T2114" t="str">
        <f>"19:00:47.478"</f>
        <v>19:00:47.478</v>
      </c>
      <c r="U2114" t="str">
        <f t="shared" ref="U2114:U2177" si="211">"AAB6EE"</f>
        <v>AAB6EE</v>
      </c>
      <c r="V2114">
        <v>0</v>
      </c>
      <c r="W2114">
        <v>0</v>
      </c>
      <c r="X2114">
        <v>4</v>
      </c>
      <c r="Z2114">
        <v>0</v>
      </c>
      <c r="AA2114">
        <v>8</v>
      </c>
      <c r="AB2114">
        <v>3</v>
      </c>
      <c r="AC2114">
        <v>0</v>
      </c>
      <c r="AD2114">
        <v>10</v>
      </c>
      <c r="AE2114">
        <v>0</v>
      </c>
      <c r="AF2114">
        <v>0</v>
      </c>
      <c r="AG2114">
        <v>2</v>
      </c>
      <c r="AH2114">
        <v>1</v>
      </c>
      <c r="AI2114" t="s">
        <v>1531</v>
      </c>
      <c r="AJ2114">
        <v>34.821897</v>
      </c>
      <c r="AK2114" t="s">
        <v>1532</v>
      </c>
      <c r="AL2114">
        <v>-76.283355</v>
      </c>
      <c r="AM2114">
        <v>25</v>
      </c>
      <c r="AN2114">
        <v>3950</v>
      </c>
      <c r="AO2114" t="s">
        <v>118</v>
      </c>
      <c r="AP2114">
        <v>-33</v>
      </c>
      <c r="AQ2114">
        <v>-110</v>
      </c>
      <c r="AR2114">
        <v>1728</v>
      </c>
      <c r="AZ2114">
        <v>4516</v>
      </c>
      <c r="BA2114">
        <v>1</v>
      </c>
      <c r="BB2114" t="str">
        <f t="shared" si="210"/>
        <v xml:space="preserve">N79NX   </v>
      </c>
      <c r="BC2114">
        <v>1</v>
      </c>
      <c r="BE2114">
        <v>0</v>
      </c>
      <c r="BF2114">
        <v>0</v>
      </c>
      <c r="BG2114">
        <v>0</v>
      </c>
      <c r="BH2114">
        <v>3775</v>
      </c>
      <c r="BI2114">
        <v>0</v>
      </c>
      <c r="BJ2114">
        <v>0</v>
      </c>
      <c r="BK2114">
        <v>0</v>
      </c>
      <c r="BL2114">
        <v>0</v>
      </c>
      <c r="BO2114">
        <v>0</v>
      </c>
      <c r="BP2114">
        <v>0</v>
      </c>
      <c r="BW2114" t="str">
        <f>"19:00:47.586"</f>
        <v>19:00:47.586</v>
      </c>
      <c r="BZ2114">
        <v>0</v>
      </c>
      <c r="CA2114">
        <v>1888</v>
      </c>
      <c r="CB2114">
        <v>214.4</v>
      </c>
      <c r="CC2114">
        <v>625.78129999999999</v>
      </c>
      <c r="CD2114">
        <v>1</v>
      </c>
      <c r="CE2114">
        <v>0</v>
      </c>
      <c r="CF2114">
        <v>0</v>
      </c>
      <c r="CG2114">
        <v>1</v>
      </c>
      <c r="CH2114">
        <v>0</v>
      </c>
      <c r="CI2114">
        <v>0</v>
      </c>
      <c r="CJ2114">
        <v>0</v>
      </c>
      <c r="CK2114">
        <v>2</v>
      </c>
      <c r="CL2114">
        <v>0</v>
      </c>
      <c r="CM2114">
        <v>2</v>
      </c>
      <c r="CN2114">
        <v>0</v>
      </c>
      <c r="CO2114">
        <v>6</v>
      </c>
      <c r="CP2114" t="s">
        <v>119</v>
      </c>
      <c r="CQ2114">
        <v>70</v>
      </c>
      <c r="CR2114">
        <v>1</v>
      </c>
      <c r="CW2114">
        <v>3914449</v>
      </c>
      <c r="CY2114">
        <v>0</v>
      </c>
      <c r="CZ2114">
        <v>0</v>
      </c>
      <c r="DA2114">
        <v>0</v>
      </c>
      <c r="DB2114">
        <v>0</v>
      </c>
      <c r="DC2114">
        <v>0</v>
      </c>
      <c r="DD2114">
        <v>0</v>
      </c>
      <c r="DE2114">
        <v>0</v>
      </c>
      <c r="DF2114">
        <v>0</v>
      </c>
      <c r="DG2114">
        <v>0</v>
      </c>
      <c r="DH2114">
        <v>0</v>
      </c>
      <c r="DI2114">
        <v>0</v>
      </c>
    </row>
    <row r="2115" spans="1:113" x14ac:dyDescent="0.3">
      <c r="A2115" t="str">
        <f>"02/13/2022 19:00:47.806"</f>
        <v>02/13/2022 19:00:47.806</v>
      </c>
      <c r="C2115" t="str">
        <f t="shared" si="209"/>
        <v>FFDFD7C0</v>
      </c>
      <c r="D2115" t="s">
        <v>113</v>
      </c>
      <c r="E2115">
        <v>4</v>
      </c>
      <c r="F2115">
        <v>1004</v>
      </c>
      <c r="G2115" t="s">
        <v>120</v>
      </c>
      <c r="J2115" t="s">
        <v>115</v>
      </c>
      <c r="K2115">
        <v>0</v>
      </c>
      <c r="L2115">
        <v>3</v>
      </c>
      <c r="M2115">
        <v>0</v>
      </c>
      <c r="N2115">
        <v>2</v>
      </c>
      <c r="O2115">
        <v>1</v>
      </c>
      <c r="P2115">
        <v>0</v>
      </c>
      <c r="Q2115">
        <v>0</v>
      </c>
      <c r="S2115" t="str">
        <f>"19:00:47.578"</f>
        <v>19:00:47.578</v>
      </c>
      <c r="T2115" t="str">
        <f>"19:00:47.478"</f>
        <v>19:00:47.478</v>
      </c>
      <c r="U2115" t="str">
        <f t="shared" si="211"/>
        <v>AAB6EE</v>
      </c>
      <c r="V2115">
        <v>0</v>
      </c>
      <c r="W2115">
        <v>0</v>
      </c>
      <c r="X2115">
        <v>4</v>
      </c>
      <c r="Z2115">
        <v>0</v>
      </c>
      <c r="AA2115">
        <v>8</v>
      </c>
      <c r="AB2115">
        <v>3</v>
      </c>
      <c r="AC2115">
        <v>0</v>
      </c>
      <c r="AD2115">
        <v>10</v>
      </c>
      <c r="AE2115">
        <v>0</v>
      </c>
      <c r="AF2115">
        <v>0</v>
      </c>
      <c r="AG2115">
        <v>2</v>
      </c>
      <c r="AH2115">
        <v>1</v>
      </c>
      <c r="AI2115" t="s">
        <v>1531</v>
      </c>
      <c r="AJ2115">
        <v>34.821897</v>
      </c>
      <c r="AK2115" t="s">
        <v>1532</v>
      </c>
      <c r="AL2115">
        <v>-76.283355</v>
      </c>
      <c r="AM2115">
        <v>25</v>
      </c>
      <c r="AN2115">
        <v>3950</v>
      </c>
      <c r="AO2115" t="s">
        <v>118</v>
      </c>
      <c r="AP2115">
        <v>-33</v>
      </c>
      <c r="AQ2115">
        <v>-110</v>
      </c>
      <c r="AR2115">
        <v>1728</v>
      </c>
      <c r="AZ2115">
        <v>4516</v>
      </c>
      <c r="BA2115">
        <v>1</v>
      </c>
      <c r="BB2115" t="str">
        <f t="shared" si="210"/>
        <v xml:space="preserve">N79NX   </v>
      </c>
      <c r="BC2115">
        <v>1</v>
      </c>
      <c r="BE2115">
        <v>0</v>
      </c>
      <c r="BF2115">
        <v>0</v>
      </c>
      <c r="BG2115">
        <v>0</v>
      </c>
      <c r="BH2115">
        <v>3775</v>
      </c>
      <c r="BI2115">
        <v>0</v>
      </c>
      <c r="BJ2115">
        <v>0</v>
      </c>
      <c r="BK2115">
        <v>0</v>
      </c>
      <c r="BL2115">
        <v>0</v>
      </c>
      <c r="BO2115">
        <v>0</v>
      </c>
      <c r="BP2115">
        <v>0</v>
      </c>
      <c r="BW2115" t="str">
        <f>"19:00:47.586"</f>
        <v>19:00:47.586</v>
      </c>
      <c r="BZ2115">
        <v>0</v>
      </c>
      <c r="CA2115">
        <v>1888</v>
      </c>
      <c r="CB2115">
        <v>214.4</v>
      </c>
      <c r="CC2115">
        <v>625.78129999999999</v>
      </c>
      <c r="CD2115">
        <v>1</v>
      </c>
      <c r="CE2115">
        <v>0</v>
      </c>
      <c r="CF2115">
        <v>0</v>
      </c>
      <c r="CG2115">
        <v>1</v>
      </c>
      <c r="CH2115">
        <v>0</v>
      </c>
      <c r="CI2115">
        <v>0</v>
      </c>
      <c r="CJ2115">
        <v>0</v>
      </c>
      <c r="CK2115">
        <v>2</v>
      </c>
      <c r="CL2115">
        <v>0</v>
      </c>
      <c r="CM2115">
        <v>2</v>
      </c>
      <c r="CN2115">
        <v>0</v>
      </c>
      <c r="CO2115">
        <v>6</v>
      </c>
      <c r="CP2115" t="s">
        <v>119</v>
      </c>
      <c r="CQ2115">
        <v>70</v>
      </c>
      <c r="CR2115">
        <v>1</v>
      </c>
      <c r="CW2115">
        <v>3914449</v>
      </c>
      <c r="CY2115">
        <v>0</v>
      </c>
      <c r="CZ2115">
        <v>0</v>
      </c>
      <c r="DA2115">
        <v>1</v>
      </c>
      <c r="DB2115">
        <v>0</v>
      </c>
      <c r="DC2115">
        <v>0</v>
      </c>
      <c r="DD2115">
        <v>0</v>
      </c>
      <c r="DE2115">
        <v>0</v>
      </c>
      <c r="DF2115">
        <v>0</v>
      </c>
      <c r="DG2115">
        <v>0</v>
      </c>
      <c r="DH2115">
        <v>0</v>
      </c>
      <c r="DI2115">
        <v>0</v>
      </c>
    </row>
    <row r="2116" spans="1:113" x14ac:dyDescent="0.3">
      <c r="A2116" t="str">
        <f>"02/13/2022 19:00:47.837"</f>
        <v>02/13/2022 19:00:47.837</v>
      </c>
      <c r="C2116" t="str">
        <f t="shared" si="209"/>
        <v>FFDFD7C0</v>
      </c>
      <c r="D2116" t="s">
        <v>121</v>
      </c>
      <c r="E2116">
        <v>2</v>
      </c>
      <c r="H2116">
        <v>158</v>
      </c>
      <c r="I2116" t="s">
        <v>120</v>
      </c>
      <c r="J2116" t="s">
        <v>122</v>
      </c>
      <c r="K2116">
        <v>0</v>
      </c>
      <c r="L2116">
        <v>3</v>
      </c>
      <c r="M2116">
        <v>0</v>
      </c>
      <c r="N2116">
        <v>2</v>
      </c>
      <c r="O2116">
        <v>1</v>
      </c>
      <c r="P2116">
        <v>0</v>
      </c>
      <c r="Q2116">
        <v>0</v>
      </c>
      <c r="S2116" t="str">
        <f>"19:00:47.578"</f>
        <v>19:00:47.578</v>
      </c>
      <c r="T2116" t="str">
        <f>"19:00:47.478"</f>
        <v>19:00:47.478</v>
      </c>
      <c r="U2116" t="str">
        <f t="shared" si="211"/>
        <v>AAB6EE</v>
      </c>
      <c r="V2116">
        <v>0</v>
      </c>
      <c r="W2116">
        <v>0</v>
      </c>
      <c r="X2116">
        <v>4</v>
      </c>
      <c r="Z2116">
        <v>0</v>
      </c>
      <c r="AA2116">
        <v>8</v>
      </c>
      <c r="AB2116">
        <v>3</v>
      </c>
      <c r="AC2116">
        <v>0</v>
      </c>
      <c r="AD2116">
        <v>10</v>
      </c>
      <c r="AE2116">
        <v>0</v>
      </c>
      <c r="AF2116">
        <v>0</v>
      </c>
      <c r="AG2116">
        <v>2</v>
      </c>
      <c r="AH2116">
        <v>1</v>
      </c>
      <c r="AI2116" t="s">
        <v>1531</v>
      </c>
      <c r="AJ2116">
        <v>34.821897</v>
      </c>
      <c r="AK2116" t="s">
        <v>1532</v>
      </c>
      <c r="AL2116">
        <v>-76.283355</v>
      </c>
      <c r="AM2116">
        <v>25</v>
      </c>
      <c r="AN2116">
        <v>3950</v>
      </c>
      <c r="AO2116" t="s">
        <v>118</v>
      </c>
      <c r="AP2116">
        <v>-33</v>
      </c>
      <c r="AQ2116">
        <v>-110</v>
      </c>
      <c r="AR2116">
        <v>1728</v>
      </c>
      <c r="AZ2116">
        <v>4516</v>
      </c>
      <c r="BA2116">
        <v>1</v>
      </c>
      <c r="BB2116" t="str">
        <f t="shared" si="210"/>
        <v xml:space="preserve">N79NX   </v>
      </c>
      <c r="BC2116">
        <v>1</v>
      </c>
      <c r="BE2116">
        <v>0</v>
      </c>
      <c r="BF2116">
        <v>0</v>
      </c>
      <c r="BG2116">
        <v>0</v>
      </c>
      <c r="BH2116">
        <v>3775</v>
      </c>
      <c r="BI2116">
        <v>0</v>
      </c>
      <c r="BJ2116">
        <v>0</v>
      </c>
      <c r="BK2116">
        <v>0</v>
      </c>
      <c r="BL2116">
        <v>0</v>
      </c>
      <c r="BO2116">
        <v>0</v>
      </c>
      <c r="BP2116">
        <v>0</v>
      </c>
      <c r="BW2116" t="str">
        <f>"19:00:47.586"</f>
        <v>19:00:47.586</v>
      </c>
      <c r="BZ2116">
        <v>0</v>
      </c>
      <c r="CA2116">
        <v>1888</v>
      </c>
      <c r="CB2116">
        <v>214.4</v>
      </c>
      <c r="CC2116">
        <v>625.78129999999999</v>
      </c>
      <c r="CD2116">
        <v>1</v>
      </c>
      <c r="CE2116">
        <v>0</v>
      </c>
      <c r="CF2116">
        <v>0</v>
      </c>
      <c r="CG2116">
        <v>1</v>
      </c>
      <c r="CH2116">
        <v>0</v>
      </c>
      <c r="CI2116">
        <v>0</v>
      </c>
      <c r="CJ2116">
        <v>0</v>
      </c>
      <c r="CK2116">
        <v>2</v>
      </c>
      <c r="CL2116">
        <v>0</v>
      </c>
      <c r="CM2116">
        <v>2</v>
      </c>
      <c r="CN2116">
        <v>0</v>
      </c>
      <c r="CO2116">
        <v>6</v>
      </c>
      <c r="CP2116" t="s">
        <v>119</v>
      </c>
      <c r="CQ2116">
        <v>70</v>
      </c>
      <c r="CR2116">
        <v>1</v>
      </c>
      <c r="CW2116">
        <v>3914449</v>
      </c>
      <c r="CY2116">
        <v>0</v>
      </c>
      <c r="CZ2116">
        <v>0</v>
      </c>
      <c r="DA2116">
        <v>1</v>
      </c>
      <c r="DB2116">
        <v>0</v>
      </c>
      <c r="DC2116">
        <v>0</v>
      </c>
      <c r="DD2116">
        <v>0</v>
      </c>
      <c r="DE2116">
        <v>0</v>
      </c>
      <c r="DF2116">
        <v>0</v>
      </c>
      <c r="DG2116">
        <v>0</v>
      </c>
      <c r="DH2116">
        <v>0</v>
      </c>
      <c r="DI2116">
        <v>0</v>
      </c>
    </row>
    <row r="2117" spans="1:113" x14ac:dyDescent="0.3">
      <c r="A2117" t="str">
        <f>"02/13/2022 19:00:49.291"</f>
        <v>02/13/2022 19:00:49.291</v>
      </c>
      <c r="C2117" t="str">
        <f t="shared" si="209"/>
        <v>FFDFD7C0</v>
      </c>
      <c r="D2117" t="s">
        <v>113</v>
      </c>
      <c r="E2117">
        <v>4</v>
      </c>
      <c r="F2117">
        <v>1004</v>
      </c>
      <c r="G2117" t="s">
        <v>120</v>
      </c>
      <c r="J2117" t="s">
        <v>115</v>
      </c>
      <c r="K2117">
        <v>0</v>
      </c>
      <c r="L2117">
        <v>3</v>
      </c>
      <c r="M2117">
        <v>0</v>
      </c>
      <c r="N2117">
        <v>2</v>
      </c>
      <c r="O2117">
        <v>1</v>
      </c>
      <c r="P2117">
        <v>0</v>
      </c>
      <c r="Q2117">
        <v>0</v>
      </c>
      <c r="S2117" t="str">
        <f>"19:00:49.063"</f>
        <v>19:00:49.063</v>
      </c>
      <c r="T2117" t="str">
        <f>"19:00:48.563"</f>
        <v>19:00:48.563</v>
      </c>
      <c r="U2117" t="str">
        <f t="shared" si="211"/>
        <v>AAB6EE</v>
      </c>
      <c r="V2117">
        <v>0</v>
      </c>
      <c r="W2117">
        <v>0</v>
      </c>
      <c r="X2117">
        <v>4</v>
      </c>
      <c r="Z2117">
        <v>0</v>
      </c>
      <c r="AA2117">
        <v>8</v>
      </c>
      <c r="AB2117">
        <v>3</v>
      </c>
      <c r="AC2117">
        <v>0</v>
      </c>
      <c r="AD2117">
        <v>10</v>
      </c>
      <c r="AE2117">
        <v>0</v>
      </c>
      <c r="AF2117">
        <v>0</v>
      </c>
      <c r="AG2117">
        <v>2</v>
      </c>
      <c r="AH2117">
        <v>1</v>
      </c>
      <c r="AI2117" t="s">
        <v>1533</v>
      </c>
      <c r="AJ2117">
        <v>34.821081</v>
      </c>
      <c r="AK2117" t="s">
        <v>1534</v>
      </c>
      <c r="AL2117">
        <v>-76.283569</v>
      </c>
      <c r="AM2117">
        <v>25</v>
      </c>
      <c r="AN2117">
        <v>4000</v>
      </c>
      <c r="AO2117" t="s">
        <v>118</v>
      </c>
      <c r="AP2117">
        <v>-24</v>
      </c>
      <c r="AQ2117">
        <v>-115</v>
      </c>
      <c r="AR2117">
        <v>1792</v>
      </c>
      <c r="AZ2117">
        <v>4516</v>
      </c>
      <c r="BA2117">
        <v>1</v>
      </c>
      <c r="BB2117" t="str">
        <f t="shared" si="210"/>
        <v xml:space="preserve">N79NX   </v>
      </c>
      <c r="BC2117">
        <v>1</v>
      </c>
      <c r="BE2117">
        <v>0</v>
      </c>
      <c r="BF2117">
        <v>0</v>
      </c>
      <c r="BG2117">
        <v>0</v>
      </c>
      <c r="BH2117">
        <v>3850</v>
      </c>
      <c r="BI2117">
        <v>0</v>
      </c>
      <c r="BJ2117">
        <v>0</v>
      </c>
      <c r="BK2117">
        <v>0</v>
      </c>
      <c r="BL2117">
        <v>0</v>
      </c>
      <c r="BO2117">
        <v>0</v>
      </c>
      <c r="BP2117">
        <v>0</v>
      </c>
      <c r="BW2117" t="str">
        <f>"19:00:49.066"</f>
        <v>19:00:49.066</v>
      </c>
      <c r="BZ2117">
        <v>0</v>
      </c>
      <c r="CA2117">
        <v>1888</v>
      </c>
      <c r="CB2117">
        <v>214.4</v>
      </c>
      <c r="CC2117">
        <v>625.78129999999999</v>
      </c>
      <c r="CD2117">
        <v>1</v>
      </c>
      <c r="CE2117">
        <v>0</v>
      </c>
      <c r="CF2117">
        <v>0</v>
      </c>
      <c r="CG2117">
        <v>1</v>
      </c>
      <c r="CH2117">
        <v>0</v>
      </c>
      <c r="CI2117">
        <v>0</v>
      </c>
      <c r="CJ2117">
        <v>0</v>
      </c>
      <c r="CK2117">
        <v>2</v>
      </c>
      <c r="CL2117">
        <v>0</v>
      </c>
      <c r="CM2117">
        <v>2</v>
      </c>
      <c r="CN2117">
        <v>0</v>
      </c>
      <c r="CO2117">
        <v>4</v>
      </c>
      <c r="CP2117" t="s">
        <v>119</v>
      </c>
      <c r="CQ2117">
        <v>70</v>
      </c>
      <c r="CR2117">
        <v>1</v>
      </c>
      <c r="CW2117">
        <v>3915641</v>
      </c>
      <c r="CY2117">
        <v>0</v>
      </c>
      <c r="CZ2117">
        <v>0</v>
      </c>
      <c r="DA2117">
        <v>0</v>
      </c>
      <c r="DB2117">
        <v>0</v>
      </c>
      <c r="DC2117">
        <v>0</v>
      </c>
      <c r="DD2117">
        <v>0</v>
      </c>
      <c r="DE2117">
        <v>0</v>
      </c>
      <c r="DF2117">
        <v>0</v>
      </c>
      <c r="DG2117">
        <v>0</v>
      </c>
      <c r="DH2117">
        <v>0</v>
      </c>
      <c r="DI2117">
        <v>0</v>
      </c>
    </row>
    <row r="2118" spans="1:113" x14ac:dyDescent="0.3">
      <c r="A2118" t="str">
        <f>"02/13/2022 19:00:49.291"</f>
        <v>02/13/2022 19:00:49.291</v>
      </c>
      <c r="C2118" t="str">
        <f t="shared" si="209"/>
        <v>FFDFD7C0</v>
      </c>
      <c r="D2118" t="s">
        <v>121</v>
      </c>
      <c r="E2118">
        <v>2</v>
      </c>
      <c r="H2118">
        <v>158</v>
      </c>
      <c r="I2118" t="s">
        <v>120</v>
      </c>
      <c r="J2118" t="s">
        <v>122</v>
      </c>
      <c r="K2118">
        <v>0</v>
      </c>
      <c r="L2118">
        <v>3</v>
      </c>
      <c r="M2118">
        <v>0</v>
      </c>
      <c r="N2118">
        <v>2</v>
      </c>
      <c r="O2118">
        <v>1</v>
      </c>
      <c r="P2118">
        <v>0</v>
      </c>
      <c r="Q2118">
        <v>0</v>
      </c>
      <c r="S2118" t="str">
        <f>"19:00:49.063"</f>
        <v>19:00:49.063</v>
      </c>
      <c r="T2118" t="str">
        <f>"19:00:48.563"</f>
        <v>19:00:48.563</v>
      </c>
      <c r="U2118" t="str">
        <f t="shared" si="211"/>
        <v>AAB6EE</v>
      </c>
      <c r="V2118">
        <v>0</v>
      </c>
      <c r="W2118">
        <v>0</v>
      </c>
      <c r="X2118">
        <v>4</v>
      </c>
      <c r="Z2118">
        <v>0</v>
      </c>
      <c r="AA2118">
        <v>8</v>
      </c>
      <c r="AB2118">
        <v>3</v>
      </c>
      <c r="AC2118">
        <v>0</v>
      </c>
      <c r="AD2118">
        <v>10</v>
      </c>
      <c r="AE2118">
        <v>0</v>
      </c>
      <c r="AF2118">
        <v>0</v>
      </c>
      <c r="AG2118">
        <v>2</v>
      </c>
      <c r="AH2118">
        <v>1</v>
      </c>
      <c r="AI2118" t="s">
        <v>1533</v>
      </c>
      <c r="AJ2118">
        <v>34.821081</v>
      </c>
      <c r="AK2118" t="s">
        <v>1534</v>
      </c>
      <c r="AL2118">
        <v>-76.283569</v>
      </c>
      <c r="AM2118">
        <v>25</v>
      </c>
      <c r="AN2118">
        <v>4000</v>
      </c>
      <c r="AO2118" t="s">
        <v>118</v>
      </c>
      <c r="AP2118">
        <v>-24</v>
      </c>
      <c r="AQ2118">
        <v>-115</v>
      </c>
      <c r="AR2118">
        <v>1792</v>
      </c>
      <c r="AZ2118">
        <v>4516</v>
      </c>
      <c r="BA2118">
        <v>1</v>
      </c>
      <c r="BB2118" t="str">
        <f t="shared" si="210"/>
        <v xml:space="preserve">N79NX   </v>
      </c>
      <c r="BC2118">
        <v>1</v>
      </c>
      <c r="BE2118">
        <v>0</v>
      </c>
      <c r="BF2118">
        <v>0</v>
      </c>
      <c r="BG2118">
        <v>0</v>
      </c>
      <c r="BH2118">
        <v>3850</v>
      </c>
      <c r="BI2118">
        <v>0</v>
      </c>
      <c r="BJ2118">
        <v>0</v>
      </c>
      <c r="BK2118">
        <v>0</v>
      </c>
      <c r="BL2118">
        <v>0</v>
      </c>
      <c r="BO2118">
        <v>0</v>
      </c>
      <c r="BP2118">
        <v>0</v>
      </c>
      <c r="BW2118" t="str">
        <f>"19:00:49.066"</f>
        <v>19:00:49.066</v>
      </c>
      <c r="BZ2118">
        <v>0</v>
      </c>
      <c r="CA2118">
        <v>1888</v>
      </c>
      <c r="CB2118">
        <v>214.4</v>
      </c>
      <c r="CC2118">
        <v>625.78129999999999</v>
      </c>
      <c r="CD2118">
        <v>1</v>
      </c>
      <c r="CE2118">
        <v>0</v>
      </c>
      <c r="CF2118">
        <v>0</v>
      </c>
      <c r="CG2118">
        <v>1</v>
      </c>
      <c r="CH2118">
        <v>0</v>
      </c>
      <c r="CI2118">
        <v>0</v>
      </c>
      <c r="CJ2118">
        <v>0</v>
      </c>
      <c r="CK2118">
        <v>2</v>
      </c>
      <c r="CL2118">
        <v>0</v>
      </c>
      <c r="CM2118">
        <v>2</v>
      </c>
      <c r="CN2118">
        <v>0</v>
      </c>
      <c r="CO2118">
        <v>4</v>
      </c>
      <c r="CP2118" t="s">
        <v>119</v>
      </c>
      <c r="CQ2118">
        <v>70</v>
      </c>
      <c r="CR2118">
        <v>1</v>
      </c>
      <c r="CW2118">
        <v>3915641</v>
      </c>
      <c r="CY2118">
        <v>0</v>
      </c>
      <c r="CZ2118">
        <v>0</v>
      </c>
      <c r="DA2118">
        <v>1</v>
      </c>
      <c r="DB2118">
        <v>0</v>
      </c>
      <c r="DC2118">
        <v>0</v>
      </c>
      <c r="DD2118">
        <v>0</v>
      </c>
      <c r="DE2118">
        <v>0</v>
      </c>
      <c r="DF2118">
        <v>0</v>
      </c>
      <c r="DG2118">
        <v>0</v>
      </c>
      <c r="DH2118">
        <v>0</v>
      </c>
      <c r="DI2118">
        <v>0</v>
      </c>
    </row>
    <row r="2119" spans="1:113" x14ac:dyDescent="0.3">
      <c r="A2119" t="str">
        <f>"02/13/2022 19:00:49.291"</f>
        <v>02/13/2022 19:00:49.291</v>
      </c>
      <c r="C2119" t="str">
        <f t="shared" si="209"/>
        <v>FFDFD7C0</v>
      </c>
      <c r="D2119" t="s">
        <v>113</v>
      </c>
      <c r="E2119">
        <v>3</v>
      </c>
      <c r="F2119">
        <v>1003</v>
      </c>
      <c r="G2119" t="s">
        <v>114</v>
      </c>
      <c r="J2119" t="s">
        <v>115</v>
      </c>
      <c r="K2119">
        <v>0</v>
      </c>
      <c r="L2119">
        <v>3</v>
      </c>
      <c r="M2119">
        <v>0</v>
      </c>
      <c r="N2119">
        <v>2</v>
      </c>
      <c r="O2119">
        <v>1</v>
      </c>
      <c r="P2119">
        <v>0</v>
      </c>
      <c r="Q2119">
        <v>0</v>
      </c>
      <c r="S2119" t="str">
        <f>"19:00:49.063"</f>
        <v>19:00:49.063</v>
      </c>
      <c r="T2119" t="str">
        <f>"19:00:48.563"</f>
        <v>19:00:48.563</v>
      </c>
      <c r="U2119" t="str">
        <f t="shared" si="211"/>
        <v>AAB6EE</v>
      </c>
      <c r="V2119">
        <v>0</v>
      </c>
      <c r="W2119">
        <v>0</v>
      </c>
      <c r="X2119">
        <v>4</v>
      </c>
      <c r="Z2119">
        <v>0</v>
      </c>
      <c r="AA2119">
        <v>8</v>
      </c>
      <c r="AB2119">
        <v>3</v>
      </c>
      <c r="AC2119">
        <v>0</v>
      </c>
      <c r="AD2119">
        <v>10</v>
      </c>
      <c r="AE2119">
        <v>0</v>
      </c>
      <c r="AF2119">
        <v>0</v>
      </c>
      <c r="AG2119">
        <v>2</v>
      </c>
      <c r="AH2119">
        <v>1</v>
      </c>
      <c r="AI2119" t="s">
        <v>1533</v>
      </c>
      <c r="AJ2119">
        <v>34.821081</v>
      </c>
      <c r="AK2119" t="s">
        <v>1534</v>
      </c>
      <c r="AL2119">
        <v>-76.283569</v>
      </c>
      <c r="AM2119">
        <v>25</v>
      </c>
      <c r="AN2119">
        <v>4000</v>
      </c>
      <c r="AO2119" t="s">
        <v>118</v>
      </c>
      <c r="AP2119">
        <v>-24</v>
      </c>
      <c r="AQ2119">
        <v>-115</v>
      </c>
      <c r="AR2119">
        <v>1792</v>
      </c>
      <c r="AZ2119">
        <v>4516</v>
      </c>
      <c r="BA2119">
        <v>1</v>
      </c>
      <c r="BB2119" t="str">
        <f t="shared" si="210"/>
        <v xml:space="preserve">N79NX   </v>
      </c>
      <c r="BC2119">
        <v>1</v>
      </c>
      <c r="BE2119">
        <v>0</v>
      </c>
      <c r="BF2119">
        <v>0</v>
      </c>
      <c r="BG2119">
        <v>0</v>
      </c>
      <c r="BH2119">
        <v>3850</v>
      </c>
      <c r="BI2119">
        <v>0</v>
      </c>
      <c r="BJ2119">
        <v>0</v>
      </c>
      <c r="BK2119">
        <v>0</v>
      </c>
      <c r="BL2119">
        <v>0</v>
      </c>
      <c r="BO2119">
        <v>0</v>
      </c>
      <c r="BP2119">
        <v>0</v>
      </c>
      <c r="BW2119" t="str">
        <f>"19:00:49.066"</f>
        <v>19:00:49.066</v>
      </c>
      <c r="BZ2119">
        <v>0</v>
      </c>
      <c r="CA2119">
        <v>1888</v>
      </c>
      <c r="CB2119">
        <v>214.4</v>
      </c>
      <c r="CC2119">
        <v>625.78129999999999</v>
      </c>
      <c r="CD2119">
        <v>1</v>
      </c>
      <c r="CE2119">
        <v>0</v>
      </c>
      <c r="CF2119">
        <v>0</v>
      </c>
      <c r="CG2119">
        <v>1</v>
      </c>
      <c r="CH2119">
        <v>0</v>
      </c>
      <c r="CI2119">
        <v>0</v>
      </c>
      <c r="CJ2119">
        <v>0</v>
      </c>
      <c r="CK2119">
        <v>2</v>
      </c>
      <c r="CL2119">
        <v>0</v>
      </c>
      <c r="CM2119">
        <v>2</v>
      </c>
      <c r="CN2119">
        <v>0</v>
      </c>
      <c r="CO2119">
        <v>4</v>
      </c>
      <c r="CP2119" t="s">
        <v>119</v>
      </c>
      <c r="CQ2119">
        <v>70</v>
      </c>
      <c r="CR2119">
        <v>1</v>
      </c>
      <c r="CW2119">
        <v>3915641</v>
      </c>
      <c r="CY2119">
        <v>0</v>
      </c>
      <c r="CZ2119">
        <v>0</v>
      </c>
      <c r="DA2119">
        <v>1</v>
      </c>
      <c r="DB2119">
        <v>0</v>
      </c>
      <c r="DC2119">
        <v>0</v>
      </c>
      <c r="DD2119">
        <v>0</v>
      </c>
      <c r="DE2119">
        <v>0</v>
      </c>
      <c r="DF2119">
        <v>0</v>
      </c>
      <c r="DG2119">
        <v>0</v>
      </c>
      <c r="DH2119">
        <v>0</v>
      </c>
      <c r="DI2119">
        <v>0</v>
      </c>
    </row>
    <row r="2120" spans="1:113" x14ac:dyDescent="0.3">
      <c r="A2120" t="str">
        <f>"02/13/2022 19:00:50.730"</f>
        <v>02/13/2022 19:00:50.730</v>
      </c>
      <c r="C2120" t="str">
        <f t="shared" si="209"/>
        <v>FFDFD7C0</v>
      </c>
      <c r="D2120" t="s">
        <v>113</v>
      </c>
      <c r="E2120">
        <v>4</v>
      </c>
      <c r="F2120">
        <v>1004</v>
      </c>
      <c r="G2120" t="s">
        <v>120</v>
      </c>
      <c r="J2120" t="s">
        <v>115</v>
      </c>
      <c r="K2120">
        <v>0</v>
      </c>
      <c r="L2120">
        <v>3</v>
      </c>
      <c r="M2120">
        <v>0</v>
      </c>
      <c r="N2120">
        <v>2</v>
      </c>
      <c r="O2120">
        <v>1</v>
      </c>
      <c r="P2120">
        <v>0</v>
      </c>
      <c r="Q2120">
        <v>0</v>
      </c>
      <c r="S2120" t="str">
        <f>"19:00:50.516"</f>
        <v>19:00:50.516</v>
      </c>
      <c r="T2120" t="str">
        <f>"19:00:50.216"</f>
        <v>19:00:50.216</v>
      </c>
      <c r="U2120" t="str">
        <f t="shared" si="211"/>
        <v>AAB6EE</v>
      </c>
      <c r="V2120">
        <v>0</v>
      </c>
      <c r="W2120">
        <v>0</v>
      </c>
      <c r="X2120">
        <v>4</v>
      </c>
      <c r="Z2120">
        <v>0</v>
      </c>
      <c r="AA2120">
        <v>8</v>
      </c>
      <c r="AB2120">
        <v>3</v>
      </c>
      <c r="AC2120">
        <v>0</v>
      </c>
      <c r="AD2120">
        <v>10</v>
      </c>
      <c r="AE2120">
        <v>0</v>
      </c>
      <c r="AF2120">
        <v>0</v>
      </c>
      <c r="AG2120">
        <v>2</v>
      </c>
      <c r="AH2120">
        <v>1</v>
      </c>
      <c r="AI2120" t="s">
        <v>1482</v>
      </c>
      <c r="AJ2120">
        <v>34.820244000000002</v>
      </c>
      <c r="AK2120" t="s">
        <v>1535</v>
      </c>
      <c r="AL2120">
        <v>-76.283676999999997</v>
      </c>
      <c r="AM2120">
        <v>25</v>
      </c>
      <c r="AN2120">
        <v>4050</v>
      </c>
      <c r="AO2120" t="s">
        <v>118</v>
      </c>
      <c r="AP2120">
        <v>-11</v>
      </c>
      <c r="AQ2120">
        <v>-119</v>
      </c>
      <c r="AR2120">
        <v>1984</v>
      </c>
      <c r="AZ2120">
        <v>4516</v>
      </c>
      <c r="BA2120">
        <v>1</v>
      </c>
      <c r="BB2120" t="str">
        <f t="shared" si="210"/>
        <v xml:space="preserve">N79NX   </v>
      </c>
      <c r="BC2120">
        <v>1</v>
      </c>
      <c r="BE2120">
        <v>0</v>
      </c>
      <c r="BF2120">
        <v>0</v>
      </c>
      <c r="BG2120">
        <v>0</v>
      </c>
      <c r="BH2120">
        <v>3875</v>
      </c>
      <c r="BI2120">
        <v>0</v>
      </c>
      <c r="BJ2120">
        <v>0</v>
      </c>
      <c r="BK2120">
        <v>0</v>
      </c>
      <c r="BL2120">
        <v>0</v>
      </c>
      <c r="BO2120">
        <v>0</v>
      </c>
      <c r="BP2120">
        <v>0</v>
      </c>
      <c r="BW2120" t="str">
        <f>"19:00:50.516"</f>
        <v>19:00:50.516</v>
      </c>
      <c r="BZ2120">
        <v>0</v>
      </c>
      <c r="CA2120">
        <v>1888</v>
      </c>
      <c r="CB2120">
        <v>214.4</v>
      </c>
      <c r="CC2120">
        <v>625.78129999999999</v>
      </c>
      <c r="CD2120">
        <v>1</v>
      </c>
      <c r="CE2120">
        <v>0</v>
      </c>
      <c r="CF2120">
        <v>0</v>
      </c>
      <c r="CG2120">
        <v>1</v>
      </c>
      <c r="CH2120">
        <v>0</v>
      </c>
      <c r="CI2120">
        <v>0</v>
      </c>
      <c r="CJ2120">
        <v>0</v>
      </c>
      <c r="CK2120">
        <v>2</v>
      </c>
      <c r="CL2120">
        <v>0</v>
      </c>
      <c r="CM2120">
        <v>2</v>
      </c>
      <c r="CN2120">
        <v>0</v>
      </c>
      <c r="CO2120">
        <v>6</v>
      </c>
      <c r="CP2120" t="s">
        <v>119</v>
      </c>
      <c r="CQ2120">
        <v>70</v>
      </c>
      <c r="CR2120">
        <v>1</v>
      </c>
      <c r="CW2120">
        <v>3916839</v>
      </c>
      <c r="CY2120">
        <v>0</v>
      </c>
      <c r="CZ2120">
        <v>0</v>
      </c>
      <c r="DA2120">
        <v>0</v>
      </c>
      <c r="DB2120">
        <v>0</v>
      </c>
      <c r="DC2120">
        <v>0</v>
      </c>
      <c r="DD2120">
        <v>0</v>
      </c>
      <c r="DE2120">
        <v>0</v>
      </c>
      <c r="DF2120">
        <v>0</v>
      </c>
      <c r="DG2120">
        <v>0</v>
      </c>
      <c r="DH2120">
        <v>0</v>
      </c>
      <c r="DI2120">
        <v>0</v>
      </c>
    </row>
    <row r="2121" spans="1:113" x14ac:dyDescent="0.3">
      <c r="A2121" t="str">
        <f>"02/13/2022 19:00:50.730"</f>
        <v>02/13/2022 19:00:50.730</v>
      </c>
      <c r="C2121" t="str">
        <f t="shared" si="209"/>
        <v>FFDFD7C0</v>
      </c>
      <c r="D2121" t="s">
        <v>113</v>
      </c>
      <c r="E2121">
        <v>3</v>
      </c>
      <c r="F2121">
        <v>1003</v>
      </c>
      <c r="G2121" t="s">
        <v>114</v>
      </c>
      <c r="J2121" t="s">
        <v>115</v>
      </c>
      <c r="K2121">
        <v>0</v>
      </c>
      <c r="L2121">
        <v>3</v>
      </c>
      <c r="M2121">
        <v>0</v>
      </c>
      <c r="N2121">
        <v>2</v>
      </c>
      <c r="O2121">
        <v>1</v>
      </c>
      <c r="P2121">
        <v>0</v>
      </c>
      <c r="Q2121">
        <v>0</v>
      </c>
      <c r="S2121" t="str">
        <f>"19:00:50.516"</f>
        <v>19:00:50.516</v>
      </c>
      <c r="T2121" t="str">
        <f>"19:00:50.216"</f>
        <v>19:00:50.216</v>
      </c>
      <c r="U2121" t="str">
        <f t="shared" si="211"/>
        <v>AAB6EE</v>
      </c>
      <c r="V2121">
        <v>0</v>
      </c>
      <c r="W2121">
        <v>0</v>
      </c>
      <c r="X2121">
        <v>4</v>
      </c>
      <c r="Z2121">
        <v>0</v>
      </c>
      <c r="AA2121">
        <v>8</v>
      </c>
      <c r="AB2121">
        <v>3</v>
      </c>
      <c r="AC2121">
        <v>0</v>
      </c>
      <c r="AD2121">
        <v>10</v>
      </c>
      <c r="AE2121">
        <v>0</v>
      </c>
      <c r="AF2121">
        <v>0</v>
      </c>
      <c r="AG2121">
        <v>2</v>
      </c>
      <c r="AH2121">
        <v>1</v>
      </c>
      <c r="AI2121" t="s">
        <v>1482</v>
      </c>
      <c r="AJ2121">
        <v>34.820244000000002</v>
      </c>
      <c r="AK2121" t="s">
        <v>1535</v>
      </c>
      <c r="AL2121">
        <v>-76.283676999999997</v>
      </c>
      <c r="AM2121">
        <v>25</v>
      </c>
      <c r="AN2121">
        <v>4050</v>
      </c>
      <c r="AO2121" t="s">
        <v>118</v>
      </c>
      <c r="AP2121">
        <v>-11</v>
      </c>
      <c r="AQ2121">
        <v>-119</v>
      </c>
      <c r="AR2121">
        <v>1984</v>
      </c>
      <c r="AZ2121">
        <v>4516</v>
      </c>
      <c r="BA2121">
        <v>1</v>
      </c>
      <c r="BB2121" t="str">
        <f t="shared" si="210"/>
        <v xml:space="preserve">N79NX   </v>
      </c>
      <c r="BC2121">
        <v>1</v>
      </c>
      <c r="BE2121">
        <v>0</v>
      </c>
      <c r="BF2121">
        <v>0</v>
      </c>
      <c r="BG2121">
        <v>0</v>
      </c>
      <c r="BH2121">
        <v>3875</v>
      </c>
      <c r="BI2121">
        <v>0</v>
      </c>
      <c r="BJ2121">
        <v>0</v>
      </c>
      <c r="BK2121">
        <v>0</v>
      </c>
      <c r="BL2121">
        <v>0</v>
      </c>
      <c r="BO2121">
        <v>0</v>
      </c>
      <c r="BP2121">
        <v>0</v>
      </c>
      <c r="BW2121" t="str">
        <f>"19:00:50.516"</f>
        <v>19:00:50.516</v>
      </c>
      <c r="BZ2121">
        <v>0</v>
      </c>
      <c r="CA2121">
        <v>1888</v>
      </c>
      <c r="CB2121">
        <v>214.4</v>
      </c>
      <c r="CC2121">
        <v>625.78129999999999</v>
      </c>
      <c r="CD2121">
        <v>1</v>
      </c>
      <c r="CE2121">
        <v>0</v>
      </c>
      <c r="CF2121">
        <v>0</v>
      </c>
      <c r="CG2121">
        <v>1</v>
      </c>
      <c r="CH2121">
        <v>0</v>
      </c>
      <c r="CI2121">
        <v>0</v>
      </c>
      <c r="CJ2121">
        <v>0</v>
      </c>
      <c r="CK2121">
        <v>2</v>
      </c>
      <c r="CL2121">
        <v>0</v>
      </c>
      <c r="CM2121">
        <v>2</v>
      </c>
      <c r="CN2121">
        <v>0</v>
      </c>
      <c r="CO2121">
        <v>6</v>
      </c>
      <c r="CP2121" t="s">
        <v>119</v>
      </c>
      <c r="CQ2121">
        <v>70</v>
      </c>
      <c r="CR2121">
        <v>1</v>
      </c>
      <c r="CW2121">
        <v>3916839</v>
      </c>
      <c r="CY2121">
        <v>0</v>
      </c>
      <c r="CZ2121">
        <v>0</v>
      </c>
      <c r="DA2121">
        <v>1</v>
      </c>
      <c r="DB2121">
        <v>0</v>
      </c>
      <c r="DC2121">
        <v>0</v>
      </c>
      <c r="DD2121">
        <v>0</v>
      </c>
      <c r="DE2121">
        <v>0</v>
      </c>
      <c r="DF2121">
        <v>0</v>
      </c>
      <c r="DG2121">
        <v>0</v>
      </c>
      <c r="DH2121">
        <v>0</v>
      </c>
      <c r="DI2121">
        <v>0</v>
      </c>
    </row>
    <row r="2122" spans="1:113" x14ac:dyDescent="0.3">
      <c r="A2122" t="str">
        <f>"02/13/2022 19:00:50.777"</f>
        <v>02/13/2022 19:00:50.777</v>
      </c>
      <c r="C2122" t="str">
        <f t="shared" si="209"/>
        <v>FFDFD7C0</v>
      </c>
      <c r="D2122" t="s">
        <v>121</v>
      </c>
      <c r="E2122">
        <v>2</v>
      </c>
      <c r="H2122">
        <v>158</v>
      </c>
      <c r="I2122" t="s">
        <v>120</v>
      </c>
      <c r="J2122" t="s">
        <v>122</v>
      </c>
      <c r="K2122">
        <v>0</v>
      </c>
      <c r="L2122">
        <v>3</v>
      </c>
      <c r="M2122">
        <v>0</v>
      </c>
      <c r="N2122">
        <v>2</v>
      </c>
      <c r="O2122">
        <v>1</v>
      </c>
      <c r="P2122">
        <v>0</v>
      </c>
      <c r="Q2122">
        <v>0</v>
      </c>
      <c r="S2122" t="str">
        <f>"19:00:50.516"</f>
        <v>19:00:50.516</v>
      </c>
      <c r="T2122" t="str">
        <f>"19:00:50.216"</f>
        <v>19:00:50.216</v>
      </c>
      <c r="U2122" t="str">
        <f t="shared" si="211"/>
        <v>AAB6EE</v>
      </c>
      <c r="V2122">
        <v>0</v>
      </c>
      <c r="W2122">
        <v>0</v>
      </c>
      <c r="X2122">
        <v>4</v>
      </c>
      <c r="Z2122">
        <v>0</v>
      </c>
      <c r="AA2122">
        <v>8</v>
      </c>
      <c r="AB2122">
        <v>3</v>
      </c>
      <c r="AC2122">
        <v>0</v>
      </c>
      <c r="AD2122">
        <v>10</v>
      </c>
      <c r="AE2122">
        <v>0</v>
      </c>
      <c r="AF2122">
        <v>0</v>
      </c>
      <c r="AG2122">
        <v>2</v>
      </c>
      <c r="AH2122">
        <v>1</v>
      </c>
      <c r="AI2122" t="s">
        <v>1482</v>
      </c>
      <c r="AJ2122">
        <v>34.820244000000002</v>
      </c>
      <c r="AK2122" t="s">
        <v>1535</v>
      </c>
      <c r="AL2122">
        <v>-76.283676999999997</v>
      </c>
      <c r="AM2122">
        <v>25</v>
      </c>
      <c r="AN2122">
        <v>4050</v>
      </c>
      <c r="AO2122" t="s">
        <v>118</v>
      </c>
      <c r="AP2122">
        <v>-11</v>
      </c>
      <c r="AQ2122">
        <v>-119</v>
      </c>
      <c r="AR2122">
        <v>1984</v>
      </c>
      <c r="AZ2122">
        <v>4516</v>
      </c>
      <c r="BA2122">
        <v>1</v>
      </c>
      <c r="BB2122" t="str">
        <f t="shared" si="210"/>
        <v xml:space="preserve">N79NX   </v>
      </c>
      <c r="BC2122">
        <v>1</v>
      </c>
      <c r="BE2122">
        <v>0</v>
      </c>
      <c r="BF2122">
        <v>0</v>
      </c>
      <c r="BG2122">
        <v>0</v>
      </c>
      <c r="BH2122">
        <v>3875</v>
      </c>
      <c r="BI2122">
        <v>0</v>
      </c>
      <c r="BJ2122">
        <v>0</v>
      </c>
      <c r="BK2122">
        <v>0</v>
      </c>
      <c r="BL2122">
        <v>0</v>
      </c>
      <c r="BO2122">
        <v>0</v>
      </c>
      <c r="BP2122">
        <v>0</v>
      </c>
      <c r="BW2122" t="str">
        <f>"19:00:50.516"</f>
        <v>19:00:50.516</v>
      </c>
      <c r="BZ2122">
        <v>0</v>
      </c>
      <c r="CA2122">
        <v>1888</v>
      </c>
      <c r="CB2122">
        <v>214.4</v>
      </c>
      <c r="CC2122">
        <v>625.78129999999999</v>
      </c>
      <c r="CD2122">
        <v>1</v>
      </c>
      <c r="CE2122">
        <v>0</v>
      </c>
      <c r="CF2122">
        <v>0</v>
      </c>
      <c r="CG2122">
        <v>1</v>
      </c>
      <c r="CH2122">
        <v>0</v>
      </c>
      <c r="CI2122">
        <v>0</v>
      </c>
      <c r="CJ2122">
        <v>0</v>
      </c>
      <c r="CK2122">
        <v>2</v>
      </c>
      <c r="CL2122">
        <v>0</v>
      </c>
      <c r="CM2122">
        <v>2</v>
      </c>
      <c r="CN2122">
        <v>0</v>
      </c>
      <c r="CO2122">
        <v>6</v>
      </c>
      <c r="CP2122" t="s">
        <v>119</v>
      </c>
      <c r="CQ2122">
        <v>70</v>
      </c>
      <c r="CR2122">
        <v>1</v>
      </c>
      <c r="CW2122">
        <v>3916839</v>
      </c>
      <c r="CY2122">
        <v>0</v>
      </c>
      <c r="CZ2122">
        <v>0</v>
      </c>
      <c r="DA2122">
        <v>1</v>
      </c>
      <c r="DB2122">
        <v>0</v>
      </c>
      <c r="DC2122">
        <v>0</v>
      </c>
      <c r="DD2122">
        <v>0</v>
      </c>
      <c r="DE2122">
        <v>0</v>
      </c>
      <c r="DF2122">
        <v>0</v>
      </c>
      <c r="DG2122">
        <v>0</v>
      </c>
      <c r="DH2122">
        <v>0</v>
      </c>
      <c r="DI2122">
        <v>0</v>
      </c>
    </row>
    <row r="2123" spans="1:113" x14ac:dyDescent="0.3">
      <c r="A2123" t="str">
        <f>"02/13/2022 19:00:51.777"</f>
        <v>02/13/2022 19:00:51.777</v>
      </c>
      <c r="C2123" t="str">
        <f t="shared" si="209"/>
        <v>FFDFD7C0</v>
      </c>
      <c r="D2123" t="s">
        <v>121</v>
      </c>
      <c r="E2123">
        <v>2</v>
      </c>
      <c r="H2123">
        <v>158</v>
      </c>
      <c r="I2123" t="s">
        <v>120</v>
      </c>
      <c r="J2123" t="s">
        <v>122</v>
      </c>
      <c r="K2123">
        <v>0</v>
      </c>
      <c r="L2123">
        <v>3</v>
      </c>
      <c r="M2123">
        <v>0</v>
      </c>
      <c r="N2123">
        <v>2</v>
      </c>
      <c r="O2123">
        <v>1</v>
      </c>
      <c r="P2123">
        <v>0</v>
      </c>
      <c r="Q2123">
        <v>0</v>
      </c>
      <c r="S2123" t="str">
        <f t="shared" ref="S2123:T2125" si="212">"19:00:51.563"</f>
        <v>19:00:51.563</v>
      </c>
      <c r="T2123" t="str">
        <f t="shared" si="212"/>
        <v>19:00:51.563</v>
      </c>
      <c r="U2123" t="str">
        <f t="shared" si="211"/>
        <v>AAB6EE</v>
      </c>
      <c r="V2123">
        <v>0</v>
      </c>
      <c r="W2123">
        <v>0</v>
      </c>
      <c r="X2123">
        <v>4</v>
      </c>
      <c r="Z2123">
        <v>0</v>
      </c>
      <c r="AA2123">
        <v>8</v>
      </c>
      <c r="AB2123">
        <v>3</v>
      </c>
      <c r="AC2123">
        <v>0</v>
      </c>
      <c r="AD2123">
        <v>10</v>
      </c>
      <c r="AE2123">
        <v>0</v>
      </c>
      <c r="AF2123">
        <v>0</v>
      </c>
      <c r="AG2123">
        <v>2</v>
      </c>
      <c r="AH2123">
        <v>1</v>
      </c>
      <c r="AI2123" t="s">
        <v>1536</v>
      </c>
      <c r="AJ2123">
        <v>34.819707999999999</v>
      </c>
      <c r="AK2123" t="s">
        <v>1535</v>
      </c>
      <c r="AL2123">
        <v>-76.283676999999997</v>
      </c>
      <c r="AM2123">
        <v>25</v>
      </c>
      <c r="AN2123">
        <v>4075</v>
      </c>
      <c r="AO2123" t="s">
        <v>118</v>
      </c>
      <c r="AP2123">
        <v>-2</v>
      </c>
      <c r="AQ2123">
        <v>-120</v>
      </c>
      <c r="AR2123">
        <v>2560</v>
      </c>
      <c r="AZ2123">
        <v>4516</v>
      </c>
      <c r="BA2123">
        <v>1</v>
      </c>
      <c r="BB2123" t="str">
        <f t="shared" si="210"/>
        <v xml:space="preserve">N79NX   </v>
      </c>
      <c r="BC2123">
        <v>1</v>
      </c>
      <c r="BE2123">
        <v>0</v>
      </c>
      <c r="BF2123">
        <v>0</v>
      </c>
      <c r="BG2123">
        <v>0</v>
      </c>
      <c r="BH2123">
        <v>3925</v>
      </c>
      <c r="BI2123">
        <v>0</v>
      </c>
      <c r="BJ2123">
        <v>0</v>
      </c>
      <c r="BK2123">
        <v>0</v>
      </c>
      <c r="BL2123">
        <v>0</v>
      </c>
      <c r="BO2123">
        <v>0</v>
      </c>
      <c r="BP2123">
        <v>0</v>
      </c>
      <c r="BW2123" t="str">
        <f>"19:00:51.566"</f>
        <v>19:00:51.566</v>
      </c>
      <c r="BZ2123">
        <v>0</v>
      </c>
      <c r="CA2123">
        <v>1888</v>
      </c>
      <c r="CB2123">
        <v>214.4</v>
      </c>
      <c r="CC2123">
        <v>625.78129999999999</v>
      </c>
      <c r="CD2123">
        <v>1</v>
      </c>
      <c r="CE2123">
        <v>0</v>
      </c>
      <c r="CF2123">
        <v>0</v>
      </c>
      <c r="CG2123">
        <v>1</v>
      </c>
      <c r="CH2123">
        <v>0</v>
      </c>
      <c r="CI2123">
        <v>0</v>
      </c>
      <c r="CJ2123">
        <v>0</v>
      </c>
      <c r="CK2123">
        <v>2</v>
      </c>
      <c r="CL2123">
        <v>0</v>
      </c>
      <c r="CM2123">
        <v>2</v>
      </c>
      <c r="CN2123">
        <v>0</v>
      </c>
      <c r="CO2123">
        <v>6</v>
      </c>
      <c r="CP2123" t="s">
        <v>119</v>
      </c>
      <c r="CQ2123">
        <v>70</v>
      </c>
      <c r="CR2123">
        <v>1</v>
      </c>
      <c r="CW2123">
        <v>3917737</v>
      </c>
      <c r="CY2123">
        <v>0</v>
      </c>
      <c r="CZ2123">
        <v>0</v>
      </c>
      <c r="DA2123">
        <v>0</v>
      </c>
      <c r="DB2123">
        <v>0</v>
      </c>
      <c r="DC2123">
        <v>0</v>
      </c>
      <c r="DD2123">
        <v>0</v>
      </c>
      <c r="DE2123">
        <v>0</v>
      </c>
      <c r="DF2123">
        <v>0</v>
      </c>
      <c r="DG2123">
        <v>0</v>
      </c>
      <c r="DH2123">
        <v>0</v>
      </c>
      <c r="DI2123">
        <v>0</v>
      </c>
    </row>
    <row r="2124" spans="1:113" x14ac:dyDescent="0.3">
      <c r="A2124" t="str">
        <f>"02/13/2022 19:00:51.777"</f>
        <v>02/13/2022 19:00:51.777</v>
      </c>
      <c r="C2124" t="str">
        <f t="shared" si="209"/>
        <v>FFDFD7C0</v>
      </c>
      <c r="D2124" t="s">
        <v>113</v>
      </c>
      <c r="E2124">
        <v>3</v>
      </c>
      <c r="F2124">
        <v>1003</v>
      </c>
      <c r="G2124" t="s">
        <v>114</v>
      </c>
      <c r="J2124" t="s">
        <v>115</v>
      </c>
      <c r="K2124">
        <v>0</v>
      </c>
      <c r="L2124">
        <v>3</v>
      </c>
      <c r="M2124">
        <v>0</v>
      </c>
      <c r="N2124">
        <v>2</v>
      </c>
      <c r="O2124">
        <v>1</v>
      </c>
      <c r="P2124">
        <v>0</v>
      </c>
      <c r="Q2124">
        <v>0</v>
      </c>
      <c r="S2124" t="str">
        <f t="shared" si="212"/>
        <v>19:00:51.563</v>
      </c>
      <c r="T2124" t="str">
        <f t="shared" si="212"/>
        <v>19:00:51.563</v>
      </c>
      <c r="U2124" t="str">
        <f t="shared" si="211"/>
        <v>AAB6EE</v>
      </c>
      <c r="V2124">
        <v>0</v>
      </c>
      <c r="W2124">
        <v>0</v>
      </c>
      <c r="X2124">
        <v>4</v>
      </c>
      <c r="Z2124">
        <v>0</v>
      </c>
      <c r="AA2124">
        <v>8</v>
      </c>
      <c r="AB2124">
        <v>3</v>
      </c>
      <c r="AC2124">
        <v>0</v>
      </c>
      <c r="AD2124">
        <v>10</v>
      </c>
      <c r="AE2124">
        <v>0</v>
      </c>
      <c r="AF2124">
        <v>0</v>
      </c>
      <c r="AG2124">
        <v>2</v>
      </c>
      <c r="AH2124">
        <v>1</v>
      </c>
      <c r="AI2124" t="s">
        <v>1536</v>
      </c>
      <c r="AJ2124">
        <v>34.819707999999999</v>
      </c>
      <c r="AK2124" t="s">
        <v>1535</v>
      </c>
      <c r="AL2124">
        <v>-76.283676999999997</v>
      </c>
      <c r="AM2124">
        <v>25</v>
      </c>
      <c r="AN2124">
        <v>4075</v>
      </c>
      <c r="AO2124" t="s">
        <v>118</v>
      </c>
      <c r="AP2124">
        <v>-2</v>
      </c>
      <c r="AQ2124">
        <v>-120</v>
      </c>
      <c r="AR2124">
        <v>2560</v>
      </c>
      <c r="AZ2124">
        <v>4516</v>
      </c>
      <c r="BA2124">
        <v>1</v>
      </c>
      <c r="BB2124" t="str">
        <f t="shared" si="210"/>
        <v xml:space="preserve">N79NX   </v>
      </c>
      <c r="BC2124">
        <v>1</v>
      </c>
      <c r="BE2124">
        <v>0</v>
      </c>
      <c r="BF2124">
        <v>0</v>
      </c>
      <c r="BG2124">
        <v>0</v>
      </c>
      <c r="BH2124">
        <v>3925</v>
      </c>
      <c r="BI2124">
        <v>0</v>
      </c>
      <c r="BJ2124">
        <v>0</v>
      </c>
      <c r="BK2124">
        <v>0</v>
      </c>
      <c r="BL2124">
        <v>0</v>
      </c>
      <c r="BO2124">
        <v>0</v>
      </c>
      <c r="BP2124">
        <v>0</v>
      </c>
      <c r="BW2124" t="str">
        <f>"19:00:51.566"</f>
        <v>19:00:51.566</v>
      </c>
      <c r="BZ2124">
        <v>0</v>
      </c>
      <c r="CA2124">
        <v>1888</v>
      </c>
      <c r="CB2124">
        <v>214.4</v>
      </c>
      <c r="CC2124">
        <v>625.78129999999999</v>
      </c>
      <c r="CD2124">
        <v>1</v>
      </c>
      <c r="CE2124">
        <v>0</v>
      </c>
      <c r="CF2124">
        <v>0</v>
      </c>
      <c r="CG2124">
        <v>1</v>
      </c>
      <c r="CH2124">
        <v>0</v>
      </c>
      <c r="CI2124">
        <v>0</v>
      </c>
      <c r="CJ2124">
        <v>0</v>
      </c>
      <c r="CK2124">
        <v>2</v>
      </c>
      <c r="CL2124">
        <v>0</v>
      </c>
      <c r="CM2124">
        <v>2</v>
      </c>
      <c r="CN2124">
        <v>0</v>
      </c>
      <c r="CO2124">
        <v>6</v>
      </c>
      <c r="CP2124" t="s">
        <v>119</v>
      </c>
      <c r="CQ2124">
        <v>70</v>
      </c>
      <c r="CR2124">
        <v>1</v>
      </c>
      <c r="CW2124">
        <v>3917737</v>
      </c>
      <c r="CY2124">
        <v>0</v>
      </c>
      <c r="CZ2124">
        <v>0</v>
      </c>
      <c r="DA2124">
        <v>1</v>
      </c>
      <c r="DB2124">
        <v>0</v>
      </c>
      <c r="DC2124">
        <v>0</v>
      </c>
      <c r="DD2124">
        <v>0</v>
      </c>
      <c r="DE2124">
        <v>0</v>
      </c>
      <c r="DF2124">
        <v>0</v>
      </c>
      <c r="DG2124">
        <v>0</v>
      </c>
      <c r="DH2124">
        <v>0</v>
      </c>
      <c r="DI2124">
        <v>0</v>
      </c>
    </row>
    <row r="2125" spans="1:113" x14ac:dyDescent="0.3">
      <c r="A2125" t="str">
        <f>"02/13/2022 19:00:51.777"</f>
        <v>02/13/2022 19:00:51.777</v>
      </c>
      <c r="C2125" t="str">
        <f t="shared" si="209"/>
        <v>FFDFD7C0</v>
      </c>
      <c r="D2125" t="s">
        <v>113</v>
      </c>
      <c r="E2125">
        <v>4</v>
      </c>
      <c r="F2125">
        <v>1004</v>
      </c>
      <c r="G2125" t="s">
        <v>120</v>
      </c>
      <c r="J2125" t="s">
        <v>115</v>
      </c>
      <c r="K2125">
        <v>0</v>
      </c>
      <c r="L2125">
        <v>3</v>
      </c>
      <c r="M2125">
        <v>0</v>
      </c>
      <c r="N2125">
        <v>2</v>
      </c>
      <c r="O2125">
        <v>1</v>
      </c>
      <c r="P2125">
        <v>0</v>
      </c>
      <c r="Q2125">
        <v>0</v>
      </c>
      <c r="S2125" t="str">
        <f t="shared" si="212"/>
        <v>19:00:51.563</v>
      </c>
      <c r="T2125" t="str">
        <f t="shared" si="212"/>
        <v>19:00:51.563</v>
      </c>
      <c r="U2125" t="str">
        <f t="shared" si="211"/>
        <v>AAB6EE</v>
      </c>
      <c r="V2125">
        <v>0</v>
      </c>
      <c r="W2125">
        <v>0</v>
      </c>
      <c r="X2125">
        <v>4</v>
      </c>
      <c r="Z2125">
        <v>0</v>
      </c>
      <c r="AA2125">
        <v>8</v>
      </c>
      <c r="AB2125">
        <v>3</v>
      </c>
      <c r="AC2125">
        <v>0</v>
      </c>
      <c r="AD2125">
        <v>10</v>
      </c>
      <c r="AE2125">
        <v>0</v>
      </c>
      <c r="AF2125">
        <v>0</v>
      </c>
      <c r="AG2125">
        <v>2</v>
      </c>
      <c r="AH2125">
        <v>1</v>
      </c>
      <c r="AI2125" t="s">
        <v>1536</v>
      </c>
      <c r="AJ2125">
        <v>34.819707999999999</v>
      </c>
      <c r="AK2125" t="s">
        <v>1535</v>
      </c>
      <c r="AL2125">
        <v>-76.283676999999997</v>
      </c>
      <c r="AM2125">
        <v>25</v>
      </c>
      <c r="AN2125">
        <v>4075</v>
      </c>
      <c r="AO2125" t="s">
        <v>118</v>
      </c>
      <c r="AP2125">
        <v>-2</v>
      </c>
      <c r="AQ2125">
        <v>-120</v>
      </c>
      <c r="AR2125">
        <v>2560</v>
      </c>
      <c r="AZ2125">
        <v>4516</v>
      </c>
      <c r="BA2125">
        <v>1</v>
      </c>
      <c r="BB2125" t="str">
        <f t="shared" si="210"/>
        <v xml:space="preserve">N79NX   </v>
      </c>
      <c r="BC2125">
        <v>1</v>
      </c>
      <c r="BE2125">
        <v>0</v>
      </c>
      <c r="BF2125">
        <v>0</v>
      </c>
      <c r="BG2125">
        <v>0</v>
      </c>
      <c r="BH2125">
        <v>3925</v>
      </c>
      <c r="BI2125">
        <v>0</v>
      </c>
      <c r="BJ2125">
        <v>0</v>
      </c>
      <c r="BK2125">
        <v>0</v>
      </c>
      <c r="BL2125">
        <v>0</v>
      </c>
      <c r="BO2125">
        <v>0</v>
      </c>
      <c r="BP2125">
        <v>0</v>
      </c>
      <c r="BW2125" t="str">
        <f>"19:00:51.566"</f>
        <v>19:00:51.566</v>
      </c>
      <c r="BZ2125">
        <v>0</v>
      </c>
      <c r="CA2125">
        <v>1888</v>
      </c>
      <c r="CB2125">
        <v>214.4</v>
      </c>
      <c r="CC2125">
        <v>625.78129999999999</v>
      </c>
      <c r="CD2125">
        <v>1</v>
      </c>
      <c r="CE2125">
        <v>0</v>
      </c>
      <c r="CF2125">
        <v>0</v>
      </c>
      <c r="CG2125">
        <v>1</v>
      </c>
      <c r="CH2125">
        <v>0</v>
      </c>
      <c r="CI2125">
        <v>0</v>
      </c>
      <c r="CJ2125">
        <v>0</v>
      </c>
      <c r="CK2125">
        <v>2</v>
      </c>
      <c r="CL2125">
        <v>0</v>
      </c>
      <c r="CM2125">
        <v>2</v>
      </c>
      <c r="CN2125">
        <v>0</v>
      </c>
      <c r="CO2125">
        <v>6</v>
      </c>
      <c r="CP2125" t="s">
        <v>119</v>
      </c>
      <c r="CQ2125">
        <v>70</v>
      </c>
      <c r="CR2125">
        <v>1</v>
      </c>
      <c r="CW2125">
        <v>3917737</v>
      </c>
      <c r="CY2125">
        <v>0</v>
      </c>
      <c r="CZ2125">
        <v>0</v>
      </c>
      <c r="DA2125">
        <v>1</v>
      </c>
      <c r="DB2125">
        <v>0</v>
      </c>
      <c r="DC2125">
        <v>0</v>
      </c>
      <c r="DD2125">
        <v>0</v>
      </c>
      <c r="DE2125">
        <v>0</v>
      </c>
      <c r="DF2125">
        <v>0</v>
      </c>
      <c r="DG2125">
        <v>0</v>
      </c>
      <c r="DH2125">
        <v>0</v>
      </c>
      <c r="DI2125">
        <v>0</v>
      </c>
    </row>
    <row r="2126" spans="1:113" x14ac:dyDescent="0.3">
      <c r="A2126" t="str">
        <f>"02/13/2022 19:00:52.794"</f>
        <v>02/13/2022 19:00:52.794</v>
      </c>
      <c r="C2126" t="str">
        <f t="shared" si="209"/>
        <v>FFDFD7C0</v>
      </c>
      <c r="D2126" t="s">
        <v>113</v>
      </c>
      <c r="E2126">
        <v>4</v>
      </c>
      <c r="F2126">
        <v>1004</v>
      </c>
      <c r="G2126" t="s">
        <v>120</v>
      </c>
      <c r="J2126" t="s">
        <v>115</v>
      </c>
      <c r="K2126">
        <v>0</v>
      </c>
      <c r="L2126">
        <v>3</v>
      </c>
      <c r="M2126">
        <v>0</v>
      </c>
      <c r="N2126">
        <v>2</v>
      </c>
      <c r="O2126">
        <v>1</v>
      </c>
      <c r="P2126">
        <v>0</v>
      </c>
      <c r="Q2126">
        <v>0</v>
      </c>
      <c r="S2126" t="str">
        <f t="shared" ref="S2126:T2128" si="213">"19:00:52.492"</f>
        <v>19:00:52.492</v>
      </c>
      <c r="T2126" t="str">
        <f t="shared" si="213"/>
        <v>19:00:52.492</v>
      </c>
      <c r="U2126" t="str">
        <f t="shared" si="211"/>
        <v>AAB6EE</v>
      </c>
      <c r="V2126">
        <v>0</v>
      </c>
      <c r="W2126">
        <v>0</v>
      </c>
      <c r="X2126">
        <v>4</v>
      </c>
      <c r="Z2126">
        <v>0</v>
      </c>
      <c r="AA2126">
        <v>8</v>
      </c>
      <c r="AB2126">
        <v>3</v>
      </c>
      <c r="AC2126">
        <v>0</v>
      </c>
      <c r="AD2126">
        <v>10</v>
      </c>
      <c r="AE2126">
        <v>0</v>
      </c>
      <c r="AF2126">
        <v>0</v>
      </c>
      <c r="AG2126">
        <v>2</v>
      </c>
      <c r="AH2126">
        <v>1</v>
      </c>
      <c r="AI2126" t="s">
        <v>1537</v>
      </c>
      <c r="AJ2126">
        <v>34.819214000000002</v>
      </c>
      <c r="AK2126" t="s">
        <v>1535</v>
      </c>
      <c r="AL2126">
        <v>-76.283676999999997</v>
      </c>
      <c r="AM2126">
        <v>25</v>
      </c>
      <c r="AN2126">
        <v>4125</v>
      </c>
      <c r="AO2126" t="s">
        <v>118</v>
      </c>
      <c r="AP2126">
        <v>4</v>
      </c>
      <c r="AQ2126">
        <v>-120</v>
      </c>
      <c r="AR2126">
        <v>2944</v>
      </c>
      <c r="AZ2126">
        <v>4516</v>
      </c>
      <c r="BA2126">
        <v>1</v>
      </c>
      <c r="BB2126" t="str">
        <f t="shared" si="210"/>
        <v xml:space="preserve">N79NX   </v>
      </c>
      <c r="BC2126">
        <v>1</v>
      </c>
      <c r="BE2126">
        <v>0</v>
      </c>
      <c r="BF2126">
        <v>0</v>
      </c>
      <c r="BG2126">
        <v>0</v>
      </c>
      <c r="BH2126">
        <v>3975</v>
      </c>
      <c r="BI2126">
        <v>0</v>
      </c>
      <c r="BJ2126">
        <v>0</v>
      </c>
      <c r="BK2126">
        <v>0</v>
      </c>
      <c r="BL2126">
        <v>0</v>
      </c>
      <c r="BO2126">
        <v>0</v>
      </c>
      <c r="BP2126">
        <v>0</v>
      </c>
      <c r="BW2126" t="str">
        <f>"19:00:52.496"</f>
        <v>19:00:52.496</v>
      </c>
      <c r="BZ2126">
        <v>0</v>
      </c>
      <c r="CA2126">
        <v>1888</v>
      </c>
      <c r="CB2126">
        <v>214.4</v>
      </c>
      <c r="CC2126">
        <v>625.78129999999999</v>
      </c>
      <c r="CD2126">
        <v>1</v>
      </c>
      <c r="CE2126">
        <v>0</v>
      </c>
      <c r="CF2126">
        <v>0</v>
      </c>
      <c r="CG2126">
        <v>1</v>
      </c>
      <c r="CH2126">
        <v>0</v>
      </c>
      <c r="CI2126">
        <v>0</v>
      </c>
      <c r="CJ2126">
        <v>0</v>
      </c>
      <c r="CK2126">
        <v>2</v>
      </c>
      <c r="CL2126">
        <v>0</v>
      </c>
      <c r="CM2126">
        <v>2</v>
      </c>
      <c r="CN2126">
        <v>0</v>
      </c>
      <c r="CO2126">
        <v>6</v>
      </c>
      <c r="CP2126" t="s">
        <v>119</v>
      </c>
      <c r="CQ2126">
        <v>70</v>
      </c>
      <c r="CR2126">
        <v>0</v>
      </c>
      <c r="CW2126">
        <v>1698402</v>
      </c>
      <c r="CY2126">
        <v>0</v>
      </c>
      <c r="CZ2126">
        <v>0</v>
      </c>
      <c r="DA2126">
        <v>0</v>
      </c>
      <c r="DB2126">
        <v>0</v>
      </c>
      <c r="DC2126">
        <v>0</v>
      </c>
      <c r="DD2126">
        <v>0</v>
      </c>
      <c r="DE2126">
        <v>0</v>
      </c>
      <c r="DF2126">
        <v>0</v>
      </c>
      <c r="DG2126">
        <v>0</v>
      </c>
      <c r="DH2126">
        <v>0</v>
      </c>
      <c r="DI2126">
        <v>0</v>
      </c>
    </row>
    <row r="2127" spans="1:113" x14ac:dyDescent="0.3">
      <c r="A2127" t="str">
        <f>"02/13/2022 19:00:52.810"</f>
        <v>02/13/2022 19:00:52.810</v>
      </c>
      <c r="C2127" t="str">
        <f t="shared" si="209"/>
        <v>FFDFD7C0</v>
      </c>
      <c r="D2127" t="s">
        <v>121</v>
      </c>
      <c r="E2127">
        <v>2</v>
      </c>
      <c r="H2127">
        <v>158</v>
      </c>
      <c r="I2127" t="s">
        <v>120</v>
      </c>
      <c r="J2127" t="s">
        <v>122</v>
      </c>
      <c r="K2127">
        <v>0</v>
      </c>
      <c r="L2127">
        <v>3</v>
      </c>
      <c r="M2127">
        <v>0</v>
      </c>
      <c r="N2127">
        <v>2</v>
      </c>
      <c r="O2127">
        <v>1</v>
      </c>
      <c r="P2127">
        <v>0</v>
      </c>
      <c r="Q2127">
        <v>0</v>
      </c>
      <c r="S2127" t="str">
        <f t="shared" si="213"/>
        <v>19:00:52.492</v>
      </c>
      <c r="T2127" t="str">
        <f t="shared" si="213"/>
        <v>19:00:52.492</v>
      </c>
      <c r="U2127" t="str">
        <f t="shared" si="211"/>
        <v>AAB6EE</v>
      </c>
      <c r="V2127">
        <v>0</v>
      </c>
      <c r="W2127">
        <v>0</v>
      </c>
      <c r="X2127">
        <v>4</v>
      </c>
      <c r="Z2127">
        <v>0</v>
      </c>
      <c r="AA2127">
        <v>8</v>
      </c>
      <c r="AB2127">
        <v>3</v>
      </c>
      <c r="AC2127">
        <v>0</v>
      </c>
      <c r="AD2127">
        <v>10</v>
      </c>
      <c r="AE2127">
        <v>0</v>
      </c>
      <c r="AF2127">
        <v>0</v>
      </c>
      <c r="AG2127">
        <v>2</v>
      </c>
      <c r="AH2127">
        <v>1</v>
      </c>
      <c r="AI2127" t="s">
        <v>1537</v>
      </c>
      <c r="AJ2127">
        <v>34.819214000000002</v>
      </c>
      <c r="AK2127" t="s">
        <v>1535</v>
      </c>
      <c r="AL2127">
        <v>-76.283676999999997</v>
      </c>
      <c r="AM2127">
        <v>25</v>
      </c>
      <c r="AN2127">
        <v>4125</v>
      </c>
      <c r="AO2127" t="s">
        <v>118</v>
      </c>
      <c r="AP2127">
        <v>4</v>
      </c>
      <c r="AQ2127">
        <v>-120</v>
      </c>
      <c r="AR2127">
        <v>2944</v>
      </c>
      <c r="AZ2127">
        <v>4516</v>
      </c>
      <c r="BA2127">
        <v>1</v>
      </c>
      <c r="BB2127" t="str">
        <f t="shared" si="210"/>
        <v xml:space="preserve">N79NX   </v>
      </c>
      <c r="BC2127">
        <v>1</v>
      </c>
      <c r="BE2127">
        <v>0</v>
      </c>
      <c r="BF2127">
        <v>0</v>
      </c>
      <c r="BG2127">
        <v>0</v>
      </c>
      <c r="BH2127">
        <v>3975</v>
      </c>
      <c r="BI2127">
        <v>0</v>
      </c>
      <c r="BJ2127">
        <v>0</v>
      </c>
      <c r="BK2127">
        <v>0</v>
      </c>
      <c r="BL2127">
        <v>0</v>
      </c>
      <c r="BO2127">
        <v>0</v>
      </c>
      <c r="BP2127">
        <v>0</v>
      </c>
      <c r="BW2127" t="str">
        <f>"19:00:52.496"</f>
        <v>19:00:52.496</v>
      </c>
      <c r="BZ2127">
        <v>0</v>
      </c>
      <c r="CA2127">
        <v>1888</v>
      </c>
      <c r="CB2127">
        <v>214.4</v>
      </c>
      <c r="CC2127">
        <v>625.78129999999999</v>
      </c>
      <c r="CD2127">
        <v>1</v>
      </c>
      <c r="CE2127">
        <v>0</v>
      </c>
      <c r="CF2127">
        <v>0</v>
      </c>
      <c r="CG2127">
        <v>1</v>
      </c>
      <c r="CH2127">
        <v>0</v>
      </c>
      <c r="CI2127">
        <v>0</v>
      </c>
      <c r="CJ2127">
        <v>0</v>
      </c>
      <c r="CK2127">
        <v>2</v>
      </c>
      <c r="CL2127">
        <v>0</v>
      </c>
      <c r="CM2127">
        <v>2</v>
      </c>
      <c r="CN2127">
        <v>0</v>
      </c>
      <c r="CO2127">
        <v>6</v>
      </c>
      <c r="CP2127" t="s">
        <v>119</v>
      </c>
      <c r="CQ2127">
        <v>70</v>
      </c>
      <c r="CR2127">
        <v>0</v>
      </c>
      <c r="CW2127">
        <v>1698402</v>
      </c>
      <c r="CY2127">
        <v>0</v>
      </c>
      <c r="CZ2127">
        <v>0</v>
      </c>
      <c r="DA2127">
        <v>1</v>
      </c>
      <c r="DB2127">
        <v>0</v>
      </c>
      <c r="DC2127">
        <v>0</v>
      </c>
      <c r="DD2127">
        <v>0</v>
      </c>
      <c r="DE2127">
        <v>0</v>
      </c>
      <c r="DF2127">
        <v>0</v>
      </c>
      <c r="DG2127">
        <v>0</v>
      </c>
      <c r="DH2127">
        <v>0</v>
      </c>
      <c r="DI2127">
        <v>0</v>
      </c>
    </row>
    <row r="2128" spans="1:113" x14ac:dyDescent="0.3">
      <c r="A2128" t="str">
        <f>"02/13/2022 19:00:52.810"</f>
        <v>02/13/2022 19:00:52.810</v>
      </c>
      <c r="C2128" t="str">
        <f t="shared" si="209"/>
        <v>FFDFD7C0</v>
      </c>
      <c r="D2128" t="s">
        <v>113</v>
      </c>
      <c r="E2128">
        <v>3</v>
      </c>
      <c r="F2128">
        <v>1003</v>
      </c>
      <c r="G2128" t="s">
        <v>114</v>
      </c>
      <c r="J2128" t="s">
        <v>115</v>
      </c>
      <c r="K2128">
        <v>0</v>
      </c>
      <c r="L2128">
        <v>3</v>
      </c>
      <c r="M2128">
        <v>0</v>
      </c>
      <c r="N2128">
        <v>2</v>
      </c>
      <c r="O2128">
        <v>1</v>
      </c>
      <c r="P2128">
        <v>0</v>
      </c>
      <c r="Q2128">
        <v>0</v>
      </c>
      <c r="S2128" t="str">
        <f t="shared" si="213"/>
        <v>19:00:52.492</v>
      </c>
      <c r="T2128" t="str">
        <f t="shared" si="213"/>
        <v>19:00:52.492</v>
      </c>
      <c r="U2128" t="str">
        <f t="shared" si="211"/>
        <v>AAB6EE</v>
      </c>
      <c r="V2128">
        <v>0</v>
      </c>
      <c r="W2128">
        <v>0</v>
      </c>
      <c r="X2128">
        <v>4</v>
      </c>
      <c r="Z2128">
        <v>0</v>
      </c>
      <c r="AA2128">
        <v>8</v>
      </c>
      <c r="AB2128">
        <v>3</v>
      </c>
      <c r="AC2128">
        <v>0</v>
      </c>
      <c r="AD2128">
        <v>10</v>
      </c>
      <c r="AE2128">
        <v>0</v>
      </c>
      <c r="AF2128">
        <v>0</v>
      </c>
      <c r="AG2128">
        <v>2</v>
      </c>
      <c r="AH2128">
        <v>1</v>
      </c>
      <c r="AI2128" t="s">
        <v>1537</v>
      </c>
      <c r="AJ2128">
        <v>34.819214000000002</v>
      </c>
      <c r="AK2128" t="s">
        <v>1535</v>
      </c>
      <c r="AL2128">
        <v>-76.283676999999997</v>
      </c>
      <c r="AM2128">
        <v>25</v>
      </c>
      <c r="AN2128">
        <v>4125</v>
      </c>
      <c r="AO2128" t="s">
        <v>118</v>
      </c>
      <c r="AP2128">
        <v>4</v>
      </c>
      <c r="AQ2128">
        <v>-120</v>
      </c>
      <c r="AR2128">
        <v>2944</v>
      </c>
      <c r="AZ2128">
        <v>4516</v>
      </c>
      <c r="BA2128">
        <v>1</v>
      </c>
      <c r="BB2128" t="str">
        <f t="shared" si="210"/>
        <v xml:space="preserve">N79NX   </v>
      </c>
      <c r="BC2128">
        <v>1</v>
      </c>
      <c r="BE2128">
        <v>0</v>
      </c>
      <c r="BF2128">
        <v>0</v>
      </c>
      <c r="BG2128">
        <v>0</v>
      </c>
      <c r="BH2128">
        <v>3975</v>
      </c>
      <c r="BI2128">
        <v>0</v>
      </c>
      <c r="BJ2128">
        <v>0</v>
      </c>
      <c r="BK2128">
        <v>0</v>
      </c>
      <c r="BL2128">
        <v>0</v>
      </c>
      <c r="BO2128">
        <v>0</v>
      </c>
      <c r="BP2128">
        <v>0</v>
      </c>
      <c r="BW2128" t="str">
        <f>"19:00:52.496"</f>
        <v>19:00:52.496</v>
      </c>
      <c r="BZ2128">
        <v>0</v>
      </c>
      <c r="CA2128">
        <v>1888</v>
      </c>
      <c r="CB2128">
        <v>214.4</v>
      </c>
      <c r="CC2128">
        <v>625.78129999999999</v>
      </c>
      <c r="CD2128">
        <v>1</v>
      </c>
      <c r="CE2128">
        <v>0</v>
      </c>
      <c r="CF2128">
        <v>0</v>
      </c>
      <c r="CG2128">
        <v>1</v>
      </c>
      <c r="CH2128">
        <v>0</v>
      </c>
      <c r="CI2128">
        <v>0</v>
      </c>
      <c r="CJ2128">
        <v>0</v>
      </c>
      <c r="CK2128">
        <v>2</v>
      </c>
      <c r="CL2128">
        <v>0</v>
      </c>
      <c r="CM2128">
        <v>2</v>
      </c>
      <c r="CN2128">
        <v>0</v>
      </c>
      <c r="CO2128">
        <v>6</v>
      </c>
      <c r="CP2128" t="s">
        <v>119</v>
      </c>
      <c r="CQ2128">
        <v>70</v>
      </c>
      <c r="CR2128">
        <v>0</v>
      </c>
      <c r="CW2128">
        <v>1698402</v>
      </c>
      <c r="CY2128">
        <v>0</v>
      </c>
      <c r="CZ2128">
        <v>0</v>
      </c>
      <c r="DA2128">
        <v>1</v>
      </c>
      <c r="DB2128">
        <v>0</v>
      </c>
      <c r="DC2128">
        <v>0</v>
      </c>
      <c r="DD2128">
        <v>0</v>
      </c>
      <c r="DE2128">
        <v>0</v>
      </c>
      <c r="DF2128">
        <v>0</v>
      </c>
      <c r="DG2128">
        <v>0</v>
      </c>
      <c r="DH2128">
        <v>0</v>
      </c>
      <c r="DI2128">
        <v>0</v>
      </c>
    </row>
    <row r="2129" spans="1:113" x14ac:dyDescent="0.3">
      <c r="A2129" t="str">
        <f>"02/13/2022 19:00:53.716"</f>
        <v>02/13/2022 19:00:53.716</v>
      </c>
      <c r="C2129" t="str">
        <f t="shared" si="209"/>
        <v>FFDFD7C0</v>
      </c>
      <c r="D2129" t="s">
        <v>121</v>
      </c>
      <c r="E2129">
        <v>2</v>
      </c>
      <c r="H2129">
        <v>158</v>
      </c>
      <c r="I2129" t="s">
        <v>120</v>
      </c>
      <c r="J2129" t="s">
        <v>122</v>
      </c>
      <c r="K2129">
        <v>0</v>
      </c>
      <c r="L2129">
        <v>3</v>
      </c>
      <c r="M2129">
        <v>0</v>
      </c>
      <c r="N2129">
        <v>2</v>
      </c>
      <c r="O2129">
        <v>1</v>
      </c>
      <c r="P2129">
        <v>0</v>
      </c>
      <c r="Q2129">
        <v>0</v>
      </c>
      <c r="S2129" t="str">
        <f>"19:00:53.430"</f>
        <v>19:00:53.430</v>
      </c>
      <c r="T2129" t="str">
        <f>"19:00:53.130"</f>
        <v>19:00:53.130</v>
      </c>
      <c r="U2129" t="str">
        <f t="shared" si="211"/>
        <v>AAB6EE</v>
      </c>
      <c r="V2129">
        <v>0</v>
      </c>
      <c r="W2129">
        <v>0</v>
      </c>
      <c r="X2129">
        <v>4</v>
      </c>
      <c r="Z2129">
        <v>0</v>
      </c>
      <c r="AA2129">
        <v>8</v>
      </c>
      <c r="AB2129">
        <v>3</v>
      </c>
      <c r="AC2129">
        <v>0</v>
      </c>
      <c r="AD2129">
        <v>10</v>
      </c>
      <c r="AE2129">
        <v>0</v>
      </c>
      <c r="AF2129">
        <v>0</v>
      </c>
      <c r="AG2129">
        <v>2</v>
      </c>
      <c r="AH2129">
        <v>1</v>
      </c>
      <c r="AI2129" t="s">
        <v>1538</v>
      </c>
      <c r="AJ2129">
        <v>34.818655999999997</v>
      </c>
      <c r="AK2129" t="s">
        <v>1539</v>
      </c>
      <c r="AL2129">
        <v>-76.283634000000006</v>
      </c>
      <c r="AM2129">
        <v>25</v>
      </c>
      <c r="AN2129">
        <v>4175</v>
      </c>
      <c r="AO2129" t="s">
        <v>118</v>
      </c>
      <c r="AP2129">
        <v>6</v>
      </c>
      <c r="AQ2129">
        <v>-119</v>
      </c>
      <c r="AR2129">
        <v>3072</v>
      </c>
      <c r="AZ2129">
        <v>4516</v>
      </c>
      <c r="BA2129">
        <v>1</v>
      </c>
      <c r="BB2129" t="str">
        <f t="shared" si="210"/>
        <v xml:space="preserve">N79NX   </v>
      </c>
      <c r="BC2129">
        <v>1</v>
      </c>
      <c r="BE2129">
        <v>0</v>
      </c>
      <c r="BF2129">
        <v>0</v>
      </c>
      <c r="BG2129">
        <v>0</v>
      </c>
      <c r="BH2129">
        <v>4000</v>
      </c>
      <c r="BI2129">
        <v>0</v>
      </c>
      <c r="BJ2129">
        <v>0</v>
      </c>
      <c r="BK2129">
        <v>0</v>
      </c>
      <c r="BL2129">
        <v>0</v>
      </c>
      <c r="BO2129">
        <v>0</v>
      </c>
      <c r="BP2129">
        <v>0</v>
      </c>
      <c r="BW2129" t="str">
        <f>"19:00:53.436"</f>
        <v>19:00:53.436</v>
      </c>
      <c r="BZ2129">
        <v>0</v>
      </c>
      <c r="CA2129">
        <v>1888</v>
      </c>
      <c r="CB2129">
        <v>214.4</v>
      </c>
      <c r="CC2129">
        <v>625.78129999999999</v>
      </c>
      <c r="CD2129">
        <v>1</v>
      </c>
      <c r="CE2129">
        <v>0</v>
      </c>
      <c r="CF2129">
        <v>0</v>
      </c>
      <c r="CG2129">
        <v>1</v>
      </c>
      <c r="CH2129">
        <v>0</v>
      </c>
      <c r="CI2129">
        <v>0</v>
      </c>
      <c r="CJ2129">
        <v>0</v>
      </c>
      <c r="CK2129">
        <v>2</v>
      </c>
      <c r="CL2129">
        <v>0</v>
      </c>
      <c r="CM2129">
        <v>2</v>
      </c>
      <c r="CN2129">
        <v>0</v>
      </c>
      <c r="CO2129">
        <v>6</v>
      </c>
      <c r="CP2129" t="s">
        <v>119</v>
      </c>
      <c r="CQ2129">
        <v>70</v>
      </c>
      <c r="CR2129">
        <v>1</v>
      </c>
      <c r="CW2129">
        <v>3919335</v>
      </c>
      <c r="CY2129">
        <v>0</v>
      </c>
      <c r="CZ2129">
        <v>0</v>
      </c>
      <c r="DA2129">
        <v>0</v>
      </c>
      <c r="DB2129">
        <v>0</v>
      </c>
      <c r="DC2129">
        <v>0</v>
      </c>
      <c r="DD2129">
        <v>0</v>
      </c>
      <c r="DE2129">
        <v>0</v>
      </c>
      <c r="DF2129">
        <v>0</v>
      </c>
      <c r="DG2129">
        <v>0</v>
      </c>
      <c r="DH2129">
        <v>0</v>
      </c>
      <c r="DI2129">
        <v>0</v>
      </c>
    </row>
    <row r="2130" spans="1:113" x14ac:dyDescent="0.3">
      <c r="A2130" t="str">
        <f>"02/13/2022 19:00:53.716"</f>
        <v>02/13/2022 19:00:53.716</v>
      </c>
      <c r="C2130" t="str">
        <f t="shared" si="209"/>
        <v>FFDFD7C0</v>
      </c>
      <c r="D2130" t="s">
        <v>113</v>
      </c>
      <c r="E2130">
        <v>4</v>
      </c>
      <c r="F2130">
        <v>1004</v>
      </c>
      <c r="G2130" t="s">
        <v>120</v>
      </c>
      <c r="J2130" t="s">
        <v>115</v>
      </c>
      <c r="K2130">
        <v>0</v>
      </c>
      <c r="L2130">
        <v>3</v>
      </c>
      <c r="M2130">
        <v>0</v>
      </c>
      <c r="N2130">
        <v>2</v>
      </c>
      <c r="O2130">
        <v>1</v>
      </c>
      <c r="P2130">
        <v>0</v>
      </c>
      <c r="Q2130">
        <v>0</v>
      </c>
      <c r="S2130" t="str">
        <f>"19:00:53.430"</f>
        <v>19:00:53.430</v>
      </c>
      <c r="T2130" t="str">
        <f>"19:00:53.130"</f>
        <v>19:00:53.130</v>
      </c>
      <c r="U2130" t="str">
        <f t="shared" si="211"/>
        <v>AAB6EE</v>
      </c>
      <c r="V2130">
        <v>0</v>
      </c>
      <c r="W2130">
        <v>0</v>
      </c>
      <c r="X2130">
        <v>4</v>
      </c>
      <c r="Z2130">
        <v>0</v>
      </c>
      <c r="AA2130">
        <v>8</v>
      </c>
      <c r="AB2130">
        <v>3</v>
      </c>
      <c r="AC2130">
        <v>0</v>
      </c>
      <c r="AD2130">
        <v>10</v>
      </c>
      <c r="AE2130">
        <v>0</v>
      </c>
      <c r="AF2130">
        <v>0</v>
      </c>
      <c r="AG2130">
        <v>2</v>
      </c>
      <c r="AH2130">
        <v>1</v>
      </c>
      <c r="AI2130" t="s">
        <v>1538</v>
      </c>
      <c r="AJ2130">
        <v>34.818655999999997</v>
      </c>
      <c r="AK2130" t="s">
        <v>1539</v>
      </c>
      <c r="AL2130">
        <v>-76.283634000000006</v>
      </c>
      <c r="AM2130">
        <v>25</v>
      </c>
      <c r="AN2130">
        <v>4175</v>
      </c>
      <c r="AO2130" t="s">
        <v>118</v>
      </c>
      <c r="AP2130">
        <v>6</v>
      </c>
      <c r="AQ2130">
        <v>-119</v>
      </c>
      <c r="AR2130">
        <v>3072</v>
      </c>
      <c r="AZ2130">
        <v>4516</v>
      </c>
      <c r="BA2130">
        <v>1</v>
      </c>
      <c r="BB2130" t="str">
        <f t="shared" si="210"/>
        <v xml:space="preserve">N79NX   </v>
      </c>
      <c r="BC2130">
        <v>1</v>
      </c>
      <c r="BE2130">
        <v>0</v>
      </c>
      <c r="BF2130">
        <v>0</v>
      </c>
      <c r="BG2130">
        <v>0</v>
      </c>
      <c r="BH2130">
        <v>4000</v>
      </c>
      <c r="BI2130">
        <v>0</v>
      </c>
      <c r="BJ2130">
        <v>0</v>
      </c>
      <c r="BK2130">
        <v>0</v>
      </c>
      <c r="BL2130">
        <v>0</v>
      </c>
      <c r="BO2130">
        <v>0</v>
      </c>
      <c r="BP2130">
        <v>0</v>
      </c>
      <c r="BW2130" t="str">
        <f>"19:00:53.436"</f>
        <v>19:00:53.436</v>
      </c>
      <c r="BZ2130">
        <v>0</v>
      </c>
      <c r="CA2130">
        <v>1888</v>
      </c>
      <c r="CB2130">
        <v>214.4</v>
      </c>
      <c r="CC2130">
        <v>625.78129999999999</v>
      </c>
      <c r="CD2130">
        <v>1</v>
      </c>
      <c r="CE2130">
        <v>0</v>
      </c>
      <c r="CF2130">
        <v>0</v>
      </c>
      <c r="CG2130">
        <v>1</v>
      </c>
      <c r="CH2130">
        <v>0</v>
      </c>
      <c r="CI2130">
        <v>0</v>
      </c>
      <c r="CJ2130">
        <v>0</v>
      </c>
      <c r="CK2130">
        <v>2</v>
      </c>
      <c r="CL2130">
        <v>0</v>
      </c>
      <c r="CM2130">
        <v>2</v>
      </c>
      <c r="CN2130">
        <v>0</v>
      </c>
      <c r="CO2130">
        <v>6</v>
      </c>
      <c r="CP2130" t="s">
        <v>119</v>
      </c>
      <c r="CQ2130">
        <v>70</v>
      </c>
      <c r="CR2130">
        <v>1</v>
      </c>
      <c r="CW2130">
        <v>3919335</v>
      </c>
      <c r="CY2130">
        <v>0</v>
      </c>
      <c r="CZ2130">
        <v>0</v>
      </c>
      <c r="DA2130">
        <v>1</v>
      </c>
      <c r="DB2130">
        <v>0</v>
      </c>
      <c r="DC2130">
        <v>0</v>
      </c>
      <c r="DD2130">
        <v>0</v>
      </c>
      <c r="DE2130">
        <v>0</v>
      </c>
      <c r="DF2130">
        <v>0</v>
      </c>
      <c r="DG2130">
        <v>0</v>
      </c>
      <c r="DH2130">
        <v>0</v>
      </c>
      <c r="DI2130">
        <v>0</v>
      </c>
    </row>
    <row r="2131" spans="1:113" x14ac:dyDescent="0.3">
      <c r="A2131" t="str">
        <f>"02/13/2022 19:00:53.716"</f>
        <v>02/13/2022 19:00:53.716</v>
      </c>
      <c r="C2131" t="str">
        <f t="shared" si="209"/>
        <v>FFDFD7C0</v>
      </c>
      <c r="D2131" t="s">
        <v>113</v>
      </c>
      <c r="E2131">
        <v>3</v>
      </c>
      <c r="F2131">
        <v>1003</v>
      </c>
      <c r="G2131" t="s">
        <v>114</v>
      </c>
      <c r="J2131" t="s">
        <v>115</v>
      </c>
      <c r="K2131">
        <v>0</v>
      </c>
      <c r="L2131">
        <v>3</v>
      </c>
      <c r="M2131">
        <v>0</v>
      </c>
      <c r="N2131">
        <v>2</v>
      </c>
      <c r="O2131">
        <v>1</v>
      </c>
      <c r="P2131">
        <v>0</v>
      </c>
      <c r="Q2131">
        <v>0</v>
      </c>
      <c r="S2131" t="str">
        <f>"19:00:53.430"</f>
        <v>19:00:53.430</v>
      </c>
      <c r="T2131" t="str">
        <f>"19:00:53.130"</f>
        <v>19:00:53.130</v>
      </c>
      <c r="U2131" t="str">
        <f t="shared" si="211"/>
        <v>AAB6EE</v>
      </c>
      <c r="V2131">
        <v>0</v>
      </c>
      <c r="W2131">
        <v>0</v>
      </c>
      <c r="X2131">
        <v>4</v>
      </c>
      <c r="Z2131">
        <v>0</v>
      </c>
      <c r="AA2131">
        <v>8</v>
      </c>
      <c r="AB2131">
        <v>3</v>
      </c>
      <c r="AC2131">
        <v>0</v>
      </c>
      <c r="AD2131">
        <v>10</v>
      </c>
      <c r="AE2131">
        <v>0</v>
      </c>
      <c r="AF2131">
        <v>0</v>
      </c>
      <c r="AG2131">
        <v>2</v>
      </c>
      <c r="AH2131">
        <v>1</v>
      </c>
      <c r="AI2131" t="s">
        <v>1538</v>
      </c>
      <c r="AJ2131">
        <v>34.818655999999997</v>
      </c>
      <c r="AK2131" t="s">
        <v>1539</v>
      </c>
      <c r="AL2131">
        <v>-76.283634000000006</v>
      </c>
      <c r="AM2131">
        <v>25</v>
      </c>
      <c r="AN2131">
        <v>4175</v>
      </c>
      <c r="AO2131" t="s">
        <v>118</v>
      </c>
      <c r="AP2131">
        <v>6</v>
      </c>
      <c r="AQ2131">
        <v>-119</v>
      </c>
      <c r="AR2131">
        <v>3072</v>
      </c>
      <c r="AZ2131">
        <v>4516</v>
      </c>
      <c r="BA2131">
        <v>1</v>
      </c>
      <c r="BB2131" t="str">
        <f t="shared" si="210"/>
        <v xml:space="preserve">N79NX   </v>
      </c>
      <c r="BC2131">
        <v>1</v>
      </c>
      <c r="BE2131">
        <v>0</v>
      </c>
      <c r="BF2131">
        <v>0</v>
      </c>
      <c r="BG2131">
        <v>0</v>
      </c>
      <c r="BH2131">
        <v>4000</v>
      </c>
      <c r="BI2131">
        <v>0</v>
      </c>
      <c r="BJ2131">
        <v>0</v>
      </c>
      <c r="BK2131">
        <v>0</v>
      </c>
      <c r="BL2131">
        <v>0</v>
      </c>
      <c r="BO2131">
        <v>0</v>
      </c>
      <c r="BP2131">
        <v>0</v>
      </c>
      <c r="BW2131" t="str">
        <f>"19:00:53.436"</f>
        <v>19:00:53.436</v>
      </c>
      <c r="BZ2131">
        <v>0</v>
      </c>
      <c r="CA2131">
        <v>1888</v>
      </c>
      <c r="CB2131">
        <v>214.4</v>
      </c>
      <c r="CC2131">
        <v>625.78129999999999</v>
      </c>
      <c r="CD2131">
        <v>1</v>
      </c>
      <c r="CE2131">
        <v>0</v>
      </c>
      <c r="CF2131">
        <v>0</v>
      </c>
      <c r="CG2131">
        <v>1</v>
      </c>
      <c r="CH2131">
        <v>0</v>
      </c>
      <c r="CI2131">
        <v>0</v>
      </c>
      <c r="CJ2131">
        <v>0</v>
      </c>
      <c r="CK2131">
        <v>2</v>
      </c>
      <c r="CL2131">
        <v>0</v>
      </c>
      <c r="CM2131">
        <v>2</v>
      </c>
      <c r="CN2131">
        <v>0</v>
      </c>
      <c r="CO2131">
        <v>6</v>
      </c>
      <c r="CP2131" t="s">
        <v>119</v>
      </c>
      <c r="CQ2131">
        <v>70</v>
      </c>
      <c r="CR2131">
        <v>1</v>
      </c>
      <c r="CW2131">
        <v>3919335</v>
      </c>
      <c r="CY2131">
        <v>0</v>
      </c>
      <c r="CZ2131">
        <v>0</v>
      </c>
      <c r="DA2131">
        <v>1</v>
      </c>
      <c r="DB2131">
        <v>0</v>
      </c>
      <c r="DC2131">
        <v>0</v>
      </c>
      <c r="DD2131">
        <v>0</v>
      </c>
      <c r="DE2131">
        <v>0</v>
      </c>
      <c r="DF2131">
        <v>0</v>
      </c>
      <c r="DG2131">
        <v>0</v>
      </c>
      <c r="DH2131">
        <v>0</v>
      </c>
      <c r="DI2131">
        <v>0</v>
      </c>
    </row>
    <row r="2132" spans="1:113" x14ac:dyDescent="0.3">
      <c r="A2132" t="str">
        <f>"02/13/2022 19:00:54.644"</f>
        <v>02/13/2022 19:00:54.644</v>
      </c>
      <c r="C2132" t="str">
        <f t="shared" si="209"/>
        <v>FFDFD7C0</v>
      </c>
      <c r="D2132" t="s">
        <v>121</v>
      </c>
      <c r="E2132">
        <v>2</v>
      </c>
      <c r="H2132">
        <v>158</v>
      </c>
      <c r="I2132" t="s">
        <v>120</v>
      </c>
      <c r="J2132" t="s">
        <v>122</v>
      </c>
      <c r="K2132">
        <v>0</v>
      </c>
      <c r="L2132">
        <v>3</v>
      </c>
      <c r="M2132">
        <v>0</v>
      </c>
      <c r="N2132">
        <v>2</v>
      </c>
      <c r="O2132">
        <v>1</v>
      </c>
      <c r="P2132">
        <v>0</v>
      </c>
      <c r="Q2132">
        <v>0</v>
      </c>
      <c r="S2132" t="str">
        <f>"19:00:54.266"</f>
        <v>19:00:54.266</v>
      </c>
      <c r="T2132" t="str">
        <f>"19:00:54.066"</f>
        <v>19:00:54.066</v>
      </c>
      <c r="U2132" t="str">
        <f t="shared" si="211"/>
        <v>AAB6EE</v>
      </c>
      <c r="V2132">
        <v>0</v>
      </c>
      <c r="W2132">
        <v>0</v>
      </c>
      <c r="X2132">
        <v>4</v>
      </c>
      <c r="Z2132">
        <v>0</v>
      </c>
      <c r="AA2132">
        <v>8</v>
      </c>
      <c r="AB2132">
        <v>3</v>
      </c>
      <c r="AC2132">
        <v>0</v>
      </c>
      <c r="AD2132">
        <v>10</v>
      </c>
      <c r="AE2132">
        <v>0</v>
      </c>
      <c r="AF2132">
        <v>0</v>
      </c>
      <c r="AG2132">
        <v>2</v>
      </c>
      <c r="AH2132">
        <v>1</v>
      </c>
      <c r="AI2132" t="s">
        <v>1540</v>
      </c>
      <c r="AJ2132">
        <v>34.818227</v>
      </c>
      <c r="AK2132" t="s">
        <v>1534</v>
      </c>
      <c r="AL2132">
        <v>-76.283569</v>
      </c>
      <c r="AM2132">
        <v>25</v>
      </c>
      <c r="AN2132">
        <v>4200</v>
      </c>
      <c r="AO2132" t="s">
        <v>118</v>
      </c>
      <c r="AP2132">
        <v>9</v>
      </c>
      <c r="AQ2132">
        <v>-118</v>
      </c>
      <c r="AR2132">
        <v>3136</v>
      </c>
      <c r="AZ2132">
        <v>4516</v>
      </c>
      <c r="BA2132">
        <v>1</v>
      </c>
      <c r="BB2132" t="str">
        <f t="shared" si="210"/>
        <v xml:space="preserve">N79NX   </v>
      </c>
      <c r="BC2132">
        <v>1</v>
      </c>
      <c r="BE2132">
        <v>0</v>
      </c>
      <c r="BF2132">
        <v>0</v>
      </c>
      <c r="BG2132">
        <v>0</v>
      </c>
      <c r="BH2132">
        <v>4050</v>
      </c>
      <c r="BI2132">
        <v>0</v>
      </c>
      <c r="BJ2132">
        <v>0</v>
      </c>
      <c r="BK2132">
        <v>0</v>
      </c>
      <c r="BL2132">
        <v>0</v>
      </c>
      <c r="BO2132">
        <v>0</v>
      </c>
      <c r="BP2132">
        <v>0</v>
      </c>
      <c r="BW2132" t="str">
        <f>"19:00:54.266"</f>
        <v>19:00:54.266</v>
      </c>
      <c r="BZ2132">
        <v>0</v>
      </c>
      <c r="CA2132">
        <v>1888</v>
      </c>
      <c r="CB2132">
        <v>214.4</v>
      </c>
      <c r="CC2132">
        <v>625.78129999999999</v>
      </c>
      <c r="CD2132">
        <v>1</v>
      </c>
      <c r="CE2132">
        <v>0</v>
      </c>
      <c r="CF2132">
        <v>0</v>
      </c>
      <c r="CG2132">
        <v>1</v>
      </c>
      <c r="CH2132">
        <v>0</v>
      </c>
      <c r="CI2132">
        <v>0</v>
      </c>
      <c r="CJ2132">
        <v>0</v>
      </c>
      <c r="CK2132">
        <v>2</v>
      </c>
      <c r="CL2132">
        <v>0</v>
      </c>
      <c r="CM2132">
        <v>2</v>
      </c>
      <c r="CN2132">
        <v>0</v>
      </c>
      <c r="CO2132">
        <v>6</v>
      </c>
      <c r="CP2132" t="s">
        <v>119</v>
      </c>
      <c r="CQ2132">
        <v>70</v>
      </c>
      <c r="CR2132">
        <v>1</v>
      </c>
      <c r="CW2132">
        <v>3920043</v>
      </c>
      <c r="CY2132">
        <v>0</v>
      </c>
      <c r="CZ2132">
        <v>0</v>
      </c>
      <c r="DA2132">
        <v>0</v>
      </c>
      <c r="DB2132">
        <v>0</v>
      </c>
      <c r="DC2132">
        <v>0</v>
      </c>
      <c r="DD2132">
        <v>0</v>
      </c>
      <c r="DE2132">
        <v>0</v>
      </c>
      <c r="DF2132">
        <v>0</v>
      </c>
      <c r="DG2132">
        <v>0</v>
      </c>
      <c r="DH2132">
        <v>0</v>
      </c>
      <c r="DI2132">
        <v>0</v>
      </c>
    </row>
    <row r="2133" spans="1:113" x14ac:dyDescent="0.3">
      <c r="A2133" t="str">
        <f>"02/13/2022 19:00:54.644"</f>
        <v>02/13/2022 19:00:54.644</v>
      </c>
      <c r="C2133" t="str">
        <f t="shared" si="209"/>
        <v>FFDFD7C0</v>
      </c>
      <c r="D2133" t="s">
        <v>113</v>
      </c>
      <c r="E2133">
        <v>3</v>
      </c>
      <c r="F2133">
        <v>1003</v>
      </c>
      <c r="G2133" t="s">
        <v>114</v>
      </c>
      <c r="J2133" t="s">
        <v>115</v>
      </c>
      <c r="K2133">
        <v>0</v>
      </c>
      <c r="L2133">
        <v>3</v>
      </c>
      <c r="M2133">
        <v>0</v>
      </c>
      <c r="N2133">
        <v>2</v>
      </c>
      <c r="O2133">
        <v>1</v>
      </c>
      <c r="P2133">
        <v>0</v>
      </c>
      <c r="Q2133">
        <v>0</v>
      </c>
      <c r="S2133" t="str">
        <f>"19:00:54.266"</f>
        <v>19:00:54.266</v>
      </c>
      <c r="T2133" t="str">
        <f>"19:00:54.066"</f>
        <v>19:00:54.066</v>
      </c>
      <c r="U2133" t="str">
        <f t="shared" si="211"/>
        <v>AAB6EE</v>
      </c>
      <c r="V2133">
        <v>0</v>
      </c>
      <c r="W2133">
        <v>0</v>
      </c>
      <c r="X2133">
        <v>4</v>
      </c>
      <c r="Z2133">
        <v>0</v>
      </c>
      <c r="AA2133">
        <v>8</v>
      </c>
      <c r="AB2133">
        <v>3</v>
      </c>
      <c r="AC2133">
        <v>0</v>
      </c>
      <c r="AD2133">
        <v>10</v>
      </c>
      <c r="AE2133">
        <v>0</v>
      </c>
      <c r="AF2133">
        <v>0</v>
      </c>
      <c r="AG2133">
        <v>2</v>
      </c>
      <c r="AH2133">
        <v>1</v>
      </c>
      <c r="AI2133" t="s">
        <v>1540</v>
      </c>
      <c r="AJ2133">
        <v>34.818227</v>
      </c>
      <c r="AK2133" t="s">
        <v>1534</v>
      </c>
      <c r="AL2133">
        <v>-76.283569</v>
      </c>
      <c r="AM2133">
        <v>25</v>
      </c>
      <c r="AN2133">
        <v>4200</v>
      </c>
      <c r="AO2133" t="s">
        <v>118</v>
      </c>
      <c r="AP2133">
        <v>9</v>
      </c>
      <c r="AQ2133">
        <v>-118</v>
      </c>
      <c r="AR2133">
        <v>3136</v>
      </c>
      <c r="AZ2133">
        <v>4516</v>
      </c>
      <c r="BA2133">
        <v>1</v>
      </c>
      <c r="BB2133" t="str">
        <f t="shared" si="210"/>
        <v xml:space="preserve">N79NX   </v>
      </c>
      <c r="BC2133">
        <v>1</v>
      </c>
      <c r="BE2133">
        <v>0</v>
      </c>
      <c r="BF2133">
        <v>0</v>
      </c>
      <c r="BG2133">
        <v>0</v>
      </c>
      <c r="BH2133">
        <v>4050</v>
      </c>
      <c r="BI2133">
        <v>0</v>
      </c>
      <c r="BJ2133">
        <v>0</v>
      </c>
      <c r="BK2133">
        <v>0</v>
      </c>
      <c r="BL2133">
        <v>0</v>
      </c>
      <c r="BO2133">
        <v>0</v>
      </c>
      <c r="BP2133">
        <v>0</v>
      </c>
      <c r="BW2133" t="str">
        <f>"19:00:54.266"</f>
        <v>19:00:54.266</v>
      </c>
      <c r="BZ2133">
        <v>0</v>
      </c>
      <c r="CA2133">
        <v>1888</v>
      </c>
      <c r="CB2133">
        <v>214.4</v>
      </c>
      <c r="CC2133">
        <v>625.78129999999999</v>
      </c>
      <c r="CD2133">
        <v>1</v>
      </c>
      <c r="CE2133">
        <v>0</v>
      </c>
      <c r="CF2133">
        <v>0</v>
      </c>
      <c r="CG2133">
        <v>1</v>
      </c>
      <c r="CH2133">
        <v>0</v>
      </c>
      <c r="CI2133">
        <v>0</v>
      </c>
      <c r="CJ2133">
        <v>0</v>
      </c>
      <c r="CK2133">
        <v>2</v>
      </c>
      <c r="CL2133">
        <v>0</v>
      </c>
      <c r="CM2133">
        <v>2</v>
      </c>
      <c r="CN2133">
        <v>0</v>
      </c>
      <c r="CO2133">
        <v>6</v>
      </c>
      <c r="CP2133" t="s">
        <v>119</v>
      </c>
      <c r="CQ2133">
        <v>70</v>
      </c>
      <c r="CR2133">
        <v>1</v>
      </c>
      <c r="CW2133">
        <v>3920043</v>
      </c>
      <c r="CY2133">
        <v>0</v>
      </c>
      <c r="CZ2133">
        <v>0</v>
      </c>
      <c r="DA2133">
        <v>1</v>
      </c>
      <c r="DB2133">
        <v>0</v>
      </c>
      <c r="DC2133">
        <v>0</v>
      </c>
      <c r="DD2133">
        <v>0</v>
      </c>
      <c r="DE2133">
        <v>0</v>
      </c>
      <c r="DF2133">
        <v>0</v>
      </c>
      <c r="DG2133">
        <v>0</v>
      </c>
      <c r="DH2133">
        <v>0</v>
      </c>
      <c r="DI2133">
        <v>0</v>
      </c>
    </row>
    <row r="2134" spans="1:113" x14ac:dyDescent="0.3">
      <c r="A2134" t="str">
        <f>"02/13/2022 19:00:54.644"</f>
        <v>02/13/2022 19:00:54.644</v>
      </c>
      <c r="C2134" t="str">
        <f t="shared" si="209"/>
        <v>FFDFD7C0</v>
      </c>
      <c r="D2134" t="s">
        <v>113</v>
      </c>
      <c r="E2134">
        <v>4</v>
      </c>
      <c r="F2134">
        <v>1004</v>
      </c>
      <c r="G2134" t="s">
        <v>120</v>
      </c>
      <c r="J2134" t="s">
        <v>115</v>
      </c>
      <c r="K2134">
        <v>0</v>
      </c>
      <c r="L2134">
        <v>3</v>
      </c>
      <c r="M2134">
        <v>0</v>
      </c>
      <c r="N2134">
        <v>2</v>
      </c>
      <c r="O2134">
        <v>1</v>
      </c>
      <c r="P2134">
        <v>0</v>
      </c>
      <c r="Q2134">
        <v>0</v>
      </c>
      <c r="S2134" t="str">
        <f>"19:00:54.266"</f>
        <v>19:00:54.266</v>
      </c>
      <c r="T2134" t="str">
        <f>"19:00:54.066"</f>
        <v>19:00:54.066</v>
      </c>
      <c r="U2134" t="str">
        <f t="shared" si="211"/>
        <v>AAB6EE</v>
      </c>
      <c r="V2134">
        <v>0</v>
      </c>
      <c r="W2134">
        <v>0</v>
      </c>
      <c r="X2134">
        <v>4</v>
      </c>
      <c r="Z2134">
        <v>0</v>
      </c>
      <c r="AA2134">
        <v>8</v>
      </c>
      <c r="AB2134">
        <v>3</v>
      </c>
      <c r="AC2134">
        <v>0</v>
      </c>
      <c r="AD2134">
        <v>10</v>
      </c>
      <c r="AE2134">
        <v>0</v>
      </c>
      <c r="AF2134">
        <v>0</v>
      </c>
      <c r="AG2134">
        <v>2</v>
      </c>
      <c r="AH2134">
        <v>1</v>
      </c>
      <c r="AI2134" t="s">
        <v>1540</v>
      </c>
      <c r="AJ2134">
        <v>34.818227</v>
      </c>
      <c r="AK2134" t="s">
        <v>1534</v>
      </c>
      <c r="AL2134">
        <v>-76.283569</v>
      </c>
      <c r="AM2134">
        <v>25</v>
      </c>
      <c r="AN2134">
        <v>4200</v>
      </c>
      <c r="AO2134" t="s">
        <v>118</v>
      </c>
      <c r="AP2134">
        <v>9</v>
      </c>
      <c r="AQ2134">
        <v>-118</v>
      </c>
      <c r="AR2134">
        <v>3136</v>
      </c>
      <c r="AZ2134">
        <v>4516</v>
      </c>
      <c r="BA2134">
        <v>1</v>
      </c>
      <c r="BB2134" t="str">
        <f t="shared" si="210"/>
        <v xml:space="preserve">N79NX   </v>
      </c>
      <c r="BC2134">
        <v>1</v>
      </c>
      <c r="BE2134">
        <v>0</v>
      </c>
      <c r="BF2134">
        <v>0</v>
      </c>
      <c r="BG2134">
        <v>0</v>
      </c>
      <c r="BH2134">
        <v>4050</v>
      </c>
      <c r="BI2134">
        <v>0</v>
      </c>
      <c r="BJ2134">
        <v>0</v>
      </c>
      <c r="BK2134">
        <v>0</v>
      </c>
      <c r="BL2134">
        <v>0</v>
      </c>
      <c r="BO2134">
        <v>0</v>
      </c>
      <c r="BP2134">
        <v>0</v>
      </c>
      <c r="BW2134" t="str">
        <f>"19:00:54.266"</f>
        <v>19:00:54.266</v>
      </c>
      <c r="BZ2134">
        <v>0</v>
      </c>
      <c r="CA2134">
        <v>1888</v>
      </c>
      <c r="CB2134">
        <v>214.4</v>
      </c>
      <c r="CC2134">
        <v>625.78129999999999</v>
      </c>
      <c r="CD2134">
        <v>1</v>
      </c>
      <c r="CE2134">
        <v>0</v>
      </c>
      <c r="CF2134">
        <v>0</v>
      </c>
      <c r="CG2134">
        <v>1</v>
      </c>
      <c r="CH2134">
        <v>0</v>
      </c>
      <c r="CI2134">
        <v>0</v>
      </c>
      <c r="CJ2134">
        <v>0</v>
      </c>
      <c r="CK2134">
        <v>2</v>
      </c>
      <c r="CL2134">
        <v>0</v>
      </c>
      <c r="CM2134">
        <v>2</v>
      </c>
      <c r="CN2134">
        <v>0</v>
      </c>
      <c r="CO2134">
        <v>6</v>
      </c>
      <c r="CP2134" t="s">
        <v>119</v>
      </c>
      <c r="CQ2134">
        <v>70</v>
      </c>
      <c r="CR2134">
        <v>1</v>
      </c>
      <c r="CW2134">
        <v>3920043</v>
      </c>
      <c r="CY2134">
        <v>0</v>
      </c>
      <c r="CZ2134">
        <v>0</v>
      </c>
      <c r="DA2134">
        <v>1</v>
      </c>
      <c r="DB2134">
        <v>0</v>
      </c>
      <c r="DC2134">
        <v>0</v>
      </c>
      <c r="DD2134">
        <v>0</v>
      </c>
      <c r="DE2134">
        <v>0</v>
      </c>
      <c r="DF2134">
        <v>0</v>
      </c>
      <c r="DG2134">
        <v>0</v>
      </c>
      <c r="DH2134">
        <v>0</v>
      </c>
      <c r="DI2134">
        <v>0</v>
      </c>
    </row>
    <row r="2135" spans="1:113" x14ac:dyDescent="0.3">
      <c r="A2135" t="str">
        <f>"02/13/2022 19:00:55.597"</f>
        <v>02/13/2022 19:00:55.597</v>
      </c>
      <c r="C2135" t="str">
        <f t="shared" si="209"/>
        <v>FFDFD7C0</v>
      </c>
      <c r="D2135" t="s">
        <v>113</v>
      </c>
      <c r="E2135">
        <v>3</v>
      </c>
      <c r="F2135">
        <v>1003</v>
      </c>
      <c r="G2135" t="s">
        <v>114</v>
      </c>
      <c r="J2135" t="s">
        <v>115</v>
      </c>
      <c r="K2135">
        <v>0</v>
      </c>
      <c r="L2135">
        <v>3</v>
      </c>
      <c r="M2135">
        <v>0</v>
      </c>
      <c r="N2135">
        <v>2</v>
      </c>
      <c r="O2135">
        <v>1</v>
      </c>
      <c r="P2135">
        <v>0</v>
      </c>
      <c r="Q2135">
        <v>0</v>
      </c>
      <c r="S2135" t="str">
        <f>"19:00:55.313"</f>
        <v>19:00:55.313</v>
      </c>
      <c r="T2135" t="str">
        <f>"19:00:54.913"</f>
        <v>19:00:54.913</v>
      </c>
      <c r="U2135" t="str">
        <f t="shared" si="211"/>
        <v>AAB6EE</v>
      </c>
      <c r="V2135">
        <v>0</v>
      </c>
      <c r="W2135">
        <v>0</v>
      </c>
      <c r="X2135">
        <v>4</v>
      </c>
      <c r="Z2135">
        <v>0</v>
      </c>
      <c r="AA2135">
        <v>8</v>
      </c>
      <c r="AB2135">
        <v>3</v>
      </c>
      <c r="AC2135">
        <v>0</v>
      </c>
      <c r="AD2135">
        <v>10</v>
      </c>
      <c r="AE2135">
        <v>0</v>
      </c>
      <c r="AF2135">
        <v>0</v>
      </c>
      <c r="AG2135">
        <v>2</v>
      </c>
      <c r="AH2135">
        <v>1</v>
      </c>
      <c r="AI2135" t="s">
        <v>1541</v>
      </c>
      <c r="AJ2135">
        <v>34.817605</v>
      </c>
      <c r="AK2135" t="s">
        <v>1542</v>
      </c>
      <c r="AL2135">
        <v>-76.283505000000005</v>
      </c>
      <c r="AM2135">
        <v>25</v>
      </c>
      <c r="AN2135">
        <v>4275</v>
      </c>
      <c r="AO2135" t="s">
        <v>118</v>
      </c>
      <c r="AP2135">
        <v>11</v>
      </c>
      <c r="AQ2135">
        <v>-116</v>
      </c>
      <c r="AR2135">
        <v>3328</v>
      </c>
      <c r="AZ2135">
        <v>4516</v>
      </c>
      <c r="BA2135">
        <v>1</v>
      </c>
      <c r="BB2135" t="str">
        <f t="shared" si="210"/>
        <v xml:space="preserve">N79NX   </v>
      </c>
      <c r="BC2135">
        <v>1</v>
      </c>
      <c r="BE2135">
        <v>0</v>
      </c>
      <c r="BF2135">
        <v>0</v>
      </c>
      <c r="BG2135">
        <v>0</v>
      </c>
      <c r="BH2135">
        <v>4100</v>
      </c>
      <c r="BI2135">
        <v>0</v>
      </c>
      <c r="BJ2135">
        <v>0</v>
      </c>
      <c r="BK2135">
        <v>0</v>
      </c>
      <c r="BL2135">
        <v>0</v>
      </c>
      <c r="BO2135">
        <v>0</v>
      </c>
      <c r="BP2135">
        <v>0</v>
      </c>
      <c r="BW2135" t="str">
        <f>"19:00:55.316"</f>
        <v>19:00:55.316</v>
      </c>
      <c r="BZ2135">
        <v>0</v>
      </c>
      <c r="CA2135">
        <v>1888</v>
      </c>
      <c r="CB2135">
        <v>214.4</v>
      </c>
      <c r="CC2135">
        <v>625.78129999999999</v>
      </c>
      <c r="CD2135">
        <v>1</v>
      </c>
      <c r="CE2135">
        <v>0</v>
      </c>
      <c r="CF2135">
        <v>0</v>
      </c>
      <c r="CG2135">
        <v>1</v>
      </c>
      <c r="CH2135">
        <v>0</v>
      </c>
      <c r="CI2135">
        <v>0</v>
      </c>
      <c r="CJ2135">
        <v>0</v>
      </c>
      <c r="CK2135">
        <v>2</v>
      </c>
      <c r="CL2135">
        <v>0</v>
      </c>
      <c r="CM2135">
        <v>2</v>
      </c>
      <c r="CN2135">
        <v>0</v>
      </c>
      <c r="CO2135">
        <v>6</v>
      </c>
      <c r="CP2135" t="s">
        <v>119</v>
      </c>
      <c r="CQ2135">
        <v>70</v>
      </c>
      <c r="CR2135">
        <v>1</v>
      </c>
      <c r="CW2135">
        <v>3920896</v>
      </c>
      <c r="CY2135">
        <v>0</v>
      </c>
      <c r="CZ2135">
        <v>0</v>
      </c>
      <c r="DA2135">
        <v>0</v>
      </c>
      <c r="DB2135">
        <v>0</v>
      </c>
      <c r="DC2135">
        <v>0</v>
      </c>
      <c r="DD2135">
        <v>0</v>
      </c>
      <c r="DE2135">
        <v>0</v>
      </c>
      <c r="DF2135">
        <v>0</v>
      </c>
      <c r="DG2135">
        <v>0</v>
      </c>
      <c r="DH2135">
        <v>0</v>
      </c>
      <c r="DI2135">
        <v>0</v>
      </c>
    </row>
    <row r="2136" spans="1:113" x14ac:dyDescent="0.3">
      <c r="A2136" t="str">
        <f>"02/13/2022 19:00:55.597"</f>
        <v>02/13/2022 19:00:55.597</v>
      </c>
      <c r="C2136" t="str">
        <f t="shared" si="209"/>
        <v>FFDFD7C0</v>
      </c>
      <c r="D2136" t="s">
        <v>121</v>
      </c>
      <c r="E2136">
        <v>2</v>
      </c>
      <c r="H2136">
        <v>158</v>
      </c>
      <c r="I2136" t="s">
        <v>120</v>
      </c>
      <c r="J2136" t="s">
        <v>122</v>
      </c>
      <c r="K2136">
        <v>0</v>
      </c>
      <c r="L2136">
        <v>3</v>
      </c>
      <c r="M2136">
        <v>0</v>
      </c>
      <c r="N2136">
        <v>2</v>
      </c>
      <c r="O2136">
        <v>1</v>
      </c>
      <c r="P2136">
        <v>0</v>
      </c>
      <c r="Q2136">
        <v>0</v>
      </c>
      <c r="S2136" t="str">
        <f>"19:00:55.313"</f>
        <v>19:00:55.313</v>
      </c>
      <c r="T2136" t="str">
        <f>"19:00:54.913"</f>
        <v>19:00:54.913</v>
      </c>
      <c r="U2136" t="str">
        <f t="shared" si="211"/>
        <v>AAB6EE</v>
      </c>
      <c r="V2136">
        <v>0</v>
      </c>
      <c r="W2136">
        <v>0</v>
      </c>
      <c r="X2136">
        <v>4</v>
      </c>
      <c r="Z2136">
        <v>0</v>
      </c>
      <c r="AA2136">
        <v>8</v>
      </c>
      <c r="AB2136">
        <v>3</v>
      </c>
      <c r="AC2136">
        <v>0</v>
      </c>
      <c r="AD2136">
        <v>10</v>
      </c>
      <c r="AE2136">
        <v>0</v>
      </c>
      <c r="AF2136">
        <v>0</v>
      </c>
      <c r="AG2136">
        <v>2</v>
      </c>
      <c r="AH2136">
        <v>1</v>
      </c>
      <c r="AI2136" t="s">
        <v>1541</v>
      </c>
      <c r="AJ2136">
        <v>34.817605</v>
      </c>
      <c r="AK2136" t="s">
        <v>1542</v>
      </c>
      <c r="AL2136">
        <v>-76.283505000000005</v>
      </c>
      <c r="AM2136">
        <v>25</v>
      </c>
      <c r="AN2136">
        <v>4275</v>
      </c>
      <c r="AO2136" t="s">
        <v>118</v>
      </c>
      <c r="AP2136">
        <v>11</v>
      </c>
      <c r="AQ2136">
        <v>-116</v>
      </c>
      <c r="AR2136">
        <v>3328</v>
      </c>
      <c r="AZ2136">
        <v>4516</v>
      </c>
      <c r="BA2136">
        <v>1</v>
      </c>
      <c r="BB2136" t="str">
        <f t="shared" si="210"/>
        <v xml:space="preserve">N79NX   </v>
      </c>
      <c r="BC2136">
        <v>1</v>
      </c>
      <c r="BE2136">
        <v>0</v>
      </c>
      <c r="BF2136">
        <v>0</v>
      </c>
      <c r="BG2136">
        <v>0</v>
      </c>
      <c r="BH2136">
        <v>4100</v>
      </c>
      <c r="BI2136">
        <v>0</v>
      </c>
      <c r="BJ2136">
        <v>0</v>
      </c>
      <c r="BK2136">
        <v>0</v>
      </c>
      <c r="BL2136">
        <v>0</v>
      </c>
      <c r="BO2136">
        <v>0</v>
      </c>
      <c r="BP2136">
        <v>0</v>
      </c>
      <c r="BW2136" t="str">
        <f>"19:00:55.316"</f>
        <v>19:00:55.316</v>
      </c>
      <c r="BZ2136">
        <v>0</v>
      </c>
      <c r="CA2136">
        <v>1888</v>
      </c>
      <c r="CB2136">
        <v>214.4</v>
      </c>
      <c r="CC2136">
        <v>625.78129999999999</v>
      </c>
      <c r="CD2136">
        <v>1</v>
      </c>
      <c r="CE2136">
        <v>0</v>
      </c>
      <c r="CF2136">
        <v>0</v>
      </c>
      <c r="CG2136">
        <v>1</v>
      </c>
      <c r="CH2136">
        <v>0</v>
      </c>
      <c r="CI2136">
        <v>0</v>
      </c>
      <c r="CJ2136">
        <v>0</v>
      </c>
      <c r="CK2136">
        <v>2</v>
      </c>
      <c r="CL2136">
        <v>0</v>
      </c>
      <c r="CM2136">
        <v>2</v>
      </c>
      <c r="CN2136">
        <v>0</v>
      </c>
      <c r="CO2136">
        <v>6</v>
      </c>
      <c r="CP2136" t="s">
        <v>119</v>
      </c>
      <c r="CQ2136">
        <v>70</v>
      </c>
      <c r="CR2136">
        <v>1</v>
      </c>
      <c r="CW2136">
        <v>3920896</v>
      </c>
      <c r="CY2136">
        <v>0</v>
      </c>
      <c r="CZ2136">
        <v>0</v>
      </c>
      <c r="DA2136">
        <v>1</v>
      </c>
      <c r="DB2136">
        <v>0</v>
      </c>
      <c r="DC2136">
        <v>0</v>
      </c>
      <c r="DD2136">
        <v>0</v>
      </c>
      <c r="DE2136">
        <v>0</v>
      </c>
      <c r="DF2136">
        <v>0</v>
      </c>
      <c r="DG2136">
        <v>0</v>
      </c>
      <c r="DH2136">
        <v>0</v>
      </c>
      <c r="DI2136">
        <v>0</v>
      </c>
    </row>
    <row r="2137" spans="1:113" x14ac:dyDescent="0.3">
      <c r="A2137" t="str">
        <f>"02/13/2022 19:00:55.597"</f>
        <v>02/13/2022 19:00:55.597</v>
      </c>
      <c r="C2137" t="str">
        <f t="shared" si="209"/>
        <v>FFDFD7C0</v>
      </c>
      <c r="D2137" t="s">
        <v>113</v>
      </c>
      <c r="E2137">
        <v>4</v>
      </c>
      <c r="F2137">
        <v>1004</v>
      </c>
      <c r="G2137" t="s">
        <v>120</v>
      </c>
      <c r="J2137" t="s">
        <v>115</v>
      </c>
      <c r="K2137">
        <v>0</v>
      </c>
      <c r="L2137">
        <v>3</v>
      </c>
      <c r="M2137">
        <v>0</v>
      </c>
      <c r="N2137">
        <v>2</v>
      </c>
      <c r="O2137">
        <v>1</v>
      </c>
      <c r="P2137">
        <v>0</v>
      </c>
      <c r="Q2137">
        <v>0</v>
      </c>
      <c r="S2137" t="str">
        <f>"19:00:55.313"</f>
        <v>19:00:55.313</v>
      </c>
      <c r="T2137" t="str">
        <f>"19:00:54.913"</f>
        <v>19:00:54.913</v>
      </c>
      <c r="U2137" t="str">
        <f t="shared" si="211"/>
        <v>AAB6EE</v>
      </c>
      <c r="V2137">
        <v>0</v>
      </c>
      <c r="W2137">
        <v>0</v>
      </c>
      <c r="X2137">
        <v>4</v>
      </c>
      <c r="Z2137">
        <v>0</v>
      </c>
      <c r="AA2137">
        <v>8</v>
      </c>
      <c r="AB2137">
        <v>3</v>
      </c>
      <c r="AC2137">
        <v>0</v>
      </c>
      <c r="AD2137">
        <v>10</v>
      </c>
      <c r="AE2137">
        <v>0</v>
      </c>
      <c r="AF2137">
        <v>0</v>
      </c>
      <c r="AG2137">
        <v>2</v>
      </c>
      <c r="AH2137">
        <v>1</v>
      </c>
      <c r="AI2137" t="s">
        <v>1541</v>
      </c>
      <c r="AJ2137">
        <v>34.817605</v>
      </c>
      <c r="AK2137" t="s">
        <v>1542</v>
      </c>
      <c r="AL2137">
        <v>-76.283505000000005</v>
      </c>
      <c r="AM2137">
        <v>25</v>
      </c>
      <c r="AN2137">
        <v>4275</v>
      </c>
      <c r="AO2137" t="s">
        <v>118</v>
      </c>
      <c r="AP2137">
        <v>11</v>
      </c>
      <c r="AQ2137">
        <v>-116</v>
      </c>
      <c r="AR2137">
        <v>3328</v>
      </c>
      <c r="AZ2137">
        <v>4516</v>
      </c>
      <c r="BA2137">
        <v>1</v>
      </c>
      <c r="BB2137" t="str">
        <f t="shared" si="210"/>
        <v xml:space="preserve">N79NX   </v>
      </c>
      <c r="BC2137">
        <v>1</v>
      </c>
      <c r="BE2137">
        <v>0</v>
      </c>
      <c r="BF2137">
        <v>0</v>
      </c>
      <c r="BG2137">
        <v>0</v>
      </c>
      <c r="BH2137">
        <v>4100</v>
      </c>
      <c r="BI2137">
        <v>0</v>
      </c>
      <c r="BJ2137">
        <v>0</v>
      </c>
      <c r="BK2137">
        <v>0</v>
      </c>
      <c r="BL2137">
        <v>0</v>
      </c>
      <c r="BO2137">
        <v>0</v>
      </c>
      <c r="BP2137">
        <v>0</v>
      </c>
      <c r="BW2137" t="str">
        <f>"19:00:55.316"</f>
        <v>19:00:55.316</v>
      </c>
      <c r="BZ2137">
        <v>0</v>
      </c>
      <c r="CA2137">
        <v>1888</v>
      </c>
      <c r="CB2137">
        <v>214.4</v>
      </c>
      <c r="CC2137">
        <v>625.78129999999999</v>
      </c>
      <c r="CD2137">
        <v>1</v>
      </c>
      <c r="CE2137">
        <v>0</v>
      </c>
      <c r="CF2137">
        <v>0</v>
      </c>
      <c r="CG2137">
        <v>1</v>
      </c>
      <c r="CH2137">
        <v>0</v>
      </c>
      <c r="CI2137">
        <v>0</v>
      </c>
      <c r="CJ2137">
        <v>0</v>
      </c>
      <c r="CK2137">
        <v>2</v>
      </c>
      <c r="CL2137">
        <v>0</v>
      </c>
      <c r="CM2137">
        <v>2</v>
      </c>
      <c r="CN2137">
        <v>0</v>
      </c>
      <c r="CO2137">
        <v>6</v>
      </c>
      <c r="CP2137" t="s">
        <v>119</v>
      </c>
      <c r="CQ2137">
        <v>70</v>
      </c>
      <c r="CR2137">
        <v>1</v>
      </c>
      <c r="CW2137">
        <v>3920896</v>
      </c>
      <c r="CY2137">
        <v>0</v>
      </c>
      <c r="CZ2137">
        <v>0</v>
      </c>
      <c r="DA2137">
        <v>1</v>
      </c>
      <c r="DB2137">
        <v>0</v>
      </c>
      <c r="DC2137">
        <v>0</v>
      </c>
      <c r="DD2137">
        <v>0</v>
      </c>
      <c r="DE2137">
        <v>0</v>
      </c>
      <c r="DF2137">
        <v>0</v>
      </c>
      <c r="DG2137">
        <v>0</v>
      </c>
      <c r="DH2137">
        <v>0</v>
      </c>
      <c r="DI2137">
        <v>0</v>
      </c>
    </row>
    <row r="2138" spans="1:113" x14ac:dyDescent="0.3">
      <c r="A2138" t="str">
        <f>"02/13/2022 19:00:57.137"</f>
        <v>02/13/2022 19:00:57.137</v>
      </c>
      <c r="C2138" t="str">
        <f t="shared" si="209"/>
        <v>FFDFD7C0</v>
      </c>
      <c r="D2138" t="s">
        <v>113</v>
      </c>
      <c r="E2138">
        <v>4</v>
      </c>
      <c r="F2138">
        <v>1004</v>
      </c>
      <c r="G2138" t="s">
        <v>120</v>
      </c>
      <c r="J2138" t="s">
        <v>115</v>
      </c>
      <c r="K2138">
        <v>0</v>
      </c>
      <c r="L2138">
        <v>3</v>
      </c>
      <c r="M2138">
        <v>0</v>
      </c>
      <c r="N2138">
        <v>2</v>
      </c>
      <c r="O2138">
        <v>1</v>
      </c>
      <c r="P2138">
        <v>0</v>
      </c>
      <c r="Q2138">
        <v>0</v>
      </c>
      <c r="S2138" t="str">
        <f>"19:00:56.922"</f>
        <v>19:00:56.922</v>
      </c>
      <c r="T2138" t="str">
        <f>"19:00:56.822"</f>
        <v>19:00:56.822</v>
      </c>
      <c r="U2138" t="str">
        <f t="shared" si="211"/>
        <v>AAB6EE</v>
      </c>
      <c r="V2138">
        <v>0</v>
      </c>
      <c r="W2138">
        <v>0</v>
      </c>
      <c r="X2138">
        <v>4</v>
      </c>
      <c r="Z2138">
        <v>0</v>
      </c>
      <c r="AA2138">
        <v>8</v>
      </c>
      <c r="AB2138">
        <v>3</v>
      </c>
      <c r="AC2138">
        <v>0</v>
      </c>
      <c r="AD2138">
        <v>10</v>
      </c>
      <c r="AE2138">
        <v>0</v>
      </c>
      <c r="AF2138">
        <v>0</v>
      </c>
      <c r="AG2138">
        <v>2</v>
      </c>
      <c r="AH2138">
        <v>1</v>
      </c>
      <c r="AI2138" t="s">
        <v>1543</v>
      </c>
      <c r="AJ2138">
        <v>34.816768000000003</v>
      </c>
      <c r="AK2138" t="s">
        <v>1544</v>
      </c>
      <c r="AL2138">
        <v>-76.283398000000005</v>
      </c>
      <c r="AM2138">
        <v>25</v>
      </c>
      <c r="AN2138">
        <v>4350</v>
      </c>
      <c r="AO2138" t="s">
        <v>118</v>
      </c>
      <c r="AP2138">
        <v>12</v>
      </c>
      <c r="AQ2138">
        <v>-110</v>
      </c>
      <c r="AR2138">
        <v>3968</v>
      </c>
      <c r="AZ2138">
        <v>4516</v>
      </c>
      <c r="BA2138">
        <v>1</v>
      </c>
      <c r="BB2138" t="str">
        <f t="shared" si="210"/>
        <v xml:space="preserve">N79NX   </v>
      </c>
      <c r="BC2138">
        <v>1</v>
      </c>
      <c r="BE2138">
        <v>0</v>
      </c>
      <c r="BF2138">
        <v>0</v>
      </c>
      <c r="BG2138">
        <v>0</v>
      </c>
      <c r="BH2138">
        <v>4200</v>
      </c>
      <c r="BI2138">
        <v>0</v>
      </c>
      <c r="BJ2138">
        <v>0</v>
      </c>
      <c r="BK2138">
        <v>0</v>
      </c>
      <c r="BL2138">
        <v>0</v>
      </c>
      <c r="BO2138">
        <v>0</v>
      </c>
      <c r="BP2138">
        <v>0</v>
      </c>
      <c r="BW2138" t="str">
        <f>"19:00:56.926"</f>
        <v>19:00:56.926</v>
      </c>
      <c r="BZ2138">
        <v>0</v>
      </c>
      <c r="CA2138">
        <v>1888</v>
      </c>
      <c r="CB2138">
        <v>214.4</v>
      </c>
      <c r="CC2138">
        <v>625.78129999999999</v>
      </c>
      <c r="CD2138">
        <v>1</v>
      </c>
      <c r="CE2138">
        <v>0</v>
      </c>
      <c r="CF2138">
        <v>0</v>
      </c>
      <c r="CG2138">
        <v>1</v>
      </c>
      <c r="CH2138">
        <v>0</v>
      </c>
      <c r="CI2138">
        <v>0</v>
      </c>
      <c r="CJ2138">
        <v>0</v>
      </c>
      <c r="CK2138">
        <v>2</v>
      </c>
      <c r="CL2138">
        <v>0</v>
      </c>
      <c r="CM2138">
        <v>2</v>
      </c>
      <c r="CN2138">
        <v>0</v>
      </c>
      <c r="CO2138">
        <v>6</v>
      </c>
      <c r="CP2138" t="s">
        <v>119</v>
      </c>
      <c r="CQ2138">
        <v>70</v>
      </c>
      <c r="CR2138">
        <v>1</v>
      </c>
      <c r="CW2138">
        <v>3922314</v>
      </c>
      <c r="CY2138">
        <v>0</v>
      </c>
      <c r="CZ2138">
        <v>0</v>
      </c>
      <c r="DA2138">
        <v>0</v>
      </c>
      <c r="DB2138">
        <v>0</v>
      </c>
      <c r="DC2138">
        <v>0</v>
      </c>
      <c r="DD2138">
        <v>0</v>
      </c>
      <c r="DE2138">
        <v>0</v>
      </c>
      <c r="DF2138">
        <v>0</v>
      </c>
      <c r="DG2138">
        <v>0</v>
      </c>
      <c r="DH2138">
        <v>0</v>
      </c>
      <c r="DI2138">
        <v>0</v>
      </c>
    </row>
    <row r="2139" spans="1:113" x14ac:dyDescent="0.3">
      <c r="A2139" t="str">
        <f>"02/13/2022 19:00:57.137"</f>
        <v>02/13/2022 19:00:57.137</v>
      </c>
      <c r="C2139" t="str">
        <f t="shared" si="209"/>
        <v>FFDFD7C0</v>
      </c>
      <c r="D2139" t="s">
        <v>121</v>
      </c>
      <c r="E2139">
        <v>2</v>
      </c>
      <c r="H2139">
        <v>158</v>
      </c>
      <c r="I2139" t="s">
        <v>120</v>
      </c>
      <c r="J2139" t="s">
        <v>122</v>
      </c>
      <c r="K2139">
        <v>0</v>
      </c>
      <c r="L2139">
        <v>3</v>
      </c>
      <c r="M2139">
        <v>0</v>
      </c>
      <c r="N2139">
        <v>2</v>
      </c>
      <c r="O2139">
        <v>1</v>
      </c>
      <c r="P2139">
        <v>0</v>
      </c>
      <c r="Q2139">
        <v>0</v>
      </c>
      <c r="S2139" t="str">
        <f>"19:00:56.922"</f>
        <v>19:00:56.922</v>
      </c>
      <c r="T2139" t="str">
        <f>"19:00:56.822"</f>
        <v>19:00:56.822</v>
      </c>
      <c r="U2139" t="str">
        <f t="shared" si="211"/>
        <v>AAB6EE</v>
      </c>
      <c r="V2139">
        <v>0</v>
      </c>
      <c r="W2139">
        <v>0</v>
      </c>
      <c r="X2139">
        <v>4</v>
      </c>
      <c r="Z2139">
        <v>0</v>
      </c>
      <c r="AA2139">
        <v>8</v>
      </c>
      <c r="AB2139">
        <v>3</v>
      </c>
      <c r="AC2139">
        <v>0</v>
      </c>
      <c r="AD2139">
        <v>10</v>
      </c>
      <c r="AE2139">
        <v>0</v>
      </c>
      <c r="AF2139">
        <v>0</v>
      </c>
      <c r="AG2139">
        <v>2</v>
      </c>
      <c r="AH2139">
        <v>1</v>
      </c>
      <c r="AI2139" t="s">
        <v>1543</v>
      </c>
      <c r="AJ2139">
        <v>34.816768000000003</v>
      </c>
      <c r="AK2139" t="s">
        <v>1544</v>
      </c>
      <c r="AL2139">
        <v>-76.283398000000005</v>
      </c>
      <c r="AM2139">
        <v>25</v>
      </c>
      <c r="AN2139">
        <v>4350</v>
      </c>
      <c r="AO2139" t="s">
        <v>118</v>
      </c>
      <c r="AP2139">
        <v>12</v>
      </c>
      <c r="AQ2139">
        <v>-110</v>
      </c>
      <c r="AR2139">
        <v>3968</v>
      </c>
      <c r="AZ2139">
        <v>4516</v>
      </c>
      <c r="BA2139">
        <v>1</v>
      </c>
      <c r="BB2139" t="str">
        <f t="shared" si="210"/>
        <v xml:space="preserve">N79NX   </v>
      </c>
      <c r="BC2139">
        <v>1</v>
      </c>
      <c r="BE2139">
        <v>0</v>
      </c>
      <c r="BF2139">
        <v>0</v>
      </c>
      <c r="BG2139">
        <v>0</v>
      </c>
      <c r="BH2139">
        <v>4200</v>
      </c>
      <c r="BI2139">
        <v>0</v>
      </c>
      <c r="BJ2139">
        <v>0</v>
      </c>
      <c r="BK2139">
        <v>0</v>
      </c>
      <c r="BL2139">
        <v>0</v>
      </c>
      <c r="BO2139">
        <v>0</v>
      </c>
      <c r="BP2139">
        <v>0</v>
      </c>
      <c r="BW2139" t="str">
        <f>"19:00:56.926"</f>
        <v>19:00:56.926</v>
      </c>
      <c r="BZ2139">
        <v>0</v>
      </c>
      <c r="CA2139">
        <v>1888</v>
      </c>
      <c r="CB2139">
        <v>214.4</v>
      </c>
      <c r="CC2139">
        <v>625.78129999999999</v>
      </c>
      <c r="CD2139">
        <v>1</v>
      </c>
      <c r="CE2139">
        <v>0</v>
      </c>
      <c r="CF2139">
        <v>0</v>
      </c>
      <c r="CG2139">
        <v>1</v>
      </c>
      <c r="CH2139">
        <v>0</v>
      </c>
      <c r="CI2139">
        <v>0</v>
      </c>
      <c r="CJ2139">
        <v>0</v>
      </c>
      <c r="CK2139">
        <v>2</v>
      </c>
      <c r="CL2139">
        <v>0</v>
      </c>
      <c r="CM2139">
        <v>2</v>
      </c>
      <c r="CN2139">
        <v>0</v>
      </c>
      <c r="CO2139">
        <v>6</v>
      </c>
      <c r="CP2139" t="s">
        <v>119</v>
      </c>
      <c r="CQ2139">
        <v>70</v>
      </c>
      <c r="CR2139">
        <v>1</v>
      </c>
      <c r="CW2139">
        <v>3922314</v>
      </c>
      <c r="CY2139">
        <v>0</v>
      </c>
      <c r="CZ2139">
        <v>0</v>
      </c>
      <c r="DA2139">
        <v>1</v>
      </c>
      <c r="DB2139">
        <v>0</v>
      </c>
      <c r="DC2139">
        <v>0</v>
      </c>
      <c r="DD2139">
        <v>0</v>
      </c>
      <c r="DE2139">
        <v>0</v>
      </c>
      <c r="DF2139">
        <v>0</v>
      </c>
      <c r="DG2139">
        <v>0</v>
      </c>
      <c r="DH2139">
        <v>0</v>
      </c>
      <c r="DI2139">
        <v>0</v>
      </c>
    </row>
    <row r="2140" spans="1:113" x14ac:dyDescent="0.3">
      <c r="A2140" t="str">
        <f>"02/13/2022 19:00:57.168"</f>
        <v>02/13/2022 19:00:57.168</v>
      </c>
      <c r="C2140" t="str">
        <f t="shared" si="209"/>
        <v>FFDFD7C0</v>
      </c>
      <c r="D2140" t="s">
        <v>113</v>
      </c>
      <c r="E2140">
        <v>3</v>
      </c>
      <c r="F2140">
        <v>1003</v>
      </c>
      <c r="G2140" t="s">
        <v>114</v>
      </c>
      <c r="J2140" t="s">
        <v>115</v>
      </c>
      <c r="K2140">
        <v>0</v>
      </c>
      <c r="L2140">
        <v>3</v>
      </c>
      <c r="M2140">
        <v>0</v>
      </c>
      <c r="N2140">
        <v>2</v>
      </c>
      <c r="O2140">
        <v>1</v>
      </c>
      <c r="P2140">
        <v>0</v>
      </c>
      <c r="Q2140">
        <v>0</v>
      </c>
      <c r="S2140" t="str">
        <f>"19:00:56.922"</f>
        <v>19:00:56.922</v>
      </c>
      <c r="T2140" t="str">
        <f>"19:00:56.822"</f>
        <v>19:00:56.822</v>
      </c>
      <c r="U2140" t="str">
        <f t="shared" si="211"/>
        <v>AAB6EE</v>
      </c>
      <c r="V2140">
        <v>0</v>
      </c>
      <c r="W2140">
        <v>0</v>
      </c>
      <c r="X2140">
        <v>4</v>
      </c>
      <c r="Z2140">
        <v>0</v>
      </c>
      <c r="AA2140">
        <v>8</v>
      </c>
      <c r="AB2140">
        <v>3</v>
      </c>
      <c r="AC2140">
        <v>0</v>
      </c>
      <c r="AD2140">
        <v>10</v>
      </c>
      <c r="AE2140">
        <v>0</v>
      </c>
      <c r="AF2140">
        <v>0</v>
      </c>
      <c r="AG2140">
        <v>2</v>
      </c>
      <c r="AH2140">
        <v>1</v>
      </c>
      <c r="AI2140" t="s">
        <v>1543</v>
      </c>
      <c r="AJ2140">
        <v>34.816768000000003</v>
      </c>
      <c r="AK2140" t="s">
        <v>1544</v>
      </c>
      <c r="AL2140">
        <v>-76.283398000000005</v>
      </c>
      <c r="AM2140">
        <v>25</v>
      </c>
      <c r="AN2140">
        <v>4350</v>
      </c>
      <c r="AO2140" t="s">
        <v>118</v>
      </c>
      <c r="AP2140">
        <v>12</v>
      </c>
      <c r="AQ2140">
        <v>-110</v>
      </c>
      <c r="AR2140">
        <v>3968</v>
      </c>
      <c r="AZ2140">
        <v>4516</v>
      </c>
      <c r="BA2140">
        <v>1</v>
      </c>
      <c r="BB2140" t="str">
        <f t="shared" si="210"/>
        <v xml:space="preserve">N79NX   </v>
      </c>
      <c r="BC2140">
        <v>1</v>
      </c>
      <c r="BE2140">
        <v>0</v>
      </c>
      <c r="BF2140">
        <v>0</v>
      </c>
      <c r="BG2140">
        <v>0</v>
      </c>
      <c r="BH2140">
        <v>4200</v>
      </c>
      <c r="BI2140">
        <v>0</v>
      </c>
      <c r="BJ2140">
        <v>0</v>
      </c>
      <c r="BK2140">
        <v>0</v>
      </c>
      <c r="BL2140">
        <v>0</v>
      </c>
      <c r="BO2140">
        <v>0</v>
      </c>
      <c r="BP2140">
        <v>0</v>
      </c>
      <c r="BW2140" t="str">
        <f>"19:00:56.926"</f>
        <v>19:00:56.926</v>
      </c>
      <c r="BZ2140">
        <v>0</v>
      </c>
      <c r="CA2140">
        <v>1888</v>
      </c>
      <c r="CB2140">
        <v>214.4</v>
      </c>
      <c r="CC2140">
        <v>625.78129999999999</v>
      </c>
      <c r="CD2140">
        <v>1</v>
      </c>
      <c r="CE2140">
        <v>0</v>
      </c>
      <c r="CF2140">
        <v>0</v>
      </c>
      <c r="CG2140">
        <v>1</v>
      </c>
      <c r="CH2140">
        <v>0</v>
      </c>
      <c r="CI2140">
        <v>0</v>
      </c>
      <c r="CJ2140">
        <v>0</v>
      </c>
      <c r="CK2140">
        <v>2</v>
      </c>
      <c r="CL2140">
        <v>0</v>
      </c>
      <c r="CM2140">
        <v>2</v>
      </c>
      <c r="CN2140">
        <v>0</v>
      </c>
      <c r="CO2140">
        <v>6</v>
      </c>
      <c r="CP2140" t="s">
        <v>119</v>
      </c>
      <c r="CQ2140">
        <v>70</v>
      </c>
      <c r="CR2140">
        <v>1</v>
      </c>
      <c r="CW2140">
        <v>3922314</v>
      </c>
      <c r="CY2140">
        <v>0</v>
      </c>
      <c r="CZ2140">
        <v>0</v>
      </c>
      <c r="DA2140">
        <v>1</v>
      </c>
      <c r="DB2140">
        <v>0</v>
      </c>
      <c r="DC2140">
        <v>0</v>
      </c>
      <c r="DD2140">
        <v>0</v>
      </c>
      <c r="DE2140">
        <v>0</v>
      </c>
      <c r="DF2140">
        <v>0</v>
      </c>
      <c r="DG2140">
        <v>0</v>
      </c>
      <c r="DH2140">
        <v>0</v>
      </c>
      <c r="DI2140">
        <v>0</v>
      </c>
    </row>
    <row r="2141" spans="1:113" x14ac:dyDescent="0.3">
      <c r="A2141" t="str">
        <f>"02/13/2022 19:00:58.137"</f>
        <v>02/13/2022 19:00:58.137</v>
      </c>
      <c r="C2141" t="str">
        <f t="shared" si="209"/>
        <v>FFDFD7C0</v>
      </c>
      <c r="D2141" t="s">
        <v>113</v>
      </c>
      <c r="E2141">
        <v>3</v>
      </c>
      <c r="F2141">
        <v>1003</v>
      </c>
      <c r="G2141" t="s">
        <v>114</v>
      </c>
      <c r="J2141" t="s">
        <v>115</v>
      </c>
      <c r="K2141">
        <v>0</v>
      </c>
      <c r="L2141">
        <v>3</v>
      </c>
      <c r="M2141">
        <v>0</v>
      </c>
      <c r="N2141">
        <v>2</v>
      </c>
      <c r="O2141">
        <v>1</v>
      </c>
      <c r="P2141">
        <v>0</v>
      </c>
      <c r="Q2141">
        <v>0</v>
      </c>
      <c r="S2141" t="str">
        <f>"19:00:57.844"</f>
        <v>19:00:57.844</v>
      </c>
      <c r="T2141" t="str">
        <f>"19:00:57.444"</f>
        <v>19:00:57.444</v>
      </c>
      <c r="U2141" t="str">
        <f t="shared" si="211"/>
        <v>AAB6EE</v>
      </c>
      <c r="V2141">
        <v>0</v>
      </c>
      <c r="W2141">
        <v>0</v>
      </c>
      <c r="X2141">
        <v>4</v>
      </c>
      <c r="Z2141">
        <v>0</v>
      </c>
      <c r="AA2141">
        <v>8</v>
      </c>
      <c r="AB2141">
        <v>3</v>
      </c>
      <c r="AC2141">
        <v>0</v>
      </c>
      <c r="AD2141">
        <v>10</v>
      </c>
      <c r="AE2141">
        <v>0</v>
      </c>
      <c r="AF2141">
        <v>0</v>
      </c>
      <c r="AG2141">
        <v>2</v>
      </c>
      <c r="AH2141">
        <v>1</v>
      </c>
      <c r="AI2141" t="s">
        <v>1545</v>
      </c>
      <c r="AJ2141">
        <v>34.816318000000003</v>
      </c>
      <c r="AK2141" t="s">
        <v>1546</v>
      </c>
      <c r="AL2141">
        <v>-76.283332999999999</v>
      </c>
      <c r="AM2141">
        <v>25</v>
      </c>
      <c r="AN2141">
        <v>4425</v>
      </c>
      <c r="AO2141" t="s">
        <v>118</v>
      </c>
      <c r="AP2141">
        <v>12</v>
      </c>
      <c r="AQ2141">
        <v>-108</v>
      </c>
      <c r="AR2141">
        <v>4096</v>
      </c>
      <c r="AZ2141">
        <v>4516</v>
      </c>
      <c r="BA2141">
        <v>1</v>
      </c>
      <c r="BB2141" t="str">
        <f t="shared" si="210"/>
        <v xml:space="preserve">N79NX   </v>
      </c>
      <c r="BC2141">
        <v>1</v>
      </c>
      <c r="BE2141">
        <v>0</v>
      </c>
      <c r="BF2141">
        <v>0</v>
      </c>
      <c r="BG2141">
        <v>0</v>
      </c>
      <c r="BH2141">
        <v>4250</v>
      </c>
      <c r="BI2141">
        <v>0</v>
      </c>
      <c r="BJ2141">
        <v>0</v>
      </c>
      <c r="BK2141">
        <v>0</v>
      </c>
      <c r="BL2141">
        <v>0</v>
      </c>
      <c r="BO2141">
        <v>0</v>
      </c>
      <c r="BP2141">
        <v>0</v>
      </c>
      <c r="BW2141" t="str">
        <f>"19:00:57.846"</f>
        <v>19:00:57.846</v>
      </c>
      <c r="BZ2141">
        <v>0</v>
      </c>
      <c r="CA2141">
        <v>1888</v>
      </c>
      <c r="CB2141">
        <v>214.4</v>
      </c>
      <c r="CC2141">
        <v>625.78129999999999</v>
      </c>
      <c r="CD2141">
        <v>1</v>
      </c>
      <c r="CE2141">
        <v>0</v>
      </c>
      <c r="CF2141">
        <v>0</v>
      </c>
      <c r="CG2141">
        <v>1</v>
      </c>
      <c r="CH2141">
        <v>0</v>
      </c>
      <c r="CI2141">
        <v>0</v>
      </c>
      <c r="CJ2141">
        <v>0</v>
      </c>
      <c r="CK2141">
        <v>2</v>
      </c>
      <c r="CL2141">
        <v>0</v>
      </c>
      <c r="CM2141">
        <v>2</v>
      </c>
      <c r="CN2141">
        <v>0</v>
      </c>
      <c r="CO2141">
        <v>6</v>
      </c>
      <c r="CP2141" t="s">
        <v>119</v>
      </c>
      <c r="CQ2141">
        <v>70</v>
      </c>
      <c r="CR2141">
        <v>1</v>
      </c>
      <c r="CW2141">
        <v>3923064</v>
      </c>
      <c r="CY2141">
        <v>0</v>
      </c>
      <c r="CZ2141">
        <v>0</v>
      </c>
      <c r="DA2141">
        <v>0</v>
      </c>
      <c r="DB2141">
        <v>0</v>
      </c>
      <c r="DC2141">
        <v>0</v>
      </c>
      <c r="DD2141">
        <v>0</v>
      </c>
      <c r="DE2141">
        <v>0</v>
      </c>
      <c r="DF2141">
        <v>0</v>
      </c>
      <c r="DG2141">
        <v>0</v>
      </c>
      <c r="DH2141">
        <v>0</v>
      </c>
      <c r="DI2141">
        <v>0</v>
      </c>
    </row>
    <row r="2142" spans="1:113" x14ac:dyDescent="0.3">
      <c r="A2142" t="str">
        <f>"02/13/2022 19:00:58.137"</f>
        <v>02/13/2022 19:00:58.137</v>
      </c>
      <c r="C2142" t="str">
        <f t="shared" si="209"/>
        <v>FFDFD7C0</v>
      </c>
      <c r="D2142" t="s">
        <v>113</v>
      </c>
      <c r="E2142">
        <v>4</v>
      </c>
      <c r="F2142">
        <v>1004</v>
      </c>
      <c r="G2142" t="s">
        <v>120</v>
      </c>
      <c r="J2142" t="s">
        <v>115</v>
      </c>
      <c r="K2142">
        <v>0</v>
      </c>
      <c r="L2142">
        <v>3</v>
      </c>
      <c r="M2142">
        <v>0</v>
      </c>
      <c r="N2142">
        <v>2</v>
      </c>
      <c r="O2142">
        <v>1</v>
      </c>
      <c r="P2142">
        <v>0</v>
      </c>
      <c r="Q2142">
        <v>0</v>
      </c>
      <c r="S2142" t="str">
        <f>"19:00:57.844"</f>
        <v>19:00:57.844</v>
      </c>
      <c r="T2142" t="str">
        <f>"19:00:57.444"</f>
        <v>19:00:57.444</v>
      </c>
      <c r="U2142" t="str">
        <f t="shared" si="211"/>
        <v>AAB6EE</v>
      </c>
      <c r="V2142">
        <v>0</v>
      </c>
      <c r="W2142">
        <v>0</v>
      </c>
      <c r="X2142">
        <v>4</v>
      </c>
      <c r="Z2142">
        <v>0</v>
      </c>
      <c r="AA2142">
        <v>8</v>
      </c>
      <c r="AB2142">
        <v>3</v>
      </c>
      <c r="AC2142">
        <v>0</v>
      </c>
      <c r="AD2142">
        <v>10</v>
      </c>
      <c r="AE2142">
        <v>0</v>
      </c>
      <c r="AF2142">
        <v>0</v>
      </c>
      <c r="AG2142">
        <v>2</v>
      </c>
      <c r="AH2142">
        <v>1</v>
      </c>
      <c r="AI2142" t="s">
        <v>1545</v>
      </c>
      <c r="AJ2142">
        <v>34.816318000000003</v>
      </c>
      <c r="AK2142" t="s">
        <v>1546</v>
      </c>
      <c r="AL2142">
        <v>-76.283332999999999</v>
      </c>
      <c r="AM2142">
        <v>25</v>
      </c>
      <c r="AN2142">
        <v>4425</v>
      </c>
      <c r="AO2142" t="s">
        <v>118</v>
      </c>
      <c r="AP2142">
        <v>12</v>
      </c>
      <c r="AQ2142">
        <v>-108</v>
      </c>
      <c r="AR2142">
        <v>4096</v>
      </c>
      <c r="AZ2142">
        <v>4516</v>
      </c>
      <c r="BA2142">
        <v>1</v>
      </c>
      <c r="BB2142" t="str">
        <f t="shared" si="210"/>
        <v xml:space="preserve">N79NX   </v>
      </c>
      <c r="BC2142">
        <v>1</v>
      </c>
      <c r="BE2142">
        <v>0</v>
      </c>
      <c r="BF2142">
        <v>0</v>
      </c>
      <c r="BG2142">
        <v>0</v>
      </c>
      <c r="BH2142">
        <v>4250</v>
      </c>
      <c r="BI2142">
        <v>0</v>
      </c>
      <c r="BJ2142">
        <v>0</v>
      </c>
      <c r="BK2142">
        <v>0</v>
      </c>
      <c r="BL2142">
        <v>0</v>
      </c>
      <c r="BO2142">
        <v>0</v>
      </c>
      <c r="BP2142">
        <v>0</v>
      </c>
      <c r="BW2142" t="str">
        <f>"19:00:57.846"</f>
        <v>19:00:57.846</v>
      </c>
      <c r="BZ2142">
        <v>0</v>
      </c>
      <c r="CA2142">
        <v>1888</v>
      </c>
      <c r="CB2142">
        <v>214.4</v>
      </c>
      <c r="CC2142">
        <v>625.78129999999999</v>
      </c>
      <c r="CD2142">
        <v>1</v>
      </c>
      <c r="CE2142">
        <v>0</v>
      </c>
      <c r="CF2142">
        <v>0</v>
      </c>
      <c r="CG2142">
        <v>1</v>
      </c>
      <c r="CH2142">
        <v>0</v>
      </c>
      <c r="CI2142">
        <v>0</v>
      </c>
      <c r="CJ2142">
        <v>0</v>
      </c>
      <c r="CK2142">
        <v>2</v>
      </c>
      <c r="CL2142">
        <v>0</v>
      </c>
      <c r="CM2142">
        <v>2</v>
      </c>
      <c r="CN2142">
        <v>0</v>
      </c>
      <c r="CO2142">
        <v>6</v>
      </c>
      <c r="CP2142" t="s">
        <v>119</v>
      </c>
      <c r="CQ2142">
        <v>70</v>
      </c>
      <c r="CR2142">
        <v>1</v>
      </c>
      <c r="CW2142">
        <v>3923064</v>
      </c>
      <c r="CY2142">
        <v>0</v>
      </c>
      <c r="CZ2142">
        <v>0</v>
      </c>
      <c r="DA2142">
        <v>1</v>
      </c>
      <c r="DB2142">
        <v>0</v>
      </c>
      <c r="DC2142">
        <v>0</v>
      </c>
      <c r="DD2142">
        <v>0</v>
      </c>
      <c r="DE2142">
        <v>0</v>
      </c>
      <c r="DF2142">
        <v>0</v>
      </c>
      <c r="DG2142">
        <v>0</v>
      </c>
      <c r="DH2142">
        <v>0</v>
      </c>
      <c r="DI2142">
        <v>0</v>
      </c>
    </row>
    <row r="2143" spans="1:113" x14ac:dyDescent="0.3">
      <c r="A2143" t="str">
        <f>"02/13/2022 19:00:58.137"</f>
        <v>02/13/2022 19:00:58.137</v>
      </c>
      <c r="C2143" t="str">
        <f t="shared" si="209"/>
        <v>FFDFD7C0</v>
      </c>
      <c r="D2143" t="s">
        <v>121</v>
      </c>
      <c r="E2143">
        <v>2</v>
      </c>
      <c r="H2143">
        <v>158</v>
      </c>
      <c r="I2143" t="s">
        <v>120</v>
      </c>
      <c r="J2143" t="s">
        <v>122</v>
      </c>
      <c r="K2143">
        <v>0</v>
      </c>
      <c r="L2143">
        <v>3</v>
      </c>
      <c r="M2143">
        <v>0</v>
      </c>
      <c r="N2143">
        <v>2</v>
      </c>
      <c r="O2143">
        <v>1</v>
      </c>
      <c r="P2143">
        <v>0</v>
      </c>
      <c r="Q2143">
        <v>0</v>
      </c>
      <c r="S2143" t="str">
        <f>"19:00:57.844"</f>
        <v>19:00:57.844</v>
      </c>
      <c r="T2143" t="str">
        <f>"19:00:57.444"</f>
        <v>19:00:57.444</v>
      </c>
      <c r="U2143" t="str">
        <f t="shared" si="211"/>
        <v>AAB6EE</v>
      </c>
      <c r="V2143">
        <v>0</v>
      </c>
      <c r="W2143">
        <v>0</v>
      </c>
      <c r="X2143">
        <v>4</v>
      </c>
      <c r="Z2143">
        <v>0</v>
      </c>
      <c r="AA2143">
        <v>8</v>
      </c>
      <c r="AB2143">
        <v>3</v>
      </c>
      <c r="AC2143">
        <v>0</v>
      </c>
      <c r="AD2143">
        <v>10</v>
      </c>
      <c r="AE2143">
        <v>0</v>
      </c>
      <c r="AF2143">
        <v>0</v>
      </c>
      <c r="AG2143">
        <v>2</v>
      </c>
      <c r="AH2143">
        <v>1</v>
      </c>
      <c r="AI2143" t="s">
        <v>1545</v>
      </c>
      <c r="AJ2143">
        <v>34.816318000000003</v>
      </c>
      <c r="AK2143" t="s">
        <v>1546</v>
      </c>
      <c r="AL2143">
        <v>-76.283332999999999</v>
      </c>
      <c r="AM2143">
        <v>25</v>
      </c>
      <c r="AN2143">
        <v>4425</v>
      </c>
      <c r="AO2143" t="s">
        <v>118</v>
      </c>
      <c r="AP2143">
        <v>12</v>
      </c>
      <c r="AQ2143">
        <v>-108</v>
      </c>
      <c r="AR2143">
        <v>4096</v>
      </c>
      <c r="AZ2143">
        <v>4516</v>
      </c>
      <c r="BA2143">
        <v>1</v>
      </c>
      <c r="BB2143" t="str">
        <f t="shared" si="210"/>
        <v xml:space="preserve">N79NX   </v>
      </c>
      <c r="BC2143">
        <v>1</v>
      </c>
      <c r="BE2143">
        <v>0</v>
      </c>
      <c r="BF2143">
        <v>0</v>
      </c>
      <c r="BG2143">
        <v>0</v>
      </c>
      <c r="BH2143">
        <v>4250</v>
      </c>
      <c r="BI2143">
        <v>0</v>
      </c>
      <c r="BJ2143">
        <v>0</v>
      </c>
      <c r="BK2143">
        <v>0</v>
      </c>
      <c r="BL2143">
        <v>0</v>
      </c>
      <c r="BO2143">
        <v>0</v>
      </c>
      <c r="BP2143">
        <v>0</v>
      </c>
      <c r="BW2143" t="str">
        <f>"19:00:57.846"</f>
        <v>19:00:57.846</v>
      </c>
      <c r="BZ2143">
        <v>0</v>
      </c>
      <c r="CA2143">
        <v>1888</v>
      </c>
      <c r="CB2143">
        <v>214.4</v>
      </c>
      <c r="CC2143">
        <v>625.78129999999999</v>
      </c>
      <c r="CD2143">
        <v>1</v>
      </c>
      <c r="CE2143">
        <v>0</v>
      </c>
      <c r="CF2143">
        <v>0</v>
      </c>
      <c r="CG2143">
        <v>1</v>
      </c>
      <c r="CH2143">
        <v>0</v>
      </c>
      <c r="CI2143">
        <v>0</v>
      </c>
      <c r="CJ2143">
        <v>0</v>
      </c>
      <c r="CK2143">
        <v>2</v>
      </c>
      <c r="CL2143">
        <v>0</v>
      </c>
      <c r="CM2143">
        <v>2</v>
      </c>
      <c r="CN2143">
        <v>0</v>
      </c>
      <c r="CO2143">
        <v>6</v>
      </c>
      <c r="CP2143" t="s">
        <v>119</v>
      </c>
      <c r="CQ2143">
        <v>70</v>
      </c>
      <c r="CR2143">
        <v>1</v>
      </c>
      <c r="CW2143">
        <v>3923064</v>
      </c>
      <c r="CY2143">
        <v>0</v>
      </c>
      <c r="CZ2143">
        <v>0</v>
      </c>
      <c r="DA2143">
        <v>1</v>
      </c>
      <c r="DB2143">
        <v>0</v>
      </c>
      <c r="DC2143">
        <v>0</v>
      </c>
      <c r="DD2143">
        <v>0</v>
      </c>
      <c r="DE2143">
        <v>0</v>
      </c>
      <c r="DF2143">
        <v>0</v>
      </c>
      <c r="DG2143">
        <v>0</v>
      </c>
      <c r="DH2143">
        <v>0</v>
      </c>
      <c r="DI2143">
        <v>0</v>
      </c>
    </row>
    <row r="2144" spans="1:113" x14ac:dyDescent="0.3">
      <c r="A2144" t="str">
        <f>"02/13/2022 19:00:59.122"</f>
        <v>02/13/2022 19:00:59.122</v>
      </c>
      <c r="C2144" t="str">
        <f t="shared" si="209"/>
        <v>FFDFD7C0</v>
      </c>
      <c r="D2144" t="s">
        <v>113</v>
      </c>
      <c r="E2144">
        <v>3</v>
      </c>
      <c r="F2144">
        <v>1003</v>
      </c>
      <c r="G2144" t="s">
        <v>114</v>
      </c>
      <c r="J2144" t="s">
        <v>115</v>
      </c>
      <c r="K2144">
        <v>0</v>
      </c>
      <c r="L2144">
        <v>3</v>
      </c>
      <c r="M2144">
        <v>0</v>
      </c>
      <c r="N2144">
        <v>2</v>
      </c>
      <c r="O2144">
        <v>1</v>
      </c>
      <c r="P2144">
        <v>0</v>
      </c>
      <c r="Q2144">
        <v>0</v>
      </c>
      <c r="S2144" t="str">
        <f>"19:00:58.891"</f>
        <v>19:00:58.891</v>
      </c>
      <c r="T2144" t="str">
        <f>"19:00:58.491"</f>
        <v>19:00:58.491</v>
      </c>
      <c r="U2144" t="str">
        <f t="shared" si="211"/>
        <v>AAB6EE</v>
      </c>
      <c r="V2144">
        <v>0</v>
      </c>
      <c r="W2144">
        <v>0</v>
      </c>
      <c r="X2144">
        <v>4</v>
      </c>
      <c r="Z2144">
        <v>0</v>
      </c>
      <c r="AA2144">
        <v>8</v>
      </c>
      <c r="AB2144">
        <v>3</v>
      </c>
      <c r="AC2144">
        <v>0</v>
      </c>
      <c r="AD2144">
        <v>10</v>
      </c>
      <c r="AE2144">
        <v>0</v>
      </c>
      <c r="AF2144">
        <v>0</v>
      </c>
      <c r="AG2144">
        <v>2</v>
      </c>
      <c r="AH2144">
        <v>1</v>
      </c>
      <c r="AI2144" t="s">
        <v>1547</v>
      </c>
      <c r="AJ2144">
        <v>34.815866999999997</v>
      </c>
      <c r="AK2144" t="s">
        <v>1548</v>
      </c>
      <c r="AL2144">
        <v>-76.283289999999994</v>
      </c>
      <c r="AM2144">
        <v>25</v>
      </c>
      <c r="AN2144">
        <v>4475</v>
      </c>
      <c r="AO2144" t="s">
        <v>118</v>
      </c>
      <c r="AP2144">
        <v>12</v>
      </c>
      <c r="AQ2144">
        <v>-106</v>
      </c>
      <c r="AR2144">
        <v>3712</v>
      </c>
      <c r="AZ2144">
        <v>4516</v>
      </c>
      <c r="BA2144">
        <v>1</v>
      </c>
      <c r="BB2144" t="str">
        <f t="shared" si="210"/>
        <v xml:space="preserve">N79NX   </v>
      </c>
      <c r="BC2144">
        <v>1</v>
      </c>
      <c r="BE2144">
        <v>0</v>
      </c>
      <c r="BF2144">
        <v>0</v>
      </c>
      <c r="BG2144">
        <v>0</v>
      </c>
      <c r="BH2144">
        <v>4325</v>
      </c>
      <c r="BI2144">
        <v>0</v>
      </c>
      <c r="BJ2144">
        <v>0</v>
      </c>
      <c r="BK2144">
        <v>0</v>
      </c>
      <c r="BL2144">
        <v>0</v>
      </c>
      <c r="BO2144">
        <v>0</v>
      </c>
      <c r="BP2144">
        <v>0</v>
      </c>
      <c r="BW2144" t="str">
        <f>"19:00:58.896"</f>
        <v>19:00:58.896</v>
      </c>
      <c r="BZ2144">
        <v>0</v>
      </c>
      <c r="CA2144">
        <v>1888</v>
      </c>
      <c r="CB2144">
        <v>214.4</v>
      </c>
      <c r="CC2144">
        <v>625.78129999999999</v>
      </c>
      <c r="CD2144">
        <v>1</v>
      </c>
      <c r="CE2144">
        <v>0</v>
      </c>
      <c r="CF2144">
        <v>0</v>
      </c>
      <c r="CG2144">
        <v>1</v>
      </c>
      <c r="CH2144">
        <v>0</v>
      </c>
      <c r="CI2144">
        <v>0</v>
      </c>
      <c r="CJ2144">
        <v>0</v>
      </c>
      <c r="CK2144">
        <v>2</v>
      </c>
      <c r="CL2144">
        <v>0</v>
      </c>
      <c r="CM2144">
        <v>2</v>
      </c>
      <c r="CN2144">
        <v>0</v>
      </c>
      <c r="CO2144">
        <v>6</v>
      </c>
      <c r="CP2144" t="s">
        <v>119</v>
      </c>
      <c r="CQ2144">
        <v>70</v>
      </c>
      <c r="CR2144">
        <v>1</v>
      </c>
      <c r="CW2144">
        <v>3923946</v>
      </c>
      <c r="CY2144">
        <v>0</v>
      </c>
      <c r="CZ2144">
        <v>0</v>
      </c>
      <c r="DA2144">
        <v>0</v>
      </c>
      <c r="DB2144">
        <v>0</v>
      </c>
      <c r="DC2144">
        <v>0</v>
      </c>
      <c r="DD2144">
        <v>0</v>
      </c>
      <c r="DE2144">
        <v>0</v>
      </c>
      <c r="DF2144">
        <v>0</v>
      </c>
      <c r="DG2144">
        <v>0</v>
      </c>
      <c r="DH2144">
        <v>0</v>
      </c>
      <c r="DI2144">
        <v>0</v>
      </c>
    </row>
    <row r="2145" spans="1:113" x14ac:dyDescent="0.3">
      <c r="A2145" t="str">
        <f>"02/13/2022 19:00:59.122"</f>
        <v>02/13/2022 19:00:59.122</v>
      </c>
      <c r="C2145" t="str">
        <f t="shared" si="209"/>
        <v>FFDFD7C0</v>
      </c>
      <c r="D2145" t="s">
        <v>113</v>
      </c>
      <c r="E2145">
        <v>4</v>
      </c>
      <c r="F2145">
        <v>1004</v>
      </c>
      <c r="G2145" t="s">
        <v>120</v>
      </c>
      <c r="J2145" t="s">
        <v>115</v>
      </c>
      <c r="K2145">
        <v>0</v>
      </c>
      <c r="L2145">
        <v>3</v>
      </c>
      <c r="M2145">
        <v>0</v>
      </c>
      <c r="N2145">
        <v>2</v>
      </c>
      <c r="O2145">
        <v>1</v>
      </c>
      <c r="P2145">
        <v>0</v>
      </c>
      <c r="Q2145">
        <v>0</v>
      </c>
      <c r="S2145" t="str">
        <f>"19:00:58.891"</f>
        <v>19:00:58.891</v>
      </c>
      <c r="T2145" t="str">
        <f>"19:00:58.491"</f>
        <v>19:00:58.491</v>
      </c>
      <c r="U2145" t="str">
        <f t="shared" si="211"/>
        <v>AAB6EE</v>
      </c>
      <c r="V2145">
        <v>0</v>
      </c>
      <c r="W2145">
        <v>0</v>
      </c>
      <c r="X2145">
        <v>4</v>
      </c>
      <c r="Z2145">
        <v>0</v>
      </c>
      <c r="AA2145">
        <v>8</v>
      </c>
      <c r="AB2145">
        <v>3</v>
      </c>
      <c r="AC2145">
        <v>0</v>
      </c>
      <c r="AD2145">
        <v>10</v>
      </c>
      <c r="AE2145">
        <v>0</v>
      </c>
      <c r="AF2145">
        <v>0</v>
      </c>
      <c r="AG2145">
        <v>2</v>
      </c>
      <c r="AH2145">
        <v>1</v>
      </c>
      <c r="AI2145" t="s">
        <v>1547</v>
      </c>
      <c r="AJ2145">
        <v>34.815866999999997</v>
      </c>
      <c r="AK2145" t="s">
        <v>1548</v>
      </c>
      <c r="AL2145">
        <v>-76.283289999999994</v>
      </c>
      <c r="AM2145">
        <v>25</v>
      </c>
      <c r="AN2145">
        <v>4475</v>
      </c>
      <c r="AO2145" t="s">
        <v>118</v>
      </c>
      <c r="AP2145">
        <v>12</v>
      </c>
      <c r="AQ2145">
        <v>-106</v>
      </c>
      <c r="AR2145">
        <v>3712</v>
      </c>
      <c r="AZ2145">
        <v>4516</v>
      </c>
      <c r="BA2145">
        <v>1</v>
      </c>
      <c r="BB2145" t="str">
        <f t="shared" si="210"/>
        <v xml:space="preserve">N79NX   </v>
      </c>
      <c r="BC2145">
        <v>1</v>
      </c>
      <c r="BE2145">
        <v>0</v>
      </c>
      <c r="BF2145">
        <v>0</v>
      </c>
      <c r="BG2145">
        <v>0</v>
      </c>
      <c r="BH2145">
        <v>4325</v>
      </c>
      <c r="BI2145">
        <v>0</v>
      </c>
      <c r="BJ2145">
        <v>0</v>
      </c>
      <c r="BK2145">
        <v>0</v>
      </c>
      <c r="BL2145">
        <v>0</v>
      </c>
      <c r="BO2145">
        <v>0</v>
      </c>
      <c r="BP2145">
        <v>0</v>
      </c>
      <c r="BW2145" t="str">
        <f>"19:00:58.896"</f>
        <v>19:00:58.896</v>
      </c>
      <c r="BZ2145">
        <v>0</v>
      </c>
      <c r="CA2145">
        <v>1888</v>
      </c>
      <c r="CB2145">
        <v>214.4</v>
      </c>
      <c r="CC2145">
        <v>625.78129999999999</v>
      </c>
      <c r="CD2145">
        <v>1</v>
      </c>
      <c r="CE2145">
        <v>0</v>
      </c>
      <c r="CF2145">
        <v>0</v>
      </c>
      <c r="CG2145">
        <v>1</v>
      </c>
      <c r="CH2145">
        <v>0</v>
      </c>
      <c r="CI2145">
        <v>0</v>
      </c>
      <c r="CJ2145">
        <v>0</v>
      </c>
      <c r="CK2145">
        <v>2</v>
      </c>
      <c r="CL2145">
        <v>0</v>
      </c>
      <c r="CM2145">
        <v>2</v>
      </c>
      <c r="CN2145">
        <v>0</v>
      </c>
      <c r="CO2145">
        <v>6</v>
      </c>
      <c r="CP2145" t="s">
        <v>119</v>
      </c>
      <c r="CQ2145">
        <v>70</v>
      </c>
      <c r="CR2145">
        <v>1</v>
      </c>
      <c r="CW2145">
        <v>3923946</v>
      </c>
      <c r="CY2145">
        <v>0</v>
      </c>
      <c r="CZ2145">
        <v>0</v>
      </c>
      <c r="DA2145">
        <v>1</v>
      </c>
      <c r="DB2145">
        <v>0</v>
      </c>
      <c r="DC2145">
        <v>0</v>
      </c>
      <c r="DD2145">
        <v>0</v>
      </c>
      <c r="DE2145">
        <v>0</v>
      </c>
      <c r="DF2145">
        <v>0</v>
      </c>
      <c r="DG2145">
        <v>0</v>
      </c>
      <c r="DH2145">
        <v>0</v>
      </c>
      <c r="DI2145">
        <v>0</v>
      </c>
    </row>
    <row r="2146" spans="1:113" x14ac:dyDescent="0.3">
      <c r="A2146" t="str">
        <f>"02/13/2022 19:00:59.122"</f>
        <v>02/13/2022 19:00:59.122</v>
      </c>
      <c r="C2146" t="str">
        <f t="shared" si="209"/>
        <v>FFDFD7C0</v>
      </c>
      <c r="D2146" t="s">
        <v>121</v>
      </c>
      <c r="E2146">
        <v>2</v>
      </c>
      <c r="H2146">
        <v>158</v>
      </c>
      <c r="I2146" t="s">
        <v>120</v>
      </c>
      <c r="J2146" t="s">
        <v>122</v>
      </c>
      <c r="K2146">
        <v>0</v>
      </c>
      <c r="L2146">
        <v>3</v>
      </c>
      <c r="M2146">
        <v>0</v>
      </c>
      <c r="N2146">
        <v>2</v>
      </c>
      <c r="O2146">
        <v>1</v>
      </c>
      <c r="P2146">
        <v>0</v>
      </c>
      <c r="Q2146">
        <v>0</v>
      </c>
      <c r="S2146" t="str">
        <f>"19:00:58.891"</f>
        <v>19:00:58.891</v>
      </c>
      <c r="T2146" t="str">
        <f>"19:00:58.491"</f>
        <v>19:00:58.491</v>
      </c>
      <c r="U2146" t="str">
        <f t="shared" si="211"/>
        <v>AAB6EE</v>
      </c>
      <c r="V2146">
        <v>0</v>
      </c>
      <c r="W2146">
        <v>0</v>
      </c>
      <c r="X2146">
        <v>4</v>
      </c>
      <c r="Z2146">
        <v>0</v>
      </c>
      <c r="AA2146">
        <v>8</v>
      </c>
      <c r="AB2146">
        <v>3</v>
      </c>
      <c r="AC2146">
        <v>0</v>
      </c>
      <c r="AD2146">
        <v>10</v>
      </c>
      <c r="AE2146">
        <v>0</v>
      </c>
      <c r="AF2146">
        <v>0</v>
      </c>
      <c r="AG2146">
        <v>2</v>
      </c>
      <c r="AH2146">
        <v>1</v>
      </c>
      <c r="AI2146" t="s">
        <v>1547</v>
      </c>
      <c r="AJ2146">
        <v>34.815866999999997</v>
      </c>
      <c r="AK2146" t="s">
        <v>1548</v>
      </c>
      <c r="AL2146">
        <v>-76.283289999999994</v>
      </c>
      <c r="AM2146">
        <v>25</v>
      </c>
      <c r="AN2146">
        <v>4475</v>
      </c>
      <c r="AO2146" t="s">
        <v>118</v>
      </c>
      <c r="AP2146">
        <v>12</v>
      </c>
      <c r="AQ2146">
        <v>-106</v>
      </c>
      <c r="AR2146">
        <v>3712</v>
      </c>
      <c r="AZ2146">
        <v>4516</v>
      </c>
      <c r="BA2146">
        <v>1</v>
      </c>
      <c r="BB2146" t="str">
        <f t="shared" si="210"/>
        <v xml:space="preserve">N79NX   </v>
      </c>
      <c r="BC2146">
        <v>1</v>
      </c>
      <c r="BE2146">
        <v>0</v>
      </c>
      <c r="BF2146">
        <v>0</v>
      </c>
      <c r="BG2146">
        <v>0</v>
      </c>
      <c r="BH2146">
        <v>4325</v>
      </c>
      <c r="BI2146">
        <v>0</v>
      </c>
      <c r="BJ2146">
        <v>0</v>
      </c>
      <c r="BK2146">
        <v>0</v>
      </c>
      <c r="BL2146">
        <v>0</v>
      </c>
      <c r="BO2146">
        <v>0</v>
      </c>
      <c r="BP2146">
        <v>0</v>
      </c>
      <c r="BW2146" t="str">
        <f>"19:00:58.896"</f>
        <v>19:00:58.896</v>
      </c>
      <c r="BZ2146">
        <v>0</v>
      </c>
      <c r="CA2146">
        <v>1888</v>
      </c>
      <c r="CB2146">
        <v>214.4</v>
      </c>
      <c r="CC2146">
        <v>625.78129999999999</v>
      </c>
      <c r="CD2146">
        <v>1</v>
      </c>
      <c r="CE2146">
        <v>0</v>
      </c>
      <c r="CF2146">
        <v>0</v>
      </c>
      <c r="CG2146">
        <v>1</v>
      </c>
      <c r="CH2146">
        <v>0</v>
      </c>
      <c r="CI2146">
        <v>0</v>
      </c>
      <c r="CJ2146">
        <v>0</v>
      </c>
      <c r="CK2146">
        <v>2</v>
      </c>
      <c r="CL2146">
        <v>0</v>
      </c>
      <c r="CM2146">
        <v>2</v>
      </c>
      <c r="CN2146">
        <v>0</v>
      </c>
      <c r="CO2146">
        <v>6</v>
      </c>
      <c r="CP2146" t="s">
        <v>119</v>
      </c>
      <c r="CQ2146">
        <v>70</v>
      </c>
      <c r="CR2146">
        <v>1</v>
      </c>
      <c r="CW2146">
        <v>3923946</v>
      </c>
      <c r="CY2146">
        <v>0</v>
      </c>
      <c r="CZ2146">
        <v>0</v>
      </c>
      <c r="DA2146">
        <v>1</v>
      </c>
      <c r="DB2146">
        <v>0</v>
      </c>
      <c r="DC2146">
        <v>0</v>
      </c>
      <c r="DD2146">
        <v>0</v>
      </c>
      <c r="DE2146">
        <v>0</v>
      </c>
      <c r="DF2146">
        <v>0</v>
      </c>
      <c r="DG2146">
        <v>0</v>
      </c>
      <c r="DH2146">
        <v>0</v>
      </c>
      <c r="DI2146">
        <v>0</v>
      </c>
    </row>
    <row r="2147" spans="1:113" x14ac:dyDescent="0.3">
      <c r="A2147" t="str">
        <f>"02/13/2022 19:01:00.139"</f>
        <v>02/13/2022 19:01:00.139</v>
      </c>
      <c r="C2147" t="str">
        <f t="shared" si="209"/>
        <v>FFDFD7C0</v>
      </c>
      <c r="D2147" t="s">
        <v>113</v>
      </c>
      <c r="E2147">
        <v>4</v>
      </c>
      <c r="F2147">
        <v>1004</v>
      </c>
      <c r="G2147" t="s">
        <v>120</v>
      </c>
      <c r="J2147" t="s">
        <v>115</v>
      </c>
      <c r="K2147">
        <v>0</v>
      </c>
      <c r="L2147">
        <v>3</v>
      </c>
      <c r="M2147">
        <v>0</v>
      </c>
      <c r="N2147">
        <v>2</v>
      </c>
      <c r="O2147">
        <v>1</v>
      </c>
      <c r="P2147">
        <v>0</v>
      </c>
      <c r="Q2147">
        <v>0</v>
      </c>
      <c r="S2147" t="str">
        <f>"19:00:59.820"</f>
        <v>19:00:59.820</v>
      </c>
      <c r="T2147" t="str">
        <f>"19:00:59.520"</f>
        <v>19:00:59.520</v>
      </c>
      <c r="U2147" t="str">
        <f t="shared" si="211"/>
        <v>AAB6EE</v>
      </c>
      <c r="V2147">
        <v>0</v>
      </c>
      <c r="W2147">
        <v>0</v>
      </c>
      <c r="X2147">
        <v>4</v>
      </c>
      <c r="Z2147">
        <v>0</v>
      </c>
      <c r="AA2147">
        <v>8</v>
      </c>
      <c r="AB2147">
        <v>3</v>
      </c>
      <c r="AC2147">
        <v>0</v>
      </c>
      <c r="AD2147">
        <v>10</v>
      </c>
      <c r="AE2147">
        <v>0</v>
      </c>
      <c r="AF2147">
        <v>0</v>
      </c>
      <c r="AG2147">
        <v>2</v>
      </c>
      <c r="AH2147">
        <v>1</v>
      </c>
      <c r="AI2147" t="s">
        <v>1450</v>
      </c>
      <c r="AJ2147">
        <v>34.815351999999997</v>
      </c>
      <c r="AK2147" t="s">
        <v>1549</v>
      </c>
      <c r="AL2147">
        <v>-76.283225999999999</v>
      </c>
      <c r="AM2147">
        <v>25</v>
      </c>
      <c r="AN2147">
        <v>4525</v>
      </c>
      <c r="AO2147" t="s">
        <v>118</v>
      </c>
      <c r="AP2147">
        <v>10</v>
      </c>
      <c r="AQ2147">
        <v>-106</v>
      </c>
      <c r="AR2147">
        <v>2944</v>
      </c>
      <c r="AZ2147">
        <v>4516</v>
      </c>
      <c r="BA2147">
        <v>1</v>
      </c>
      <c r="BB2147" t="str">
        <f t="shared" si="210"/>
        <v xml:space="preserve">N79NX   </v>
      </c>
      <c r="BC2147">
        <v>1</v>
      </c>
      <c r="BE2147">
        <v>0</v>
      </c>
      <c r="BF2147">
        <v>0</v>
      </c>
      <c r="BG2147">
        <v>0</v>
      </c>
      <c r="BH2147">
        <v>4375</v>
      </c>
      <c r="BI2147">
        <v>0</v>
      </c>
      <c r="BJ2147">
        <v>0</v>
      </c>
      <c r="BK2147">
        <v>0</v>
      </c>
      <c r="BL2147">
        <v>0</v>
      </c>
      <c r="BO2147">
        <v>0</v>
      </c>
      <c r="BP2147">
        <v>0</v>
      </c>
      <c r="BW2147" t="str">
        <f>"19:00:59.826"</f>
        <v>19:00:59.826</v>
      </c>
      <c r="BZ2147">
        <v>0</v>
      </c>
      <c r="CA2147">
        <v>1888</v>
      </c>
      <c r="CB2147">
        <v>214.4</v>
      </c>
      <c r="CC2147">
        <v>625.78129999999999</v>
      </c>
      <c r="CD2147">
        <v>1</v>
      </c>
      <c r="CE2147">
        <v>0</v>
      </c>
      <c r="CF2147">
        <v>0</v>
      </c>
      <c r="CG2147">
        <v>1</v>
      </c>
      <c r="CH2147">
        <v>0</v>
      </c>
      <c r="CI2147">
        <v>0</v>
      </c>
      <c r="CJ2147">
        <v>0</v>
      </c>
      <c r="CK2147">
        <v>2</v>
      </c>
      <c r="CL2147">
        <v>0</v>
      </c>
      <c r="CM2147">
        <v>2</v>
      </c>
      <c r="CN2147">
        <v>0</v>
      </c>
      <c r="CO2147">
        <v>6</v>
      </c>
      <c r="CP2147" t="s">
        <v>119</v>
      </c>
      <c r="CQ2147">
        <v>70</v>
      </c>
      <c r="CR2147">
        <v>1</v>
      </c>
      <c r="CW2147">
        <v>3924707</v>
      </c>
      <c r="CY2147">
        <v>0</v>
      </c>
      <c r="CZ2147">
        <v>0</v>
      </c>
      <c r="DA2147">
        <v>0</v>
      </c>
      <c r="DB2147">
        <v>0</v>
      </c>
      <c r="DC2147">
        <v>0</v>
      </c>
      <c r="DD2147">
        <v>0</v>
      </c>
      <c r="DE2147">
        <v>0</v>
      </c>
      <c r="DF2147">
        <v>0</v>
      </c>
      <c r="DG2147">
        <v>0</v>
      </c>
      <c r="DH2147">
        <v>0</v>
      </c>
      <c r="DI2147">
        <v>0</v>
      </c>
    </row>
    <row r="2148" spans="1:113" x14ac:dyDescent="0.3">
      <c r="A2148" t="str">
        <f>"02/13/2022 19:01:00.139"</f>
        <v>02/13/2022 19:01:00.139</v>
      </c>
      <c r="C2148" t="str">
        <f t="shared" si="209"/>
        <v>FFDFD7C0</v>
      </c>
      <c r="D2148" t="s">
        <v>121</v>
      </c>
      <c r="E2148">
        <v>2</v>
      </c>
      <c r="H2148">
        <v>158</v>
      </c>
      <c r="I2148" t="s">
        <v>120</v>
      </c>
      <c r="J2148" t="s">
        <v>122</v>
      </c>
      <c r="K2148">
        <v>0</v>
      </c>
      <c r="L2148">
        <v>3</v>
      </c>
      <c r="M2148">
        <v>0</v>
      </c>
      <c r="N2148">
        <v>2</v>
      </c>
      <c r="O2148">
        <v>1</v>
      </c>
      <c r="P2148">
        <v>0</v>
      </c>
      <c r="Q2148">
        <v>0</v>
      </c>
      <c r="S2148" t="str">
        <f>"19:00:59.820"</f>
        <v>19:00:59.820</v>
      </c>
      <c r="T2148" t="str">
        <f>"19:00:59.520"</f>
        <v>19:00:59.520</v>
      </c>
      <c r="U2148" t="str">
        <f t="shared" si="211"/>
        <v>AAB6EE</v>
      </c>
      <c r="V2148">
        <v>0</v>
      </c>
      <c r="W2148">
        <v>0</v>
      </c>
      <c r="X2148">
        <v>4</v>
      </c>
      <c r="Z2148">
        <v>0</v>
      </c>
      <c r="AA2148">
        <v>8</v>
      </c>
      <c r="AB2148">
        <v>3</v>
      </c>
      <c r="AC2148">
        <v>0</v>
      </c>
      <c r="AD2148">
        <v>10</v>
      </c>
      <c r="AE2148">
        <v>0</v>
      </c>
      <c r="AF2148">
        <v>0</v>
      </c>
      <c r="AG2148">
        <v>2</v>
      </c>
      <c r="AH2148">
        <v>1</v>
      </c>
      <c r="AI2148" t="s">
        <v>1450</v>
      </c>
      <c r="AJ2148">
        <v>34.815351999999997</v>
      </c>
      <c r="AK2148" t="s">
        <v>1549</v>
      </c>
      <c r="AL2148">
        <v>-76.283225999999999</v>
      </c>
      <c r="AM2148">
        <v>25</v>
      </c>
      <c r="AN2148">
        <v>4525</v>
      </c>
      <c r="AO2148" t="s">
        <v>118</v>
      </c>
      <c r="AP2148">
        <v>10</v>
      </c>
      <c r="AQ2148">
        <v>-106</v>
      </c>
      <c r="AR2148">
        <v>2944</v>
      </c>
      <c r="AZ2148">
        <v>4516</v>
      </c>
      <c r="BA2148">
        <v>1</v>
      </c>
      <c r="BB2148" t="str">
        <f t="shared" si="210"/>
        <v xml:space="preserve">N79NX   </v>
      </c>
      <c r="BC2148">
        <v>1</v>
      </c>
      <c r="BE2148">
        <v>0</v>
      </c>
      <c r="BF2148">
        <v>0</v>
      </c>
      <c r="BG2148">
        <v>0</v>
      </c>
      <c r="BH2148">
        <v>4375</v>
      </c>
      <c r="BI2148">
        <v>0</v>
      </c>
      <c r="BJ2148">
        <v>0</v>
      </c>
      <c r="BK2148">
        <v>0</v>
      </c>
      <c r="BL2148">
        <v>0</v>
      </c>
      <c r="BO2148">
        <v>0</v>
      </c>
      <c r="BP2148">
        <v>0</v>
      </c>
      <c r="BW2148" t="str">
        <f>"19:00:59.826"</f>
        <v>19:00:59.826</v>
      </c>
      <c r="BZ2148">
        <v>0</v>
      </c>
      <c r="CA2148">
        <v>1888</v>
      </c>
      <c r="CB2148">
        <v>214.4</v>
      </c>
      <c r="CC2148">
        <v>625.78129999999999</v>
      </c>
      <c r="CD2148">
        <v>1</v>
      </c>
      <c r="CE2148">
        <v>0</v>
      </c>
      <c r="CF2148">
        <v>0</v>
      </c>
      <c r="CG2148">
        <v>1</v>
      </c>
      <c r="CH2148">
        <v>0</v>
      </c>
      <c r="CI2148">
        <v>0</v>
      </c>
      <c r="CJ2148">
        <v>0</v>
      </c>
      <c r="CK2148">
        <v>2</v>
      </c>
      <c r="CL2148">
        <v>0</v>
      </c>
      <c r="CM2148">
        <v>2</v>
      </c>
      <c r="CN2148">
        <v>0</v>
      </c>
      <c r="CO2148">
        <v>6</v>
      </c>
      <c r="CP2148" t="s">
        <v>119</v>
      </c>
      <c r="CQ2148">
        <v>70</v>
      </c>
      <c r="CR2148">
        <v>1</v>
      </c>
      <c r="CW2148">
        <v>3924707</v>
      </c>
      <c r="CY2148">
        <v>0</v>
      </c>
      <c r="CZ2148">
        <v>0</v>
      </c>
      <c r="DA2148">
        <v>1</v>
      </c>
      <c r="DB2148">
        <v>0</v>
      </c>
      <c r="DC2148">
        <v>0</v>
      </c>
      <c r="DD2148">
        <v>0</v>
      </c>
      <c r="DE2148">
        <v>0</v>
      </c>
      <c r="DF2148">
        <v>0</v>
      </c>
      <c r="DG2148">
        <v>0</v>
      </c>
      <c r="DH2148">
        <v>0</v>
      </c>
      <c r="DI2148">
        <v>0</v>
      </c>
    </row>
    <row r="2149" spans="1:113" x14ac:dyDescent="0.3">
      <c r="A2149" t="str">
        <f>"02/13/2022 19:01:00.139"</f>
        <v>02/13/2022 19:01:00.139</v>
      </c>
      <c r="C2149" t="str">
        <f t="shared" si="209"/>
        <v>FFDFD7C0</v>
      </c>
      <c r="D2149" t="s">
        <v>113</v>
      </c>
      <c r="E2149">
        <v>3</v>
      </c>
      <c r="F2149">
        <v>1003</v>
      </c>
      <c r="G2149" t="s">
        <v>114</v>
      </c>
      <c r="J2149" t="s">
        <v>115</v>
      </c>
      <c r="K2149">
        <v>0</v>
      </c>
      <c r="L2149">
        <v>3</v>
      </c>
      <c r="M2149">
        <v>0</v>
      </c>
      <c r="N2149">
        <v>2</v>
      </c>
      <c r="O2149">
        <v>1</v>
      </c>
      <c r="P2149">
        <v>0</v>
      </c>
      <c r="Q2149">
        <v>0</v>
      </c>
      <c r="S2149" t="str">
        <f>"19:00:59.820"</f>
        <v>19:00:59.820</v>
      </c>
      <c r="T2149" t="str">
        <f>"19:00:59.520"</f>
        <v>19:00:59.520</v>
      </c>
      <c r="U2149" t="str">
        <f t="shared" si="211"/>
        <v>AAB6EE</v>
      </c>
      <c r="V2149">
        <v>0</v>
      </c>
      <c r="W2149">
        <v>0</v>
      </c>
      <c r="X2149">
        <v>4</v>
      </c>
      <c r="Z2149">
        <v>0</v>
      </c>
      <c r="AA2149">
        <v>8</v>
      </c>
      <c r="AB2149">
        <v>3</v>
      </c>
      <c r="AC2149">
        <v>0</v>
      </c>
      <c r="AD2149">
        <v>10</v>
      </c>
      <c r="AE2149">
        <v>0</v>
      </c>
      <c r="AF2149">
        <v>0</v>
      </c>
      <c r="AG2149">
        <v>2</v>
      </c>
      <c r="AH2149">
        <v>1</v>
      </c>
      <c r="AI2149" t="s">
        <v>1450</v>
      </c>
      <c r="AJ2149">
        <v>34.815351999999997</v>
      </c>
      <c r="AK2149" t="s">
        <v>1549</v>
      </c>
      <c r="AL2149">
        <v>-76.283225999999999</v>
      </c>
      <c r="AM2149">
        <v>25</v>
      </c>
      <c r="AN2149">
        <v>4525</v>
      </c>
      <c r="AO2149" t="s">
        <v>118</v>
      </c>
      <c r="AP2149">
        <v>10</v>
      </c>
      <c r="AQ2149">
        <v>-106</v>
      </c>
      <c r="AR2149">
        <v>2944</v>
      </c>
      <c r="AZ2149">
        <v>4516</v>
      </c>
      <c r="BA2149">
        <v>1</v>
      </c>
      <c r="BB2149" t="str">
        <f t="shared" si="210"/>
        <v xml:space="preserve">N79NX   </v>
      </c>
      <c r="BC2149">
        <v>1</v>
      </c>
      <c r="BE2149">
        <v>0</v>
      </c>
      <c r="BF2149">
        <v>0</v>
      </c>
      <c r="BG2149">
        <v>0</v>
      </c>
      <c r="BH2149">
        <v>4375</v>
      </c>
      <c r="BI2149">
        <v>0</v>
      </c>
      <c r="BJ2149">
        <v>0</v>
      </c>
      <c r="BK2149">
        <v>0</v>
      </c>
      <c r="BL2149">
        <v>0</v>
      </c>
      <c r="BO2149">
        <v>0</v>
      </c>
      <c r="BP2149">
        <v>0</v>
      </c>
      <c r="BW2149" t="str">
        <f>"19:00:59.826"</f>
        <v>19:00:59.826</v>
      </c>
      <c r="BZ2149">
        <v>0</v>
      </c>
      <c r="CA2149">
        <v>1888</v>
      </c>
      <c r="CB2149">
        <v>214.4</v>
      </c>
      <c r="CC2149">
        <v>625.78129999999999</v>
      </c>
      <c r="CD2149">
        <v>1</v>
      </c>
      <c r="CE2149">
        <v>0</v>
      </c>
      <c r="CF2149">
        <v>0</v>
      </c>
      <c r="CG2149">
        <v>1</v>
      </c>
      <c r="CH2149">
        <v>0</v>
      </c>
      <c r="CI2149">
        <v>0</v>
      </c>
      <c r="CJ2149">
        <v>0</v>
      </c>
      <c r="CK2149">
        <v>2</v>
      </c>
      <c r="CL2149">
        <v>0</v>
      </c>
      <c r="CM2149">
        <v>2</v>
      </c>
      <c r="CN2149">
        <v>0</v>
      </c>
      <c r="CO2149">
        <v>6</v>
      </c>
      <c r="CP2149" t="s">
        <v>119</v>
      </c>
      <c r="CQ2149">
        <v>70</v>
      </c>
      <c r="CR2149">
        <v>1</v>
      </c>
      <c r="CW2149">
        <v>3924707</v>
      </c>
      <c r="CY2149">
        <v>0</v>
      </c>
      <c r="CZ2149">
        <v>0</v>
      </c>
      <c r="DA2149">
        <v>0</v>
      </c>
      <c r="DB2149">
        <v>0</v>
      </c>
      <c r="DC2149">
        <v>0</v>
      </c>
      <c r="DD2149">
        <v>0</v>
      </c>
      <c r="DE2149">
        <v>0</v>
      </c>
      <c r="DF2149">
        <v>0</v>
      </c>
      <c r="DG2149">
        <v>0</v>
      </c>
      <c r="DH2149">
        <v>0</v>
      </c>
      <c r="DI2149">
        <v>0</v>
      </c>
    </row>
    <row r="2150" spans="1:113" x14ac:dyDescent="0.3">
      <c r="A2150" t="str">
        <f>"02/13/2022 19:01:01.216"</f>
        <v>02/13/2022 19:01:01.216</v>
      </c>
      <c r="C2150" t="str">
        <f t="shared" si="209"/>
        <v>FFDFD7C0</v>
      </c>
      <c r="D2150" t="s">
        <v>113</v>
      </c>
      <c r="E2150">
        <v>4</v>
      </c>
      <c r="F2150">
        <v>1004</v>
      </c>
      <c r="G2150" t="s">
        <v>120</v>
      </c>
      <c r="J2150" t="s">
        <v>115</v>
      </c>
      <c r="K2150">
        <v>0</v>
      </c>
      <c r="L2150">
        <v>3</v>
      </c>
      <c r="M2150">
        <v>0</v>
      </c>
      <c r="N2150">
        <v>2</v>
      </c>
      <c r="O2150">
        <v>1</v>
      </c>
      <c r="P2150">
        <v>0</v>
      </c>
      <c r="Q2150">
        <v>0</v>
      </c>
      <c r="S2150" t="str">
        <f>"19:01:00.773"</f>
        <v>19:01:00.773</v>
      </c>
      <c r="T2150" t="str">
        <f>"19:01:00.473"</f>
        <v>19:01:00.473</v>
      </c>
      <c r="U2150" t="str">
        <f t="shared" si="211"/>
        <v>AAB6EE</v>
      </c>
      <c r="V2150">
        <v>0</v>
      </c>
      <c r="W2150">
        <v>0</v>
      </c>
      <c r="X2150">
        <v>4</v>
      </c>
      <c r="Z2150">
        <v>0</v>
      </c>
      <c r="AA2150">
        <v>8</v>
      </c>
      <c r="AB2150">
        <v>3</v>
      </c>
      <c r="AC2150">
        <v>0</v>
      </c>
      <c r="AD2150">
        <v>10</v>
      </c>
      <c r="AE2150">
        <v>0</v>
      </c>
      <c r="AF2150">
        <v>0</v>
      </c>
      <c r="AG2150">
        <v>2</v>
      </c>
      <c r="AH2150">
        <v>1</v>
      </c>
      <c r="AI2150" t="s">
        <v>1550</v>
      </c>
      <c r="AJ2150">
        <v>34.814900999999999</v>
      </c>
      <c r="AK2150" t="s">
        <v>1551</v>
      </c>
      <c r="AL2150">
        <v>-76.283182999999994</v>
      </c>
      <c r="AM2150">
        <v>25</v>
      </c>
      <c r="AN2150">
        <v>4550</v>
      </c>
      <c r="AO2150" t="s">
        <v>118</v>
      </c>
      <c r="AP2150">
        <v>8</v>
      </c>
      <c r="AQ2150">
        <v>-106</v>
      </c>
      <c r="AR2150">
        <v>2432</v>
      </c>
      <c r="AZ2150">
        <v>4516</v>
      </c>
      <c r="BA2150">
        <v>1</v>
      </c>
      <c r="BB2150" t="str">
        <f t="shared" si="210"/>
        <v xml:space="preserve">N79NX   </v>
      </c>
      <c r="BC2150">
        <v>1</v>
      </c>
      <c r="BE2150">
        <v>0</v>
      </c>
      <c r="BF2150">
        <v>0</v>
      </c>
      <c r="BG2150">
        <v>0</v>
      </c>
      <c r="BH2150">
        <v>4400</v>
      </c>
      <c r="BI2150">
        <v>0</v>
      </c>
      <c r="BJ2150">
        <v>0</v>
      </c>
      <c r="BK2150">
        <v>0</v>
      </c>
      <c r="BL2150">
        <v>0</v>
      </c>
      <c r="BO2150">
        <v>0</v>
      </c>
      <c r="BP2150">
        <v>0</v>
      </c>
      <c r="BW2150" t="str">
        <f>"19:01:00.776"</f>
        <v>19:01:00.776</v>
      </c>
      <c r="BZ2150">
        <v>0</v>
      </c>
      <c r="CA2150">
        <v>1888</v>
      </c>
      <c r="CB2150">
        <v>214.4</v>
      </c>
      <c r="CC2150">
        <v>625.78129999999999</v>
      </c>
      <c r="CD2150">
        <v>1</v>
      </c>
      <c r="CE2150">
        <v>0</v>
      </c>
      <c r="CF2150">
        <v>0</v>
      </c>
      <c r="CG2150">
        <v>1</v>
      </c>
      <c r="CH2150">
        <v>0</v>
      </c>
      <c r="CI2150">
        <v>0</v>
      </c>
      <c r="CJ2150">
        <v>0</v>
      </c>
      <c r="CK2150">
        <v>2</v>
      </c>
      <c r="CL2150">
        <v>0</v>
      </c>
      <c r="CM2150">
        <v>2</v>
      </c>
      <c r="CN2150">
        <v>0</v>
      </c>
      <c r="CO2150">
        <v>6</v>
      </c>
      <c r="CP2150" t="s">
        <v>119</v>
      </c>
      <c r="CQ2150">
        <v>70</v>
      </c>
      <c r="CR2150">
        <v>1</v>
      </c>
      <c r="CW2150">
        <v>3925474</v>
      </c>
      <c r="CY2150">
        <v>0</v>
      </c>
      <c r="CZ2150">
        <v>0</v>
      </c>
      <c r="DA2150">
        <v>0</v>
      </c>
      <c r="DB2150">
        <v>0</v>
      </c>
      <c r="DC2150">
        <v>0</v>
      </c>
      <c r="DD2150">
        <v>0</v>
      </c>
      <c r="DE2150">
        <v>0</v>
      </c>
      <c r="DF2150">
        <v>0</v>
      </c>
      <c r="DG2150">
        <v>0</v>
      </c>
      <c r="DH2150">
        <v>0</v>
      </c>
      <c r="DI2150">
        <v>0</v>
      </c>
    </row>
    <row r="2151" spans="1:113" x14ac:dyDescent="0.3">
      <c r="A2151" t="str">
        <f>"02/13/2022 19:01:01.216"</f>
        <v>02/13/2022 19:01:01.216</v>
      </c>
      <c r="C2151" t="str">
        <f t="shared" si="209"/>
        <v>FFDFD7C0</v>
      </c>
      <c r="D2151" t="s">
        <v>113</v>
      </c>
      <c r="E2151">
        <v>3</v>
      </c>
      <c r="F2151">
        <v>1003</v>
      </c>
      <c r="G2151" t="s">
        <v>114</v>
      </c>
      <c r="J2151" t="s">
        <v>115</v>
      </c>
      <c r="K2151">
        <v>0</v>
      </c>
      <c r="L2151">
        <v>3</v>
      </c>
      <c r="M2151">
        <v>0</v>
      </c>
      <c r="N2151">
        <v>2</v>
      </c>
      <c r="O2151">
        <v>1</v>
      </c>
      <c r="P2151">
        <v>0</v>
      </c>
      <c r="Q2151">
        <v>0</v>
      </c>
      <c r="S2151" t="str">
        <f>"19:01:00.773"</f>
        <v>19:01:00.773</v>
      </c>
      <c r="T2151" t="str">
        <f>"19:01:00.473"</f>
        <v>19:01:00.473</v>
      </c>
      <c r="U2151" t="str">
        <f t="shared" si="211"/>
        <v>AAB6EE</v>
      </c>
      <c r="V2151">
        <v>0</v>
      </c>
      <c r="W2151">
        <v>0</v>
      </c>
      <c r="X2151">
        <v>4</v>
      </c>
      <c r="Z2151">
        <v>0</v>
      </c>
      <c r="AA2151">
        <v>8</v>
      </c>
      <c r="AB2151">
        <v>3</v>
      </c>
      <c r="AC2151">
        <v>0</v>
      </c>
      <c r="AD2151">
        <v>10</v>
      </c>
      <c r="AE2151">
        <v>0</v>
      </c>
      <c r="AF2151">
        <v>0</v>
      </c>
      <c r="AG2151">
        <v>2</v>
      </c>
      <c r="AH2151">
        <v>1</v>
      </c>
      <c r="AI2151" t="s">
        <v>1550</v>
      </c>
      <c r="AJ2151">
        <v>34.814900999999999</v>
      </c>
      <c r="AK2151" t="s">
        <v>1551</v>
      </c>
      <c r="AL2151">
        <v>-76.283182999999994</v>
      </c>
      <c r="AM2151">
        <v>25</v>
      </c>
      <c r="AN2151">
        <v>4550</v>
      </c>
      <c r="AO2151" t="s">
        <v>118</v>
      </c>
      <c r="AP2151">
        <v>8</v>
      </c>
      <c r="AQ2151">
        <v>-106</v>
      </c>
      <c r="AR2151">
        <v>2432</v>
      </c>
      <c r="AZ2151">
        <v>4516</v>
      </c>
      <c r="BA2151">
        <v>1</v>
      </c>
      <c r="BB2151" t="str">
        <f t="shared" si="210"/>
        <v xml:space="preserve">N79NX   </v>
      </c>
      <c r="BC2151">
        <v>1</v>
      </c>
      <c r="BE2151">
        <v>0</v>
      </c>
      <c r="BF2151">
        <v>0</v>
      </c>
      <c r="BG2151">
        <v>0</v>
      </c>
      <c r="BH2151">
        <v>4400</v>
      </c>
      <c r="BI2151">
        <v>0</v>
      </c>
      <c r="BJ2151">
        <v>0</v>
      </c>
      <c r="BK2151">
        <v>0</v>
      </c>
      <c r="BL2151">
        <v>0</v>
      </c>
      <c r="BO2151">
        <v>0</v>
      </c>
      <c r="BP2151">
        <v>0</v>
      </c>
      <c r="BW2151" t="str">
        <f>"19:01:00.776"</f>
        <v>19:01:00.776</v>
      </c>
      <c r="BZ2151">
        <v>0</v>
      </c>
      <c r="CA2151">
        <v>1888</v>
      </c>
      <c r="CB2151">
        <v>214.4</v>
      </c>
      <c r="CC2151">
        <v>625.78129999999999</v>
      </c>
      <c r="CD2151">
        <v>1</v>
      </c>
      <c r="CE2151">
        <v>0</v>
      </c>
      <c r="CF2151">
        <v>0</v>
      </c>
      <c r="CG2151">
        <v>1</v>
      </c>
      <c r="CH2151">
        <v>0</v>
      </c>
      <c r="CI2151">
        <v>0</v>
      </c>
      <c r="CJ2151">
        <v>0</v>
      </c>
      <c r="CK2151">
        <v>2</v>
      </c>
      <c r="CL2151">
        <v>0</v>
      </c>
      <c r="CM2151">
        <v>2</v>
      </c>
      <c r="CN2151">
        <v>0</v>
      </c>
      <c r="CO2151">
        <v>6</v>
      </c>
      <c r="CP2151" t="s">
        <v>119</v>
      </c>
      <c r="CQ2151">
        <v>70</v>
      </c>
      <c r="CR2151">
        <v>1</v>
      </c>
      <c r="CW2151">
        <v>3925474</v>
      </c>
      <c r="CY2151">
        <v>0</v>
      </c>
      <c r="CZ2151">
        <v>0</v>
      </c>
      <c r="DA2151">
        <v>1</v>
      </c>
      <c r="DB2151">
        <v>0</v>
      </c>
      <c r="DC2151">
        <v>0</v>
      </c>
      <c r="DD2151">
        <v>0</v>
      </c>
      <c r="DE2151">
        <v>0</v>
      </c>
      <c r="DF2151">
        <v>0</v>
      </c>
      <c r="DG2151">
        <v>0</v>
      </c>
      <c r="DH2151">
        <v>0</v>
      </c>
      <c r="DI2151">
        <v>0</v>
      </c>
    </row>
    <row r="2152" spans="1:113" x14ac:dyDescent="0.3">
      <c r="A2152" t="str">
        <f>"02/13/2022 19:01:01.216"</f>
        <v>02/13/2022 19:01:01.216</v>
      </c>
      <c r="C2152" t="str">
        <f t="shared" si="209"/>
        <v>FFDFD7C0</v>
      </c>
      <c r="D2152" t="s">
        <v>121</v>
      </c>
      <c r="E2152">
        <v>2</v>
      </c>
      <c r="H2152">
        <v>158</v>
      </c>
      <c r="I2152" t="s">
        <v>120</v>
      </c>
      <c r="J2152" t="s">
        <v>122</v>
      </c>
      <c r="K2152">
        <v>0</v>
      </c>
      <c r="L2152">
        <v>3</v>
      </c>
      <c r="M2152">
        <v>0</v>
      </c>
      <c r="N2152">
        <v>2</v>
      </c>
      <c r="O2152">
        <v>1</v>
      </c>
      <c r="P2152">
        <v>0</v>
      </c>
      <c r="Q2152">
        <v>0</v>
      </c>
      <c r="S2152" t="str">
        <f>"19:01:00.773"</f>
        <v>19:01:00.773</v>
      </c>
      <c r="T2152" t="str">
        <f>"19:01:00.473"</f>
        <v>19:01:00.473</v>
      </c>
      <c r="U2152" t="str">
        <f t="shared" si="211"/>
        <v>AAB6EE</v>
      </c>
      <c r="V2152">
        <v>0</v>
      </c>
      <c r="W2152">
        <v>0</v>
      </c>
      <c r="X2152">
        <v>4</v>
      </c>
      <c r="Z2152">
        <v>0</v>
      </c>
      <c r="AA2152">
        <v>8</v>
      </c>
      <c r="AB2152">
        <v>3</v>
      </c>
      <c r="AC2152">
        <v>0</v>
      </c>
      <c r="AD2152">
        <v>10</v>
      </c>
      <c r="AE2152">
        <v>0</v>
      </c>
      <c r="AF2152">
        <v>0</v>
      </c>
      <c r="AG2152">
        <v>2</v>
      </c>
      <c r="AH2152">
        <v>1</v>
      </c>
      <c r="AI2152" t="s">
        <v>1550</v>
      </c>
      <c r="AJ2152">
        <v>34.814900999999999</v>
      </c>
      <c r="AK2152" t="s">
        <v>1551</v>
      </c>
      <c r="AL2152">
        <v>-76.283182999999994</v>
      </c>
      <c r="AM2152">
        <v>25</v>
      </c>
      <c r="AN2152">
        <v>4550</v>
      </c>
      <c r="AO2152" t="s">
        <v>118</v>
      </c>
      <c r="AP2152">
        <v>8</v>
      </c>
      <c r="AQ2152">
        <v>-106</v>
      </c>
      <c r="AR2152">
        <v>2432</v>
      </c>
      <c r="AZ2152">
        <v>4516</v>
      </c>
      <c r="BA2152">
        <v>1</v>
      </c>
      <c r="BB2152" t="str">
        <f t="shared" si="210"/>
        <v xml:space="preserve">N79NX   </v>
      </c>
      <c r="BC2152">
        <v>1</v>
      </c>
      <c r="BE2152">
        <v>0</v>
      </c>
      <c r="BF2152">
        <v>0</v>
      </c>
      <c r="BG2152">
        <v>0</v>
      </c>
      <c r="BH2152">
        <v>4400</v>
      </c>
      <c r="BI2152">
        <v>0</v>
      </c>
      <c r="BJ2152">
        <v>0</v>
      </c>
      <c r="BK2152">
        <v>0</v>
      </c>
      <c r="BL2152">
        <v>0</v>
      </c>
      <c r="BO2152">
        <v>0</v>
      </c>
      <c r="BP2152">
        <v>0</v>
      </c>
      <c r="BW2152" t="str">
        <f>"19:01:00.776"</f>
        <v>19:01:00.776</v>
      </c>
      <c r="BZ2152">
        <v>0</v>
      </c>
      <c r="CA2152">
        <v>1888</v>
      </c>
      <c r="CB2152">
        <v>214.4</v>
      </c>
      <c r="CC2152">
        <v>625.78129999999999</v>
      </c>
      <c r="CD2152">
        <v>1</v>
      </c>
      <c r="CE2152">
        <v>0</v>
      </c>
      <c r="CF2152">
        <v>0</v>
      </c>
      <c r="CG2152">
        <v>1</v>
      </c>
      <c r="CH2152">
        <v>0</v>
      </c>
      <c r="CI2152">
        <v>0</v>
      </c>
      <c r="CJ2152">
        <v>0</v>
      </c>
      <c r="CK2152">
        <v>2</v>
      </c>
      <c r="CL2152">
        <v>0</v>
      </c>
      <c r="CM2152">
        <v>2</v>
      </c>
      <c r="CN2152">
        <v>0</v>
      </c>
      <c r="CO2152">
        <v>6</v>
      </c>
      <c r="CP2152" t="s">
        <v>119</v>
      </c>
      <c r="CQ2152">
        <v>70</v>
      </c>
      <c r="CR2152">
        <v>1</v>
      </c>
      <c r="CW2152">
        <v>3925474</v>
      </c>
      <c r="CY2152">
        <v>0</v>
      </c>
      <c r="CZ2152">
        <v>0</v>
      </c>
      <c r="DA2152">
        <v>1</v>
      </c>
      <c r="DB2152">
        <v>0</v>
      </c>
      <c r="DC2152">
        <v>0</v>
      </c>
      <c r="DD2152">
        <v>0</v>
      </c>
      <c r="DE2152">
        <v>0</v>
      </c>
      <c r="DF2152">
        <v>0</v>
      </c>
      <c r="DG2152">
        <v>0</v>
      </c>
      <c r="DH2152">
        <v>0</v>
      </c>
      <c r="DI2152">
        <v>0</v>
      </c>
    </row>
    <row r="2153" spans="1:113" x14ac:dyDescent="0.3">
      <c r="A2153" t="str">
        <f>"02/13/2022 19:01:01.841"</f>
        <v>02/13/2022 19:01:01.841</v>
      </c>
      <c r="C2153" t="str">
        <f t="shared" si="209"/>
        <v>FFDFD7C0</v>
      </c>
      <c r="D2153" t="s">
        <v>121</v>
      </c>
      <c r="E2153">
        <v>2</v>
      </c>
      <c r="H2153">
        <v>158</v>
      </c>
      <c r="I2153" t="s">
        <v>120</v>
      </c>
      <c r="J2153" t="s">
        <v>122</v>
      </c>
      <c r="K2153">
        <v>0</v>
      </c>
      <c r="L2153">
        <v>3</v>
      </c>
      <c r="M2153">
        <v>0</v>
      </c>
      <c r="N2153">
        <v>2</v>
      </c>
      <c r="O2153">
        <v>1</v>
      </c>
      <c r="P2153">
        <v>0</v>
      </c>
      <c r="Q2153">
        <v>0</v>
      </c>
      <c r="S2153" t="str">
        <f>"19:01:01.602"</f>
        <v>19:01:01.602</v>
      </c>
      <c r="T2153" t="str">
        <f>"19:01:01.502"</f>
        <v>19:01:01.502</v>
      </c>
      <c r="U2153" t="str">
        <f t="shared" si="211"/>
        <v>AAB6EE</v>
      </c>
      <c r="V2153">
        <v>0</v>
      </c>
      <c r="W2153">
        <v>0</v>
      </c>
      <c r="X2153">
        <v>4</v>
      </c>
      <c r="Z2153">
        <v>0</v>
      </c>
      <c r="AA2153">
        <v>8</v>
      </c>
      <c r="AB2153">
        <v>3</v>
      </c>
      <c r="AC2153">
        <v>0</v>
      </c>
      <c r="AD2153">
        <v>10</v>
      </c>
      <c r="AE2153">
        <v>0</v>
      </c>
      <c r="AF2153">
        <v>0</v>
      </c>
      <c r="AG2153">
        <v>2</v>
      </c>
      <c r="AH2153">
        <v>1</v>
      </c>
      <c r="AI2153" t="s">
        <v>1552</v>
      </c>
      <c r="AJ2153">
        <v>34.814537000000001</v>
      </c>
      <c r="AK2153" t="s">
        <v>1551</v>
      </c>
      <c r="AL2153">
        <v>-76.283182999999994</v>
      </c>
      <c r="AM2153">
        <v>25</v>
      </c>
      <c r="AN2153">
        <v>4600</v>
      </c>
      <c r="AO2153" t="s">
        <v>118</v>
      </c>
      <c r="AP2153">
        <v>4</v>
      </c>
      <c r="AQ2153">
        <v>-106</v>
      </c>
      <c r="AR2153">
        <v>2048</v>
      </c>
      <c r="AZ2153">
        <v>4516</v>
      </c>
      <c r="BA2153">
        <v>1</v>
      </c>
      <c r="BB2153" t="str">
        <f t="shared" si="210"/>
        <v xml:space="preserve">N79NX   </v>
      </c>
      <c r="BC2153">
        <v>1</v>
      </c>
      <c r="BE2153">
        <v>0</v>
      </c>
      <c r="BF2153">
        <v>0</v>
      </c>
      <c r="BG2153">
        <v>0</v>
      </c>
      <c r="BH2153">
        <v>4425</v>
      </c>
      <c r="BI2153">
        <v>0</v>
      </c>
      <c r="BJ2153">
        <v>0</v>
      </c>
      <c r="BK2153">
        <v>0</v>
      </c>
      <c r="BL2153">
        <v>0</v>
      </c>
      <c r="BO2153">
        <v>0</v>
      </c>
      <c r="BP2153">
        <v>0</v>
      </c>
      <c r="BW2153" t="str">
        <f>"19:01:01.606"</f>
        <v>19:01:01.606</v>
      </c>
      <c r="BZ2153">
        <v>0</v>
      </c>
      <c r="CA2153">
        <v>1888</v>
      </c>
      <c r="CB2153">
        <v>214.4</v>
      </c>
      <c r="CC2153">
        <v>625.78129999999999</v>
      </c>
      <c r="CD2153">
        <v>1</v>
      </c>
      <c r="CE2153">
        <v>0</v>
      </c>
      <c r="CF2153">
        <v>0</v>
      </c>
      <c r="CG2153">
        <v>1</v>
      </c>
      <c r="CH2153">
        <v>0</v>
      </c>
      <c r="CI2153">
        <v>0</v>
      </c>
      <c r="CJ2153">
        <v>0</v>
      </c>
      <c r="CK2153">
        <v>2</v>
      </c>
      <c r="CL2153">
        <v>0</v>
      </c>
      <c r="CM2153">
        <v>2</v>
      </c>
      <c r="CN2153">
        <v>0</v>
      </c>
      <c r="CO2153">
        <v>6</v>
      </c>
      <c r="CP2153" t="s">
        <v>119</v>
      </c>
      <c r="CQ2153">
        <v>70</v>
      </c>
      <c r="CR2153">
        <v>1</v>
      </c>
      <c r="CW2153">
        <v>3926187</v>
      </c>
      <c r="CY2153">
        <v>0</v>
      </c>
      <c r="CZ2153">
        <v>0</v>
      </c>
      <c r="DA2153">
        <v>0</v>
      </c>
      <c r="DB2153">
        <v>0</v>
      </c>
      <c r="DC2153">
        <v>0</v>
      </c>
      <c r="DD2153">
        <v>0</v>
      </c>
      <c r="DE2153">
        <v>0</v>
      </c>
      <c r="DF2153">
        <v>0</v>
      </c>
      <c r="DG2153">
        <v>0</v>
      </c>
      <c r="DH2153">
        <v>0</v>
      </c>
      <c r="DI2153">
        <v>0</v>
      </c>
    </row>
    <row r="2154" spans="1:113" x14ac:dyDescent="0.3">
      <c r="A2154" t="str">
        <f>"02/13/2022 19:01:01.841"</f>
        <v>02/13/2022 19:01:01.841</v>
      </c>
      <c r="C2154" t="str">
        <f t="shared" si="209"/>
        <v>FFDFD7C0</v>
      </c>
      <c r="D2154" t="s">
        <v>113</v>
      </c>
      <c r="E2154">
        <v>3</v>
      </c>
      <c r="F2154">
        <v>1003</v>
      </c>
      <c r="G2154" t="s">
        <v>114</v>
      </c>
      <c r="J2154" t="s">
        <v>115</v>
      </c>
      <c r="K2154">
        <v>0</v>
      </c>
      <c r="L2154">
        <v>3</v>
      </c>
      <c r="M2154">
        <v>0</v>
      </c>
      <c r="N2154">
        <v>2</v>
      </c>
      <c r="O2154">
        <v>1</v>
      </c>
      <c r="P2154">
        <v>0</v>
      </c>
      <c r="Q2154">
        <v>0</v>
      </c>
      <c r="S2154" t="str">
        <f>"19:01:01.602"</f>
        <v>19:01:01.602</v>
      </c>
      <c r="T2154" t="str">
        <f>"19:01:01.502"</f>
        <v>19:01:01.502</v>
      </c>
      <c r="U2154" t="str">
        <f t="shared" si="211"/>
        <v>AAB6EE</v>
      </c>
      <c r="V2154">
        <v>0</v>
      </c>
      <c r="W2154">
        <v>0</v>
      </c>
      <c r="X2154">
        <v>4</v>
      </c>
      <c r="Z2154">
        <v>0</v>
      </c>
      <c r="AA2154">
        <v>8</v>
      </c>
      <c r="AB2154">
        <v>3</v>
      </c>
      <c r="AC2154">
        <v>0</v>
      </c>
      <c r="AD2154">
        <v>10</v>
      </c>
      <c r="AE2154">
        <v>0</v>
      </c>
      <c r="AF2154">
        <v>0</v>
      </c>
      <c r="AG2154">
        <v>2</v>
      </c>
      <c r="AH2154">
        <v>1</v>
      </c>
      <c r="AI2154" t="s">
        <v>1552</v>
      </c>
      <c r="AJ2154">
        <v>34.814537000000001</v>
      </c>
      <c r="AK2154" t="s">
        <v>1551</v>
      </c>
      <c r="AL2154">
        <v>-76.283182999999994</v>
      </c>
      <c r="AM2154">
        <v>25</v>
      </c>
      <c r="AN2154">
        <v>4600</v>
      </c>
      <c r="AO2154" t="s">
        <v>118</v>
      </c>
      <c r="AP2154">
        <v>4</v>
      </c>
      <c r="AQ2154">
        <v>-106</v>
      </c>
      <c r="AR2154">
        <v>2048</v>
      </c>
      <c r="AZ2154">
        <v>4516</v>
      </c>
      <c r="BA2154">
        <v>1</v>
      </c>
      <c r="BB2154" t="str">
        <f t="shared" si="210"/>
        <v xml:space="preserve">N79NX   </v>
      </c>
      <c r="BC2154">
        <v>1</v>
      </c>
      <c r="BE2154">
        <v>0</v>
      </c>
      <c r="BF2154">
        <v>0</v>
      </c>
      <c r="BG2154">
        <v>0</v>
      </c>
      <c r="BH2154">
        <v>4425</v>
      </c>
      <c r="BI2154">
        <v>0</v>
      </c>
      <c r="BJ2154">
        <v>0</v>
      </c>
      <c r="BK2154">
        <v>0</v>
      </c>
      <c r="BL2154">
        <v>0</v>
      </c>
      <c r="BO2154">
        <v>0</v>
      </c>
      <c r="BP2154">
        <v>0</v>
      </c>
      <c r="BW2154" t="str">
        <f>"19:01:01.606"</f>
        <v>19:01:01.606</v>
      </c>
      <c r="BZ2154">
        <v>0</v>
      </c>
      <c r="CA2154">
        <v>1888</v>
      </c>
      <c r="CB2154">
        <v>214.4</v>
      </c>
      <c r="CC2154">
        <v>625.78129999999999</v>
      </c>
      <c r="CD2154">
        <v>1</v>
      </c>
      <c r="CE2154">
        <v>0</v>
      </c>
      <c r="CF2154">
        <v>0</v>
      </c>
      <c r="CG2154">
        <v>1</v>
      </c>
      <c r="CH2154">
        <v>0</v>
      </c>
      <c r="CI2154">
        <v>0</v>
      </c>
      <c r="CJ2154">
        <v>0</v>
      </c>
      <c r="CK2154">
        <v>2</v>
      </c>
      <c r="CL2154">
        <v>0</v>
      </c>
      <c r="CM2154">
        <v>2</v>
      </c>
      <c r="CN2154">
        <v>0</v>
      </c>
      <c r="CO2154">
        <v>6</v>
      </c>
      <c r="CP2154" t="s">
        <v>119</v>
      </c>
      <c r="CQ2154">
        <v>70</v>
      </c>
      <c r="CR2154">
        <v>1</v>
      </c>
      <c r="CW2154">
        <v>3926187</v>
      </c>
      <c r="CY2154">
        <v>0</v>
      </c>
      <c r="CZ2154">
        <v>0</v>
      </c>
      <c r="DA2154">
        <v>1</v>
      </c>
      <c r="DB2154">
        <v>0</v>
      </c>
      <c r="DC2154">
        <v>0</v>
      </c>
      <c r="DD2154">
        <v>0</v>
      </c>
      <c r="DE2154">
        <v>0</v>
      </c>
      <c r="DF2154">
        <v>0</v>
      </c>
      <c r="DG2154">
        <v>0</v>
      </c>
      <c r="DH2154">
        <v>0</v>
      </c>
      <c r="DI2154">
        <v>0</v>
      </c>
    </row>
    <row r="2155" spans="1:113" x14ac:dyDescent="0.3">
      <c r="A2155" t="str">
        <f>"02/13/2022 19:01:01.920"</f>
        <v>02/13/2022 19:01:01.920</v>
      </c>
      <c r="C2155" t="str">
        <f t="shared" si="209"/>
        <v>FFDFD7C0</v>
      </c>
      <c r="D2155" t="s">
        <v>113</v>
      </c>
      <c r="E2155">
        <v>4</v>
      </c>
      <c r="F2155">
        <v>1004</v>
      </c>
      <c r="G2155" t="s">
        <v>120</v>
      </c>
      <c r="J2155" t="s">
        <v>115</v>
      </c>
      <c r="K2155">
        <v>0</v>
      </c>
      <c r="L2155">
        <v>3</v>
      </c>
      <c r="M2155">
        <v>0</v>
      </c>
      <c r="N2155">
        <v>2</v>
      </c>
      <c r="O2155">
        <v>1</v>
      </c>
      <c r="P2155">
        <v>0</v>
      </c>
      <c r="Q2155">
        <v>0</v>
      </c>
      <c r="S2155" t="str">
        <f>"19:01:01.602"</f>
        <v>19:01:01.602</v>
      </c>
      <c r="T2155" t="str">
        <f>"19:01:01.502"</f>
        <v>19:01:01.502</v>
      </c>
      <c r="U2155" t="str">
        <f t="shared" si="211"/>
        <v>AAB6EE</v>
      </c>
      <c r="V2155">
        <v>0</v>
      </c>
      <c r="W2155">
        <v>0</v>
      </c>
      <c r="X2155">
        <v>4</v>
      </c>
      <c r="Z2155">
        <v>0</v>
      </c>
      <c r="AA2155">
        <v>8</v>
      </c>
      <c r="AB2155">
        <v>3</v>
      </c>
      <c r="AC2155">
        <v>0</v>
      </c>
      <c r="AD2155">
        <v>10</v>
      </c>
      <c r="AE2155">
        <v>0</v>
      </c>
      <c r="AF2155">
        <v>0</v>
      </c>
      <c r="AG2155">
        <v>2</v>
      </c>
      <c r="AH2155">
        <v>1</v>
      </c>
      <c r="AI2155" t="s">
        <v>1552</v>
      </c>
      <c r="AJ2155">
        <v>34.814537000000001</v>
      </c>
      <c r="AK2155" t="s">
        <v>1551</v>
      </c>
      <c r="AL2155">
        <v>-76.283182999999994</v>
      </c>
      <c r="AM2155">
        <v>25</v>
      </c>
      <c r="AN2155">
        <v>4600</v>
      </c>
      <c r="AO2155" t="s">
        <v>118</v>
      </c>
      <c r="AP2155">
        <v>4</v>
      </c>
      <c r="AQ2155">
        <v>-106</v>
      </c>
      <c r="AR2155">
        <v>2048</v>
      </c>
      <c r="AZ2155">
        <v>4516</v>
      </c>
      <c r="BA2155">
        <v>1</v>
      </c>
      <c r="BB2155" t="str">
        <f t="shared" si="210"/>
        <v xml:space="preserve">N79NX   </v>
      </c>
      <c r="BC2155">
        <v>1</v>
      </c>
      <c r="BE2155">
        <v>0</v>
      </c>
      <c r="BF2155">
        <v>0</v>
      </c>
      <c r="BG2155">
        <v>0</v>
      </c>
      <c r="BH2155">
        <v>4425</v>
      </c>
      <c r="BI2155">
        <v>0</v>
      </c>
      <c r="BJ2155">
        <v>0</v>
      </c>
      <c r="BK2155">
        <v>0</v>
      </c>
      <c r="BL2155">
        <v>0</v>
      </c>
      <c r="BO2155">
        <v>0</v>
      </c>
      <c r="BP2155">
        <v>0</v>
      </c>
      <c r="BW2155" t="str">
        <f>"19:01:01.606"</f>
        <v>19:01:01.606</v>
      </c>
      <c r="BZ2155">
        <v>0</v>
      </c>
      <c r="CA2155">
        <v>1888</v>
      </c>
      <c r="CB2155">
        <v>214.4</v>
      </c>
      <c r="CC2155">
        <v>625.78129999999999</v>
      </c>
      <c r="CD2155">
        <v>1</v>
      </c>
      <c r="CE2155">
        <v>0</v>
      </c>
      <c r="CF2155">
        <v>0</v>
      </c>
      <c r="CG2155">
        <v>1</v>
      </c>
      <c r="CH2155">
        <v>0</v>
      </c>
      <c r="CI2155">
        <v>0</v>
      </c>
      <c r="CJ2155">
        <v>0</v>
      </c>
      <c r="CK2155">
        <v>2</v>
      </c>
      <c r="CL2155">
        <v>0</v>
      </c>
      <c r="CM2155">
        <v>2</v>
      </c>
      <c r="CN2155">
        <v>0</v>
      </c>
      <c r="CO2155">
        <v>6</v>
      </c>
      <c r="CP2155" t="s">
        <v>119</v>
      </c>
      <c r="CQ2155">
        <v>70</v>
      </c>
      <c r="CR2155">
        <v>1</v>
      </c>
      <c r="CW2155">
        <v>3926187</v>
      </c>
      <c r="CY2155">
        <v>0</v>
      </c>
      <c r="CZ2155">
        <v>0</v>
      </c>
      <c r="DA2155">
        <v>1</v>
      </c>
      <c r="DB2155">
        <v>0</v>
      </c>
      <c r="DC2155">
        <v>0</v>
      </c>
      <c r="DD2155">
        <v>0</v>
      </c>
      <c r="DE2155">
        <v>0</v>
      </c>
      <c r="DF2155">
        <v>0</v>
      </c>
      <c r="DG2155">
        <v>0</v>
      </c>
      <c r="DH2155">
        <v>0</v>
      </c>
      <c r="DI2155">
        <v>0</v>
      </c>
    </row>
    <row r="2156" spans="1:113" x14ac:dyDescent="0.3">
      <c r="A2156" t="str">
        <f>"02/13/2022 19:01:02.967"</f>
        <v>02/13/2022 19:01:02.967</v>
      </c>
      <c r="C2156" t="str">
        <f t="shared" si="209"/>
        <v>FFDFD7C0</v>
      </c>
      <c r="D2156" t="s">
        <v>113</v>
      </c>
      <c r="E2156">
        <v>3</v>
      </c>
      <c r="F2156">
        <v>1003</v>
      </c>
      <c r="G2156" t="s">
        <v>114</v>
      </c>
      <c r="J2156" t="s">
        <v>115</v>
      </c>
      <c r="K2156">
        <v>0</v>
      </c>
      <c r="L2156">
        <v>3</v>
      </c>
      <c r="M2156">
        <v>0</v>
      </c>
      <c r="N2156">
        <v>2</v>
      </c>
      <c r="O2156">
        <v>1</v>
      </c>
      <c r="P2156">
        <v>0</v>
      </c>
      <c r="Q2156">
        <v>0</v>
      </c>
      <c r="S2156" t="str">
        <f>"19:01:02.648"</f>
        <v>19:01:02.648</v>
      </c>
      <c r="T2156" t="str">
        <f>"19:01:02.348"</f>
        <v>19:01:02.348</v>
      </c>
      <c r="U2156" t="str">
        <f t="shared" si="211"/>
        <v>AAB6EE</v>
      </c>
      <c r="V2156">
        <v>0</v>
      </c>
      <c r="W2156">
        <v>0</v>
      </c>
      <c r="X2156">
        <v>4</v>
      </c>
      <c r="Z2156">
        <v>0</v>
      </c>
      <c r="AA2156">
        <v>8</v>
      </c>
      <c r="AB2156">
        <v>3</v>
      </c>
      <c r="AC2156">
        <v>0</v>
      </c>
      <c r="AD2156">
        <v>10</v>
      </c>
      <c r="AE2156">
        <v>0</v>
      </c>
      <c r="AF2156">
        <v>0</v>
      </c>
      <c r="AG2156">
        <v>2</v>
      </c>
      <c r="AH2156">
        <v>1</v>
      </c>
      <c r="AI2156" t="s">
        <v>1553</v>
      </c>
      <c r="AJ2156">
        <v>34.814</v>
      </c>
      <c r="AK2156" t="s">
        <v>1554</v>
      </c>
      <c r="AL2156">
        <v>-76.283162000000004</v>
      </c>
      <c r="AM2156">
        <v>25</v>
      </c>
      <c r="AN2156">
        <v>4625</v>
      </c>
      <c r="AO2156" t="s">
        <v>118</v>
      </c>
      <c r="AP2156">
        <v>0</v>
      </c>
      <c r="AQ2156">
        <v>-106</v>
      </c>
      <c r="AR2156">
        <v>1856</v>
      </c>
      <c r="AZ2156">
        <v>4516</v>
      </c>
      <c r="BA2156">
        <v>1</v>
      </c>
      <c r="BB2156" t="str">
        <f t="shared" si="210"/>
        <v xml:space="preserve">N79NX   </v>
      </c>
      <c r="BC2156">
        <v>1</v>
      </c>
      <c r="BE2156">
        <v>0</v>
      </c>
      <c r="BF2156">
        <v>0</v>
      </c>
      <c r="BG2156">
        <v>0</v>
      </c>
      <c r="BH2156">
        <v>4450</v>
      </c>
      <c r="BI2156">
        <v>0</v>
      </c>
      <c r="BJ2156">
        <v>0</v>
      </c>
      <c r="BK2156">
        <v>0</v>
      </c>
      <c r="BL2156">
        <v>0</v>
      </c>
      <c r="BO2156">
        <v>0</v>
      </c>
      <c r="BP2156">
        <v>0</v>
      </c>
      <c r="BW2156" t="str">
        <f>"19:01:02.656"</f>
        <v>19:01:02.656</v>
      </c>
      <c r="BZ2156">
        <v>0</v>
      </c>
      <c r="CA2156">
        <v>1888</v>
      </c>
      <c r="CB2156">
        <v>214.4</v>
      </c>
      <c r="CC2156">
        <v>625.78129999999999</v>
      </c>
      <c r="CD2156">
        <v>1</v>
      </c>
      <c r="CE2156">
        <v>0</v>
      </c>
      <c r="CF2156">
        <v>0</v>
      </c>
      <c r="CG2156">
        <v>1</v>
      </c>
      <c r="CH2156">
        <v>0</v>
      </c>
      <c r="CI2156">
        <v>0</v>
      </c>
      <c r="CJ2156">
        <v>0</v>
      </c>
      <c r="CK2156">
        <v>2</v>
      </c>
      <c r="CL2156">
        <v>0</v>
      </c>
      <c r="CM2156">
        <v>2</v>
      </c>
      <c r="CN2156">
        <v>0</v>
      </c>
      <c r="CO2156">
        <v>5</v>
      </c>
      <c r="CP2156" t="s">
        <v>119</v>
      </c>
      <c r="CQ2156">
        <v>70</v>
      </c>
      <c r="CR2156">
        <v>1</v>
      </c>
      <c r="CW2156">
        <v>3926989</v>
      </c>
      <c r="CY2156">
        <v>0</v>
      </c>
      <c r="CZ2156">
        <v>0</v>
      </c>
      <c r="DA2156">
        <v>0</v>
      </c>
      <c r="DB2156">
        <v>0</v>
      </c>
      <c r="DC2156">
        <v>0</v>
      </c>
      <c r="DD2156">
        <v>0</v>
      </c>
      <c r="DE2156">
        <v>0</v>
      </c>
      <c r="DF2156">
        <v>0</v>
      </c>
      <c r="DG2156">
        <v>0</v>
      </c>
      <c r="DH2156">
        <v>0</v>
      </c>
      <c r="DI2156">
        <v>0</v>
      </c>
    </row>
    <row r="2157" spans="1:113" x14ac:dyDescent="0.3">
      <c r="A2157" t="str">
        <f>"02/13/2022 19:01:02.967"</f>
        <v>02/13/2022 19:01:02.967</v>
      </c>
      <c r="C2157" t="str">
        <f t="shared" si="209"/>
        <v>FFDFD7C0</v>
      </c>
      <c r="D2157" t="s">
        <v>121</v>
      </c>
      <c r="E2157">
        <v>2</v>
      </c>
      <c r="H2157">
        <v>158</v>
      </c>
      <c r="I2157" t="s">
        <v>120</v>
      </c>
      <c r="J2157" t="s">
        <v>122</v>
      </c>
      <c r="K2157">
        <v>0</v>
      </c>
      <c r="L2157">
        <v>3</v>
      </c>
      <c r="M2157">
        <v>0</v>
      </c>
      <c r="N2157">
        <v>2</v>
      </c>
      <c r="O2157">
        <v>1</v>
      </c>
      <c r="P2157">
        <v>0</v>
      </c>
      <c r="Q2157">
        <v>0</v>
      </c>
      <c r="S2157" t="str">
        <f>"19:01:02.648"</f>
        <v>19:01:02.648</v>
      </c>
      <c r="T2157" t="str">
        <f>"19:01:02.348"</f>
        <v>19:01:02.348</v>
      </c>
      <c r="U2157" t="str">
        <f t="shared" si="211"/>
        <v>AAB6EE</v>
      </c>
      <c r="V2157">
        <v>0</v>
      </c>
      <c r="W2157">
        <v>0</v>
      </c>
      <c r="X2157">
        <v>4</v>
      </c>
      <c r="Z2157">
        <v>0</v>
      </c>
      <c r="AA2157">
        <v>8</v>
      </c>
      <c r="AB2157">
        <v>3</v>
      </c>
      <c r="AC2157">
        <v>0</v>
      </c>
      <c r="AD2157">
        <v>10</v>
      </c>
      <c r="AE2157">
        <v>0</v>
      </c>
      <c r="AF2157">
        <v>0</v>
      </c>
      <c r="AG2157">
        <v>2</v>
      </c>
      <c r="AH2157">
        <v>1</v>
      </c>
      <c r="AI2157" t="s">
        <v>1553</v>
      </c>
      <c r="AJ2157">
        <v>34.814</v>
      </c>
      <c r="AK2157" t="s">
        <v>1554</v>
      </c>
      <c r="AL2157">
        <v>-76.283162000000004</v>
      </c>
      <c r="AM2157">
        <v>25</v>
      </c>
      <c r="AN2157">
        <v>4625</v>
      </c>
      <c r="AO2157" t="s">
        <v>118</v>
      </c>
      <c r="AP2157">
        <v>0</v>
      </c>
      <c r="AQ2157">
        <v>-106</v>
      </c>
      <c r="AR2157">
        <v>1856</v>
      </c>
      <c r="AZ2157">
        <v>4516</v>
      </c>
      <c r="BA2157">
        <v>1</v>
      </c>
      <c r="BB2157" t="str">
        <f t="shared" si="210"/>
        <v xml:space="preserve">N79NX   </v>
      </c>
      <c r="BC2157">
        <v>1</v>
      </c>
      <c r="BE2157">
        <v>0</v>
      </c>
      <c r="BF2157">
        <v>0</v>
      </c>
      <c r="BG2157">
        <v>0</v>
      </c>
      <c r="BH2157">
        <v>4450</v>
      </c>
      <c r="BI2157">
        <v>0</v>
      </c>
      <c r="BJ2157">
        <v>0</v>
      </c>
      <c r="BK2157">
        <v>0</v>
      </c>
      <c r="BL2157">
        <v>0</v>
      </c>
      <c r="BO2157">
        <v>0</v>
      </c>
      <c r="BP2157">
        <v>0</v>
      </c>
      <c r="BW2157" t="str">
        <f>"19:01:02.656"</f>
        <v>19:01:02.656</v>
      </c>
      <c r="BZ2157">
        <v>0</v>
      </c>
      <c r="CA2157">
        <v>1888</v>
      </c>
      <c r="CB2157">
        <v>214.4</v>
      </c>
      <c r="CC2157">
        <v>625.78129999999999</v>
      </c>
      <c r="CD2157">
        <v>1</v>
      </c>
      <c r="CE2157">
        <v>0</v>
      </c>
      <c r="CF2157">
        <v>0</v>
      </c>
      <c r="CG2157">
        <v>1</v>
      </c>
      <c r="CH2157">
        <v>0</v>
      </c>
      <c r="CI2157">
        <v>0</v>
      </c>
      <c r="CJ2157">
        <v>0</v>
      </c>
      <c r="CK2157">
        <v>2</v>
      </c>
      <c r="CL2157">
        <v>0</v>
      </c>
      <c r="CM2157">
        <v>2</v>
      </c>
      <c r="CN2157">
        <v>0</v>
      </c>
      <c r="CO2157">
        <v>5</v>
      </c>
      <c r="CP2157" t="s">
        <v>119</v>
      </c>
      <c r="CQ2157">
        <v>70</v>
      </c>
      <c r="CR2157">
        <v>1</v>
      </c>
      <c r="CW2157">
        <v>3926989</v>
      </c>
      <c r="CY2157">
        <v>0</v>
      </c>
      <c r="CZ2157">
        <v>0</v>
      </c>
      <c r="DA2157">
        <v>1</v>
      </c>
      <c r="DB2157">
        <v>0</v>
      </c>
      <c r="DC2157">
        <v>0</v>
      </c>
      <c r="DD2157">
        <v>0</v>
      </c>
      <c r="DE2157">
        <v>0</v>
      </c>
      <c r="DF2157">
        <v>0</v>
      </c>
      <c r="DG2157">
        <v>0</v>
      </c>
      <c r="DH2157">
        <v>0</v>
      </c>
      <c r="DI2157">
        <v>0</v>
      </c>
    </row>
    <row r="2158" spans="1:113" x14ac:dyDescent="0.3">
      <c r="A2158" t="str">
        <f>"02/13/2022 19:01:02.967"</f>
        <v>02/13/2022 19:01:02.967</v>
      </c>
      <c r="C2158" t="str">
        <f t="shared" si="209"/>
        <v>FFDFD7C0</v>
      </c>
      <c r="D2158" t="s">
        <v>113</v>
      </c>
      <c r="E2158">
        <v>4</v>
      </c>
      <c r="F2158">
        <v>1004</v>
      </c>
      <c r="G2158" t="s">
        <v>120</v>
      </c>
      <c r="J2158" t="s">
        <v>115</v>
      </c>
      <c r="K2158">
        <v>0</v>
      </c>
      <c r="L2158">
        <v>3</v>
      </c>
      <c r="M2158">
        <v>0</v>
      </c>
      <c r="N2158">
        <v>2</v>
      </c>
      <c r="O2158">
        <v>1</v>
      </c>
      <c r="P2158">
        <v>0</v>
      </c>
      <c r="Q2158">
        <v>0</v>
      </c>
      <c r="S2158" t="str">
        <f>"19:01:02.648"</f>
        <v>19:01:02.648</v>
      </c>
      <c r="T2158" t="str">
        <f>"19:01:02.348"</f>
        <v>19:01:02.348</v>
      </c>
      <c r="U2158" t="str">
        <f t="shared" si="211"/>
        <v>AAB6EE</v>
      </c>
      <c r="V2158">
        <v>0</v>
      </c>
      <c r="W2158">
        <v>0</v>
      </c>
      <c r="X2158">
        <v>4</v>
      </c>
      <c r="Z2158">
        <v>0</v>
      </c>
      <c r="AA2158">
        <v>8</v>
      </c>
      <c r="AB2158">
        <v>3</v>
      </c>
      <c r="AC2158">
        <v>0</v>
      </c>
      <c r="AD2158">
        <v>10</v>
      </c>
      <c r="AE2158">
        <v>0</v>
      </c>
      <c r="AF2158">
        <v>0</v>
      </c>
      <c r="AG2158">
        <v>2</v>
      </c>
      <c r="AH2158">
        <v>1</v>
      </c>
      <c r="AI2158" t="s">
        <v>1553</v>
      </c>
      <c r="AJ2158">
        <v>34.814</v>
      </c>
      <c r="AK2158" t="s">
        <v>1554</v>
      </c>
      <c r="AL2158">
        <v>-76.283162000000004</v>
      </c>
      <c r="AM2158">
        <v>25</v>
      </c>
      <c r="AN2158">
        <v>4625</v>
      </c>
      <c r="AO2158" t="s">
        <v>118</v>
      </c>
      <c r="AP2158">
        <v>0</v>
      </c>
      <c r="AQ2158">
        <v>-106</v>
      </c>
      <c r="AR2158">
        <v>1856</v>
      </c>
      <c r="AZ2158">
        <v>4516</v>
      </c>
      <c r="BA2158">
        <v>1</v>
      </c>
      <c r="BB2158" t="str">
        <f t="shared" si="210"/>
        <v xml:space="preserve">N79NX   </v>
      </c>
      <c r="BC2158">
        <v>1</v>
      </c>
      <c r="BE2158">
        <v>0</v>
      </c>
      <c r="BF2158">
        <v>0</v>
      </c>
      <c r="BG2158">
        <v>0</v>
      </c>
      <c r="BH2158">
        <v>4450</v>
      </c>
      <c r="BI2158">
        <v>0</v>
      </c>
      <c r="BJ2158">
        <v>0</v>
      </c>
      <c r="BK2158">
        <v>0</v>
      </c>
      <c r="BL2158">
        <v>0</v>
      </c>
      <c r="BO2158">
        <v>0</v>
      </c>
      <c r="BP2158">
        <v>0</v>
      </c>
      <c r="BW2158" t="str">
        <f>"19:01:02.656"</f>
        <v>19:01:02.656</v>
      </c>
      <c r="BZ2158">
        <v>0</v>
      </c>
      <c r="CA2158">
        <v>1888</v>
      </c>
      <c r="CB2158">
        <v>214.4</v>
      </c>
      <c r="CC2158">
        <v>625.78129999999999</v>
      </c>
      <c r="CD2158">
        <v>1</v>
      </c>
      <c r="CE2158">
        <v>0</v>
      </c>
      <c r="CF2158">
        <v>0</v>
      </c>
      <c r="CG2158">
        <v>1</v>
      </c>
      <c r="CH2158">
        <v>0</v>
      </c>
      <c r="CI2158">
        <v>0</v>
      </c>
      <c r="CJ2158">
        <v>0</v>
      </c>
      <c r="CK2158">
        <v>2</v>
      </c>
      <c r="CL2158">
        <v>0</v>
      </c>
      <c r="CM2158">
        <v>2</v>
      </c>
      <c r="CN2158">
        <v>0</v>
      </c>
      <c r="CO2158">
        <v>5</v>
      </c>
      <c r="CP2158" t="s">
        <v>119</v>
      </c>
      <c r="CQ2158">
        <v>70</v>
      </c>
      <c r="CR2158">
        <v>1</v>
      </c>
      <c r="CW2158">
        <v>3926989</v>
      </c>
      <c r="CY2158">
        <v>0</v>
      </c>
      <c r="CZ2158">
        <v>0</v>
      </c>
      <c r="DA2158">
        <v>1</v>
      </c>
      <c r="DB2158">
        <v>0</v>
      </c>
      <c r="DC2158">
        <v>0</v>
      </c>
      <c r="DD2158">
        <v>0</v>
      </c>
      <c r="DE2158">
        <v>0</v>
      </c>
      <c r="DF2158">
        <v>0</v>
      </c>
      <c r="DG2158">
        <v>0</v>
      </c>
      <c r="DH2158">
        <v>0</v>
      </c>
      <c r="DI2158">
        <v>0</v>
      </c>
    </row>
    <row r="2159" spans="1:113" x14ac:dyDescent="0.3">
      <c r="A2159" t="str">
        <f>"02/13/2022 19:01:04.515"</f>
        <v>02/13/2022 19:01:04.515</v>
      </c>
      <c r="C2159" t="str">
        <f t="shared" si="209"/>
        <v>FFDFD7C0</v>
      </c>
      <c r="D2159" t="s">
        <v>113</v>
      </c>
      <c r="E2159">
        <v>4</v>
      </c>
      <c r="F2159">
        <v>1004</v>
      </c>
      <c r="G2159" t="s">
        <v>120</v>
      </c>
      <c r="J2159" t="s">
        <v>115</v>
      </c>
      <c r="K2159">
        <v>0</v>
      </c>
      <c r="L2159">
        <v>3</v>
      </c>
      <c r="M2159">
        <v>0</v>
      </c>
      <c r="N2159">
        <v>2</v>
      </c>
      <c r="O2159">
        <v>1</v>
      </c>
      <c r="P2159">
        <v>0</v>
      </c>
      <c r="Q2159">
        <v>0</v>
      </c>
      <c r="S2159" t="str">
        <f>"19:01:04.266"</f>
        <v>19:01:04.266</v>
      </c>
      <c r="T2159" t="str">
        <f>"19:01:04.166"</f>
        <v>19:01:04.166</v>
      </c>
      <c r="U2159" t="str">
        <f t="shared" si="211"/>
        <v>AAB6EE</v>
      </c>
      <c r="V2159">
        <v>0</v>
      </c>
      <c r="W2159">
        <v>0</v>
      </c>
      <c r="X2159">
        <v>4</v>
      </c>
      <c r="Z2159">
        <v>0</v>
      </c>
      <c r="AA2159">
        <v>8</v>
      </c>
      <c r="AB2159">
        <v>3</v>
      </c>
      <c r="AC2159">
        <v>0</v>
      </c>
      <c r="AD2159">
        <v>10</v>
      </c>
      <c r="AE2159">
        <v>0</v>
      </c>
      <c r="AF2159">
        <v>0</v>
      </c>
      <c r="AG2159">
        <v>2</v>
      </c>
      <c r="AH2159">
        <v>1</v>
      </c>
      <c r="AI2159" t="s">
        <v>1555</v>
      </c>
      <c r="AJ2159">
        <v>34.813206000000001</v>
      </c>
      <c r="AK2159" t="s">
        <v>1549</v>
      </c>
      <c r="AL2159">
        <v>-76.283225999999999</v>
      </c>
      <c r="AM2159">
        <v>25</v>
      </c>
      <c r="AN2159">
        <v>4675</v>
      </c>
      <c r="AO2159" t="s">
        <v>118</v>
      </c>
      <c r="AP2159">
        <v>-9</v>
      </c>
      <c r="AQ2159">
        <v>-103</v>
      </c>
      <c r="AR2159">
        <v>1792</v>
      </c>
      <c r="AZ2159">
        <v>4516</v>
      </c>
      <c r="BA2159">
        <v>1</v>
      </c>
      <c r="BB2159" t="str">
        <f t="shared" si="210"/>
        <v xml:space="preserve">N79NX   </v>
      </c>
      <c r="BC2159">
        <v>1</v>
      </c>
      <c r="BE2159">
        <v>0</v>
      </c>
      <c r="BF2159">
        <v>0</v>
      </c>
      <c r="BG2159">
        <v>0</v>
      </c>
      <c r="BH2159">
        <v>4500</v>
      </c>
      <c r="BI2159">
        <v>0</v>
      </c>
      <c r="BJ2159">
        <v>0</v>
      </c>
      <c r="BK2159">
        <v>0</v>
      </c>
      <c r="BL2159">
        <v>0</v>
      </c>
      <c r="BO2159">
        <v>0</v>
      </c>
      <c r="BP2159">
        <v>0</v>
      </c>
      <c r="BW2159" t="str">
        <f>"19:01:04.266"</f>
        <v>19:01:04.266</v>
      </c>
      <c r="BZ2159">
        <v>0</v>
      </c>
      <c r="CA2159">
        <v>1888</v>
      </c>
      <c r="CB2159">
        <v>214.4</v>
      </c>
      <c r="CC2159">
        <v>625.78129999999999</v>
      </c>
      <c r="CD2159">
        <v>1</v>
      </c>
      <c r="CE2159">
        <v>0</v>
      </c>
      <c r="CF2159">
        <v>0</v>
      </c>
      <c r="CG2159">
        <v>1</v>
      </c>
      <c r="CH2159">
        <v>0</v>
      </c>
      <c r="CI2159">
        <v>0</v>
      </c>
      <c r="CJ2159">
        <v>0</v>
      </c>
      <c r="CK2159">
        <v>2</v>
      </c>
      <c r="CL2159">
        <v>0</v>
      </c>
      <c r="CM2159">
        <v>2</v>
      </c>
      <c r="CN2159">
        <v>0</v>
      </c>
      <c r="CO2159">
        <v>6</v>
      </c>
      <c r="CP2159" t="s">
        <v>119</v>
      </c>
      <c r="CQ2159">
        <v>70</v>
      </c>
      <c r="CR2159">
        <v>1</v>
      </c>
      <c r="CW2159">
        <v>3928352</v>
      </c>
      <c r="CY2159">
        <v>0</v>
      </c>
      <c r="CZ2159">
        <v>0</v>
      </c>
      <c r="DA2159">
        <v>0</v>
      </c>
      <c r="DB2159">
        <v>0</v>
      </c>
      <c r="DC2159">
        <v>0</v>
      </c>
      <c r="DD2159">
        <v>0</v>
      </c>
      <c r="DE2159">
        <v>0</v>
      </c>
      <c r="DF2159">
        <v>0</v>
      </c>
      <c r="DG2159">
        <v>0</v>
      </c>
      <c r="DH2159">
        <v>0</v>
      </c>
      <c r="DI2159">
        <v>0</v>
      </c>
    </row>
    <row r="2160" spans="1:113" x14ac:dyDescent="0.3">
      <c r="A2160" t="str">
        <f>"02/13/2022 19:01:04.515"</f>
        <v>02/13/2022 19:01:04.515</v>
      </c>
      <c r="C2160" t="str">
        <f t="shared" si="209"/>
        <v>FFDFD7C0</v>
      </c>
      <c r="D2160" t="s">
        <v>121</v>
      </c>
      <c r="E2160">
        <v>2</v>
      </c>
      <c r="H2160">
        <v>158</v>
      </c>
      <c r="I2160" t="s">
        <v>120</v>
      </c>
      <c r="J2160" t="s">
        <v>122</v>
      </c>
      <c r="K2160">
        <v>0</v>
      </c>
      <c r="L2160">
        <v>3</v>
      </c>
      <c r="M2160">
        <v>0</v>
      </c>
      <c r="N2160">
        <v>2</v>
      </c>
      <c r="O2160">
        <v>1</v>
      </c>
      <c r="P2160">
        <v>0</v>
      </c>
      <c r="Q2160">
        <v>0</v>
      </c>
      <c r="S2160" t="str">
        <f>"19:01:04.266"</f>
        <v>19:01:04.266</v>
      </c>
      <c r="T2160" t="str">
        <f>"19:01:04.166"</f>
        <v>19:01:04.166</v>
      </c>
      <c r="U2160" t="str">
        <f t="shared" si="211"/>
        <v>AAB6EE</v>
      </c>
      <c r="V2160">
        <v>0</v>
      </c>
      <c r="W2160">
        <v>0</v>
      </c>
      <c r="X2160">
        <v>4</v>
      </c>
      <c r="Z2160">
        <v>0</v>
      </c>
      <c r="AA2160">
        <v>8</v>
      </c>
      <c r="AB2160">
        <v>3</v>
      </c>
      <c r="AC2160">
        <v>0</v>
      </c>
      <c r="AD2160">
        <v>10</v>
      </c>
      <c r="AE2160">
        <v>0</v>
      </c>
      <c r="AF2160">
        <v>0</v>
      </c>
      <c r="AG2160">
        <v>2</v>
      </c>
      <c r="AH2160">
        <v>1</v>
      </c>
      <c r="AI2160" t="s">
        <v>1555</v>
      </c>
      <c r="AJ2160">
        <v>34.813206000000001</v>
      </c>
      <c r="AK2160" t="s">
        <v>1549</v>
      </c>
      <c r="AL2160">
        <v>-76.283225999999999</v>
      </c>
      <c r="AM2160">
        <v>25</v>
      </c>
      <c r="AN2160">
        <v>4675</v>
      </c>
      <c r="AO2160" t="s">
        <v>118</v>
      </c>
      <c r="AP2160">
        <v>-9</v>
      </c>
      <c r="AQ2160">
        <v>-103</v>
      </c>
      <c r="AR2160">
        <v>1792</v>
      </c>
      <c r="AZ2160">
        <v>4516</v>
      </c>
      <c r="BA2160">
        <v>1</v>
      </c>
      <c r="BB2160" t="str">
        <f t="shared" si="210"/>
        <v xml:space="preserve">N79NX   </v>
      </c>
      <c r="BC2160">
        <v>1</v>
      </c>
      <c r="BE2160">
        <v>0</v>
      </c>
      <c r="BF2160">
        <v>0</v>
      </c>
      <c r="BG2160">
        <v>0</v>
      </c>
      <c r="BH2160">
        <v>4500</v>
      </c>
      <c r="BI2160">
        <v>0</v>
      </c>
      <c r="BJ2160">
        <v>0</v>
      </c>
      <c r="BK2160">
        <v>0</v>
      </c>
      <c r="BL2160">
        <v>0</v>
      </c>
      <c r="BO2160">
        <v>0</v>
      </c>
      <c r="BP2160">
        <v>0</v>
      </c>
      <c r="BW2160" t="str">
        <f>"19:01:04.266"</f>
        <v>19:01:04.266</v>
      </c>
      <c r="BZ2160">
        <v>0</v>
      </c>
      <c r="CA2160">
        <v>1888</v>
      </c>
      <c r="CB2160">
        <v>214.4</v>
      </c>
      <c r="CC2160">
        <v>625.78129999999999</v>
      </c>
      <c r="CD2160">
        <v>1</v>
      </c>
      <c r="CE2160">
        <v>0</v>
      </c>
      <c r="CF2160">
        <v>0</v>
      </c>
      <c r="CG2160">
        <v>1</v>
      </c>
      <c r="CH2160">
        <v>0</v>
      </c>
      <c r="CI2160">
        <v>0</v>
      </c>
      <c r="CJ2160">
        <v>0</v>
      </c>
      <c r="CK2160">
        <v>2</v>
      </c>
      <c r="CL2160">
        <v>0</v>
      </c>
      <c r="CM2160">
        <v>2</v>
      </c>
      <c r="CN2160">
        <v>0</v>
      </c>
      <c r="CO2160">
        <v>6</v>
      </c>
      <c r="CP2160" t="s">
        <v>119</v>
      </c>
      <c r="CQ2160">
        <v>70</v>
      </c>
      <c r="CR2160">
        <v>1</v>
      </c>
      <c r="CW2160">
        <v>3928352</v>
      </c>
      <c r="CY2160">
        <v>0</v>
      </c>
      <c r="CZ2160">
        <v>0</v>
      </c>
      <c r="DA2160">
        <v>1</v>
      </c>
      <c r="DB2160">
        <v>0</v>
      </c>
      <c r="DC2160">
        <v>0</v>
      </c>
      <c r="DD2160">
        <v>0</v>
      </c>
      <c r="DE2160">
        <v>0</v>
      </c>
      <c r="DF2160">
        <v>0</v>
      </c>
      <c r="DG2160">
        <v>0</v>
      </c>
      <c r="DH2160">
        <v>0</v>
      </c>
      <c r="DI2160">
        <v>0</v>
      </c>
    </row>
    <row r="2161" spans="1:113" x14ac:dyDescent="0.3">
      <c r="A2161" t="str">
        <f>"02/13/2022 19:01:04.548"</f>
        <v>02/13/2022 19:01:04.548</v>
      </c>
      <c r="C2161" t="str">
        <f t="shared" si="209"/>
        <v>FFDFD7C0</v>
      </c>
      <c r="D2161" t="s">
        <v>113</v>
      </c>
      <c r="E2161">
        <v>3</v>
      </c>
      <c r="F2161">
        <v>1003</v>
      </c>
      <c r="G2161" t="s">
        <v>114</v>
      </c>
      <c r="J2161" t="s">
        <v>115</v>
      </c>
      <c r="K2161">
        <v>0</v>
      </c>
      <c r="L2161">
        <v>3</v>
      </c>
      <c r="M2161">
        <v>0</v>
      </c>
      <c r="N2161">
        <v>2</v>
      </c>
      <c r="O2161">
        <v>1</v>
      </c>
      <c r="P2161">
        <v>0</v>
      </c>
      <c r="Q2161">
        <v>0</v>
      </c>
      <c r="S2161" t="str">
        <f>"19:01:04.266"</f>
        <v>19:01:04.266</v>
      </c>
      <c r="T2161" t="str">
        <f>"19:01:04.166"</f>
        <v>19:01:04.166</v>
      </c>
      <c r="U2161" t="str">
        <f t="shared" si="211"/>
        <v>AAB6EE</v>
      </c>
      <c r="V2161">
        <v>0</v>
      </c>
      <c r="W2161">
        <v>0</v>
      </c>
      <c r="X2161">
        <v>4</v>
      </c>
      <c r="Z2161">
        <v>0</v>
      </c>
      <c r="AA2161">
        <v>8</v>
      </c>
      <c r="AB2161">
        <v>3</v>
      </c>
      <c r="AC2161">
        <v>0</v>
      </c>
      <c r="AD2161">
        <v>10</v>
      </c>
      <c r="AE2161">
        <v>0</v>
      </c>
      <c r="AF2161">
        <v>0</v>
      </c>
      <c r="AG2161">
        <v>2</v>
      </c>
      <c r="AH2161">
        <v>1</v>
      </c>
      <c r="AI2161" t="s">
        <v>1555</v>
      </c>
      <c r="AJ2161">
        <v>34.813206000000001</v>
      </c>
      <c r="AK2161" t="s">
        <v>1549</v>
      </c>
      <c r="AL2161">
        <v>-76.283225999999999</v>
      </c>
      <c r="AM2161">
        <v>25</v>
      </c>
      <c r="AN2161">
        <v>4675</v>
      </c>
      <c r="AO2161" t="s">
        <v>118</v>
      </c>
      <c r="AP2161">
        <v>-9</v>
      </c>
      <c r="AQ2161">
        <v>-103</v>
      </c>
      <c r="AR2161">
        <v>1792</v>
      </c>
      <c r="AZ2161">
        <v>4516</v>
      </c>
      <c r="BA2161">
        <v>1</v>
      </c>
      <c r="BB2161" t="str">
        <f t="shared" si="210"/>
        <v xml:space="preserve">N79NX   </v>
      </c>
      <c r="BC2161">
        <v>1</v>
      </c>
      <c r="BE2161">
        <v>0</v>
      </c>
      <c r="BF2161">
        <v>0</v>
      </c>
      <c r="BG2161">
        <v>0</v>
      </c>
      <c r="BH2161">
        <v>4500</v>
      </c>
      <c r="BI2161">
        <v>0</v>
      </c>
      <c r="BJ2161">
        <v>0</v>
      </c>
      <c r="BK2161">
        <v>0</v>
      </c>
      <c r="BL2161">
        <v>0</v>
      </c>
      <c r="BO2161">
        <v>0</v>
      </c>
      <c r="BP2161">
        <v>0</v>
      </c>
      <c r="BW2161" t="str">
        <f>"19:01:04.266"</f>
        <v>19:01:04.266</v>
      </c>
      <c r="BZ2161">
        <v>0</v>
      </c>
      <c r="CA2161">
        <v>1888</v>
      </c>
      <c r="CB2161">
        <v>214.4</v>
      </c>
      <c r="CC2161">
        <v>625.78129999999999</v>
      </c>
      <c r="CD2161">
        <v>1</v>
      </c>
      <c r="CE2161">
        <v>0</v>
      </c>
      <c r="CF2161">
        <v>0</v>
      </c>
      <c r="CG2161">
        <v>1</v>
      </c>
      <c r="CH2161">
        <v>0</v>
      </c>
      <c r="CI2161">
        <v>0</v>
      </c>
      <c r="CJ2161">
        <v>0</v>
      </c>
      <c r="CK2161">
        <v>2</v>
      </c>
      <c r="CL2161">
        <v>0</v>
      </c>
      <c r="CM2161">
        <v>2</v>
      </c>
      <c r="CN2161">
        <v>0</v>
      </c>
      <c r="CO2161">
        <v>6</v>
      </c>
      <c r="CP2161" t="s">
        <v>119</v>
      </c>
      <c r="CQ2161">
        <v>70</v>
      </c>
      <c r="CR2161">
        <v>1</v>
      </c>
      <c r="CW2161">
        <v>3928352</v>
      </c>
      <c r="CY2161">
        <v>0</v>
      </c>
      <c r="CZ2161">
        <v>0</v>
      </c>
      <c r="DA2161">
        <v>1</v>
      </c>
      <c r="DB2161">
        <v>0</v>
      </c>
      <c r="DC2161">
        <v>0</v>
      </c>
      <c r="DD2161">
        <v>0</v>
      </c>
      <c r="DE2161">
        <v>0</v>
      </c>
      <c r="DF2161">
        <v>0</v>
      </c>
      <c r="DG2161">
        <v>0</v>
      </c>
      <c r="DH2161">
        <v>0</v>
      </c>
      <c r="DI2161">
        <v>0</v>
      </c>
    </row>
    <row r="2162" spans="1:113" x14ac:dyDescent="0.3">
      <c r="A2162" t="str">
        <f>"02/13/2022 19:01:05.798"</f>
        <v>02/13/2022 19:01:05.798</v>
      </c>
      <c r="C2162" t="str">
        <f t="shared" si="209"/>
        <v>FFDFD7C0</v>
      </c>
      <c r="D2162" t="s">
        <v>113</v>
      </c>
      <c r="E2162">
        <v>4</v>
      </c>
      <c r="F2162">
        <v>1004</v>
      </c>
      <c r="G2162" t="s">
        <v>120</v>
      </c>
      <c r="J2162" t="s">
        <v>115</v>
      </c>
      <c r="K2162">
        <v>0</v>
      </c>
      <c r="L2162">
        <v>3</v>
      </c>
      <c r="M2162">
        <v>0</v>
      </c>
      <c r="N2162">
        <v>2</v>
      </c>
      <c r="O2162">
        <v>1</v>
      </c>
      <c r="P2162">
        <v>0</v>
      </c>
      <c r="Q2162">
        <v>0</v>
      </c>
      <c r="S2162" t="str">
        <f>"19:01:05.422"</f>
        <v>19:01:05.422</v>
      </c>
      <c r="T2162" t="str">
        <f>"19:01:05.322"</f>
        <v>19:01:05.322</v>
      </c>
      <c r="U2162" t="str">
        <f t="shared" si="211"/>
        <v>AAB6EE</v>
      </c>
      <c r="V2162">
        <v>0</v>
      </c>
      <c r="W2162">
        <v>0</v>
      </c>
      <c r="X2162">
        <v>4</v>
      </c>
      <c r="Z2162">
        <v>0</v>
      </c>
      <c r="AA2162">
        <v>8</v>
      </c>
      <c r="AB2162">
        <v>3</v>
      </c>
      <c r="AC2162">
        <v>0</v>
      </c>
      <c r="AD2162">
        <v>10</v>
      </c>
      <c r="AE2162">
        <v>0</v>
      </c>
      <c r="AF2162">
        <v>0</v>
      </c>
      <c r="AG2162">
        <v>2</v>
      </c>
      <c r="AH2162">
        <v>1</v>
      </c>
      <c r="AI2162" t="s">
        <v>1556</v>
      </c>
      <c r="AJ2162">
        <v>34.812648000000003</v>
      </c>
      <c r="AK2162" t="s">
        <v>1546</v>
      </c>
      <c r="AL2162">
        <v>-76.283332999999999</v>
      </c>
      <c r="AM2162">
        <v>25</v>
      </c>
      <c r="AN2162">
        <v>4700</v>
      </c>
      <c r="AO2162" t="s">
        <v>118</v>
      </c>
      <c r="AP2162">
        <v>-17</v>
      </c>
      <c r="AQ2162">
        <v>-102</v>
      </c>
      <c r="AR2162">
        <v>1536</v>
      </c>
      <c r="AZ2162">
        <v>4516</v>
      </c>
      <c r="BA2162">
        <v>1</v>
      </c>
      <c r="BB2162" t="str">
        <f t="shared" si="210"/>
        <v xml:space="preserve">N79NX   </v>
      </c>
      <c r="BC2162">
        <v>1</v>
      </c>
      <c r="BE2162">
        <v>0</v>
      </c>
      <c r="BF2162">
        <v>0</v>
      </c>
      <c r="BG2162">
        <v>0</v>
      </c>
      <c r="BH2162">
        <v>4550</v>
      </c>
      <c r="BI2162">
        <v>0</v>
      </c>
      <c r="BJ2162">
        <v>0</v>
      </c>
      <c r="BK2162">
        <v>0</v>
      </c>
      <c r="BL2162">
        <v>0</v>
      </c>
      <c r="BO2162">
        <v>0</v>
      </c>
      <c r="BP2162">
        <v>0</v>
      </c>
      <c r="BW2162" t="str">
        <f>"19:01:05.426"</f>
        <v>19:01:05.426</v>
      </c>
      <c r="BZ2162">
        <v>0</v>
      </c>
      <c r="CA2162">
        <v>1888</v>
      </c>
      <c r="CB2162">
        <v>214.4</v>
      </c>
      <c r="CC2162">
        <v>625.78129999999999</v>
      </c>
      <c r="CD2162">
        <v>1</v>
      </c>
      <c r="CE2162">
        <v>0</v>
      </c>
      <c r="CF2162">
        <v>0</v>
      </c>
      <c r="CG2162">
        <v>1</v>
      </c>
      <c r="CH2162">
        <v>0</v>
      </c>
      <c r="CI2162">
        <v>0</v>
      </c>
      <c r="CJ2162">
        <v>0</v>
      </c>
      <c r="CK2162">
        <v>2</v>
      </c>
      <c r="CL2162">
        <v>0</v>
      </c>
      <c r="CM2162">
        <v>2</v>
      </c>
      <c r="CN2162">
        <v>0</v>
      </c>
      <c r="CO2162">
        <v>6</v>
      </c>
      <c r="CP2162" t="s">
        <v>119</v>
      </c>
      <c r="CQ2162">
        <v>70</v>
      </c>
      <c r="CR2162">
        <v>1</v>
      </c>
      <c r="CW2162">
        <v>3929337</v>
      </c>
      <c r="CY2162">
        <v>0</v>
      </c>
      <c r="CZ2162">
        <v>0</v>
      </c>
      <c r="DA2162">
        <v>0</v>
      </c>
      <c r="DB2162">
        <v>0</v>
      </c>
      <c r="DC2162">
        <v>0</v>
      </c>
      <c r="DD2162">
        <v>0</v>
      </c>
      <c r="DE2162">
        <v>0</v>
      </c>
      <c r="DF2162">
        <v>0</v>
      </c>
      <c r="DG2162">
        <v>0</v>
      </c>
      <c r="DH2162">
        <v>0</v>
      </c>
      <c r="DI2162">
        <v>0</v>
      </c>
    </row>
    <row r="2163" spans="1:113" x14ac:dyDescent="0.3">
      <c r="A2163" t="str">
        <f>"02/13/2022 19:01:05.798"</f>
        <v>02/13/2022 19:01:05.798</v>
      </c>
      <c r="C2163" t="str">
        <f t="shared" si="209"/>
        <v>FFDFD7C0</v>
      </c>
      <c r="D2163" t="s">
        <v>121</v>
      </c>
      <c r="E2163">
        <v>2</v>
      </c>
      <c r="H2163">
        <v>158</v>
      </c>
      <c r="I2163" t="s">
        <v>120</v>
      </c>
      <c r="J2163" t="s">
        <v>122</v>
      </c>
      <c r="K2163">
        <v>0</v>
      </c>
      <c r="L2163">
        <v>3</v>
      </c>
      <c r="M2163">
        <v>0</v>
      </c>
      <c r="N2163">
        <v>2</v>
      </c>
      <c r="O2163">
        <v>1</v>
      </c>
      <c r="P2163">
        <v>0</v>
      </c>
      <c r="Q2163">
        <v>0</v>
      </c>
      <c r="S2163" t="str">
        <f>"19:01:05.422"</f>
        <v>19:01:05.422</v>
      </c>
      <c r="T2163" t="str">
        <f>"19:01:05.322"</f>
        <v>19:01:05.322</v>
      </c>
      <c r="U2163" t="str">
        <f t="shared" si="211"/>
        <v>AAB6EE</v>
      </c>
      <c r="V2163">
        <v>0</v>
      </c>
      <c r="W2163">
        <v>0</v>
      </c>
      <c r="X2163">
        <v>4</v>
      </c>
      <c r="Z2163">
        <v>0</v>
      </c>
      <c r="AA2163">
        <v>8</v>
      </c>
      <c r="AB2163">
        <v>3</v>
      </c>
      <c r="AC2163">
        <v>0</v>
      </c>
      <c r="AD2163">
        <v>10</v>
      </c>
      <c r="AE2163">
        <v>0</v>
      </c>
      <c r="AF2163">
        <v>0</v>
      </c>
      <c r="AG2163">
        <v>2</v>
      </c>
      <c r="AH2163">
        <v>1</v>
      </c>
      <c r="AI2163" t="s">
        <v>1556</v>
      </c>
      <c r="AJ2163">
        <v>34.812648000000003</v>
      </c>
      <c r="AK2163" t="s">
        <v>1546</v>
      </c>
      <c r="AL2163">
        <v>-76.283332999999999</v>
      </c>
      <c r="AM2163">
        <v>25</v>
      </c>
      <c r="AN2163">
        <v>4700</v>
      </c>
      <c r="AO2163" t="s">
        <v>118</v>
      </c>
      <c r="AP2163">
        <v>-17</v>
      </c>
      <c r="AQ2163">
        <v>-102</v>
      </c>
      <c r="AR2163">
        <v>1536</v>
      </c>
      <c r="AZ2163">
        <v>4516</v>
      </c>
      <c r="BA2163">
        <v>1</v>
      </c>
      <c r="BB2163" t="str">
        <f t="shared" si="210"/>
        <v xml:space="preserve">N79NX   </v>
      </c>
      <c r="BC2163">
        <v>1</v>
      </c>
      <c r="BE2163">
        <v>0</v>
      </c>
      <c r="BF2163">
        <v>0</v>
      </c>
      <c r="BG2163">
        <v>0</v>
      </c>
      <c r="BH2163">
        <v>4550</v>
      </c>
      <c r="BI2163">
        <v>0</v>
      </c>
      <c r="BJ2163">
        <v>0</v>
      </c>
      <c r="BK2163">
        <v>0</v>
      </c>
      <c r="BL2163">
        <v>0</v>
      </c>
      <c r="BO2163">
        <v>0</v>
      </c>
      <c r="BP2163">
        <v>0</v>
      </c>
      <c r="BW2163" t="str">
        <f>"19:01:05.426"</f>
        <v>19:01:05.426</v>
      </c>
      <c r="BZ2163">
        <v>0</v>
      </c>
      <c r="CA2163">
        <v>1888</v>
      </c>
      <c r="CB2163">
        <v>214.4</v>
      </c>
      <c r="CC2163">
        <v>625.78129999999999</v>
      </c>
      <c r="CD2163">
        <v>1</v>
      </c>
      <c r="CE2163">
        <v>0</v>
      </c>
      <c r="CF2163">
        <v>0</v>
      </c>
      <c r="CG2163">
        <v>1</v>
      </c>
      <c r="CH2163">
        <v>0</v>
      </c>
      <c r="CI2163">
        <v>0</v>
      </c>
      <c r="CJ2163">
        <v>0</v>
      </c>
      <c r="CK2163">
        <v>2</v>
      </c>
      <c r="CL2163">
        <v>0</v>
      </c>
      <c r="CM2163">
        <v>2</v>
      </c>
      <c r="CN2163">
        <v>0</v>
      </c>
      <c r="CO2163">
        <v>6</v>
      </c>
      <c r="CP2163" t="s">
        <v>119</v>
      </c>
      <c r="CQ2163">
        <v>70</v>
      </c>
      <c r="CR2163">
        <v>1</v>
      </c>
      <c r="CW2163">
        <v>3929337</v>
      </c>
      <c r="CY2163">
        <v>0</v>
      </c>
      <c r="CZ2163">
        <v>0</v>
      </c>
      <c r="DA2163">
        <v>1</v>
      </c>
      <c r="DB2163">
        <v>0</v>
      </c>
      <c r="DC2163">
        <v>0</v>
      </c>
      <c r="DD2163">
        <v>0</v>
      </c>
      <c r="DE2163">
        <v>0</v>
      </c>
      <c r="DF2163">
        <v>0</v>
      </c>
      <c r="DG2163">
        <v>0</v>
      </c>
      <c r="DH2163">
        <v>0</v>
      </c>
      <c r="DI2163">
        <v>0</v>
      </c>
    </row>
    <row r="2164" spans="1:113" x14ac:dyDescent="0.3">
      <c r="A2164" t="str">
        <f>"02/13/2022 19:01:05.876"</f>
        <v>02/13/2022 19:01:05.876</v>
      </c>
      <c r="C2164" t="str">
        <f t="shared" si="209"/>
        <v>FFDFD7C0</v>
      </c>
      <c r="D2164" t="s">
        <v>113</v>
      </c>
      <c r="E2164">
        <v>3</v>
      </c>
      <c r="F2164">
        <v>1003</v>
      </c>
      <c r="G2164" t="s">
        <v>114</v>
      </c>
      <c r="J2164" t="s">
        <v>115</v>
      </c>
      <c r="K2164">
        <v>0</v>
      </c>
      <c r="L2164">
        <v>3</v>
      </c>
      <c r="M2164">
        <v>0</v>
      </c>
      <c r="N2164">
        <v>2</v>
      </c>
      <c r="O2164">
        <v>1</v>
      </c>
      <c r="P2164">
        <v>0</v>
      </c>
      <c r="Q2164">
        <v>0</v>
      </c>
      <c r="S2164" t="str">
        <f>"19:01:05.422"</f>
        <v>19:01:05.422</v>
      </c>
      <c r="T2164" t="str">
        <f>"19:01:05.322"</f>
        <v>19:01:05.322</v>
      </c>
      <c r="U2164" t="str">
        <f t="shared" si="211"/>
        <v>AAB6EE</v>
      </c>
      <c r="V2164">
        <v>0</v>
      </c>
      <c r="W2164">
        <v>0</v>
      </c>
      <c r="X2164">
        <v>4</v>
      </c>
      <c r="Z2164">
        <v>0</v>
      </c>
      <c r="AA2164">
        <v>8</v>
      </c>
      <c r="AB2164">
        <v>3</v>
      </c>
      <c r="AC2164">
        <v>0</v>
      </c>
      <c r="AD2164">
        <v>10</v>
      </c>
      <c r="AE2164">
        <v>0</v>
      </c>
      <c r="AF2164">
        <v>0</v>
      </c>
      <c r="AG2164">
        <v>2</v>
      </c>
      <c r="AH2164">
        <v>1</v>
      </c>
      <c r="AI2164" t="s">
        <v>1556</v>
      </c>
      <c r="AJ2164">
        <v>34.812648000000003</v>
      </c>
      <c r="AK2164" t="s">
        <v>1546</v>
      </c>
      <c r="AL2164">
        <v>-76.283332999999999</v>
      </c>
      <c r="AM2164">
        <v>25</v>
      </c>
      <c r="AN2164">
        <v>4700</v>
      </c>
      <c r="AO2164" t="s">
        <v>118</v>
      </c>
      <c r="AP2164">
        <v>-17</v>
      </c>
      <c r="AQ2164">
        <v>-102</v>
      </c>
      <c r="AR2164">
        <v>1536</v>
      </c>
      <c r="AZ2164">
        <v>4516</v>
      </c>
      <c r="BA2164">
        <v>1</v>
      </c>
      <c r="BB2164" t="str">
        <f t="shared" si="210"/>
        <v xml:space="preserve">N79NX   </v>
      </c>
      <c r="BC2164">
        <v>1</v>
      </c>
      <c r="BE2164">
        <v>0</v>
      </c>
      <c r="BF2164">
        <v>0</v>
      </c>
      <c r="BG2164">
        <v>0</v>
      </c>
      <c r="BH2164">
        <v>4550</v>
      </c>
      <c r="BI2164">
        <v>0</v>
      </c>
      <c r="BJ2164">
        <v>0</v>
      </c>
      <c r="BK2164">
        <v>0</v>
      </c>
      <c r="BL2164">
        <v>0</v>
      </c>
      <c r="BO2164">
        <v>0</v>
      </c>
      <c r="BP2164">
        <v>0</v>
      </c>
      <c r="BW2164" t="str">
        <f>"19:01:05.426"</f>
        <v>19:01:05.426</v>
      </c>
      <c r="BZ2164">
        <v>0</v>
      </c>
      <c r="CA2164">
        <v>1888</v>
      </c>
      <c r="CB2164">
        <v>214.4</v>
      </c>
      <c r="CC2164">
        <v>625.78129999999999</v>
      </c>
      <c r="CD2164">
        <v>1</v>
      </c>
      <c r="CE2164">
        <v>0</v>
      </c>
      <c r="CF2164">
        <v>0</v>
      </c>
      <c r="CG2164">
        <v>1</v>
      </c>
      <c r="CH2164">
        <v>0</v>
      </c>
      <c r="CI2164">
        <v>0</v>
      </c>
      <c r="CJ2164">
        <v>0</v>
      </c>
      <c r="CK2164">
        <v>2</v>
      </c>
      <c r="CL2164">
        <v>0</v>
      </c>
      <c r="CM2164">
        <v>2</v>
      </c>
      <c r="CN2164">
        <v>0</v>
      </c>
      <c r="CO2164">
        <v>6</v>
      </c>
      <c r="CP2164" t="s">
        <v>119</v>
      </c>
      <c r="CQ2164">
        <v>70</v>
      </c>
      <c r="CR2164">
        <v>1</v>
      </c>
      <c r="CW2164">
        <v>3929337</v>
      </c>
      <c r="CY2164">
        <v>0</v>
      </c>
      <c r="CZ2164">
        <v>0</v>
      </c>
      <c r="DA2164">
        <v>1</v>
      </c>
      <c r="DB2164">
        <v>0</v>
      </c>
      <c r="DC2164">
        <v>0</v>
      </c>
      <c r="DD2164">
        <v>0</v>
      </c>
      <c r="DE2164">
        <v>0</v>
      </c>
      <c r="DF2164">
        <v>0</v>
      </c>
      <c r="DG2164">
        <v>0</v>
      </c>
      <c r="DH2164">
        <v>0</v>
      </c>
      <c r="DI2164">
        <v>0</v>
      </c>
    </row>
    <row r="2165" spans="1:113" x14ac:dyDescent="0.3">
      <c r="A2165" t="str">
        <f>"02/13/2022 19:01:06.798"</f>
        <v>02/13/2022 19:01:06.798</v>
      </c>
      <c r="C2165" t="str">
        <f t="shared" si="209"/>
        <v>FFDFD7C0</v>
      </c>
      <c r="D2165" t="s">
        <v>113</v>
      </c>
      <c r="E2165">
        <v>3</v>
      </c>
      <c r="F2165">
        <v>1003</v>
      </c>
      <c r="G2165" t="s">
        <v>114</v>
      </c>
      <c r="J2165" t="s">
        <v>115</v>
      </c>
      <c r="K2165">
        <v>0</v>
      </c>
      <c r="L2165">
        <v>3</v>
      </c>
      <c r="M2165">
        <v>0</v>
      </c>
      <c r="N2165">
        <v>2</v>
      </c>
      <c r="O2165">
        <v>1</v>
      </c>
      <c r="P2165">
        <v>0</v>
      </c>
      <c r="Q2165">
        <v>0</v>
      </c>
      <c r="S2165" t="str">
        <f>"19:01:06.500"</f>
        <v>19:01:06.500</v>
      </c>
      <c r="T2165" t="str">
        <f>"19:01:06.400"</f>
        <v>19:01:06.400</v>
      </c>
      <c r="U2165" t="str">
        <f t="shared" si="211"/>
        <v>AAB6EE</v>
      </c>
      <c r="V2165">
        <v>0</v>
      </c>
      <c r="W2165">
        <v>0</v>
      </c>
      <c r="X2165">
        <v>4</v>
      </c>
      <c r="Z2165">
        <v>0</v>
      </c>
      <c r="AA2165">
        <v>8</v>
      </c>
      <c r="AB2165">
        <v>3</v>
      </c>
      <c r="AC2165">
        <v>0</v>
      </c>
      <c r="AD2165">
        <v>10</v>
      </c>
      <c r="AE2165">
        <v>0</v>
      </c>
      <c r="AF2165">
        <v>0</v>
      </c>
      <c r="AG2165">
        <v>2</v>
      </c>
      <c r="AH2165">
        <v>1</v>
      </c>
      <c r="AI2165" t="s">
        <v>1557</v>
      </c>
      <c r="AJ2165">
        <v>34.812176000000001</v>
      </c>
      <c r="AK2165" t="s">
        <v>1558</v>
      </c>
      <c r="AL2165">
        <v>-76.283462</v>
      </c>
      <c r="AM2165">
        <v>25</v>
      </c>
      <c r="AN2165">
        <v>4725</v>
      </c>
      <c r="AO2165" t="s">
        <v>118</v>
      </c>
      <c r="AP2165">
        <v>-25</v>
      </c>
      <c r="AQ2165">
        <v>-99</v>
      </c>
      <c r="AR2165">
        <v>1152</v>
      </c>
      <c r="AZ2165">
        <v>4516</v>
      </c>
      <c r="BA2165">
        <v>1</v>
      </c>
      <c r="BB2165" t="str">
        <f t="shared" si="210"/>
        <v xml:space="preserve">N79NX   </v>
      </c>
      <c r="BC2165">
        <v>1</v>
      </c>
      <c r="BE2165">
        <v>0</v>
      </c>
      <c r="BF2165">
        <v>0</v>
      </c>
      <c r="BG2165">
        <v>0</v>
      </c>
      <c r="BH2165">
        <v>4550</v>
      </c>
      <c r="BI2165">
        <v>0</v>
      </c>
      <c r="BJ2165">
        <v>0</v>
      </c>
      <c r="BK2165">
        <v>0</v>
      </c>
      <c r="BL2165">
        <v>0</v>
      </c>
      <c r="BO2165">
        <v>0</v>
      </c>
      <c r="BP2165">
        <v>0</v>
      </c>
      <c r="BW2165" t="str">
        <f>"19:01:06.506"</f>
        <v>19:01:06.506</v>
      </c>
      <c r="BZ2165">
        <v>0</v>
      </c>
      <c r="CA2165">
        <v>1888</v>
      </c>
      <c r="CB2165">
        <v>214.4</v>
      </c>
      <c r="CC2165">
        <v>625.78129999999999</v>
      </c>
      <c r="CD2165">
        <v>1</v>
      </c>
      <c r="CE2165">
        <v>0</v>
      </c>
      <c r="CF2165">
        <v>0</v>
      </c>
      <c r="CG2165">
        <v>1</v>
      </c>
      <c r="CH2165">
        <v>0</v>
      </c>
      <c r="CI2165">
        <v>0</v>
      </c>
      <c r="CJ2165">
        <v>0</v>
      </c>
      <c r="CK2165">
        <v>2</v>
      </c>
      <c r="CL2165">
        <v>0</v>
      </c>
      <c r="CM2165">
        <v>2</v>
      </c>
      <c r="CN2165">
        <v>0</v>
      </c>
      <c r="CO2165">
        <v>5</v>
      </c>
      <c r="CP2165" t="s">
        <v>119</v>
      </c>
      <c r="CQ2165">
        <v>70</v>
      </c>
      <c r="CR2165">
        <v>1</v>
      </c>
      <c r="CW2165">
        <v>3930305</v>
      </c>
      <c r="CY2165">
        <v>0</v>
      </c>
      <c r="CZ2165">
        <v>0</v>
      </c>
      <c r="DA2165">
        <v>0</v>
      </c>
      <c r="DB2165">
        <v>0</v>
      </c>
      <c r="DC2165">
        <v>0</v>
      </c>
      <c r="DD2165">
        <v>0</v>
      </c>
      <c r="DE2165">
        <v>0</v>
      </c>
      <c r="DF2165">
        <v>0</v>
      </c>
      <c r="DG2165">
        <v>0</v>
      </c>
      <c r="DH2165">
        <v>0</v>
      </c>
      <c r="DI2165">
        <v>0</v>
      </c>
    </row>
    <row r="2166" spans="1:113" x14ac:dyDescent="0.3">
      <c r="A2166" t="str">
        <f>"02/13/2022 19:01:06.798"</f>
        <v>02/13/2022 19:01:06.798</v>
      </c>
      <c r="C2166" t="str">
        <f t="shared" si="209"/>
        <v>FFDFD7C0</v>
      </c>
      <c r="D2166" t="s">
        <v>113</v>
      </c>
      <c r="E2166">
        <v>4</v>
      </c>
      <c r="F2166">
        <v>1004</v>
      </c>
      <c r="G2166" t="s">
        <v>120</v>
      </c>
      <c r="J2166" t="s">
        <v>115</v>
      </c>
      <c r="K2166">
        <v>0</v>
      </c>
      <c r="L2166">
        <v>3</v>
      </c>
      <c r="M2166">
        <v>0</v>
      </c>
      <c r="N2166">
        <v>2</v>
      </c>
      <c r="O2166">
        <v>1</v>
      </c>
      <c r="P2166">
        <v>0</v>
      </c>
      <c r="Q2166">
        <v>0</v>
      </c>
      <c r="S2166" t="str">
        <f>"19:01:06.500"</f>
        <v>19:01:06.500</v>
      </c>
      <c r="T2166" t="str">
        <f>"19:01:06.400"</f>
        <v>19:01:06.400</v>
      </c>
      <c r="U2166" t="str">
        <f t="shared" si="211"/>
        <v>AAB6EE</v>
      </c>
      <c r="V2166">
        <v>0</v>
      </c>
      <c r="W2166">
        <v>0</v>
      </c>
      <c r="X2166">
        <v>4</v>
      </c>
      <c r="Z2166">
        <v>0</v>
      </c>
      <c r="AA2166">
        <v>8</v>
      </c>
      <c r="AB2166">
        <v>3</v>
      </c>
      <c r="AC2166">
        <v>0</v>
      </c>
      <c r="AD2166">
        <v>10</v>
      </c>
      <c r="AE2166">
        <v>0</v>
      </c>
      <c r="AF2166">
        <v>0</v>
      </c>
      <c r="AG2166">
        <v>2</v>
      </c>
      <c r="AH2166">
        <v>1</v>
      </c>
      <c r="AI2166" t="s">
        <v>1557</v>
      </c>
      <c r="AJ2166">
        <v>34.812176000000001</v>
      </c>
      <c r="AK2166" t="s">
        <v>1558</v>
      </c>
      <c r="AL2166">
        <v>-76.283462</v>
      </c>
      <c r="AM2166">
        <v>25</v>
      </c>
      <c r="AN2166">
        <v>4725</v>
      </c>
      <c r="AO2166" t="s">
        <v>118</v>
      </c>
      <c r="AP2166">
        <v>-25</v>
      </c>
      <c r="AQ2166">
        <v>-99</v>
      </c>
      <c r="AR2166">
        <v>1152</v>
      </c>
      <c r="AZ2166">
        <v>4516</v>
      </c>
      <c r="BA2166">
        <v>1</v>
      </c>
      <c r="BB2166" t="str">
        <f t="shared" si="210"/>
        <v xml:space="preserve">N79NX   </v>
      </c>
      <c r="BC2166">
        <v>1</v>
      </c>
      <c r="BE2166">
        <v>0</v>
      </c>
      <c r="BF2166">
        <v>0</v>
      </c>
      <c r="BG2166">
        <v>0</v>
      </c>
      <c r="BH2166">
        <v>4550</v>
      </c>
      <c r="BI2166">
        <v>0</v>
      </c>
      <c r="BJ2166">
        <v>0</v>
      </c>
      <c r="BK2166">
        <v>0</v>
      </c>
      <c r="BL2166">
        <v>0</v>
      </c>
      <c r="BO2166">
        <v>0</v>
      </c>
      <c r="BP2166">
        <v>0</v>
      </c>
      <c r="BW2166" t="str">
        <f>"19:01:06.506"</f>
        <v>19:01:06.506</v>
      </c>
      <c r="BZ2166">
        <v>0</v>
      </c>
      <c r="CA2166">
        <v>1888</v>
      </c>
      <c r="CB2166">
        <v>214.4</v>
      </c>
      <c r="CC2166">
        <v>625.78129999999999</v>
      </c>
      <c r="CD2166">
        <v>1</v>
      </c>
      <c r="CE2166">
        <v>0</v>
      </c>
      <c r="CF2166">
        <v>0</v>
      </c>
      <c r="CG2166">
        <v>1</v>
      </c>
      <c r="CH2166">
        <v>0</v>
      </c>
      <c r="CI2166">
        <v>0</v>
      </c>
      <c r="CJ2166">
        <v>0</v>
      </c>
      <c r="CK2166">
        <v>2</v>
      </c>
      <c r="CL2166">
        <v>0</v>
      </c>
      <c r="CM2166">
        <v>2</v>
      </c>
      <c r="CN2166">
        <v>0</v>
      </c>
      <c r="CO2166">
        <v>5</v>
      </c>
      <c r="CP2166" t="s">
        <v>119</v>
      </c>
      <c r="CQ2166">
        <v>70</v>
      </c>
      <c r="CR2166">
        <v>1</v>
      </c>
      <c r="CW2166">
        <v>3930305</v>
      </c>
      <c r="CY2166">
        <v>0</v>
      </c>
      <c r="CZ2166">
        <v>0</v>
      </c>
      <c r="DA2166">
        <v>1</v>
      </c>
      <c r="DB2166">
        <v>0</v>
      </c>
      <c r="DC2166">
        <v>0</v>
      </c>
      <c r="DD2166">
        <v>0</v>
      </c>
      <c r="DE2166">
        <v>0</v>
      </c>
      <c r="DF2166">
        <v>0</v>
      </c>
      <c r="DG2166">
        <v>0</v>
      </c>
      <c r="DH2166">
        <v>0</v>
      </c>
      <c r="DI2166">
        <v>0</v>
      </c>
    </row>
    <row r="2167" spans="1:113" x14ac:dyDescent="0.3">
      <c r="A2167" t="str">
        <f>"02/13/2022 19:01:06.798"</f>
        <v>02/13/2022 19:01:06.798</v>
      </c>
      <c r="C2167" t="str">
        <f t="shared" si="209"/>
        <v>FFDFD7C0</v>
      </c>
      <c r="D2167" t="s">
        <v>121</v>
      </c>
      <c r="E2167">
        <v>2</v>
      </c>
      <c r="H2167">
        <v>158</v>
      </c>
      <c r="I2167" t="s">
        <v>120</v>
      </c>
      <c r="J2167" t="s">
        <v>122</v>
      </c>
      <c r="K2167">
        <v>0</v>
      </c>
      <c r="L2167">
        <v>3</v>
      </c>
      <c r="M2167">
        <v>0</v>
      </c>
      <c r="N2167">
        <v>2</v>
      </c>
      <c r="O2167">
        <v>1</v>
      </c>
      <c r="P2167">
        <v>0</v>
      </c>
      <c r="Q2167">
        <v>0</v>
      </c>
      <c r="S2167" t="str">
        <f>"19:01:06.500"</f>
        <v>19:01:06.500</v>
      </c>
      <c r="T2167" t="str">
        <f>"19:01:06.400"</f>
        <v>19:01:06.400</v>
      </c>
      <c r="U2167" t="str">
        <f t="shared" si="211"/>
        <v>AAB6EE</v>
      </c>
      <c r="V2167">
        <v>0</v>
      </c>
      <c r="W2167">
        <v>0</v>
      </c>
      <c r="X2167">
        <v>4</v>
      </c>
      <c r="Z2167">
        <v>0</v>
      </c>
      <c r="AA2167">
        <v>8</v>
      </c>
      <c r="AB2167">
        <v>3</v>
      </c>
      <c r="AC2167">
        <v>0</v>
      </c>
      <c r="AD2167">
        <v>10</v>
      </c>
      <c r="AE2167">
        <v>0</v>
      </c>
      <c r="AF2167">
        <v>0</v>
      </c>
      <c r="AG2167">
        <v>2</v>
      </c>
      <c r="AH2167">
        <v>1</v>
      </c>
      <c r="AI2167" t="s">
        <v>1557</v>
      </c>
      <c r="AJ2167">
        <v>34.812176000000001</v>
      </c>
      <c r="AK2167" t="s">
        <v>1558</v>
      </c>
      <c r="AL2167">
        <v>-76.283462</v>
      </c>
      <c r="AM2167">
        <v>25</v>
      </c>
      <c r="AN2167">
        <v>4725</v>
      </c>
      <c r="AO2167" t="s">
        <v>118</v>
      </c>
      <c r="AP2167">
        <v>-25</v>
      </c>
      <c r="AQ2167">
        <v>-99</v>
      </c>
      <c r="AR2167">
        <v>1152</v>
      </c>
      <c r="AZ2167">
        <v>4516</v>
      </c>
      <c r="BA2167">
        <v>1</v>
      </c>
      <c r="BB2167" t="str">
        <f t="shared" si="210"/>
        <v xml:space="preserve">N79NX   </v>
      </c>
      <c r="BC2167">
        <v>1</v>
      </c>
      <c r="BE2167">
        <v>0</v>
      </c>
      <c r="BF2167">
        <v>0</v>
      </c>
      <c r="BG2167">
        <v>0</v>
      </c>
      <c r="BH2167">
        <v>4550</v>
      </c>
      <c r="BI2167">
        <v>0</v>
      </c>
      <c r="BJ2167">
        <v>0</v>
      </c>
      <c r="BK2167">
        <v>0</v>
      </c>
      <c r="BL2167">
        <v>0</v>
      </c>
      <c r="BO2167">
        <v>0</v>
      </c>
      <c r="BP2167">
        <v>0</v>
      </c>
      <c r="BW2167" t="str">
        <f>"19:01:06.506"</f>
        <v>19:01:06.506</v>
      </c>
      <c r="BZ2167">
        <v>0</v>
      </c>
      <c r="CA2167">
        <v>1888</v>
      </c>
      <c r="CB2167">
        <v>214.4</v>
      </c>
      <c r="CC2167">
        <v>625.78129999999999</v>
      </c>
      <c r="CD2167">
        <v>1</v>
      </c>
      <c r="CE2167">
        <v>0</v>
      </c>
      <c r="CF2167">
        <v>0</v>
      </c>
      <c r="CG2167">
        <v>1</v>
      </c>
      <c r="CH2167">
        <v>0</v>
      </c>
      <c r="CI2167">
        <v>0</v>
      </c>
      <c r="CJ2167">
        <v>0</v>
      </c>
      <c r="CK2167">
        <v>2</v>
      </c>
      <c r="CL2167">
        <v>0</v>
      </c>
      <c r="CM2167">
        <v>2</v>
      </c>
      <c r="CN2167">
        <v>0</v>
      </c>
      <c r="CO2167">
        <v>5</v>
      </c>
      <c r="CP2167" t="s">
        <v>119</v>
      </c>
      <c r="CQ2167">
        <v>70</v>
      </c>
      <c r="CR2167">
        <v>1</v>
      </c>
      <c r="CW2167">
        <v>3930305</v>
      </c>
      <c r="CY2167">
        <v>0</v>
      </c>
      <c r="CZ2167">
        <v>0</v>
      </c>
      <c r="DA2167">
        <v>1</v>
      </c>
      <c r="DB2167">
        <v>0</v>
      </c>
      <c r="DC2167">
        <v>0</v>
      </c>
      <c r="DD2167">
        <v>0</v>
      </c>
      <c r="DE2167">
        <v>0</v>
      </c>
      <c r="DF2167">
        <v>0</v>
      </c>
      <c r="DG2167">
        <v>0</v>
      </c>
      <c r="DH2167">
        <v>0</v>
      </c>
      <c r="DI2167">
        <v>0</v>
      </c>
    </row>
    <row r="2168" spans="1:113" x14ac:dyDescent="0.3">
      <c r="A2168" t="str">
        <f>"02/13/2022 19:01:08.191"</f>
        <v>02/13/2022 19:01:08.191</v>
      </c>
      <c r="C2168" t="str">
        <f t="shared" si="209"/>
        <v>FFDFD7C0</v>
      </c>
      <c r="D2168" t="s">
        <v>121</v>
      </c>
      <c r="E2168">
        <v>2</v>
      </c>
      <c r="H2168">
        <v>158</v>
      </c>
      <c r="I2168" t="s">
        <v>120</v>
      </c>
      <c r="J2168" t="s">
        <v>122</v>
      </c>
      <c r="K2168">
        <v>0</v>
      </c>
      <c r="L2168">
        <v>3</v>
      </c>
      <c r="M2168">
        <v>0</v>
      </c>
      <c r="N2168">
        <v>2</v>
      </c>
      <c r="O2168">
        <v>1</v>
      </c>
      <c r="P2168">
        <v>0</v>
      </c>
      <c r="Q2168">
        <v>0</v>
      </c>
      <c r="S2168" t="str">
        <f>"19:01:07.930"</f>
        <v>19:01:07.930</v>
      </c>
      <c r="T2168" t="str">
        <f>"19:01:07.530"</f>
        <v>19:01:07.530</v>
      </c>
      <c r="U2168" t="str">
        <f t="shared" si="211"/>
        <v>AAB6EE</v>
      </c>
      <c r="V2168">
        <v>0</v>
      </c>
      <c r="W2168">
        <v>0</v>
      </c>
      <c r="X2168">
        <v>4</v>
      </c>
      <c r="Z2168">
        <v>0</v>
      </c>
      <c r="AA2168">
        <v>8</v>
      </c>
      <c r="AB2168">
        <v>3</v>
      </c>
      <c r="AC2168">
        <v>0</v>
      </c>
      <c r="AD2168">
        <v>10</v>
      </c>
      <c r="AE2168">
        <v>0</v>
      </c>
      <c r="AF2168">
        <v>0</v>
      </c>
      <c r="AG2168">
        <v>2</v>
      </c>
      <c r="AH2168">
        <v>1</v>
      </c>
      <c r="AI2168" t="s">
        <v>1559</v>
      </c>
      <c r="AJ2168">
        <v>34.811511000000003</v>
      </c>
      <c r="AK2168" t="s">
        <v>1560</v>
      </c>
      <c r="AL2168">
        <v>-76.283783999999997</v>
      </c>
      <c r="AM2168">
        <v>25</v>
      </c>
      <c r="AN2168">
        <v>4725</v>
      </c>
      <c r="AO2168" t="s">
        <v>118</v>
      </c>
      <c r="AP2168">
        <v>-37</v>
      </c>
      <c r="AQ2168">
        <v>-95</v>
      </c>
      <c r="AR2168">
        <v>640</v>
      </c>
      <c r="AZ2168">
        <v>4516</v>
      </c>
      <c r="BA2168">
        <v>1</v>
      </c>
      <c r="BB2168" t="str">
        <f t="shared" si="210"/>
        <v xml:space="preserve">N79NX   </v>
      </c>
      <c r="BC2168">
        <v>1</v>
      </c>
      <c r="BE2168">
        <v>0</v>
      </c>
      <c r="BF2168">
        <v>0</v>
      </c>
      <c r="BG2168">
        <v>0</v>
      </c>
      <c r="BH2168">
        <v>4575</v>
      </c>
      <c r="BI2168">
        <v>0</v>
      </c>
      <c r="BJ2168">
        <v>0</v>
      </c>
      <c r="BK2168">
        <v>0</v>
      </c>
      <c r="BL2168">
        <v>0</v>
      </c>
      <c r="BO2168">
        <v>0</v>
      </c>
      <c r="BP2168">
        <v>0</v>
      </c>
      <c r="BW2168" t="str">
        <f>"19:01:07.936"</f>
        <v>19:01:07.936</v>
      </c>
      <c r="BZ2168">
        <v>0</v>
      </c>
      <c r="CA2168">
        <v>1888</v>
      </c>
      <c r="CB2168">
        <v>214.4</v>
      </c>
      <c r="CC2168">
        <v>625.78129999999999</v>
      </c>
      <c r="CD2168">
        <v>1</v>
      </c>
      <c r="CE2168">
        <v>0</v>
      </c>
      <c r="CF2168">
        <v>0</v>
      </c>
      <c r="CG2168">
        <v>1</v>
      </c>
      <c r="CH2168">
        <v>0</v>
      </c>
      <c r="CI2168">
        <v>0</v>
      </c>
      <c r="CJ2168">
        <v>0</v>
      </c>
      <c r="CK2168">
        <v>2</v>
      </c>
      <c r="CL2168">
        <v>0</v>
      </c>
      <c r="CM2168">
        <v>2</v>
      </c>
      <c r="CN2168">
        <v>0</v>
      </c>
      <c r="CO2168">
        <v>5</v>
      </c>
      <c r="CP2168" t="s">
        <v>119</v>
      </c>
      <c r="CQ2168">
        <v>70</v>
      </c>
      <c r="CR2168">
        <v>1</v>
      </c>
      <c r="CW2168">
        <v>3931498</v>
      </c>
      <c r="CY2168">
        <v>0</v>
      </c>
      <c r="CZ2168">
        <v>0</v>
      </c>
      <c r="DA2168">
        <v>0</v>
      </c>
      <c r="DB2168">
        <v>0</v>
      </c>
      <c r="DC2168">
        <v>0</v>
      </c>
      <c r="DD2168">
        <v>0</v>
      </c>
      <c r="DE2168">
        <v>0</v>
      </c>
      <c r="DF2168">
        <v>0</v>
      </c>
      <c r="DG2168">
        <v>0</v>
      </c>
      <c r="DH2168">
        <v>0</v>
      </c>
      <c r="DI2168">
        <v>0</v>
      </c>
    </row>
    <row r="2169" spans="1:113" x14ac:dyDescent="0.3">
      <c r="A2169" t="str">
        <f>"02/13/2022 19:01:08.191"</f>
        <v>02/13/2022 19:01:08.191</v>
      </c>
      <c r="C2169" t="str">
        <f t="shared" si="209"/>
        <v>FFDFD7C0</v>
      </c>
      <c r="D2169" t="s">
        <v>113</v>
      </c>
      <c r="E2169">
        <v>3</v>
      </c>
      <c r="F2169">
        <v>1003</v>
      </c>
      <c r="G2169" t="s">
        <v>114</v>
      </c>
      <c r="J2169" t="s">
        <v>115</v>
      </c>
      <c r="K2169">
        <v>0</v>
      </c>
      <c r="L2169">
        <v>3</v>
      </c>
      <c r="M2169">
        <v>0</v>
      </c>
      <c r="N2169">
        <v>2</v>
      </c>
      <c r="O2169">
        <v>1</v>
      </c>
      <c r="P2169">
        <v>0</v>
      </c>
      <c r="Q2169">
        <v>0</v>
      </c>
      <c r="S2169" t="str">
        <f>"19:01:07.930"</f>
        <v>19:01:07.930</v>
      </c>
      <c r="T2169" t="str">
        <f>"19:01:07.530"</f>
        <v>19:01:07.530</v>
      </c>
      <c r="U2169" t="str">
        <f t="shared" si="211"/>
        <v>AAB6EE</v>
      </c>
      <c r="V2169">
        <v>0</v>
      </c>
      <c r="W2169">
        <v>0</v>
      </c>
      <c r="X2169">
        <v>4</v>
      </c>
      <c r="Z2169">
        <v>0</v>
      </c>
      <c r="AA2169">
        <v>8</v>
      </c>
      <c r="AB2169">
        <v>3</v>
      </c>
      <c r="AC2169">
        <v>0</v>
      </c>
      <c r="AD2169">
        <v>10</v>
      </c>
      <c r="AE2169">
        <v>0</v>
      </c>
      <c r="AF2169">
        <v>0</v>
      </c>
      <c r="AG2169">
        <v>2</v>
      </c>
      <c r="AH2169">
        <v>1</v>
      </c>
      <c r="AI2169" t="s">
        <v>1559</v>
      </c>
      <c r="AJ2169">
        <v>34.811511000000003</v>
      </c>
      <c r="AK2169" t="s">
        <v>1560</v>
      </c>
      <c r="AL2169">
        <v>-76.283783999999997</v>
      </c>
      <c r="AM2169">
        <v>25</v>
      </c>
      <c r="AN2169">
        <v>4725</v>
      </c>
      <c r="AO2169" t="s">
        <v>118</v>
      </c>
      <c r="AP2169">
        <v>-37</v>
      </c>
      <c r="AQ2169">
        <v>-95</v>
      </c>
      <c r="AR2169">
        <v>640</v>
      </c>
      <c r="AZ2169">
        <v>4516</v>
      </c>
      <c r="BA2169">
        <v>1</v>
      </c>
      <c r="BB2169" t="str">
        <f t="shared" si="210"/>
        <v xml:space="preserve">N79NX   </v>
      </c>
      <c r="BC2169">
        <v>1</v>
      </c>
      <c r="BE2169">
        <v>0</v>
      </c>
      <c r="BF2169">
        <v>0</v>
      </c>
      <c r="BG2169">
        <v>0</v>
      </c>
      <c r="BH2169">
        <v>4575</v>
      </c>
      <c r="BI2169">
        <v>0</v>
      </c>
      <c r="BJ2169">
        <v>0</v>
      </c>
      <c r="BK2169">
        <v>0</v>
      </c>
      <c r="BL2169">
        <v>0</v>
      </c>
      <c r="BO2169">
        <v>0</v>
      </c>
      <c r="BP2169">
        <v>0</v>
      </c>
      <c r="BW2169" t="str">
        <f>"19:01:07.936"</f>
        <v>19:01:07.936</v>
      </c>
      <c r="BZ2169">
        <v>0</v>
      </c>
      <c r="CA2169">
        <v>1888</v>
      </c>
      <c r="CB2169">
        <v>214.4</v>
      </c>
      <c r="CC2169">
        <v>625.78129999999999</v>
      </c>
      <c r="CD2169">
        <v>1</v>
      </c>
      <c r="CE2169">
        <v>0</v>
      </c>
      <c r="CF2169">
        <v>0</v>
      </c>
      <c r="CG2169">
        <v>1</v>
      </c>
      <c r="CH2169">
        <v>0</v>
      </c>
      <c r="CI2169">
        <v>0</v>
      </c>
      <c r="CJ2169">
        <v>0</v>
      </c>
      <c r="CK2169">
        <v>2</v>
      </c>
      <c r="CL2169">
        <v>0</v>
      </c>
      <c r="CM2169">
        <v>2</v>
      </c>
      <c r="CN2169">
        <v>0</v>
      </c>
      <c r="CO2169">
        <v>5</v>
      </c>
      <c r="CP2169" t="s">
        <v>119</v>
      </c>
      <c r="CQ2169">
        <v>70</v>
      </c>
      <c r="CR2169">
        <v>1</v>
      </c>
      <c r="CW2169">
        <v>3931498</v>
      </c>
      <c r="CY2169">
        <v>0</v>
      </c>
      <c r="CZ2169">
        <v>0</v>
      </c>
      <c r="DA2169">
        <v>1</v>
      </c>
      <c r="DB2169">
        <v>0</v>
      </c>
      <c r="DC2169">
        <v>0</v>
      </c>
      <c r="DD2169">
        <v>0</v>
      </c>
      <c r="DE2169">
        <v>0</v>
      </c>
      <c r="DF2169">
        <v>0</v>
      </c>
      <c r="DG2169">
        <v>0</v>
      </c>
      <c r="DH2169">
        <v>0</v>
      </c>
      <c r="DI2169">
        <v>0</v>
      </c>
    </row>
    <row r="2170" spans="1:113" x14ac:dyDescent="0.3">
      <c r="A2170" t="str">
        <f>"02/13/2022 19:01:08.237"</f>
        <v>02/13/2022 19:01:08.237</v>
      </c>
      <c r="C2170" t="str">
        <f t="shared" si="209"/>
        <v>FFDFD7C0</v>
      </c>
      <c r="D2170" t="s">
        <v>113</v>
      </c>
      <c r="E2170">
        <v>4</v>
      </c>
      <c r="F2170">
        <v>1004</v>
      </c>
      <c r="G2170" t="s">
        <v>120</v>
      </c>
      <c r="J2170" t="s">
        <v>115</v>
      </c>
      <c r="K2170">
        <v>0</v>
      </c>
      <c r="L2170">
        <v>3</v>
      </c>
      <c r="M2170">
        <v>0</v>
      </c>
      <c r="N2170">
        <v>2</v>
      </c>
      <c r="O2170">
        <v>1</v>
      </c>
      <c r="P2170">
        <v>0</v>
      </c>
      <c r="Q2170">
        <v>0</v>
      </c>
      <c r="S2170" t="str">
        <f>"19:01:07.930"</f>
        <v>19:01:07.930</v>
      </c>
      <c r="T2170" t="str">
        <f>"19:01:07.530"</f>
        <v>19:01:07.530</v>
      </c>
      <c r="U2170" t="str">
        <f t="shared" si="211"/>
        <v>AAB6EE</v>
      </c>
      <c r="V2170">
        <v>0</v>
      </c>
      <c r="W2170">
        <v>0</v>
      </c>
      <c r="X2170">
        <v>4</v>
      </c>
      <c r="Z2170">
        <v>0</v>
      </c>
      <c r="AA2170">
        <v>8</v>
      </c>
      <c r="AB2170">
        <v>3</v>
      </c>
      <c r="AC2170">
        <v>0</v>
      </c>
      <c r="AD2170">
        <v>10</v>
      </c>
      <c r="AE2170">
        <v>0</v>
      </c>
      <c r="AF2170">
        <v>0</v>
      </c>
      <c r="AG2170">
        <v>2</v>
      </c>
      <c r="AH2170">
        <v>1</v>
      </c>
      <c r="AI2170" t="s">
        <v>1559</v>
      </c>
      <c r="AJ2170">
        <v>34.811511000000003</v>
      </c>
      <c r="AK2170" t="s">
        <v>1560</v>
      </c>
      <c r="AL2170">
        <v>-76.283783999999997</v>
      </c>
      <c r="AM2170">
        <v>25</v>
      </c>
      <c r="AN2170">
        <v>4725</v>
      </c>
      <c r="AO2170" t="s">
        <v>118</v>
      </c>
      <c r="AP2170">
        <v>-37</v>
      </c>
      <c r="AQ2170">
        <v>-95</v>
      </c>
      <c r="AR2170">
        <v>640</v>
      </c>
      <c r="AZ2170">
        <v>4516</v>
      </c>
      <c r="BA2170">
        <v>1</v>
      </c>
      <c r="BB2170" t="str">
        <f t="shared" si="210"/>
        <v xml:space="preserve">N79NX   </v>
      </c>
      <c r="BC2170">
        <v>1</v>
      </c>
      <c r="BE2170">
        <v>0</v>
      </c>
      <c r="BF2170">
        <v>0</v>
      </c>
      <c r="BG2170">
        <v>0</v>
      </c>
      <c r="BH2170">
        <v>4575</v>
      </c>
      <c r="BI2170">
        <v>0</v>
      </c>
      <c r="BJ2170">
        <v>0</v>
      </c>
      <c r="BK2170">
        <v>0</v>
      </c>
      <c r="BL2170">
        <v>0</v>
      </c>
      <c r="BO2170">
        <v>0</v>
      </c>
      <c r="BP2170">
        <v>0</v>
      </c>
      <c r="BW2170" t="str">
        <f>"19:01:07.936"</f>
        <v>19:01:07.936</v>
      </c>
      <c r="BZ2170">
        <v>0</v>
      </c>
      <c r="CA2170">
        <v>1888</v>
      </c>
      <c r="CB2170">
        <v>214.4</v>
      </c>
      <c r="CC2170">
        <v>625.78129999999999</v>
      </c>
      <c r="CD2170">
        <v>1</v>
      </c>
      <c r="CE2170">
        <v>0</v>
      </c>
      <c r="CF2170">
        <v>0</v>
      </c>
      <c r="CG2170">
        <v>1</v>
      </c>
      <c r="CH2170">
        <v>0</v>
      </c>
      <c r="CI2170">
        <v>0</v>
      </c>
      <c r="CJ2170">
        <v>0</v>
      </c>
      <c r="CK2170">
        <v>2</v>
      </c>
      <c r="CL2170">
        <v>0</v>
      </c>
      <c r="CM2170">
        <v>2</v>
      </c>
      <c r="CN2170">
        <v>0</v>
      </c>
      <c r="CO2170">
        <v>5</v>
      </c>
      <c r="CP2170" t="s">
        <v>119</v>
      </c>
      <c r="CQ2170">
        <v>70</v>
      </c>
      <c r="CR2170">
        <v>1</v>
      </c>
      <c r="CW2170">
        <v>3931498</v>
      </c>
      <c r="CY2170">
        <v>0</v>
      </c>
      <c r="CZ2170">
        <v>0</v>
      </c>
      <c r="DA2170">
        <v>1</v>
      </c>
      <c r="DB2170">
        <v>0</v>
      </c>
      <c r="DC2170">
        <v>0</v>
      </c>
      <c r="DD2170">
        <v>0</v>
      </c>
      <c r="DE2170">
        <v>0</v>
      </c>
      <c r="DF2170">
        <v>0</v>
      </c>
      <c r="DG2170">
        <v>0</v>
      </c>
      <c r="DH2170">
        <v>0</v>
      </c>
      <c r="DI2170">
        <v>0</v>
      </c>
    </row>
    <row r="2171" spans="1:113" x14ac:dyDescent="0.3">
      <c r="A2171" t="str">
        <f>"02/13/2022 19:01:09.066"</f>
        <v>02/13/2022 19:01:09.066</v>
      </c>
      <c r="C2171" t="str">
        <f t="shared" si="209"/>
        <v>FFDFD7C0</v>
      </c>
      <c r="D2171" t="s">
        <v>121</v>
      </c>
      <c r="E2171">
        <v>2</v>
      </c>
      <c r="H2171">
        <v>158</v>
      </c>
      <c r="I2171" t="s">
        <v>120</v>
      </c>
      <c r="J2171" t="s">
        <v>122</v>
      </c>
      <c r="K2171">
        <v>0</v>
      </c>
      <c r="L2171">
        <v>3</v>
      </c>
      <c r="M2171">
        <v>0</v>
      </c>
      <c r="N2171">
        <v>2</v>
      </c>
      <c r="O2171">
        <v>1</v>
      </c>
      <c r="P2171">
        <v>0</v>
      </c>
      <c r="Q2171">
        <v>0</v>
      </c>
      <c r="S2171" t="str">
        <f>"19:01:08.805"</f>
        <v>19:01:08.805</v>
      </c>
      <c r="T2171" t="str">
        <f>"19:01:08.605"</f>
        <v>19:01:08.605</v>
      </c>
      <c r="U2171" t="str">
        <f t="shared" si="211"/>
        <v>AAB6EE</v>
      </c>
      <c r="V2171">
        <v>0</v>
      </c>
      <c r="W2171">
        <v>0</v>
      </c>
      <c r="X2171">
        <v>4</v>
      </c>
      <c r="Z2171">
        <v>0</v>
      </c>
      <c r="AA2171">
        <v>8</v>
      </c>
      <c r="AB2171">
        <v>3</v>
      </c>
      <c r="AC2171">
        <v>0</v>
      </c>
      <c r="AD2171">
        <v>10</v>
      </c>
      <c r="AE2171">
        <v>0</v>
      </c>
      <c r="AF2171">
        <v>0</v>
      </c>
      <c r="AG2171">
        <v>2</v>
      </c>
      <c r="AH2171">
        <v>1</v>
      </c>
      <c r="AI2171" t="s">
        <v>1561</v>
      </c>
      <c r="AJ2171">
        <v>34.811188999999999</v>
      </c>
      <c r="AK2171" t="s">
        <v>1562</v>
      </c>
      <c r="AL2171">
        <v>-76.283956000000003</v>
      </c>
      <c r="AM2171">
        <v>25</v>
      </c>
      <c r="AN2171">
        <v>4750</v>
      </c>
      <c r="AO2171" t="s">
        <v>118</v>
      </c>
      <c r="AP2171">
        <v>-48</v>
      </c>
      <c r="AQ2171">
        <v>-90</v>
      </c>
      <c r="AR2171">
        <v>64</v>
      </c>
      <c r="AZ2171">
        <v>4516</v>
      </c>
      <c r="BA2171">
        <v>1</v>
      </c>
      <c r="BB2171" t="str">
        <f t="shared" si="210"/>
        <v xml:space="preserve">N79NX   </v>
      </c>
      <c r="BC2171">
        <v>1</v>
      </c>
      <c r="BE2171">
        <v>0</v>
      </c>
      <c r="BF2171">
        <v>0</v>
      </c>
      <c r="BG2171">
        <v>0</v>
      </c>
      <c r="BH2171">
        <v>4600</v>
      </c>
      <c r="BI2171">
        <v>0</v>
      </c>
      <c r="BJ2171">
        <v>0</v>
      </c>
      <c r="BK2171">
        <v>0</v>
      </c>
      <c r="BL2171">
        <v>0</v>
      </c>
      <c r="BO2171">
        <v>0</v>
      </c>
      <c r="BP2171">
        <v>0</v>
      </c>
      <c r="BW2171" t="str">
        <f>"19:01:08.806"</f>
        <v>19:01:08.806</v>
      </c>
      <c r="BZ2171">
        <v>0</v>
      </c>
      <c r="CA2171">
        <v>1888</v>
      </c>
      <c r="CB2171">
        <v>214.4</v>
      </c>
      <c r="CC2171">
        <v>625.78129999999999</v>
      </c>
      <c r="CD2171">
        <v>1</v>
      </c>
      <c r="CE2171">
        <v>0</v>
      </c>
      <c r="CF2171">
        <v>0</v>
      </c>
      <c r="CG2171">
        <v>1</v>
      </c>
      <c r="CH2171">
        <v>0</v>
      </c>
      <c r="CI2171">
        <v>0</v>
      </c>
      <c r="CJ2171">
        <v>0</v>
      </c>
      <c r="CK2171">
        <v>2</v>
      </c>
      <c r="CL2171">
        <v>0</v>
      </c>
      <c r="CM2171">
        <v>2</v>
      </c>
      <c r="CN2171">
        <v>0</v>
      </c>
      <c r="CO2171">
        <v>5</v>
      </c>
      <c r="CP2171" t="s">
        <v>119</v>
      </c>
      <c r="CQ2171">
        <v>70</v>
      </c>
      <c r="CR2171">
        <v>1</v>
      </c>
      <c r="CW2171">
        <v>3932191</v>
      </c>
      <c r="CY2171">
        <v>0</v>
      </c>
      <c r="CZ2171">
        <v>0</v>
      </c>
      <c r="DA2171">
        <v>0</v>
      </c>
      <c r="DB2171">
        <v>0</v>
      </c>
      <c r="DC2171">
        <v>0</v>
      </c>
      <c r="DD2171">
        <v>0</v>
      </c>
      <c r="DE2171">
        <v>0</v>
      </c>
      <c r="DF2171">
        <v>0</v>
      </c>
      <c r="DG2171">
        <v>0</v>
      </c>
      <c r="DH2171">
        <v>0</v>
      </c>
      <c r="DI2171">
        <v>0</v>
      </c>
    </row>
    <row r="2172" spans="1:113" x14ac:dyDescent="0.3">
      <c r="A2172" t="str">
        <f>"02/13/2022 19:01:09.066"</f>
        <v>02/13/2022 19:01:09.066</v>
      </c>
      <c r="C2172" t="str">
        <f t="shared" si="209"/>
        <v>FFDFD7C0</v>
      </c>
      <c r="D2172" t="s">
        <v>113</v>
      </c>
      <c r="E2172">
        <v>3</v>
      </c>
      <c r="F2172">
        <v>1003</v>
      </c>
      <c r="G2172" t="s">
        <v>114</v>
      </c>
      <c r="J2172" t="s">
        <v>115</v>
      </c>
      <c r="K2172">
        <v>0</v>
      </c>
      <c r="L2172">
        <v>3</v>
      </c>
      <c r="M2172">
        <v>0</v>
      </c>
      <c r="N2172">
        <v>2</v>
      </c>
      <c r="O2172">
        <v>1</v>
      </c>
      <c r="P2172">
        <v>0</v>
      </c>
      <c r="Q2172">
        <v>0</v>
      </c>
      <c r="S2172" t="str">
        <f>"19:01:08.805"</f>
        <v>19:01:08.805</v>
      </c>
      <c r="T2172" t="str">
        <f>"19:01:08.605"</f>
        <v>19:01:08.605</v>
      </c>
      <c r="U2172" t="str">
        <f t="shared" si="211"/>
        <v>AAB6EE</v>
      </c>
      <c r="V2172">
        <v>0</v>
      </c>
      <c r="W2172">
        <v>0</v>
      </c>
      <c r="X2172">
        <v>4</v>
      </c>
      <c r="Z2172">
        <v>0</v>
      </c>
      <c r="AA2172">
        <v>8</v>
      </c>
      <c r="AB2172">
        <v>3</v>
      </c>
      <c r="AC2172">
        <v>0</v>
      </c>
      <c r="AD2172">
        <v>10</v>
      </c>
      <c r="AE2172">
        <v>0</v>
      </c>
      <c r="AF2172">
        <v>0</v>
      </c>
      <c r="AG2172">
        <v>2</v>
      </c>
      <c r="AH2172">
        <v>1</v>
      </c>
      <c r="AI2172" t="s">
        <v>1561</v>
      </c>
      <c r="AJ2172">
        <v>34.811188999999999</v>
      </c>
      <c r="AK2172" t="s">
        <v>1562</v>
      </c>
      <c r="AL2172">
        <v>-76.283956000000003</v>
      </c>
      <c r="AM2172">
        <v>25</v>
      </c>
      <c r="AN2172">
        <v>4750</v>
      </c>
      <c r="AO2172" t="s">
        <v>118</v>
      </c>
      <c r="AP2172">
        <v>-48</v>
      </c>
      <c r="AQ2172">
        <v>-90</v>
      </c>
      <c r="AR2172">
        <v>64</v>
      </c>
      <c r="AZ2172">
        <v>4516</v>
      </c>
      <c r="BA2172">
        <v>1</v>
      </c>
      <c r="BB2172" t="str">
        <f t="shared" si="210"/>
        <v xml:space="preserve">N79NX   </v>
      </c>
      <c r="BC2172">
        <v>1</v>
      </c>
      <c r="BE2172">
        <v>0</v>
      </c>
      <c r="BF2172">
        <v>0</v>
      </c>
      <c r="BG2172">
        <v>0</v>
      </c>
      <c r="BH2172">
        <v>4600</v>
      </c>
      <c r="BI2172">
        <v>0</v>
      </c>
      <c r="BJ2172">
        <v>0</v>
      </c>
      <c r="BK2172">
        <v>0</v>
      </c>
      <c r="BL2172">
        <v>0</v>
      </c>
      <c r="BO2172">
        <v>0</v>
      </c>
      <c r="BP2172">
        <v>0</v>
      </c>
      <c r="BW2172" t="str">
        <f>"19:01:08.806"</f>
        <v>19:01:08.806</v>
      </c>
      <c r="BZ2172">
        <v>0</v>
      </c>
      <c r="CA2172">
        <v>1888</v>
      </c>
      <c r="CB2172">
        <v>214.4</v>
      </c>
      <c r="CC2172">
        <v>625.78129999999999</v>
      </c>
      <c r="CD2172">
        <v>1</v>
      </c>
      <c r="CE2172">
        <v>0</v>
      </c>
      <c r="CF2172">
        <v>0</v>
      </c>
      <c r="CG2172">
        <v>1</v>
      </c>
      <c r="CH2172">
        <v>0</v>
      </c>
      <c r="CI2172">
        <v>0</v>
      </c>
      <c r="CJ2172">
        <v>0</v>
      </c>
      <c r="CK2172">
        <v>2</v>
      </c>
      <c r="CL2172">
        <v>0</v>
      </c>
      <c r="CM2172">
        <v>2</v>
      </c>
      <c r="CN2172">
        <v>0</v>
      </c>
      <c r="CO2172">
        <v>5</v>
      </c>
      <c r="CP2172" t="s">
        <v>119</v>
      </c>
      <c r="CQ2172">
        <v>70</v>
      </c>
      <c r="CR2172">
        <v>1</v>
      </c>
      <c r="CW2172">
        <v>3932191</v>
      </c>
      <c r="CY2172">
        <v>0</v>
      </c>
      <c r="CZ2172">
        <v>0</v>
      </c>
      <c r="DA2172">
        <v>1</v>
      </c>
      <c r="DB2172">
        <v>0</v>
      </c>
      <c r="DC2172">
        <v>0</v>
      </c>
      <c r="DD2172">
        <v>0</v>
      </c>
      <c r="DE2172">
        <v>0</v>
      </c>
      <c r="DF2172">
        <v>0</v>
      </c>
      <c r="DG2172">
        <v>0</v>
      </c>
      <c r="DH2172">
        <v>0</v>
      </c>
      <c r="DI2172">
        <v>0</v>
      </c>
    </row>
    <row r="2173" spans="1:113" x14ac:dyDescent="0.3">
      <c r="A2173" t="str">
        <f>"02/13/2022 19:01:09.144"</f>
        <v>02/13/2022 19:01:09.144</v>
      </c>
      <c r="C2173" t="str">
        <f t="shared" si="209"/>
        <v>FFDFD7C0</v>
      </c>
      <c r="D2173" t="s">
        <v>113</v>
      </c>
      <c r="E2173">
        <v>4</v>
      </c>
      <c r="F2173">
        <v>1004</v>
      </c>
      <c r="G2173" t="s">
        <v>120</v>
      </c>
      <c r="J2173" t="s">
        <v>115</v>
      </c>
      <c r="K2173">
        <v>0</v>
      </c>
      <c r="L2173">
        <v>3</v>
      </c>
      <c r="M2173">
        <v>0</v>
      </c>
      <c r="N2173">
        <v>2</v>
      </c>
      <c r="O2173">
        <v>1</v>
      </c>
      <c r="P2173">
        <v>0</v>
      </c>
      <c r="Q2173">
        <v>0</v>
      </c>
      <c r="S2173" t="str">
        <f>"19:01:08.805"</f>
        <v>19:01:08.805</v>
      </c>
      <c r="T2173" t="str">
        <f>"19:01:08.605"</f>
        <v>19:01:08.605</v>
      </c>
      <c r="U2173" t="str">
        <f t="shared" si="211"/>
        <v>AAB6EE</v>
      </c>
      <c r="V2173">
        <v>0</v>
      </c>
      <c r="W2173">
        <v>0</v>
      </c>
      <c r="X2173">
        <v>4</v>
      </c>
      <c r="Z2173">
        <v>0</v>
      </c>
      <c r="AA2173">
        <v>8</v>
      </c>
      <c r="AB2173">
        <v>3</v>
      </c>
      <c r="AC2173">
        <v>0</v>
      </c>
      <c r="AD2173">
        <v>10</v>
      </c>
      <c r="AE2173">
        <v>0</v>
      </c>
      <c r="AF2173">
        <v>0</v>
      </c>
      <c r="AG2173">
        <v>2</v>
      </c>
      <c r="AH2173">
        <v>1</v>
      </c>
      <c r="AI2173" t="s">
        <v>1561</v>
      </c>
      <c r="AJ2173">
        <v>34.811188999999999</v>
      </c>
      <c r="AK2173" t="s">
        <v>1562</v>
      </c>
      <c r="AL2173">
        <v>-76.283956000000003</v>
      </c>
      <c r="AM2173">
        <v>25</v>
      </c>
      <c r="AN2173">
        <v>4750</v>
      </c>
      <c r="AO2173" t="s">
        <v>118</v>
      </c>
      <c r="AP2173">
        <v>-48</v>
      </c>
      <c r="AQ2173">
        <v>-90</v>
      </c>
      <c r="AR2173">
        <v>64</v>
      </c>
      <c r="AZ2173">
        <v>4516</v>
      </c>
      <c r="BA2173">
        <v>1</v>
      </c>
      <c r="BB2173" t="str">
        <f t="shared" si="210"/>
        <v xml:space="preserve">N79NX   </v>
      </c>
      <c r="BC2173">
        <v>1</v>
      </c>
      <c r="BE2173">
        <v>0</v>
      </c>
      <c r="BF2173">
        <v>0</v>
      </c>
      <c r="BG2173">
        <v>0</v>
      </c>
      <c r="BH2173">
        <v>4600</v>
      </c>
      <c r="BI2173">
        <v>0</v>
      </c>
      <c r="BJ2173">
        <v>0</v>
      </c>
      <c r="BK2173">
        <v>0</v>
      </c>
      <c r="BL2173">
        <v>0</v>
      </c>
      <c r="BO2173">
        <v>0</v>
      </c>
      <c r="BP2173">
        <v>0</v>
      </c>
      <c r="BW2173" t="str">
        <f>"19:01:08.806"</f>
        <v>19:01:08.806</v>
      </c>
      <c r="BZ2173">
        <v>0</v>
      </c>
      <c r="CA2173">
        <v>1888</v>
      </c>
      <c r="CB2173">
        <v>214.4</v>
      </c>
      <c r="CC2173">
        <v>625.78129999999999</v>
      </c>
      <c r="CD2173">
        <v>1</v>
      </c>
      <c r="CE2173">
        <v>0</v>
      </c>
      <c r="CF2173">
        <v>0</v>
      </c>
      <c r="CG2173">
        <v>1</v>
      </c>
      <c r="CH2173">
        <v>0</v>
      </c>
      <c r="CI2173">
        <v>0</v>
      </c>
      <c r="CJ2173">
        <v>0</v>
      </c>
      <c r="CK2173">
        <v>2</v>
      </c>
      <c r="CL2173">
        <v>0</v>
      </c>
      <c r="CM2173">
        <v>2</v>
      </c>
      <c r="CN2173">
        <v>0</v>
      </c>
      <c r="CO2173">
        <v>5</v>
      </c>
      <c r="CP2173" t="s">
        <v>119</v>
      </c>
      <c r="CQ2173">
        <v>70</v>
      </c>
      <c r="CR2173">
        <v>1</v>
      </c>
      <c r="CW2173">
        <v>3932191</v>
      </c>
      <c r="CY2173">
        <v>0</v>
      </c>
      <c r="CZ2173">
        <v>0</v>
      </c>
      <c r="DA2173">
        <v>1</v>
      </c>
      <c r="DB2173">
        <v>0</v>
      </c>
      <c r="DC2173">
        <v>0</v>
      </c>
      <c r="DD2173">
        <v>0</v>
      </c>
      <c r="DE2173">
        <v>0</v>
      </c>
      <c r="DF2173">
        <v>0</v>
      </c>
      <c r="DG2173">
        <v>0</v>
      </c>
      <c r="DH2173">
        <v>0</v>
      </c>
      <c r="DI2173">
        <v>0</v>
      </c>
    </row>
    <row r="2174" spans="1:113" x14ac:dyDescent="0.3">
      <c r="A2174" t="str">
        <f>"02/13/2022 19:01:09.943"</f>
        <v>02/13/2022 19:01:09.943</v>
      </c>
      <c r="C2174" t="str">
        <f t="shared" si="209"/>
        <v>FFDFD7C0</v>
      </c>
      <c r="D2174" t="s">
        <v>113</v>
      </c>
      <c r="E2174">
        <v>3</v>
      </c>
      <c r="F2174">
        <v>1003</v>
      </c>
      <c r="G2174" t="s">
        <v>114</v>
      </c>
      <c r="J2174" t="s">
        <v>115</v>
      </c>
      <c r="K2174">
        <v>0</v>
      </c>
      <c r="L2174">
        <v>3</v>
      </c>
      <c r="M2174">
        <v>0</v>
      </c>
      <c r="N2174">
        <v>2</v>
      </c>
      <c r="O2174">
        <v>1</v>
      </c>
      <c r="P2174">
        <v>0</v>
      </c>
      <c r="Q2174">
        <v>0</v>
      </c>
      <c r="S2174" t="str">
        <f>"19:01:09.734"</f>
        <v>19:01:09.734</v>
      </c>
      <c r="T2174" t="str">
        <f>"19:01:09.534"</f>
        <v>19:01:09.534</v>
      </c>
      <c r="U2174" t="str">
        <f t="shared" si="211"/>
        <v>AAB6EE</v>
      </c>
      <c r="V2174">
        <v>0</v>
      </c>
      <c r="W2174">
        <v>0</v>
      </c>
      <c r="X2174">
        <v>4</v>
      </c>
      <c r="Z2174">
        <v>0</v>
      </c>
      <c r="AA2174">
        <v>8</v>
      </c>
      <c r="AB2174">
        <v>3</v>
      </c>
      <c r="AC2174">
        <v>0</v>
      </c>
      <c r="AD2174">
        <v>10</v>
      </c>
      <c r="AE2174">
        <v>0</v>
      </c>
      <c r="AF2174">
        <v>0</v>
      </c>
      <c r="AG2174">
        <v>2</v>
      </c>
      <c r="AH2174">
        <v>1</v>
      </c>
      <c r="AI2174" t="s">
        <v>1563</v>
      </c>
      <c r="AJ2174">
        <v>34.810823999999997</v>
      </c>
      <c r="AK2174" t="s">
        <v>1564</v>
      </c>
      <c r="AL2174">
        <v>-76.284299000000004</v>
      </c>
      <c r="AM2174">
        <v>25</v>
      </c>
      <c r="AN2174">
        <v>4725</v>
      </c>
      <c r="AO2174" t="s">
        <v>118</v>
      </c>
      <c r="AP2174">
        <v>-59</v>
      </c>
      <c r="AQ2174">
        <v>-84</v>
      </c>
      <c r="AR2174">
        <v>-768</v>
      </c>
      <c r="AZ2174">
        <v>4516</v>
      </c>
      <c r="BA2174">
        <v>1</v>
      </c>
      <c r="BB2174" t="str">
        <f t="shared" si="210"/>
        <v xml:space="preserve">N79NX   </v>
      </c>
      <c r="BC2174">
        <v>1</v>
      </c>
      <c r="BE2174">
        <v>0</v>
      </c>
      <c r="BF2174">
        <v>0</v>
      </c>
      <c r="BG2174">
        <v>0</v>
      </c>
      <c r="BH2174">
        <v>4600</v>
      </c>
      <c r="BI2174">
        <v>0</v>
      </c>
      <c r="BJ2174">
        <v>0</v>
      </c>
      <c r="BK2174">
        <v>0</v>
      </c>
      <c r="BL2174">
        <v>0</v>
      </c>
      <c r="BO2174">
        <v>0</v>
      </c>
      <c r="BP2174">
        <v>0</v>
      </c>
      <c r="BW2174" t="str">
        <f>"19:01:09.736"</f>
        <v>19:01:09.736</v>
      </c>
      <c r="BZ2174">
        <v>0</v>
      </c>
      <c r="CA2174">
        <v>1888</v>
      </c>
      <c r="CB2174">
        <v>214.4</v>
      </c>
      <c r="CC2174">
        <v>625.78129999999999</v>
      </c>
      <c r="CD2174">
        <v>1</v>
      </c>
      <c r="CE2174">
        <v>0</v>
      </c>
      <c r="CF2174">
        <v>0</v>
      </c>
      <c r="CG2174">
        <v>1</v>
      </c>
      <c r="CH2174">
        <v>0</v>
      </c>
      <c r="CI2174">
        <v>0</v>
      </c>
      <c r="CJ2174">
        <v>0</v>
      </c>
      <c r="CK2174">
        <v>2</v>
      </c>
      <c r="CL2174">
        <v>0</v>
      </c>
      <c r="CM2174">
        <v>2</v>
      </c>
      <c r="CN2174">
        <v>0</v>
      </c>
      <c r="CO2174">
        <v>6</v>
      </c>
      <c r="CP2174" t="s">
        <v>119</v>
      </c>
      <c r="CQ2174">
        <v>70</v>
      </c>
      <c r="CR2174">
        <v>1</v>
      </c>
      <c r="CW2174">
        <v>3932994</v>
      </c>
      <c r="CY2174">
        <v>0</v>
      </c>
      <c r="CZ2174">
        <v>0</v>
      </c>
      <c r="DA2174">
        <v>0</v>
      </c>
      <c r="DB2174">
        <v>0</v>
      </c>
      <c r="DC2174">
        <v>0</v>
      </c>
      <c r="DD2174">
        <v>0</v>
      </c>
      <c r="DE2174">
        <v>0</v>
      </c>
      <c r="DF2174">
        <v>0</v>
      </c>
      <c r="DG2174">
        <v>0</v>
      </c>
      <c r="DH2174">
        <v>0</v>
      </c>
      <c r="DI2174">
        <v>0</v>
      </c>
    </row>
    <row r="2175" spans="1:113" x14ac:dyDescent="0.3">
      <c r="A2175" t="str">
        <f>"02/13/2022 19:01:09.943"</f>
        <v>02/13/2022 19:01:09.943</v>
      </c>
      <c r="C2175" t="str">
        <f t="shared" si="209"/>
        <v>FFDFD7C0</v>
      </c>
      <c r="D2175" t="s">
        <v>113</v>
      </c>
      <c r="E2175">
        <v>4</v>
      </c>
      <c r="F2175">
        <v>1004</v>
      </c>
      <c r="G2175" t="s">
        <v>120</v>
      </c>
      <c r="J2175" t="s">
        <v>115</v>
      </c>
      <c r="K2175">
        <v>0</v>
      </c>
      <c r="L2175">
        <v>3</v>
      </c>
      <c r="M2175">
        <v>0</v>
      </c>
      <c r="N2175">
        <v>2</v>
      </c>
      <c r="O2175">
        <v>1</v>
      </c>
      <c r="P2175">
        <v>0</v>
      </c>
      <c r="Q2175">
        <v>0</v>
      </c>
      <c r="S2175" t="str">
        <f>"19:01:09.734"</f>
        <v>19:01:09.734</v>
      </c>
      <c r="T2175" t="str">
        <f>"19:01:09.534"</f>
        <v>19:01:09.534</v>
      </c>
      <c r="U2175" t="str">
        <f t="shared" si="211"/>
        <v>AAB6EE</v>
      </c>
      <c r="V2175">
        <v>0</v>
      </c>
      <c r="W2175">
        <v>0</v>
      </c>
      <c r="X2175">
        <v>4</v>
      </c>
      <c r="Z2175">
        <v>0</v>
      </c>
      <c r="AA2175">
        <v>8</v>
      </c>
      <c r="AB2175">
        <v>3</v>
      </c>
      <c r="AC2175">
        <v>0</v>
      </c>
      <c r="AD2175">
        <v>10</v>
      </c>
      <c r="AE2175">
        <v>0</v>
      </c>
      <c r="AF2175">
        <v>0</v>
      </c>
      <c r="AG2175">
        <v>2</v>
      </c>
      <c r="AH2175">
        <v>1</v>
      </c>
      <c r="AI2175" t="s">
        <v>1563</v>
      </c>
      <c r="AJ2175">
        <v>34.810823999999997</v>
      </c>
      <c r="AK2175" t="s">
        <v>1564</v>
      </c>
      <c r="AL2175">
        <v>-76.284299000000004</v>
      </c>
      <c r="AM2175">
        <v>25</v>
      </c>
      <c r="AN2175">
        <v>4725</v>
      </c>
      <c r="AO2175" t="s">
        <v>118</v>
      </c>
      <c r="AP2175">
        <v>-59</v>
      </c>
      <c r="AQ2175">
        <v>-84</v>
      </c>
      <c r="AR2175">
        <v>-768</v>
      </c>
      <c r="AZ2175">
        <v>4516</v>
      </c>
      <c r="BA2175">
        <v>1</v>
      </c>
      <c r="BB2175" t="str">
        <f t="shared" si="210"/>
        <v xml:space="preserve">N79NX   </v>
      </c>
      <c r="BC2175">
        <v>1</v>
      </c>
      <c r="BE2175">
        <v>0</v>
      </c>
      <c r="BF2175">
        <v>0</v>
      </c>
      <c r="BG2175">
        <v>0</v>
      </c>
      <c r="BH2175">
        <v>4600</v>
      </c>
      <c r="BI2175">
        <v>0</v>
      </c>
      <c r="BJ2175">
        <v>0</v>
      </c>
      <c r="BK2175">
        <v>0</v>
      </c>
      <c r="BL2175">
        <v>0</v>
      </c>
      <c r="BO2175">
        <v>0</v>
      </c>
      <c r="BP2175">
        <v>0</v>
      </c>
      <c r="BW2175" t="str">
        <f>"19:01:09.736"</f>
        <v>19:01:09.736</v>
      </c>
      <c r="BZ2175">
        <v>0</v>
      </c>
      <c r="CA2175">
        <v>1888</v>
      </c>
      <c r="CB2175">
        <v>214.4</v>
      </c>
      <c r="CC2175">
        <v>625.78129999999999</v>
      </c>
      <c r="CD2175">
        <v>1</v>
      </c>
      <c r="CE2175">
        <v>0</v>
      </c>
      <c r="CF2175">
        <v>0</v>
      </c>
      <c r="CG2175">
        <v>1</v>
      </c>
      <c r="CH2175">
        <v>0</v>
      </c>
      <c r="CI2175">
        <v>0</v>
      </c>
      <c r="CJ2175">
        <v>0</v>
      </c>
      <c r="CK2175">
        <v>2</v>
      </c>
      <c r="CL2175">
        <v>0</v>
      </c>
      <c r="CM2175">
        <v>2</v>
      </c>
      <c r="CN2175">
        <v>0</v>
      </c>
      <c r="CO2175">
        <v>6</v>
      </c>
      <c r="CP2175" t="s">
        <v>119</v>
      </c>
      <c r="CQ2175">
        <v>70</v>
      </c>
      <c r="CR2175">
        <v>1</v>
      </c>
      <c r="CW2175">
        <v>3932994</v>
      </c>
      <c r="CY2175">
        <v>0</v>
      </c>
      <c r="CZ2175">
        <v>0</v>
      </c>
      <c r="DA2175">
        <v>1</v>
      </c>
      <c r="DB2175">
        <v>0</v>
      </c>
      <c r="DC2175">
        <v>0</v>
      </c>
      <c r="DD2175">
        <v>0</v>
      </c>
      <c r="DE2175">
        <v>0</v>
      </c>
      <c r="DF2175">
        <v>0</v>
      </c>
      <c r="DG2175">
        <v>0</v>
      </c>
      <c r="DH2175">
        <v>0</v>
      </c>
      <c r="DI2175">
        <v>0</v>
      </c>
    </row>
    <row r="2176" spans="1:113" x14ac:dyDescent="0.3">
      <c r="A2176" t="str">
        <f>"02/13/2022 19:01:09.943"</f>
        <v>02/13/2022 19:01:09.943</v>
      </c>
      <c r="C2176" t="str">
        <f t="shared" si="209"/>
        <v>FFDFD7C0</v>
      </c>
      <c r="D2176" t="s">
        <v>121</v>
      </c>
      <c r="E2176">
        <v>2</v>
      </c>
      <c r="H2176">
        <v>158</v>
      </c>
      <c r="I2176" t="s">
        <v>120</v>
      </c>
      <c r="J2176" t="s">
        <v>122</v>
      </c>
      <c r="K2176">
        <v>0</v>
      </c>
      <c r="L2176">
        <v>3</v>
      </c>
      <c r="M2176">
        <v>0</v>
      </c>
      <c r="N2176">
        <v>2</v>
      </c>
      <c r="O2176">
        <v>1</v>
      </c>
      <c r="P2176">
        <v>0</v>
      </c>
      <c r="Q2176">
        <v>0</v>
      </c>
      <c r="S2176" t="str">
        <f>"19:01:09.734"</f>
        <v>19:01:09.734</v>
      </c>
      <c r="T2176" t="str">
        <f>"19:01:09.534"</f>
        <v>19:01:09.534</v>
      </c>
      <c r="U2176" t="str">
        <f t="shared" si="211"/>
        <v>AAB6EE</v>
      </c>
      <c r="V2176">
        <v>0</v>
      </c>
      <c r="W2176">
        <v>0</v>
      </c>
      <c r="X2176">
        <v>4</v>
      </c>
      <c r="Z2176">
        <v>0</v>
      </c>
      <c r="AA2176">
        <v>8</v>
      </c>
      <c r="AB2176">
        <v>3</v>
      </c>
      <c r="AC2176">
        <v>0</v>
      </c>
      <c r="AD2176">
        <v>10</v>
      </c>
      <c r="AE2176">
        <v>0</v>
      </c>
      <c r="AF2176">
        <v>0</v>
      </c>
      <c r="AG2176">
        <v>2</v>
      </c>
      <c r="AH2176">
        <v>1</v>
      </c>
      <c r="AI2176" t="s">
        <v>1563</v>
      </c>
      <c r="AJ2176">
        <v>34.810823999999997</v>
      </c>
      <c r="AK2176" t="s">
        <v>1564</v>
      </c>
      <c r="AL2176">
        <v>-76.284299000000004</v>
      </c>
      <c r="AM2176">
        <v>25</v>
      </c>
      <c r="AN2176">
        <v>4725</v>
      </c>
      <c r="AO2176" t="s">
        <v>118</v>
      </c>
      <c r="AP2176">
        <v>-59</v>
      </c>
      <c r="AQ2176">
        <v>-84</v>
      </c>
      <c r="AR2176">
        <v>-768</v>
      </c>
      <c r="AZ2176">
        <v>4516</v>
      </c>
      <c r="BA2176">
        <v>1</v>
      </c>
      <c r="BB2176" t="str">
        <f t="shared" si="210"/>
        <v xml:space="preserve">N79NX   </v>
      </c>
      <c r="BC2176">
        <v>1</v>
      </c>
      <c r="BE2176">
        <v>0</v>
      </c>
      <c r="BF2176">
        <v>0</v>
      </c>
      <c r="BG2176">
        <v>0</v>
      </c>
      <c r="BH2176">
        <v>4600</v>
      </c>
      <c r="BI2176">
        <v>0</v>
      </c>
      <c r="BJ2176">
        <v>0</v>
      </c>
      <c r="BK2176">
        <v>0</v>
      </c>
      <c r="BL2176">
        <v>0</v>
      </c>
      <c r="BO2176">
        <v>0</v>
      </c>
      <c r="BP2176">
        <v>0</v>
      </c>
      <c r="BW2176" t="str">
        <f>"19:01:09.736"</f>
        <v>19:01:09.736</v>
      </c>
      <c r="BZ2176">
        <v>0</v>
      </c>
      <c r="CA2176">
        <v>1888</v>
      </c>
      <c r="CB2176">
        <v>214.4</v>
      </c>
      <c r="CC2176">
        <v>625.78129999999999</v>
      </c>
      <c r="CD2176">
        <v>1</v>
      </c>
      <c r="CE2176">
        <v>0</v>
      </c>
      <c r="CF2176">
        <v>0</v>
      </c>
      <c r="CG2176">
        <v>1</v>
      </c>
      <c r="CH2176">
        <v>0</v>
      </c>
      <c r="CI2176">
        <v>0</v>
      </c>
      <c r="CJ2176">
        <v>0</v>
      </c>
      <c r="CK2176">
        <v>2</v>
      </c>
      <c r="CL2176">
        <v>0</v>
      </c>
      <c r="CM2176">
        <v>2</v>
      </c>
      <c r="CN2176">
        <v>0</v>
      </c>
      <c r="CO2176">
        <v>6</v>
      </c>
      <c r="CP2176" t="s">
        <v>119</v>
      </c>
      <c r="CQ2176">
        <v>70</v>
      </c>
      <c r="CR2176">
        <v>1</v>
      </c>
      <c r="CW2176">
        <v>3932994</v>
      </c>
      <c r="CY2176">
        <v>0</v>
      </c>
      <c r="CZ2176">
        <v>0</v>
      </c>
      <c r="DA2176">
        <v>1</v>
      </c>
      <c r="DB2176">
        <v>0</v>
      </c>
      <c r="DC2176">
        <v>0</v>
      </c>
      <c r="DD2176">
        <v>0</v>
      </c>
      <c r="DE2176">
        <v>0</v>
      </c>
      <c r="DF2176">
        <v>0</v>
      </c>
      <c r="DG2176">
        <v>0</v>
      </c>
      <c r="DH2176">
        <v>0</v>
      </c>
      <c r="DI2176">
        <v>0</v>
      </c>
    </row>
    <row r="2177" spans="1:113" x14ac:dyDescent="0.3">
      <c r="A2177" t="str">
        <f>"02/13/2022 19:01:10.849"</f>
        <v>02/13/2022 19:01:10.849</v>
      </c>
      <c r="C2177" t="str">
        <f t="shared" ref="C2177:C2215" si="214">"FFDFD7C0"</f>
        <v>FFDFD7C0</v>
      </c>
      <c r="D2177" t="s">
        <v>121</v>
      </c>
      <c r="E2177">
        <v>2</v>
      </c>
      <c r="H2177">
        <v>158</v>
      </c>
      <c r="I2177" t="s">
        <v>120</v>
      </c>
      <c r="J2177" t="s">
        <v>122</v>
      </c>
      <c r="K2177">
        <v>0</v>
      </c>
      <c r="L2177">
        <v>3</v>
      </c>
      <c r="M2177">
        <v>0</v>
      </c>
      <c r="N2177">
        <v>2</v>
      </c>
      <c r="O2177">
        <v>1</v>
      </c>
      <c r="P2177">
        <v>0</v>
      </c>
      <c r="Q2177">
        <v>0</v>
      </c>
      <c r="S2177" t="str">
        <f>"19:01:10.641"</f>
        <v>19:01:10.641</v>
      </c>
      <c r="T2177" t="str">
        <f>"19:01:10.441"</f>
        <v>19:01:10.441</v>
      </c>
      <c r="U2177" t="str">
        <f t="shared" si="211"/>
        <v>AAB6EE</v>
      </c>
      <c r="V2177">
        <v>0</v>
      </c>
      <c r="W2177">
        <v>0</v>
      </c>
      <c r="X2177">
        <v>4</v>
      </c>
      <c r="Z2177">
        <v>0</v>
      </c>
      <c r="AA2177">
        <v>8</v>
      </c>
      <c r="AB2177">
        <v>3</v>
      </c>
      <c r="AC2177">
        <v>0</v>
      </c>
      <c r="AD2177">
        <v>10</v>
      </c>
      <c r="AE2177">
        <v>0</v>
      </c>
      <c r="AF2177">
        <v>0</v>
      </c>
      <c r="AG2177">
        <v>2</v>
      </c>
      <c r="AH2177">
        <v>1</v>
      </c>
      <c r="AI2177" t="s">
        <v>1565</v>
      </c>
      <c r="AJ2177">
        <v>34.810459999999999</v>
      </c>
      <c r="AK2177" t="s">
        <v>1566</v>
      </c>
      <c r="AL2177">
        <v>-76.284664000000006</v>
      </c>
      <c r="AM2177">
        <v>25</v>
      </c>
      <c r="AN2177">
        <v>4725</v>
      </c>
      <c r="AO2177" t="s">
        <v>118</v>
      </c>
      <c r="AP2177">
        <v>-67</v>
      </c>
      <c r="AQ2177">
        <v>-80</v>
      </c>
      <c r="AR2177">
        <v>-1984</v>
      </c>
      <c r="AZ2177">
        <v>4516</v>
      </c>
      <c r="BA2177">
        <v>1</v>
      </c>
      <c r="BB2177" t="str">
        <f t="shared" ref="BB2177:BB2215" si="215">"N79NX   "</f>
        <v xml:space="preserve">N79NX   </v>
      </c>
      <c r="BC2177">
        <v>1</v>
      </c>
      <c r="BE2177">
        <v>0</v>
      </c>
      <c r="BF2177">
        <v>0</v>
      </c>
      <c r="BG2177">
        <v>0</v>
      </c>
      <c r="BH2177">
        <v>4575</v>
      </c>
      <c r="BI2177">
        <v>0</v>
      </c>
      <c r="BJ2177">
        <v>0</v>
      </c>
      <c r="BK2177">
        <v>0</v>
      </c>
      <c r="BL2177">
        <v>0</v>
      </c>
      <c r="BO2177">
        <v>0</v>
      </c>
      <c r="BP2177">
        <v>0</v>
      </c>
      <c r="BW2177" t="str">
        <f>"19:01:10.646"</f>
        <v>19:01:10.646</v>
      </c>
      <c r="BZ2177">
        <v>0</v>
      </c>
      <c r="CA2177">
        <v>1888</v>
      </c>
      <c r="CB2177">
        <v>214.4</v>
      </c>
      <c r="CC2177">
        <v>625.78129999999999</v>
      </c>
      <c r="CD2177">
        <v>1</v>
      </c>
      <c r="CE2177">
        <v>0</v>
      </c>
      <c r="CF2177">
        <v>0</v>
      </c>
      <c r="CG2177">
        <v>1</v>
      </c>
      <c r="CH2177">
        <v>0</v>
      </c>
      <c r="CI2177">
        <v>0</v>
      </c>
      <c r="CJ2177">
        <v>0</v>
      </c>
      <c r="CK2177">
        <v>2</v>
      </c>
      <c r="CL2177">
        <v>0</v>
      </c>
      <c r="CM2177">
        <v>2</v>
      </c>
      <c r="CN2177">
        <v>0</v>
      </c>
      <c r="CO2177">
        <v>5</v>
      </c>
      <c r="CP2177" t="s">
        <v>119</v>
      </c>
      <c r="CQ2177">
        <v>70</v>
      </c>
      <c r="CR2177">
        <v>1</v>
      </c>
      <c r="CW2177">
        <v>3933752</v>
      </c>
      <c r="CY2177">
        <v>0</v>
      </c>
      <c r="CZ2177">
        <v>0</v>
      </c>
      <c r="DA2177">
        <v>0</v>
      </c>
      <c r="DB2177">
        <v>0</v>
      </c>
      <c r="DC2177">
        <v>0</v>
      </c>
      <c r="DD2177">
        <v>0</v>
      </c>
      <c r="DE2177">
        <v>0</v>
      </c>
      <c r="DF2177">
        <v>0</v>
      </c>
      <c r="DG2177">
        <v>0</v>
      </c>
      <c r="DH2177">
        <v>0</v>
      </c>
      <c r="DI2177">
        <v>0</v>
      </c>
    </row>
    <row r="2178" spans="1:113" x14ac:dyDescent="0.3">
      <c r="A2178" t="str">
        <f>"02/13/2022 19:01:10.912"</f>
        <v>02/13/2022 19:01:10.912</v>
      </c>
      <c r="C2178" t="str">
        <f t="shared" si="214"/>
        <v>FFDFD7C0</v>
      </c>
      <c r="D2178" t="s">
        <v>113</v>
      </c>
      <c r="E2178">
        <v>3</v>
      </c>
      <c r="F2178">
        <v>1003</v>
      </c>
      <c r="G2178" t="s">
        <v>114</v>
      </c>
      <c r="J2178" t="s">
        <v>115</v>
      </c>
      <c r="K2178">
        <v>0</v>
      </c>
      <c r="L2178">
        <v>3</v>
      </c>
      <c r="M2178">
        <v>0</v>
      </c>
      <c r="N2178">
        <v>2</v>
      </c>
      <c r="O2178">
        <v>1</v>
      </c>
      <c r="P2178">
        <v>0</v>
      </c>
      <c r="Q2178">
        <v>0</v>
      </c>
      <c r="S2178" t="str">
        <f>"19:01:10.641"</f>
        <v>19:01:10.641</v>
      </c>
      <c r="T2178" t="str">
        <f>"19:01:10.441"</f>
        <v>19:01:10.441</v>
      </c>
      <c r="U2178" t="str">
        <f t="shared" ref="U2178:U2215" si="216">"AAB6EE"</f>
        <v>AAB6EE</v>
      </c>
      <c r="V2178">
        <v>0</v>
      </c>
      <c r="W2178">
        <v>0</v>
      </c>
      <c r="X2178">
        <v>4</v>
      </c>
      <c r="Z2178">
        <v>0</v>
      </c>
      <c r="AA2178">
        <v>8</v>
      </c>
      <c r="AB2178">
        <v>3</v>
      </c>
      <c r="AC2178">
        <v>0</v>
      </c>
      <c r="AD2178">
        <v>10</v>
      </c>
      <c r="AE2178">
        <v>0</v>
      </c>
      <c r="AF2178">
        <v>0</v>
      </c>
      <c r="AG2178">
        <v>2</v>
      </c>
      <c r="AH2178">
        <v>1</v>
      </c>
      <c r="AI2178" t="s">
        <v>1565</v>
      </c>
      <c r="AJ2178">
        <v>34.810459999999999</v>
      </c>
      <c r="AK2178" t="s">
        <v>1566</v>
      </c>
      <c r="AL2178">
        <v>-76.284664000000006</v>
      </c>
      <c r="AM2178">
        <v>25</v>
      </c>
      <c r="AN2178">
        <v>4725</v>
      </c>
      <c r="AO2178" t="s">
        <v>118</v>
      </c>
      <c r="AP2178">
        <v>-67</v>
      </c>
      <c r="AQ2178">
        <v>-80</v>
      </c>
      <c r="AR2178">
        <v>-1984</v>
      </c>
      <c r="AZ2178">
        <v>4516</v>
      </c>
      <c r="BA2178">
        <v>1</v>
      </c>
      <c r="BB2178" t="str">
        <f t="shared" si="215"/>
        <v xml:space="preserve">N79NX   </v>
      </c>
      <c r="BC2178">
        <v>1</v>
      </c>
      <c r="BE2178">
        <v>0</v>
      </c>
      <c r="BF2178">
        <v>0</v>
      </c>
      <c r="BG2178">
        <v>0</v>
      </c>
      <c r="BH2178">
        <v>4575</v>
      </c>
      <c r="BI2178">
        <v>0</v>
      </c>
      <c r="BJ2178">
        <v>0</v>
      </c>
      <c r="BK2178">
        <v>0</v>
      </c>
      <c r="BL2178">
        <v>0</v>
      </c>
      <c r="BO2178">
        <v>0</v>
      </c>
      <c r="BP2178">
        <v>0</v>
      </c>
      <c r="BW2178" t="str">
        <f>"19:01:10.646"</f>
        <v>19:01:10.646</v>
      </c>
      <c r="BZ2178">
        <v>0</v>
      </c>
      <c r="CA2178">
        <v>1888</v>
      </c>
      <c r="CB2178">
        <v>214.4</v>
      </c>
      <c r="CC2178">
        <v>625.78129999999999</v>
      </c>
      <c r="CD2178">
        <v>1</v>
      </c>
      <c r="CE2178">
        <v>0</v>
      </c>
      <c r="CF2178">
        <v>0</v>
      </c>
      <c r="CG2178">
        <v>1</v>
      </c>
      <c r="CH2178">
        <v>0</v>
      </c>
      <c r="CI2178">
        <v>0</v>
      </c>
      <c r="CJ2178">
        <v>0</v>
      </c>
      <c r="CK2178">
        <v>2</v>
      </c>
      <c r="CL2178">
        <v>0</v>
      </c>
      <c r="CM2178">
        <v>2</v>
      </c>
      <c r="CN2178">
        <v>0</v>
      </c>
      <c r="CO2178">
        <v>5</v>
      </c>
      <c r="CP2178" t="s">
        <v>119</v>
      </c>
      <c r="CQ2178">
        <v>70</v>
      </c>
      <c r="CR2178">
        <v>1</v>
      </c>
      <c r="CW2178">
        <v>3933752</v>
      </c>
      <c r="CY2178">
        <v>0</v>
      </c>
      <c r="CZ2178">
        <v>0</v>
      </c>
      <c r="DA2178">
        <v>1</v>
      </c>
      <c r="DB2178">
        <v>0</v>
      </c>
      <c r="DC2178">
        <v>0</v>
      </c>
      <c r="DD2178">
        <v>0</v>
      </c>
      <c r="DE2178">
        <v>0</v>
      </c>
      <c r="DF2178">
        <v>0</v>
      </c>
      <c r="DG2178">
        <v>0</v>
      </c>
      <c r="DH2178">
        <v>0</v>
      </c>
      <c r="DI2178">
        <v>0</v>
      </c>
    </row>
    <row r="2179" spans="1:113" x14ac:dyDescent="0.3">
      <c r="A2179" t="str">
        <f>"02/13/2022 19:01:10.912"</f>
        <v>02/13/2022 19:01:10.912</v>
      </c>
      <c r="C2179" t="str">
        <f t="shared" si="214"/>
        <v>FFDFD7C0</v>
      </c>
      <c r="D2179" t="s">
        <v>113</v>
      </c>
      <c r="E2179">
        <v>4</v>
      </c>
      <c r="F2179">
        <v>1004</v>
      </c>
      <c r="G2179" t="s">
        <v>120</v>
      </c>
      <c r="J2179" t="s">
        <v>115</v>
      </c>
      <c r="K2179">
        <v>0</v>
      </c>
      <c r="L2179">
        <v>3</v>
      </c>
      <c r="M2179">
        <v>0</v>
      </c>
      <c r="N2179">
        <v>2</v>
      </c>
      <c r="O2179">
        <v>1</v>
      </c>
      <c r="P2179">
        <v>0</v>
      </c>
      <c r="Q2179">
        <v>0</v>
      </c>
      <c r="S2179" t="str">
        <f>"19:01:10.641"</f>
        <v>19:01:10.641</v>
      </c>
      <c r="T2179" t="str">
        <f>"19:01:10.441"</f>
        <v>19:01:10.441</v>
      </c>
      <c r="U2179" t="str">
        <f t="shared" si="216"/>
        <v>AAB6EE</v>
      </c>
      <c r="V2179">
        <v>0</v>
      </c>
      <c r="W2179">
        <v>0</v>
      </c>
      <c r="X2179">
        <v>4</v>
      </c>
      <c r="Z2179">
        <v>0</v>
      </c>
      <c r="AA2179">
        <v>8</v>
      </c>
      <c r="AB2179">
        <v>3</v>
      </c>
      <c r="AC2179">
        <v>0</v>
      </c>
      <c r="AD2179">
        <v>10</v>
      </c>
      <c r="AE2179">
        <v>0</v>
      </c>
      <c r="AF2179">
        <v>0</v>
      </c>
      <c r="AG2179">
        <v>2</v>
      </c>
      <c r="AH2179">
        <v>1</v>
      </c>
      <c r="AI2179" t="s">
        <v>1565</v>
      </c>
      <c r="AJ2179">
        <v>34.810459999999999</v>
      </c>
      <c r="AK2179" t="s">
        <v>1566</v>
      </c>
      <c r="AL2179">
        <v>-76.284664000000006</v>
      </c>
      <c r="AM2179">
        <v>25</v>
      </c>
      <c r="AN2179">
        <v>4725</v>
      </c>
      <c r="AO2179" t="s">
        <v>118</v>
      </c>
      <c r="AP2179">
        <v>-67</v>
      </c>
      <c r="AQ2179">
        <v>-80</v>
      </c>
      <c r="AR2179">
        <v>-1984</v>
      </c>
      <c r="AZ2179">
        <v>4516</v>
      </c>
      <c r="BA2179">
        <v>1</v>
      </c>
      <c r="BB2179" t="str">
        <f t="shared" si="215"/>
        <v xml:space="preserve">N79NX   </v>
      </c>
      <c r="BC2179">
        <v>1</v>
      </c>
      <c r="BE2179">
        <v>0</v>
      </c>
      <c r="BF2179">
        <v>0</v>
      </c>
      <c r="BG2179">
        <v>0</v>
      </c>
      <c r="BH2179">
        <v>4575</v>
      </c>
      <c r="BI2179">
        <v>0</v>
      </c>
      <c r="BJ2179">
        <v>0</v>
      </c>
      <c r="BK2179">
        <v>0</v>
      </c>
      <c r="BL2179">
        <v>0</v>
      </c>
      <c r="BO2179">
        <v>0</v>
      </c>
      <c r="BP2179">
        <v>0</v>
      </c>
      <c r="BW2179" t="str">
        <f>"19:01:10.646"</f>
        <v>19:01:10.646</v>
      </c>
      <c r="BZ2179">
        <v>0</v>
      </c>
      <c r="CA2179">
        <v>1888</v>
      </c>
      <c r="CB2179">
        <v>214.4</v>
      </c>
      <c r="CC2179">
        <v>625.78129999999999</v>
      </c>
      <c r="CD2179">
        <v>1</v>
      </c>
      <c r="CE2179">
        <v>0</v>
      </c>
      <c r="CF2179">
        <v>0</v>
      </c>
      <c r="CG2179">
        <v>1</v>
      </c>
      <c r="CH2179">
        <v>0</v>
      </c>
      <c r="CI2179">
        <v>0</v>
      </c>
      <c r="CJ2179">
        <v>0</v>
      </c>
      <c r="CK2179">
        <v>2</v>
      </c>
      <c r="CL2179">
        <v>0</v>
      </c>
      <c r="CM2179">
        <v>2</v>
      </c>
      <c r="CN2179">
        <v>0</v>
      </c>
      <c r="CO2179">
        <v>5</v>
      </c>
      <c r="CP2179" t="s">
        <v>119</v>
      </c>
      <c r="CQ2179">
        <v>70</v>
      </c>
      <c r="CR2179">
        <v>1</v>
      </c>
      <c r="CW2179">
        <v>3933752</v>
      </c>
      <c r="CY2179">
        <v>0</v>
      </c>
      <c r="CZ2179">
        <v>0</v>
      </c>
      <c r="DA2179">
        <v>1</v>
      </c>
      <c r="DB2179">
        <v>0</v>
      </c>
      <c r="DC2179">
        <v>0</v>
      </c>
      <c r="DD2179">
        <v>0</v>
      </c>
      <c r="DE2179">
        <v>0</v>
      </c>
      <c r="DF2179">
        <v>0</v>
      </c>
      <c r="DG2179">
        <v>0</v>
      </c>
      <c r="DH2179">
        <v>0</v>
      </c>
      <c r="DI2179">
        <v>0</v>
      </c>
    </row>
    <row r="2180" spans="1:113" x14ac:dyDescent="0.3">
      <c r="A2180" t="str">
        <f>"02/13/2022 19:01:12.069"</f>
        <v>02/13/2022 19:01:12.069</v>
      </c>
      <c r="C2180" t="str">
        <f t="shared" si="214"/>
        <v>FFDFD7C0</v>
      </c>
      <c r="D2180" t="s">
        <v>121</v>
      </c>
      <c r="E2180">
        <v>2</v>
      </c>
      <c r="H2180">
        <v>158</v>
      </c>
      <c r="I2180" t="s">
        <v>120</v>
      </c>
      <c r="J2180" t="s">
        <v>122</v>
      </c>
      <c r="K2180">
        <v>0</v>
      </c>
      <c r="L2180">
        <v>3</v>
      </c>
      <c r="M2180">
        <v>0</v>
      </c>
      <c r="N2180">
        <v>2</v>
      </c>
      <c r="O2180">
        <v>1</v>
      </c>
      <c r="P2180">
        <v>0</v>
      </c>
      <c r="Q2180">
        <v>0</v>
      </c>
      <c r="S2180" t="str">
        <f>"19:01:11.789"</f>
        <v>19:01:11.789</v>
      </c>
      <c r="T2180" t="str">
        <f>"19:01:11.389"</f>
        <v>19:01:11.389</v>
      </c>
      <c r="U2180" t="str">
        <f t="shared" si="216"/>
        <v>AAB6EE</v>
      </c>
      <c r="V2180">
        <v>0</v>
      </c>
      <c r="W2180">
        <v>0</v>
      </c>
      <c r="X2180">
        <v>4</v>
      </c>
      <c r="Z2180">
        <v>0</v>
      </c>
      <c r="AA2180">
        <v>8</v>
      </c>
      <c r="AB2180">
        <v>3</v>
      </c>
      <c r="AC2180">
        <v>0</v>
      </c>
      <c r="AD2180">
        <v>10</v>
      </c>
      <c r="AE2180">
        <v>0</v>
      </c>
      <c r="AF2180">
        <v>0</v>
      </c>
      <c r="AG2180">
        <v>2</v>
      </c>
      <c r="AH2180">
        <v>1</v>
      </c>
      <c r="AI2180" t="s">
        <v>1567</v>
      </c>
      <c r="AJ2180">
        <v>34.810094999999997</v>
      </c>
      <c r="AK2180" t="s">
        <v>1568</v>
      </c>
      <c r="AL2180">
        <v>-76.285135999999994</v>
      </c>
      <c r="AM2180">
        <v>25</v>
      </c>
      <c r="AN2180">
        <v>4675</v>
      </c>
      <c r="AO2180" t="s">
        <v>118</v>
      </c>
      <c r="AP2180">
        <v>-76</v>
      </c>
      <c r="AQ2180">
        <v>-74</v>
      </c>
      <c r="AR2180">
        <v>-3392</v>
      </c>
      <c r="AZ2180">
        <v>4516</v>
      </c>
      <c r="BA2180">
        <v>1</v>
      </c>
      <c r="BB2180" t="str">
        <f t="shared" si="215"/>
        <v xml:space="preserve">N79NX   </v>
      </c>
      <c r="BC2180">
        <v>1</v>
      </c>
      <c r="BE2180">
        <v>0</v>
      </c>
      <c r="BF2180">
        <v>0</v>
      </c>
      <c r="BG2180">
        <v>0</v>
      </c>
      <c r="BH2180">
        <v>4550</v>
      </c>
      <c r="BI2180">
        <v>0</v>
      </c>
      <c r="BJ2180">
        <v>0</v>
      </c>
      <c r="BK2180">
        <v>0</v>
      </c>
      <c r="BL2180">
        <v>0</v>
      </c>
      <c r="BO2180">
        <v>0</v>
      </c>
      <c r="BP2180">
        <v>0</v>
      </c>
      <c r="BW2180" t="str">
        <f>"19:01:11.796"</f>
        <v>19:01:11.796</v>
      </c>
      <c r="BZ2180">
        <v>0</v>
      </c>
      <c r="CA2180">
        <v>1888</v>
      </c>
      <c r="CB2180">
        <v>214.4</v>
      </c>
      <c r="CC2180">
        <v>625.78129999999999</v>
      </c>
      <c r="CD2180">
        <v>1</v>
      </c>
      <c r="CE2180">
        <v>0</v>
      </c>
      <c r="CF2180">
        <v>0</v>
      </c>
      <c r="CG2180">
        <v>1</v>
      </c>
      <c r="CH2180">
        <v>0</v>
      </c>
      <c r="CI2180">
        <v>0</v>
      </c>
      <c r="CJ2180">
        <v>0</v>
      </c>
      <c r="CK2180">
        <v>2</v>
      </c>
      <c r="CL2180">
        <v>0</v>
      </c>
      <c r="CM2180">
        <v>2</v>
      </c>
      <c r="CN2180">
        <v>0</v>
      </c>
      <c r="CO2180">
        <v>4</v>
      </c>
      <c r="CP2180" t="s">
        <v>119</v>
      </c>
      <c r="CQ2180">
        <v>70</v>
      </c>
      <c r="CR2180">
        <v>1</v>
      </c>
      <c r="CW2180">
        <v>3934775</v>
      </c>
      <c r="CY2180">
        <v>0</v>
      </c>
      <c r="CZ2180">
        <v>0</v>
      </c>
      <c r="DA2180">
        <v>0</v>
      </c>
      <c r="DB2180">
        <v>0</v>
      </c>
      <c r="DC2180">
        <v>0</v>
      </c>
      <c r="DD2180">
        <v>0</v>
      </c>
      <c r="DE2180">
        <v>0</v>
      </c>
      <c r="DF2180">
        <v>0</v>
      </c>
      <c r="DG2180">
        <v>0</v>
      </c>
      <c r="DH2180">
        <v>0</v>
      </c>
      <c r="DI2180">
        <v>0</v>
      </c>
    </row>
    <row r="2181" spans="1:113" x14ac:dyDescent="0.3">
      <c r="A2181" t="str">
        <f>"02/13/2022 19:01:12.069"</f>
        <v>02/13/2022 19:01:12.069</v>
      </c>
      <c r="C2181" t="str">
        <f t="shared" si="214"/>
        <v>FFDFD7C0</v>
      </c>
      <c r="D2181" t="s">
        <v>113</v>
      </c>
      <c r="E2181">
        <v>3</v>
      </c>
      <c r="F2181">
        <v>1003</v>
      </c>
      <c r="G2181" t="s">
        <v>114</v>
      </c>
      <c r="J2181" t="s">
        <v>115</v>
      </c>
      <c r="K2181">
        <v>0</v>
      </c>
      <c r="L2181">
        <v>3</v>
      </c>
      <c r="M2181">
        <v>0</v>
      </c>
      <c r="N2181">
        <v>2</v>
      </c>
      <c r="O2181">
        <v>1</v>
      </c>
      <c r="P2181">
        <v>0</v>
      </c>
      <c r="Q2181">
        <v>0</v>
      </c>
      <c r="S2181" t="str">
        <f>"19:01:11.789"</f>
        <v>19:01:11.789</v>
      </c>
      <c r="T2181" t="str">
        <f>"19:01:11.389"</f>
        <v>19:01:11.389</v>
      </c>
      <c r="U2181" t="str">
        <f t="shared" si="216"/>
        <v>AAB6EE</v>
      </c>
      <c r="V2181">
        <v>0</v>
      </c>
      <c r="W2181">
        <v>0</v>
      </c>
      <c r="X2181">
        <v>4</v>
      </c>
      <c r="Z2181">
        <v>0</v>
      </c>
      <c r="AA2181">
        <v>8</v>
      </c>
      <c r="AB2181">
        <v>3</v>
      </c>
      <c r="AC2181">
        <v>0</v>
      </c>
      <c r="AD2181">
        <v>10</v>
      </c>
      <c r="AE2181">
        <v>0</v>
      </c>
      <c r="AF2181">
        <v>0</v>
      </c>
      <c r="AG2181">
        <v>2</v>
      </c>
      <c r="AH2181">
        <v>1</v>
      </c>
      <c r="AI2181" t="s">
        <v>1567</v>
      </c>
      <c r="AJ2181">
        <v>34.810094999999997</v>
      </c>
      <c r="AK2181" t="s">
        <v>1568</v>
      </c>
      <c r="AL2181">
        <v>-76.285135999999994</v>
      </c>
      <c r="AM2181">
        <v>25</v>
      </c>
      <c r="AN2181">
        <v>4675</v>
      </c>
      <c r="AO2181" t="s">
        <v>118</v>
      </c>
      <c r="AP2181">
        <v>-76</v>
      </c>
      <c r="AQ2181">
        <v>-74</v>
      </c>
      <c r="AR2181">
        <v>-3392</v>
      </c>
      <c r="AZ2181">
        <v>4516</v>
      </c>
      <c r="BA2181">
        <v>1</v>
      </c>
      <c r="BB2181" t="str">
        <f t="shared" si="215"/>
        <v xml:space="preserve">N79NX   </v>
      </c>
      <c r="BC2181">
        <v>1</v>
      </c>
      <c r="BE2181">
        <v>0</v>
      </c>
      <c r="BF2181">
        <v>0</v>
      </c>
      <c r="BG2181">
        <v>0</v>
      </c>
      <c r="BH2181">
        <v>4550</v>
      </c>
      <c r="BI2181">
        <v>0</v>
      </c>
      <c r="BJ2181">
        <v>0</v>
      </c>
      <c r="BK2181">
        <v>0</v>
      </c>
      <c r="BL2181">
        <v>0</v>
      </c>
      <c r="BO2181">
        <v>0</v>
      </c>
      <c r="BP2181">
        <v>0</v>
      </c>
      <c r="BW2181" t="str">
        <f>"19:01:11.796"</f>
        <v>19:01:11.796</v>
      </c>
      <c r="BZ2181">
        <v>0</v>
      </c>
      <c r="CA2181">
        <v>1888</v>
      </c>
      <c r="CB2181">
        <v>214.4</v>
      </c>
      <c r="CC2181">
        <v>625.78129999999999</v>
      </c>
      <c r="CD2181">
        <v>1</v>
      </c>
      <c r="CE2181">
        <v>0</v>
      </c>
      <c r="CF2181">
        <v>0</v>
      </c>
      <c r="CG2181">
        <v>1</v>
      </c>
      <c r="CH2181">
        <v>0</v>
      </c>
      <c r="CI2181">
        <v>0</v>
      </c>
      <c r="CJ2181">
        <v>0</v>
      </c>
      <c r="CK2181">
        <v>2</v>
      </c>
      <c r="CL2181">
        <v>0</v>
      </c>
      <c r="CM2181">
        <v>2</v>
      </c>
      <c r="CN2181">
        <v>0</v>
      </c>
      <c r="CO2181">
        <v>4</v>
      </c>
      <c r="CP2181" t="s">
        <v>119</v>
      </c>
      <c r="CQ2181">
        <v>70</v>
      </c>
      <c r="CR2181">
        <v>1</v>
      </c>
      <c r="CW2181">
        <v>3934775</v>
      </c>
      <c r="CY2181">
        <v>0</v>
      </c>
      <c r="CZ2181">
        <v>0</v>
      </c>
      <c r="DA2181">
        <v>1</v>
      </c>
      <c r="DB2181">
        <v>0</v>
      </c>
      <c r="DC2181">
        <v>0</v>
      </c>
      <c r="DD2181">
        <v>0</v>
      </c>
      <c r="DE2181">
        <v>0</v>
      </c>
      <c r="DF2181">
        <v>0</v>
      </c>
      <c r="DG2181">
        <v>0</v>
      </c>
      <c r="DH2181">
        <v>0</v>
      </c>
      <c r="DI2181">
        <v>0</v>
      </c>
    </row>
    <row r="2182" spans="1:113" x14ac:dyDescent="0.3">
      <c r="A2182" t="str">
        <f>"02/13/2022 19:01:12.069"</f>
        <v>02/13/2022 19:01:12.069</v>
      </c>
      <c r="C2182" t="str">
        <f t="shared" si="214"/>
        <v>FFDFD7C0</v>
      </c>
      <c r="D2182" t="s">
        <v>113</v>
      </c>
      <c r="E2182">
        <v>4</v>
      </c>
      <c r="F2182">
        <v>1004</v>
      </c>
      <c r="G2182" t="s">
        <v>120</v>
      </c>
      <c r="J2182" t="s">
        <v>115</v>
      </c>
      <c r="K2182">
        <v>0</v>
      </c>
      <c r="L2182">
        <v>3</v>
      </c>
      <c r="M2182">
        <v>0</v>
      </c>
      <c r="N2182">
        <v>2</v>
      </c>
      <c r="O2182">
        <v>1</v>
      </c>
      <c r="P2182">
        <v>0</v>
      </c>
      <c r="Q2182">
        <v>0</v>
      </c>
      <c r="S2182" t="str">
        <f>"19:01:11.789"</f>
        <v>19:01:11.789</v>
      </c>
      <c r="T2182" t="str">
        <f>"19:01:11.389"</f>
        <v>19:01:11.389</v>
      </c>
      <c r="U2182" t="str">
        <f t="shared" si="216"/>
        <v>AAB6EE</v>
      </c>
      <c r="V2182">
        <v>0</v>
      </c>
      <c r="W2182">
        <v>0</v>
      </c>
      <c r="X2182">
        <v>4</v>
      </c>
      <c r="Z2182">
        <v>0</v>
      </c>
      <c r="AA2182">
        <v>8</v>
      </c>
      <c r="AB2182">
        <v>3</v>
      </c>
      <c r="AC2182">
        <v>0</v>
      </c>
      <c r="AD2182">
        <v>10</v>
      </c>
      <c r="AE2182">
        <v>0</v>
      </c>
      <c r="AF2182">
        <v>0</v>
      </c>
      <c r="AG2182">
        <v>2</v>
      </c>
      <c r="AH2182">
        <v>1</v>
      </c>
      <c r="AI2182" t="s">
        <v>1567</v>
      </c>
      <c r="AJ2182">
        <v>34.810094999999997</v>
      </c>
      <c r="AK2182" t="s">
        <v>1568</v>
      </c>
      <c r="AL2182">
        <v>-76.285135999999994</v>
      </c>
      <c r="AM2182">
        <v>25</v>
      </c>
      <c r="AN2182">
        <v>4675</v>
      </c>
      <c r="AO2182" t="s">
        <v>118</v>
      </c>
      <c r="AP2182">
        <v>-76</v>
      </c>
      <c r="AQ2182">
        <v>-74</v>
      </c>
      <c r="AR2182">
        <v>-3392</v>
      </c>
      <c r="AZ2182">
        <v>4516</v>
      </c>
      <c r="BA2182">
        <v>1</v>
      </c>
      <c r="BB2182" t="str">
        <f t="shared" si="215"/>
        <v xml:space="preserve">N79NX   </v>
      </c>
      <c r="BC2182">
        <v>1</v>
      </c>
      <c r="BE2182">
        <v>0</v>
      </c>
      <c r="BF2182">
        <v>0</v>
      </c>
      <c r="BG2182">
        <v>0</v>
      </c>
      <c r="BH2182">
        <v>4550</v>
      </c>
      <c r="BI2182">
        <v>0</v>
      </c>
      <c r="BJ2182">
        <v>0</v>
      </c>
      <c r="BK2182">
        <v>0</v>
      </c>
      <c r="BL2182">
        <v>0</v>
      </c>
      <c r="BO2182">
        <v>0</v>
      </c>
      <c r="BP2182">
        <v>0</v>
      </c>
      <c r="BW2182" t="str">
        <f>"19:01:11.796"</f>
        <v>19:01:11.796</v>
      </c>
      <c r="BZ2182">
        <v>0</v>
      </c>
      <c r="CA2182">
        <v>1888</v>
      </c>
      <c r="CB2182">
        <v>214.4</v>
      </c>
      <c r="CC2182">
        <v>625.78129999999999</v>
      </c>
      <c r="CD2182">
        <v>1</v>
      </c>
      <c r="CE2182">
        <v>0</v>
      </c>
      <c r="CF2182">
        <v>0</v>
      </c>
      <c r="CG2182">
        <v>1</v>
      </c>
      <c r="CH2182">
        <v>0</v>
      </c>
      <c r="CI2182">
        <v>0</v>
      </c>
      <c r="CJ2182">
        <v>0</v>
      </c>
      <c r="CK2182">
        <v>2</v>
      </c>
      <c r="CL2182">
        <v>0</v>
      </c>
      <c r="CM2182">
        <v>2</v>
      </c>
      <c r="CN2182">
        <v>0</v>
      </c>
      <c r="CO2182">
        <v>4</v>
      </c>
      <c r="CP2182" t="s">
        <v>119</v>
      </c>
      <c r="CQ2182">
        <v>70</v>
      </c>
      <c r="CR2182">
        <v>1</v>
      </c>
      <c r="CW2182">
        <v>3934775</v>
      </c>
      <c r="CY2182">
        <v>0</v>
      </c>
      <c r="CZ2182">
        <v>0</v>
      </c>
      <c r="DA2182">
        <v>1</v>
      </c>
      <c r="DB2182">
        <v>0</v>
      </c>
      <c r="DC2182">
        <v>0</v>
      </c>
      <c r="DD2182">
        <v>0</v>
      </c>
      <c r="DE2182">
        <v>0</v>
      </c>
      <c r="DF2182">
        <v>0</v>
      </c>
      <c r="DG2182">
        <v>0</v>
      </c>
      <c r="DH2182">
        <v>0</v>
      </c>
      <c r="DI2182">
        <v>0</v>
      </c>
    </row>
    <row r="2183" spans="1:113" x14ac:dyDescent="0.3">
      <c r="A2183" t="str">
        <f>"02/13/2022 19:01:13.038"</f>
        <v>02/13/2022 19:01:13.038</v>
      </c>
      <c r="C2183" t="str">
        <f t="shared" si="214"/>
        <v>FFDFD7C0</v>
      </c>
      <c r="D2183" t="s">
        <v>121</v>
      </c>
      <c r="E2183">
        <v>2</v>
      </c>
      <c r="H2183">
        <v>158</v>
      </c>
      <c r="I2183" t="s">
        <v>120</v>
      </c>
      <c r="J2183" t="s">
        <v>122</v>
      </c>
      <c r="K2183">
        <v>0</v>
      </c>
      <c r="L2183">
        <v>3</v>
      </c>
      <c r="M2183">
        <v>0</v>
      </c>
      <c r="N2183">
        <v>2</v>
      </c>
      <c r="O2183">
        <v>1</v>
      </c>
      <c r="P2183">
        <v>0</v>
      </c>
      <c r="Q2183">
        <v>0</v>
      </c>
      <c r="S2183" t="str">
        <f t="shared" ref="S2183:T2185" si="217">"19:01:12.805"</f>
        <v>19:01:12.805</v>
      </c>
      <c r="T2183" t="str">
        <f t="shared" si="217"/>
        <v>19:01:12.805</v>
      </c>
      <c r="U2183" t="str">
        <f t="shared" si="216"/>
        <v>AAB6EE</v>
      </c>
      <c r="V2183">
        <v>0</v>
      </c>
      <c r="W2183">
        <v>0</v>
      </c>
      <c r="X2183">
        <v>4</v>
      </c>
      <c r="Z2183">
        <v>0</v>
      </c>
      <c r="AA2183">
        <v>8</v>
      </c>
      <c r="AB2183">
        <v>3</v>
      </c>
      <c r="AC2183">
        <v>0</v>
      </c>
      <c r="AD2183">
        <v>10</v>
      </c>
      <c r="AE2183">
        <v>0</v>
      </c>
      <c r="AF2183">
        <v>0</v>
      </c>
      <c r="AG2183">
        <v>2</v>
      </c>
      <c r="AH2183">
        <v>1</v>
      </c>
      <c r="AI2183" t="s">
        <v>1569</v>
      </c>
      <c r="AJ2183">
        <v>34.809815999999998</v>
      </c>
      <c r="AK2183" t="s">
        <v>1570</v>
      </c>
      <c r="AL2183">
        <v>-76.285651000000001</v>
      </c>
      <c r="AM2183">
        <v>25</v>
      </c>
      <c r="AN2183">
        <v>4575</v>
      </c>
      <c r="AO2183" t="s">
        <v>118</v>
      </c>
      <c r="AP2183">
        <v>-93</v>
      </c>
      <c r="AQ2183">
        <v>-58</v>
      </c>
      <c r="AR2183">
        <v>-5696</v>
      </c>
      <c r="AZ2183">
        <v>4516</v>
      </c>
      <c r="BA2183">
        <v>1</v>
      </c>
      <c r="BB2183" t="str">
        <f t="shared" si="215"/>
        <v xml:space="preserve">N79NX   </v>
      </c>
      <c r="BC2183">
        <v>1</v>
      </c>
      <c r="BE2183">
        <v>0</v>
      </c>
      <c r="BF2183">
        <v>0</v>
      </c>
      <c r="BG2183">
        <v>0</v>
      </c>
      <c r="BH2183">
        <v>4500</v>
      </c>
      <c r="BI2183">
        <v>0</v>
      </c>
      <c r="BJ2183">
        <v>0</v>
      </c>
      <c r="BK2183">
        <v>0</v>
      </c>
      <c r="BL2183">
        <v>0</v>
      </c>
      <c r="BO2183">
        <v>0</v>
      </c>
      <c r="BP2183">
        <v>0</v>
      </c>
      <c r="BW2183" t="str">
        <f>"19:01:12.806"</f>
        <v>19:01:12.806</v>
      </c>
      <c r="BZ2183">
        <v>0</v>
      </c>
      <c r="CA2183">
        <v>1888</v>
      </c>
      <c r="CB2183">
        <v>214.4</v>
      </c>
      <c r="CC2183">
        <v>625.78129999999999</v>
      </c>
      <c r="CD2183">
        <v>1</v>
      </c>
      <c r="CE2183">
        <v>0</v>
      </c>
      <c r="CF2183">
        <v>0</v>
      </c>
      <c r="CG2183">
        <v>1</v>
      </c>
      <c r="CH2183">
        <v>0</v>
      </c>
      <c r="CI2183">
        <v>0</v>
      </c>
      <c r="CJ2183">
        <v>0</v>
      </c>
      <c r="CK2183">
        <v>2</v>
      </c>
      <c r="CL2183">
        <v>0</v>
      </c>
      <c r="CM2183">
        <v>2</v>
      </c>
      <c r="CN2183">
        <v>0</v>
      </c>
      <c r="CO2183">
        <v>5</v>
      </c>
      <c r="CP2183" t="s">
        <v>119</v>
      </c>
      <c r="CQ2183">
        <v>70</v>
      </c>
      <c r="CR2183">
        <v>1</v>
      </c>
      <c r="CW2183">
        <v>3935620</v>
      </c>
      <c r="CY2183">
        <v>0</v>
      </c>
      <c r="CZ2183">
        <v>0</v>
      </c>
      <c r="DA2183">
        <v>0</v>
      </c>
      <c r="DB2183">
        <v>0</v>
      </c>
      <c r="DC2183">
        <v>0</v>
      </c>
      <c r="DD2183">
        <v>0</v>
      </c>
      <c r="DE2183">
        <v>0</v>
      </c>
      <c r="DF2183">
        <v>0</v>
      </c>
      <c r="DG2183">
        <v>0</v>
      </c>
      <c r="DH2183">
        <v>0</v>
      </c>
      <c r="DI2183">
        <v>0</v>
      </c>
    </row>
    <row r="2184" spans="1:113" x14ac:dyDescent="0.3">
      <c r="A2184" t="str">
        <f>"02/13/2022 19:01:13.038"</f>
        <v>02/13/2022 19:01:13.038</v>
      </c>
      <c r="C2184" t="str">
        <f t="shared" si="214"/>
        <v>FFDFD7C0</v>
      </c>
      <c r="D2184" t="s">
        <v>113</v>
      </c>
      <c r="E2184">
        <v>3</v>
      </c>
      <c r="F2184">
        <v>1003</v>
      </c>
      <c r="G2184" t="s">
        <v>114</v>
      </c>
      <c r="J2184" t="s">
        <v>115</v>
      </c>
      <c r="K2184">
        <v>0</v>
      </c>
      <c r="L2184">
        <v>3</v>
      </c>
      <c r="M2184">
        <v>0</v>
      </c>
      <c r="N2184">
        <v>2</v>
      </c>
      <c r="O2184">
        <v>1</v>
      </c>
      <c r="P2184">
        <v>0</v>
      </c>
      <c r="Q2184">
        <v>0</v>
      </c>
      <c r="S2184" t="str">
        <f t="shared" si="217"/>
        <v>19:01:12.805</v>
      </c>
      <c r="T2184" t="str">
        <f t="shared" si="217"/>
        <v>19:01:12.805</v>
      </c>
      <c r="U2184" t="str">
        <f t="shared" si="216"/>
        <v>AAB6EE</v>
      </c>
      <c r="V2184">
        <v>0</v>
      </c>
      <c r="W2184">
        <v>0</v>
      </c>
      <c r="X2184">
        <v>4</v>
      </c>
      <c r="Z2184">
        <v>0</v>
      </c>
      <c r="AA2184">
        <v>8</v>
      </c>
      <c r="AB2184">
        <v>3</v>
      </c>
      <c r="AC2184">
        <v>0</v>
      </c>
      <c r="AD2184">
        <v>10</v>
      </c>
      <c r="AE2184">
        <v>0</v>
      </c>
      <c r="AF2184">
        <v>0</v>
      </c>
      <c r="AG2184">
        <v>2</v>
      </c>
      <c r="AH2184">
        <v>1</v>
      </c>
      <c r="AI2184" t="s">
        <v>1569</v>
      </c>
      <c r="AJ2184">
        <v>34.809815999999998</v>
      </c>
      <c r="AK2184" t="s">
        <v>1570</v>
      </c>
      <c r="AL2184">
        <v>-76.285651000000001</v>
      </c>
      <c r="AM2184">
        <v>25</v>
      </c>
      <c r="AN2184">
        <v>4575</v>
      </c>
      <c r="AO2184" t="s">
        <v>118</v>
      </c>
      <c r="AP2184">
        <v>-93</v>
      </c>
      <c r="AQ2184">
        <v>-58</v>
      </c>
      <c r="AR2184">
        <v>-5696</v>
      </c>
      <c r="AZ2184">
        <v>4516</v>
      </c>
      <c r="BA2184">
        <v>1</v>
      </c>
      <c r="BB2184" t="str">
        <f t="shared" si="215"/>
        <v xml:space="preserve">N79NX   </v>
      </c>
      <c r="BC2184">
        <v>1</v>
      </c>
      <c r="BE2184">
        <v>0</v>
      </c>
      <c r="BF2184">
        <v>0</v>
      </c>
      <c r="BG2184">
        <v>0</v>
      </c>
      <c r="BH2184">
        <v>4500</v>
      </c>
      <c r="BI2184">
        <v>0</v>
      </c>
      <c r="BJ2184">
        <v>0</v>
      </c>
      <c r="BK2184">
        <v>0</v>
      </c>
      <c r="BL2184">
        <v>0</v>
      </c>
      <c r="BO2184">
        <v>0</v>
      </c>
      <c r="BP2184">
        <v>0</v>
      </c>
      <c r="BW2184" t="str">
        <f>"19:01:12.806"</f>
        <v>19:01:12.806</v>
      </c>
      <c r="BZ2184">
        <v>0</v>
      </c>
      <c r="CA2184">
        <v>1888</v>
      </c>
      <c r="CB2184">
        <v>214.4</v>
      </c>
      <c r="CC2184">
        <v>625.78129999999999</v>
      </c>
      <c r="CD2184">
        <v>1</v>
      </c>
      <c r="CE2184">
        <v>0</v>
      </c>
      <c r="CF2184">
        <v>0</v>
      </c>
      <c r="CG2184">
        <v>1</v>
      </c>
      <c r="CH2184">
        <v>0</v>
      </c>
      <c r="CI2184">
        <v>0</v>
      </c>
      <c r="CJ2184">
        <v>0</v>
      </c>
      <c r="CK2184">
        <v>2</v>
      </c>
      <c r="CL2184">
        <v>0</v>
      </c>
      <c r="CM2184">
        <v>2</v>
      </c>
      <c r="CN2184">
        <v>0</v>
      </c>
      <c r="CO2184">
        <v>5</v>
      </c>
      <c r="CP2184" t="s">
        <v>119</v>
      </c>
      <c r="CQ2184">
        <v>70</v>
      </c>
      <c r="CR2184">
        <v>1</v>
      </c>
      <c r="CW2184">
        <v>3935620</v>
      </c>
      <c r="CY2184">
        <v>0</v>
      </c>
      <c r="CZ2184">
        <v>0</v>
      </c>
      <c r="DA2184">
        <v>1</v>
      </c>
      <c r="DB2184">
        <v>0</v>
      </c>
      <c r="DC2184">
        <v>0</v>
      </c>
      <c r="DD2184">
        <v>0</v>
      </c>
      <c r="DE2184">
        <v>0</v>
      </c>
      <c r="DF2184">
        <v>0</v>
      </c>
      <c r="DG2184">
        <v>0</v>
      </c>
      <c r="DH2184">
        <v>0</v>
      </c>
      <c r="DI2184">
        <v>0</v>
      </c>
    </row>
    <row r="2185" spans="1:113" x14ac:dyDescent="0.3">
      <c r="A2185" t="str">
        <f>"02/13/2022 19:01:13.038"</f>
        <v>02/13/2022 19:01:13.038</v>
      </c>
      <c r="C2185" t="str">
        <f t="shared" si="214"/>
        <v>FFDFD7C0</v>
      </c>
      <c r="D2185" t="s">
        <v>113</v>
      </c>
      <c r="E2185">
        <v>4</v>
      </c>
      <c r="F2185">
        <v>1004</v>
      </c>
      <c r="G2185" t="s">
        <v>120</v>
      </c>
      <c r="J2185" t="s">
        <v>115</v>
      </c>
      <c r="K2185">
        <v>0</v>
      </c>
      <c r="L2185">
        <v>3</v>
      </c>
      <c r="M2185">
        <v>0</v>
      </c>
      <c r="N2185">
        <v>2</v>
      </c>
      <c r="O2185">
        <v>1</v>
      </c>
      <c r="P2185">
        <v>0</v>
      </c>
      <c r="Q2185">
        <v>0</v>
      </c>
      <c r="S2185" t="str">
        <f t="shared" si="217"/>
        <v>19:01:12.805</v>
      </c>
      <c r="T2185" t="str">
        <f t="shared" si="217"/>
        <v>19:01:12.805</v>
      </c>
      <c r="U2185" t="str">
        <f t="shared" si="216"/>
        <v>AAB6EE</v>
      </c>
      <c r="V2185">
        <v>0</v>
      </c>
      <c r="W2185">
        <v>0</v>
      </c>
      <c r="X2185">
        <v>4</v>
      </c>
      <c r="Z2185">
        <v>0</v>
      </c>
      <c r="AA2185">
        <v>8</v>
      </c>
      <c r="AB2185">
        <v>3</v>
      </c>
      <c r="AC2185">
        <v>0</v>
      </c>
      <c r="AD2185">
        <v>10</v>
      </c>
      <c r="AE2185">
        <v>0</v>
      </c>
      <c r="AF2185">
        <v>0</v>
      </c>
      <c r="AG2185">
        <v>2</v>
      </c>
      <c r="AH2185">
        <v>1</v>
      </c>
      <c r="AI2185" t="s">
        <v>1569</v>
      </c>
      <c r="AJ2185">
        <v>34.809815999999998</v>
      </c>
      <c r="AK2185" t="s">
        <v>1570</v>
      </c>
      <c r="AL2185">
        <v>-76.285651000000001</v>
      </c>
      <c r="AM2185">
        <v>25</v>
      </c>
      <c r="AN2185">
        <v>4575</v>
      </c>
      <c r="AO2185" t="s">
        <v>118</v>
      </c>
      <c r="AP2185">
        <v>-93</v>
      </c>
      <c r="AQ2185">
        <v>-58</v>
      </c>
      <c r="AR2185">
        <v>-5696</v>
      </c>
      <c r="AZ2185">
        <v>4516</v>
      </c>
      <c r="BA2185">
        <v>1</v>
      </c>
      <c r="BB2185" t="str">
        <f t="shared" si="215"/>
        <v xml:space="preserve">N79NX   </v>
      </c>
      <c r="BC2185">
        <v>1</v>
      </c>
      <c r="BE2185">
        <v>0</v>
      </c>
      <c r="BF2185">
        <v>0</v>
      </c>
      <c r="BG2185">
        <v>0</v>
      </c>
      <c r="BH2185">
        <v>4500</v>
      </c>
      <c r="BI2185">
        <v>0</v>
      </c>
      <c r="BJ2185">
        <v>0</v>
      </c>
      <c r="BK2185">
        <v>0</v>
      </c>
      <c r="BL2185">
        <v>0</v>
      </c>
      <c r="BO2185">
        <v>0</v>
      </c>
      <c r="BP2185">
        <v>0</v>
      </c>
      <c r="BW2185" t="str">
        <f>"19:01:12.806"</f>
        <v>19:01:12.806</v>
      </c>
      <c r="BZ2185">
        <v>0</v>
      </c>
      <c r="CA2185">
        <v>1888</v>
      </c>
      <c r="CB2185">
        <v>214.4</v>
      </c>
      <c r="CC2185">
        <v>625.78129999999999</v>
      </c>
      <c r="CD2185">
        <v>1</v>
      </c>
      <c r="CE2185">
        <v>0</v>
      </c>
      <c r="CF2185">
        <v>0</v>
      </c>
      <c r="CG2185">
        <v>1</v>
      </c>
      <c r="CH2185">
        <v>0</v>
      </c>
      <c r="CI2185">
        <v>0</v>
      </c>
      <c r="CJ2185">
        <v>0</v>
      </c>
      <c r="CK2185">
        <v>2</v>
      </c>
      <c r="CL2185">
        <v>0</v>
      </c>
      <c r="CM2185">
        <v>2</v>
      </c>
      <c r="CN2185">
        <v>0</v>
      </c>
      <c r="CO2185">
        <v>5</v>
      </c>
      <c r="CP2185" t="s">
        <v>119</v>
      </c>
      <c r="CQ2185">
        <v>70</v>
      </c>
      <c r="CR2185">
        <v>1</v>
      </c>
      <c r="CW2185">
        <v>3935620</v>
      </c>
      <c r="CY2185">
        <v>0</v>
      </c>
      <c r="CZ2185">
        <v>0</v>
      </c>
      <c r="DA2185">
        <v>1</v>
      </c>
      <c r="DB2185">
        <v>0</v>
      </c>
      <c r="DC2185">
        <v>0</v>
      </c>
      <c r="DD2185">
        <v>0</v>
      </c>
      <c r="DE2185">
        <v>0</v>
      </c>
      <c r="DF2185">
        <v>0</v>
      </c>
      <c r="DG2185">
        <v>0</v>
      </c>
      <c r="DH2185">
        <v>0</v>
      </c>
      <c r="DI2185">
        <v>0</v>
      </c>
    </row>
    <row r="2186" spans="1:113" x14ac:dyDescent="0.3">
      <c r="A2186" t="str">
        <f>"02/13/2022 19:01:14.272"</f>
        <v>02/13/2022 19:01:14.272</v>
      </c>
      <c r="C2186" t="str">
        <f t="shared" si="214"/>
        <v>FFDFD7C0</v>
      </c>
      <c r="D2186" t="s">
        <v>121</v>
      </c>
      <c r="E2186">
        <v>2</v>
      </c>
      <c r="H2186">
        <v>158</v>
      </c>
      <c r="I2186" t="s">
        <v>120</v>
      </c>
      <c r="J2186" t="s">
        <v>122</v>
      </c>
      <c r="K2186">
        <v>0</v>
      </c>
      <c r="L2186">
        <v>3</v>
      </c>
      <c r="M2186">
        <v>0</v>
      </c>
      <c r="N2186">
        <v>2</v>
      </c>
      <c r="O2186">
        <v>1</v>
      </c>
      <c r="P2186">
        <v>0</v>
      </c>
      <c r="Q2186">
        <v>0</v>
      </c>
      <c r="S2186" t="str">
        <f>"19:01:13.961"</f>
        <v>19:01:13.961</v>
      </c>
      <c r="T2186" t="str">
        <f>"19:01:13.861"</f>
        <v>19:01:13.861</v>
      </c>
      <c r="U2186" t="str">
        <f t="shared" si="216"/>
        <v>AAB6EE</v>
      </c>
      <c r="V2186">
        <v>0</v>
      </c>
      <c r="W2186">
        <v>0</v>
      </c>
      <c r="X2186">
        <v>4</v>
      </c>
      <c r="Z2186">
        <v>0</v>
      </c>
      <c r="AA2186">
        <v>8</v>
      </c>
      <c r="AB2186">
        <v>3</v>
      </c>
      <c r="AC2186">
        <v>0</v>
      </c>
      <c r="AD2186">
        <v>10</v>
      </c>
      <c r="AE2186">
        <v>0</v>
      </c>
      <c r="AF2186">
        <v>0</v>
      </c>
      <c r="AG2186">
        <v>2</v>
      </c>
      <c r="AH2186">
        <v>1</v>
      </c>
      <c r="AI2186" t="s">
        <v>1571</v>
      </c>
      <c r="AJ2186">
        <v>34.809579999999997</v>
      </c>
      <c r="AK2186" t="s">
        <v>1572</v>
      </c>
      <c r="AL2186">
        <v>-76.286315999999999</v>
      </c>
      <c r="AM2186">
        <v>25</v>
      </c>
      <c r="AN2186">
        <v>4450</v>
      </c>
      <c r="AO2186" t="s">
        <v>118</v>
      </c>
      <c r="AP2186">
        <v>-108</v>
      </c>
      <c r="AQ2186">
        <v>-34</v>
      </c>
      <c r="AR2186">
        <v>-6976</v>
      </c>
      <c r="AZ2186">
        <v>4516</v>
      </c>
      <c r="BA2186">
        <v>1</v>
      </c>
      <c r="BB2186" t="str">
        <f t="shared" si="215"/>
        <v xml:space="preserve">N79NX   </v>
      </c>
      <c r="BC2186">
        <v>1</v>
      </c>
      <c r="BE2186">
        <v>0</v>
      </c>
      <c r="BF2186">
        <v>0</v>
      </c>
      <c r="BG2186">
        <v>0</v>
      </c>
      <c r="BH2186">
        <v>4350</v>
      </c>
      <c r="BI2186">
        <v>0</v>
      </c>
      <c r="BJ2186">
        <v>0</v>
      </c>
      <c r="BK2186">
        <v>0</v>
      </c>
      <c r="BL2186">
        <v>0</v>
      </c>
      <c r="BO2186">
        <v>0</v>
      </c>
      <c r="BP2186">
        <v>0</v>
      </c>
      <c r="BW2186" t="str">
        <f>"19:01:13.966"</f>
        <v>19:01:13.966</v>
      </c>
      <c r="BZ2186">
        <v>0</v>
      </c>
      <c r="CA2186">
        <v>1888</v>
      </c>
      <c r="CB2186">
        <v>214.4</v>
      </c>
      <c r="CC2186">
        <v>625.78129999999999</v>
      </c>
      <c r="CD2186">
        <v>1</v>
      </c>
      <c r="CE2186">
        <v>0</v>
      </c>
      <c r="CF2186">
        <v>0</v>
      </c>
      <c r="CG2186">
        <v>1</v>
      </c>
      <c r="CH2186">
        <v>0</v>
      </c>
      <c r="CI2186">
        <v>0</v>
      </c>
      <c r="CJ2186">
        <v>0</v>
      </c>
      <c r="CK2186">
        <v>2</v>
      </c>
      <c r="CL2186">
        <v>0</v>
      </c>
      <c r="CM2186">
        <v>2</v>
      </c>
      <c r="CN2186">
        <v>0</v>
      </c>
      <c r="CO2186">
        <v>5</v>
      </c>
      <c r="CP2186" t="s">
        <v>119</v>
      </c>
      <c r="CQ2186">
        <v>70</v>
      </c>
      <c r="CR2186">
        <v>1</v>
      </c>
      <c r="CW2186">
        <v>3936575</v>
      </c>
      <c r="CY2186">
        <v>0</v>
      </c>
      <c r="CZ2186">
        <v>0</v>
      </c>
      <c r="DA2186">
        <v>0</v>
      </c>
      <c r="DB2186">
        <v>0</v>
      </c>
      <c r="DC2186">
        <v>0</v>
      </c>
      <c r="DD2186">
        <v>0</v>
      </c>
      <c r="DE2186">
        <v>0</v>
      </c>
      <c r="DF2186">
        <v>0</v>
      </c>
      <c r="DG2186">
        <v>0</v>
      </c>
      <c r="DH2186">
        <v>0</v>
      </c>
      <c r="DI2186">
        <v>0</v>
      </c>
    </row>
    <row r="2187" spans="1:113" x14ac:dyDescent="0.3">
      <c r="A2187" t="str">
        <f>"02/13/2022 19:01:14.272"</f>
        <v>02/13/2022 19:01:14.272</v>
      </c>
      <c r="C2187" t="str">
        <f t="shared" si="214"/>
        <v>FFDFD7C0</v>
      </c>
      <c r="D2187" t="s">
        <v>113</v>
      </c>
      <c r="E2187">
        <v>3</v>
      </c>
      <c r="F2187">
        <v>1003</v>
      </c>
      <c r="G2187" t="s">
        <v>114</v>
      </c>
      <c r="J2187" t="s">
        <v>115</v>
      </c>
      <c r="K2187">
        <v>0</v>
      </c>
      <c r="L2187">
        <v>3</v>
      </c>
      <c r="M2187">
        <v>0</v>
      </c>
      <c r="N2187">
        <v>2</v>
      </c>
      <c r="O2187">
        <v>1</v>
      </c>
      <c r="P2187">
        <v>0</v>
      </c>
      <c r="Q2187">
        <v>0</v>
      </c>
      <c r="S2187" t="str">
        <f>"19:01:13.961"</f>
        <v>19:01:13.961</v>
      </c>
      <c r="T2187" t="str">
        <f>"19:01:13.861"</f>
        <v>19:01:13.861</v>
      </c>
      <c r="U2187" t="str">
        <f t="shared" si="216"/>
        <v>AAB6EE</v>
      </c>
      <c r="V2187">
        <v>0</v>
      </c>
      <c r="W2187">
        <v>0</v>
      </c>
      <c r="X2187">
        <v>4</v>
      </c>
      <c r="Z2187">
        <v>0</v>
      </c>
      <c r="AA2187">
        <v>8</v>
      </c>
      <c r="AB2187">
        <v>3</v>
      </c>
      <c r="AC2187">
        <v>0</v>
      </c>
      <c r="AD2187">
        <v>10</v>
      </c>
      <c r="AE2187">
        <v>0</v>
      </c>
      <c r="AF2187">
        <v>0</v>
      </c>
      <c r="AG2187">
        <v>2</v>
      </c>
      <c r="AH2187">
        <v>1</v>
      </c>
      <c r="AI2187" t="s">
        <v>1571</v>
      </c>
      <c r="AJ2187">
        <v>34.809579999999997</v>
      </c>
      <c r="AK2187" t="s">
        <v>1572</v>
      </c>
      <c r="AL2187">
        <v>-76.286315999999999</v>
      </c>
      <c r="AM2187">
        <v>25</v>
      </c>
      <c r="AN2187">
        <v>4450</v>
      </c>
      <c r="AO2187" t="s">
        <v>118</v>
      </c>
      <c r="AP2187">
        <v>-108</v>
      </c>
      <c r="AQ2187">
        <v>-34</v>
      </c>
      <c r="AR2187">
        <v>-6976</v>
      </c>
      <c r="AZ2187">
        <v>4516</v>
      </c>
      <c r="BA2187">
        <v>1</v>
      </c>
      <c r="BB2187" t="str">
        <f t="shared" si="215"/>
        <v xml:space="preserve">N79NX   </v>
      </c>
      <c r="BC2187">
        <v>1</v>
      </c>
      <c r="BE2187">
        <v>0</v>
      </c>
      <c r="BF2187">
        <v>0</v>
      </c>
      <c r="BG2187">
        <v>0</v>
      </c>
      <c r="BH2187">
        <v>4350</v>
      </c>
      <c r="BI2187">
        <v>0</v>
      </c>
      <c r="BJ2187">
        <v>0</v>
      </c>
      <c r="BK2187">
        <v>0</v>
      </c>
      <c r="BL2187">
        <v>0</v>
      </c>
      <c r="BO2187">
        <v>0</v>
      </c>
      <c r="BP2187">
        <v>0</v>
      </c>
      <c r="BW2187" t="str">
        <f>"19:01:13.966"</f>
        <v>19:01:13.966</v>
      </c>
      <c r="BZ2187">
        <v>0</v>
      </c>
      <c r="CA2187">
        <v>1888</v>
      </c>
      <c r="CB2187">
        <v>214.4</v>
      </c>
      <c r="CC2187">
        <v>625.78129999999999</v>
      </c>
      <c r="CD2187">
        <v>1</v>
      </c>
      <c r="CE2187">
        <v>0</v>
      </c>
      <c r="CF2187">
        <v>0</v>
      </c>
      <c r="CG2187">
        <v>1</v>
      </c>
      <c r="CH2187">
        <v>0</v>
      </c>
      <c r="CI2187">
        <v>0</v>
      </c>
      <c r="CJ2187">
        <v>0</v>
      </c>
      <c r="CK2187">
        <v>2</v>
      </c>
      <c r="CL2187">
        <v>0</v>
      </c>
      <c r="CM2187">
        <v>2</v>
      </c>
      <c r="CN2187">
        <v>0</v>
      </c>
      <c r="CO2187">
        <v>5</v>
      </c>
      <c r="CP2187" t="s">
        <v>119</v>
      </c>
      <c r="CQ2187">
        <v>70</v>
      </c>
      <c r="CR2187">
        <v>1</v>
      </c>
      <c r="CW2187">
        <v>3936575</v>
      </c>
      <c r="CY2187">
        <v>0</v>
      </c>
      <c r="CZ2187">
        <v>0</v>
      </c>
      <c r="DA2187">
        <v>1</v>
      </c>
      <c r="DB2187">
        <v>0</v>
      </c>
      <c r="DC2187">
        <v>0</v>
      </c>
      <c r="DD2187">
        <v>0</v>
      </c>
      <c r="DE2187">
        <v>0</v>
      </c>
      <c r="DF2187">
        <v>0</v>
      </c>
      <c r="DG2187">
        <v>0</v>
      </c>
      <c r="DH2187">
        <v>0</v>
      </c>
      <c r="DI2187">
        <v>0</v>
      </c>
    </row>
    <row r="2188" spans="1:113" x14ac:dyDescent="0.3">
      <c r="A2188" t="str">
        <f>"02/13/2022 19:01:14.272"</f>
        <v>02/13/2022 19:01:14.272</v>
      </c>
      <c r="C2188" t="str">
        <f t="shared" si="214"/>
        <v>FFDFD7C0</v>
      </c>
      <c r="D2188" t="s">
        <v>113</v>
      </c>
      <c r="E2188">
        <v>4</v>
      </c>
      <c r="F2188">
        <v>1004</v>
      </c>
      <c r="G2188" t="s">
        <v>120</v>
      </c>
      <c r="J2188" t="s">
        <v>115</v>
      </c>
      <c r="K2188">
        <v>0</v>
      </c>
      <c r="L2188">
        <v>3</v>
      </c>
      <c r="M2188">
        <v>0</v>
      </c>
      <c r="N2188">
        <v>2</v>
      </c>
      <c r="O2188">
        <v>1</v>
      </c>
      <c r="P2188">
        <v>0</v>
      </c>
      <c r="Q2188">
        <v>0</v>
      </c>
      <c r="S2188" t="str">
        <f>"19:01:13.961"</f>
        <v>19:01:13.961</v>
      </c>
      <c r="T2188" t="str">
        <f>"19:01:13.861"</f>
        <v>19:01:13.861</v>
      </c>
      <c r="U2188" t="str">
        <f t="shared" si="216"/>
        <v>AAB6EE</v>
      </c>
      <c r="V2188">
        <v>0</v>
      </c>
      <c r="W2188">
        <v>0</v>
      </c>
      <c r="X2188">
        <v>4</v>
      </c>
      <c r="Z2188">
        <v>0</v>
      </c>
      <c r="AA2188">
        <v>8</v>
      </c>
      <c r="AB2188">
        <v>3</v>
      </c>
      <c r="AC2188">
        <v>0</v>
      </c>
      <c r="AD2188">
        <v>10</v>
      </c>
      <c r="AE2188">
        <v>0</v>
      </c>
      <c r="AF2188">
        <v>0</v>
      </c>
      <c r="AG2188">
        <v>2</v>
      </c>
      <c r="AH2188">
        <v>1</v>
      </c>
      <c r="AI2188" t="s">
        <v>1571</v>
      </c>
      <c r="AJ2188">
        <v>34.809579999999997</v>
      </c>
      <c r="AK2188" t="s">
        <v>1572</v>
      </c>
      <c r="AL2188">
        <v>-76.286315999999999</v>
      </c>
      <c r="AM2188">
        <v>25</v>
      </c>
      <c r="AN2188">
        <v>4450</v>
      </c>
      <c r="AO2188" t="s">
        <v>118</v>
      </c>
      <c r="AP2188">
        <v>-108</v>
      </c>
      <c r="AQ2188">
        <v>-34</v>
      </c>
      <c r="AR2188">
        <v>-6976</v>
      </c>
      <c r="AZ2188">
        <v>4516</v>
      </c>
      <c r="BA2188">
        <v>1</v>
      </c>
      <c r="BB2188" t="str">
        <f t="shared" si="215"/>
        <v xml:space="preserve">N79NX   </v>
      </c>
      <c r="BC2188">
        <v>1</v>
      </c>
      <c r="BE2188">
        <v>0</v>
      </c>
      <c r="BF2188">
        <v>0</v>
      </c>
      <c r="BG2188">
        <v>0</v>
      </c>
      <c r="BH2188">
        <v>4350</v>
      </c>
      <c r="BI2188">
        <v>0</v>
      </c>
      <c r="BJ2188">
        <v>0</v>
      </c>
      <c r="BK2188">
        <v>0</v>
      </c>
      <c r="BL2188">
        <v>0</v>
      </c>
      <c r="BO2188">
        <v>0</v>
      </c>
      <c r="BP2188">
        <v>0</v>
      </c>
      <c r="BW2188" t="str">
        <f>"19:01:13.966"</f>
        <v>19:01:13.966</v>
      </c>
      <c r="BZ2188">
        <v>0</v>
      </c>
      <c r="CA2188">
        <v>1888</v>
      </c>
      <c r="CB2188">
        <v>214.4</v>
      </c>
      <c r="CC2188">
        <v>625.78129999999999</v>
      </c>
      <c r="CD2188">
        <v>1</v>
      </c>
      <c r="CE2188">
        <v>0</v>
      </c>
      <c r="CF2188">
        <v>0</v>
      </c>
      <c r="CG2188">
        <v>1</v>
      </c>
      <c r="CH2188">
        <v>0</v>
      </c>
      <c r="CI2188">
        <v>0</v>
      </c>
      <c r="CJ2188">
        <v>0</v>
      </c>
      <c r="CK2188">
        <v>2</v>
      </c>
      <c r="CL2188">
        <v>0</v>
      </c>
      <c r="CM2188">
        <v>2</v>
      </c>
      <c r="CN2188">
        <v>0</v>
      </c>
      <c r="CO2188">
        <v>5</v>
      </c>
      <c r="CP2188" t="s">
        <v>119</v>
      </c>
      <c r="CQ2188">
        <v>70</v>
      </c>
      <c r="CR2188">
        <v>1</v>
      </c>
      <c r="CW2188">
        <v>3936575</v>
      </c>
      <c r="CY2188">
        <v>0</v>
      </c>
      <c r="CZ2188">
        <v>0</v>
      </c>
      <c r="DA2188">
        <v>1</v>
      </c>
      <c r="DB2188">
        <v>0</v>
      </c>
      <c r="DC2188">
        <v>0</v>
      </c>
      <c r="DD2188">
        <v>0</v>
      </c>
      <c r="DE2188">
        <v>0</v>
      </c>
      <c r="DF2188">
        <v>0</v>
      </c>
      <c r="DG2188">
        <v>0</v>
      </c>
      <c r="DH2188">
        <v>0</v>
      </c>
      <c r="DI2188">
        <v>0</v>
      </c>
    </row>
    <row r="2189" spans="1:113" x14ac:dyDescent="0.3">
      <c r="A2189" t="str">
        <f>"02/13/2022 19:01:15.275"</f>
        <v>02/13/2022 19:01:15.275</v>
      </c>
      <c r="C2189" t="str">
        <f t="shared" si="214"/>
        <v>FFDFD7C0</v>
      </c>
      <c r="D2189" t="s">
        <v>113</v>
      </c>
      <c r="E2189">
        <v>3</v>
      </c>
      <c r="F2189">
        <v>1003</v>
      </c>
      <c r="G2189" t="s">
        <v>114</v>
      </c>
      <c r="J2189" t="s">
        <v>115</v>
      </c>
      <c r="K2189">
        <v>0</v>
      </c>
      <c r="L2189">
        <v>3</v>
      </c>
      <c r="M2189">
        <v>0</v>
      </c>
      <c r="N2189">
        <v>2</v>
      </c>
      <c r="O2189">
        <v>1</v>
      </c>
      <c r="P2189">
        <v>0</v>
      </c>
      <c r="Q2189">
        <v>0</v>
      </c>
      <c r="S2189" t="str">
        <f t="shared" ref="S2189:T2191" si="218">"19:01:15.039"</f>
        <v>19:01:15.039</v>
      </c>
      <c r="T2189" t="str">
        <f t="shared" si="218"/>
        <v>19:01:15.039</v>
      </c>
      <c r="U2189" t="str">
        <f t="shared" si="216"/>
        <v>AAB6EE</v>
      </c>
      <c r="V2189">
        <v>0</v>
      </c>
      <c r="W2189">
        <v>0</v>
      </c>
      <c r="X2189">
        <v>4</v>
      </c>
      <c r="Z2189">
        <v>0</v>
      </c>
      <c r="AA2189">
        <v>8</v>
      </c>
      <c r="AB2189">
        <v>3</v>
      </c>
      <c r="AC2189">
        <v>0</v>
      </c>
      <c r="AD2189">
        <v>10</v>
      </c>
      <c r="AE2189">
        <v>0</v>
      </c>
      <c r="AF2189">
        <v>0</v>
      </c>
      <c r="AG2189">
        <v>2</v>
      </c>
      <c r="AH2189">
        <v>1</v>
      </c>
      <c r="AI2189" t="s">
        <v>1573</v>
      </c>
      <c r="AJ2189">
        <v>34.809472999999997</v>
      </c>
      <c r="AK2189" t="s">
        <v>1574</v>
      </c>
      <c r="AL2189">
        <v>-76.287066999999993</v>
      </c>
      <c r="AM2189">
        <v>25</v>
      </c>
      <c r="AN2189">
        <v>4300</v>
      </c>
      <c r="AO2189" t="s">
        <v>118</v>
      </c>
      <c r="AP2189">
        <v>-118</v>
      </c>
      <c r="AQ2189">
        <v>-15</v>
      </c>
      <c r="AR2189">
        <v>-8256</v>
      </c>
      <c r="AZ2189">
        <v>4516</v>
      </c>
      <c r="BA2189">
        <v>1</v>
      </c>
      <c r="BB2189" t="str">
        <f t="shared" si="215"/>
        <v xml:space="preserve">N79NX   </v>
      </c>
      <c r="BC2189">
        <v>1</v>
      </c>
      <c r="BE2189">
        <v>0</v>
      </c>
      <c r="BF2189">
        <v>0</v>
      </c>
      <c r="BG2189">
        <v>0</v>
      </c>
      <c r="BH2189">
        <v>4300</v>
      </c>
      <c r="BI2189">
        <v>0</v>
      </c>
      <c r="BJ2189">
        <v>0</v>
      </c>
      <c r="BK2189">
        <v>0</v>
      </c>
      <c r="BL2189">
        <v>0</v>
      </c>
      <c r="BO2189">
        <v>0</v>
      </c>
      <c r="BP2189">
        <v>0</v>
      </c>
      <c r="BW2189" t="str">
        <f>"19:01:15.046"</f>
        <v>19:01:15.046</v>
      </c>
      <c r="BZ2189">
        <v>0</v>
      </c>
      <c r="CA2189">
        <v>1888</v>
      </c>
      <c r="CB2189">
        <v>214.4</v>
      </c>
      <c r="CC2189">
        <v>625.78129999999999</v>
      </c>
      <c r="CD2189">
        <v>1</v>
      </c>
      <c r="CE2189">
        <v>0</v>
      </c>
      <c r="CF2189">
        <v>0</v>
      </c>
      <c r="CG2189">
        <v>1</v>
      </c>
      <c r="CH2189">
        <v>0</v>
      </c>
      <c r="CI2189">
        <v>0</v>
      </c>
      <c r="CJ2189">
        <v>0</v>
      </c>
      <c r="CK2189">
        <v>2</v>
      </c>
      <c r="CL2189">
        <v>0</v>
      </c>
      <c r="CM2189">
        <v>2</v>
      </c>
      <c r="CN2189">
        <v>0</v>
      </c>
      <c r="CO2189">
        <v>6</v>
      </c>
      <c r="CP2189" t="s">
        <v>119</v>
      </c>
      <c r="CQ2189">
        <v>70</v>
      </c>
      <c r="CR2189">
        <v>1</v>
      </c>
      <c r="CW2189">
        <v>3937535</v>
      </c>
      <c r="CY2189">
        <v>0</v>
      </c>
      <c r="CZ2189">
        <v>0</v>
      </c>
      <c r="DA2189">
        <v>0</v>
      </c>
      <c r="DB2189">
        <v>0</v>
      </c>
      <c r="DC2189">
        <v>0</v>
      </c>
      <c r="DD2189">
        <v>0</v>
      </c>
      <c r="DE2189">
        <v>0</v>
      </c>
      <c r="DF2189">
        <v>0</v>
      </c>
      <c r="DG2189">
        <v>0</v>
      </c>
      <c r="DH2189">
        <v>0</v>
      </c>
      <c r="DI2189">
        <v>0</v>
      </c>
    </row>
    <row r="2190" spans="1:113" x14ac:dyDescent="0.3">
      <c r="A2190" t="str">
        <f>"02/13/2022 19:01:15.290"</f>
        <v>02/13/2022 19:01:15.290</v>
      </c>
      <c r="C2190" t="str">
        <f t="shared" si="214"/>
        <v>FFDFD7C0</v>
      </c>
      <c r="D2190" t="s">
        <v>113</v>
      </c>
      <c r="E2190">
        <v>4</v>
      </c>
      <c r="F2190">
        <v>1004</v>
      </c>
      <c r="G2190" t="s">
        <v>120</v>
      </c>
      <c r="J2190" t="s">
        <v>115</v>
      </c>
      <c r="K2190">
        <v>0</v>
      </c>
      <c r="L2190">
        <v>3</v>
      </c>
      <c r="M2190">
        <v>0</v>
      </c>
      <c r="N2190">
        <v>2</v>
      </c>
      <c r="O2190">
        <v>1</v>
      </c>
      <c r="P2190">
        <v>0</v>
      </c>
      <c r="Q2190">
        <v>0</v>
      </c>
      <c r="S2190" t="str">
        <f t="shared" si="218"/>
        <v>19:01:15.039</v>
      </c>
      <c r="T2190" t="str">
        <f t="shared" si="218"/>
        <v>19:01:15.039</v>
      </c>
      <c r="U2190" t="str">
        <f t="shared" si="216"/>
        <v>AAB6EE</v>
      </c>
      <c r="V2190">
        <v>0</v>
      </c>
      <c r="W2190">
        <v>0</v>
      </c>
      <c r="X2190">
        <v>4</v>
      </c>
      <c r="Z2190">
        <v>0</v>
      </c>
      <c r="AA2190">
        <v>8</v>
      </c>
      <c r="AB2190">
        <v>3</v>
      </c>
      <c r="AC2190">
        <v>0</v>
      </c>
      <c r="AD2190">
        <v>10</v>
      </c>
      <c r="AE2190">
        <v>0</v>
      </c>
      <c r="AF2190">
        <v>0</v>
      </c>
      <c r="AG2190">
        <v>2</v>
      </c>
      <c r="AH2190">
        <v>1</v>
      </c>
      <c r="AI2190" t="s">
        <v>1573</v>
      </c>
      <c r="AJ2190">
        <v>34.809472999999997</v>
      </c>
      <c r="AK2190" t="s">
        <v>1574</v>
      </c>
      <c r="AL2190">
        <v>-76.287066999999993</v>
      </c>
      <c r="AM2190">
        <v>25</v>
      </c>
      <c r="AN2190">
        <v>4300</v>
      </c>
      <c r="AO2190" t="s">
        <v>118</v>
      </c>
      <c r="AP2190">
        <v>-118</v>
      </c>
      <c r="AQ2190">
        <v>-15</v>
      </c>
      <c r="AR2190">
        <v>-8256</v>
      </c>
      <c r="AZ2190">
        <v>4516</v>
      </c>
      <c r="BA2190">
        <v>1</v>
      </c>
      <c r="BB2190" t="str">
        <f t="shared" si="215"/>
        <v xml:space="preserve">N79NX   </v>
      </c>
      <c r="BC2190">
        <v>1</v>
      </c>
      <c r="BE2190">
        <v>0</v>
      </c>
      <c r="BF2190">
        <v>0</v>
      </c>
      <c r="BG2190">
        <v>0</v>
      </c>
      <c r="BH2190">
        <v>4300</v>
      </c>
      <c r="BI2190">
        <v>0</v>
      </c>
      <c r="BJ2190">
        <v>0</v>
      </c>
      <c r="BK2190">
        <v>0</v>
      </c>
      <c r="BL2190">
        <v>0</v>
      </c>
      <c r="BO2190">
        <v>0</v>
      </c>
      <c r="BP2190">
        <v>0</v>
      </c>
      <c r="BW2190" t="str">
        <f>"19:01:15.046"</f>
        <v>19:01:15.046</v>
      </c>
      <c r="BZ2190">
        <v>0</v>
      </c>
      <c r="CA2190">
        <v>1888</v>
      </c>
      <c r="CB2190">
        <v>214.4</v>
      </c>
      <c r="CC2190">
        <v>625.78129999999999</v>
      </c>
      <c r="CD2190">
        <v>1</v>
      </c>
      <c r="CE2190">
        <v>0</v>
      </c>
      <c r="CF2190">
        <v>0</v>
      </c>
      <c r="CG2190">
        <v>1</v>
      </c>
      <c r="CH2190">
        <v>0</v>
      </c>
      <c r="CI2190">
        <v>0</v>
      </c>
      <c r="CJ2190">
        <v>0</v>
      </c>
      <c r="CK2190">
        <v>2</v>
      </c>
      <c r="CL2190">
        <v>0</v>
      </c>
      <c r="CM2190">
        <v>2</v>
      </c>
      <c r="CN2190">
        <v>0</v>
      </c>
      <c r="CO2190">
        <v>6</v>
      </c>
      <c r="CP2190" t="s">
        <v>119</v>
      </c>
      <c r="CQ2190">
        <v>70</v>
      </c>
      <c r="CR2190">
        <v>1</v>
      </c>
      <c r="CW2190">
        <v>3937535</v>
      </c>
      <c r="CY2190">
        <v>0</v>
      </c>
      <c r="CZ2190">
        <v>0</v>
      </c>
      <c r="DA2190">
        <v>1</v>
      </c>
      <c r="DB2190">
        <v>0</v>
      </c>
      <c r="DC2190">
        <v>0</v>
      </c>
      <c r="DD2190">
        <v>0</v>
      </c>
      <c r="DE2190">
        <v>0</v>
      </c>
      <c r="DF2190">
        <v>0</v>
      </c>
      <c r="DG2190">
        <v>0</v>
      </c>
      <c r="DH2190">
        <v>0</v>
      </c>
      <c r="DI2190">
        <v>0</v>
      </c>
    </row>
    <row r="2191" spans="1:113" x14ac:dyDescent="0.3">
      <c r="A2191" t="str">
        <f>"02/13/2022 19:01:15.400"</f>
        <v>02/13/2022 19:01:15.400</v>
      </c>
      <c r="C2191" t="str">
        <f t="shared" si="214"/>
        <v>FFDFD7C0</v>
      </c>
      <c r="D2191" t="s">
        <v>121</v>
      </c>
      <c r="E2191">
        <v>2</v>
      </c>
      <c r="H2191">
        <v>158</v>
      </c>
      <c r="I2191" t="s">
        <v>120</v>
      </c>
      <c r="J2191" t="s">
        <v>122</v>
      </c>
      <c r="K2191">
        <v>0</v>
      </c>
      <c r="L2191">
        <v>3</v>
      </c>
      <c r="M2191">
        <v>0</v>
      </c>
      <c r="N2191">
        <v>2</v>
      </c>
      <c r="O2191">
        <v>1</v>
      </c>
      <c r="P2191">
        <v>0</v>
      </c>
      <c r="Q2191">
        <v>0</v>
      </c>
      <c r="S2191" t="str">
        <f t="shared" si="218"/>
        <v>19:01:15.039</v>
      </c>
      <c r="T2191" t="str">
        <f t="shared" si="218"/>
        <v>19:01:15.039</v>
      </c>
      <c r="U2191" t="str">
        <f t="shared" si="216"/>
        <v>AAB6EE</v>
      </c>
      <c r="V2191">
        <v>0</v>
      </c>
      <c r="W2191">
        <v>0</v>
      </c>
      <c r="X2191">
        <v>4</v>
      </c>
      <c r="Z2191">
        <v>0</v>
      </c>
      <c r="AA2191">
        <v>8</v>
      </c>
      <c r="AB2191">
        <v>3</v>
      </c>
      <c r="AC2191">
        <v>0</v>
      </c>
      <c r="AD2191">
        <v>10</v>
      </c>
      <c r="AE2191">
        <v>0</v>
      </c>
      <c r="AF2191">
        <v>0</v>
      </c>
      <c r="AG2191">
        <v>2</v>
      </c>
      <c r="AH2191">
        <v>1</v>
      </c>
      <c r="AI2191" t="s">
        <v>1573</v>
      </c>
      <c r="AJ2191">
        <v>34.809472999999997</v>
      </c>
      <c r="AK2191" t="s">
        <v>1574</v>
      </c>
      <c r="AL2191">
        <v>-76.287066999999993</v>
      </c>
      <c r="AM2191">
        <v>25</v>
      </c>
      <c r="AN2191">
        <v>4300</v>
      </c>
      <c r="AO2191" t="s">
        <v>118</v>
      </c>
      <c r="AP2191">
        <v>-118</v>
      </c>
      <c r="AQ2191">
        <v>-15</v>
      </c>
      <c r="AR2191">
        <v>-8256</v>
      </c>
      <c r="AZ2191">
        <v>4516</v>
      </c>
      <c r="BA2191">
        <v>1</v>
      </c>
      <c r="BB2191" t="str">
        <f t="shared" si="215"/>
        <v xml:space="preserve">N79NX   </v>
      </c>
      <c r="BC2191">
        <v>1</v>
      </c>
      <c r="BE2191">
        <v>0</v>
      </c>
      <c r="BF2191">
        <v>0</v>
      </c>
      <c r="BG2191">
        <v>0</v>
      </c>
      <c r="BH2191">
        <v>4300</v>
      </c>
      <c r="BI2191">
        <v>0</v>
      </c>
      <c r="BJ2191">
        <v>0</v>
      </c>
      <c r="BK2191">
        <v>0</v>
      </c>
      <c r="BL2191">
        <v>0</v>
      </c>
      <c r="BO2191">
        <v>0</v>
      </c>
      <c r="BP2191">
        <v>0</v>
      </c>
      <c r="BW2191" t="str">
        <f>"19:01:15.046"</f>
        <v>19:01:15.046</v>
      </c>
      <c r="BZ2191">
        <v>0</v>
      </c>
      <c r="CA2191">
        <v>1888</v>
      </c>
      <c r="CB2191">
        <v>214.4</v>
      </c>
      <c r="CC2191">
        <v>625.78129999999999</v>
      </c>
      <c r="CD2191">
        <v>1</v>
      </c>
      <c r="CE2191">
        <v>0</v>
      </c>
      <c r="CF2191">
        <v>0</v>
      </c>
      <c r="CG2191">
        <v>1</v>
      </c>
      <c r="CH2191">
        <v>0</v>
      </c>
      <c r="CI2191">
        <v>0</v>
      </c>
      <c r="CJ2191">
        <v>0</v>
      </c>
      <c r="CK2191">
        <v>2</v>
      </c>
      <c r="CL2191">
        <v>0</v>
      </c>
      <c r="CM2191">
        <v>2</v>
      </c>
      <c r="CN2191">
        <v>0</v>
      </c>
      <c r="CO2191">
        <v>6</v>
      </c>
      <c r="CP2191" t="s">
        <v>119</v>
      </c>
      <c r="CQ2191">
        <v>70</v>
      </c>
      <c r="CR2191">
        <v>1</v>
      </c>
      <c r="CW2191">
        <v>3937535</v>
      </c>
      <c r="CY2191">
        <v>0</v>
      </c>
      <c r="CZ2191">
        <v>0</v>
      </c>
      <c r="DA2191">
        <v>1</v>
      </c>
      <c r="DB2191">
        <v>0</v>
      </c>
      <c r="DC2191">
        <v>0</v>
      </c>
      <c r="DD2191">
        <v>0</v>
      </c>
      <c r="DE2191">
        <v>0</v>
      </c>
      <c r="DF2191">
        <v>0</v>
      </c>
      <c r="DG2191">
        <v>0</v>
      </c>
      <c r="DH2191">
        <v>0</v>
      </c>
      <c r="DI2191">
        <v>0</v>
      </c>
    </row>
    <row r="2192" spans="1:113" x14ac:dyDescent="0.3">
      <c r="A2192" t="str">
        <f>"02/13/2022 19:01:16.322"</f>
        <v>02/13/2022 19:01:16.322</v>
      </c>
      <c r="C2192" t="str">
        <f t="shared" si="214"/>
        <v>FFDFD7C0</v>
      </c>
      <c r="D2192" t="s">
        <v>121</v>
      </c>
      <c r="E2192">
        <v>2</v>
      </c>
      <c r="H2192">
        <v>158</v>
      </c>
      <c r="I2192" t="s">
        <v>120</v>
      </c>
      <c r="J2192" t="s">
        <v>122</v>
      </c>
      <c r="K2192">
        <v>0</v>
      </c>
      <c r="L2192">
        <v>3</v>
      </c>
      <c r="M2192">
        <v>0</v>
      </c>
      <c r="N2192">
        <v>2</v>
      </c>
      <c r="O2192">
        <v>1</v>
      </c>
      <c r="P2192">
        <v>0</v>
      </c>
      <c r="Q2192">
        <v>0</v>
      </c>
      <c r="S2192" t="str">
        <f>"19:01:15.984"</f>
        <v>19:01:15.984</v>
      </c>
      <c r="T2192" t="str">
        <f>"19:01:15.584"</f>
        <v>19:01:15.584</v>
      </c>
      <c r="U2192" t="str">
        <f t="shared" si="216"/>
        <v>AAB6EE</v>
      </c>
      <c r="V2192">
        <v>0</v>
      </c>
      <c r="W2192">
        <v>0</v>
      </c>
      <c r="X2192">
        <v>4</v>
      </c>
      <c r="Z2192">
        <v>0</v>
      </c>
      <c r="AA2192">
        <v>8</v>
      </c>
      <c r="AB2192">
        <v>3</v>
      </c>
      <c r="AC2192">
        <v>0</v>
      </c>
      <c r="AD2192">
        <v>10</v>
      </c>
      <c r="AE2192">
        <v>0</v>
      </c>
      <c r="AF2192">
        <v>0</v>
      </c>
      <c r="AG2192">
        <v>2</v>
      </c>
      <c r="AH2192">
        <v>1</v>
      </c>
      <c r="AI2192" t="s">
        <v>1575</v>
      </c>
      <c r="AJ2192">
        <v>34.809494000000001</v>
      </c>
      <c r="AK2192" t="s">
        <v>1576</v>
      </c>
      <c r="AL2192">
        <v>-76.287711000000002</v>
      </c>
      <c r="AM2192">
        <v>25</v>
      </c>
      <c r="AN2192">
        <v>4175</v>
      </c>
      <c r="AO2192" t="s">
        <v>118</v>
      </c>
      <c r="AP2192">
        <v>-123</v>
      </c>
      <c r="AQ2192">
        <v>-1</v>
      </c>
      <c r="AR2192">
        <v>-8768</v>
      </c>
      <c r="AZ2192">
        <v>4516</v>
      </c>
      <c r="BA2192">
        <v>1</v>
      </c>
      <c r="BB2192" t="str">
        <f t="shared" si="215"/>
        <v xml:space="preserve">N79NX   </v>
      </c>
      <c r="BC2192">
        <v>1</v>
      </c>
      <c r="BE2192">
        <v>0</v>
      </c>
      <c r="BF2192">
        <v>0</v>
      </c>
      <c r="BG2192">
        <v>0</v>
      </c>
      <c r="BH2192">
        <v>4150</v>
      </c>
      <c r="BI2192">
        <v>0</v>
      </c>
      <c r="BJ2192">
        <v>0</v>
      </c>
      <c r="BK2192">
        <v>0</v>
      </c>
      <c r="BL2192">
        <v>0</v>
      </c>
      <c r="BO2192">
        <v>0</v>
      </c>
      <c r="BP2192">
        <v>0</v>
      </c>
      <c r="BW2192" t="str">
        <f>"19:01:15.986"</f>
        <v>19:01:15.986</v>
      </c>
      <c r="BZ2192">
        <v>0</v>
      </c>
      <c r="CA2192">
        <v>1888</v>
      </c>
      <c r="CB2192">
        <v>214.4</v>
      </c>
      <c r="CC2192">
        <v>625.78129999999999</v>
      </c>
      <c r="CD2192">
        <v>1</v>
      </c>
      <c r="CE2192">
        <v>0</v>
      </c>
      <c r="CF2192">
        <v>0</v>
      </c>
      <c r="CG2192">
        <v>1</v>
      </c>
      <c r="CH2192">
        <v>0</v>
      </c>
      <c r="CI2192">
        <v>0</v>
      </c>
      <c r="CJ2192">
        <v>0</v>
      </c>
      <c r="CK2192">
        <v>2</v>
      </c>
      <c r="CL2192">
        <v>0</v>
      </c>
      <c r="CM2192">
        <v>2</v>
      </c>
      <c r="CN2192">
        <v>0</v>
      </c>
      <c r="CO2192">
        <v>6</v>
      </c>
      <c r="CP2192" t="s">
        <v>119</v>
      </c>
      <c r="CQ2192">
        <v>70</v>
      </c>
      <c r="CR2192">
        <v>1</v>
      </c>
      <c r="CW2192">
        <v>3938378</v>
      </c>
      <c r="CY2192">
        <v>0</v>
      </c>
      <c r="CZ2192">
        <v>0</v>
      </c>
      <c r="DA2192">
        <v>0</v>
      </c>
      <c r="DB2192">
        <v>0</v>
      </c>
      <c r="DC2192">
        <v>0</v>
      </c>
      <c r="DD2192">
        <v>0</v>
      </c>
      <c r="DE2192">
        <v>0</v>
      </c>
      <c r="DF2192">
        <v>0</v>
      </c>
      <c r="DG2192">
        <v>0</v>
      </c>
      <c r="DH2192">
        <v>0</v>
      </c>
      <c r="DI2192">
        <v>0</v>
      </c>
    </row>
    <row r="2193" spans="1:113" x14ac:dyDescent="0.3">
      <c r="A2193" t="str">
        <f>"02/13/2022 19:01:16.322"</f>
        <v>02/13/2022 19:01:16.322</v>
      </c>
      <c r="C2193" t="str">
        <f t="shared" si="214"/>
        <v>FFDFD7C0</v>
      </c>
      <c r="D2193" t="s">
        <v>113</v>
      </c>
      <c r="E2193">
        <v>3</v>
      </c>
      <c r="F2193">
        <v>1003</v>
      </c>
      <c r="G2193" t="s">
        <v>114</v>
      </c>
      <c r="J2193" t="s">
        <v>115</v>
      </c>
      <c r="K2193">
        <v>0</v>
      </c>
      <c r="L2193">
        <v>3</v>
      </c>
      <c r="M2193">
        <v>0</v>
      </c>
      <c r="N2193">
        <v>2</v>
      </c>
      <c r="O2193">
        <v>1</v>
      </c>
      <c r="P2193">
        <v>0</v>
      </c>
      <c r="Q2193">
        <v>0</v>
      </c>
      <c r="S2193" t="str">
        <f>"19:01:15.984"</f>
        <v>19:01:15.984</v>
      </c>
      <c r="T2193" t="str">
        <f>"19:01:15.584"</f>
        <v>19:01:15.584</v>
      </c>
      <c r="U2193" t="str">
        <f t="shared" si="216"/>
        <v>AAB6EE</v>
      </c>
      <c r="V2193">
        <v>0</v>
      </c>
      <c r="W2193">
        <v>0</v>
      </c>
      <c r="X2193">
        <v>4</v>
      </c>
      <c r="Z2193">
        <v>0</v>
      </c>
      <c r="AA2193">
        <v>8</v>
      </c>
      <c r="AB2193">
        <v>3</v>
      </c>
      <c r="AC2193">
        <v>0</v>
      </c>
      <c r="AD2193">
        <v>10</v>
      </c>
      <c r="AE2193">
        <v>0</v>
      </c>
      <c r="AF2193">
        <v>0</v>
      </c>
      <c r="AG2193">
        <v>2</v>
      </c>
      <c r="AH2193">
        <v>1</v>
      </c>
      <c r="AI2193" t="s">
        <v>1575</v>
      </c>
      <c r="AJ2193">
        <v>34.809494000000001</v>
      </c>
      <c r="AK2193" t="s">
        <v>1576</v>
      </c>
      <c r="AL2193">
        <v>-76.287711000000002</v>
      </c>
      <c r="AM2193">
        <v>25</v>
      </c>
      <c r="AN2193">
        <v>4175</v>
      </c>
      <c r="AO2193" t="s">
        <v>118</v>
      </c>
      <c r="AP2193">
        <v>-123</v>
      </c>
      <c r="AQ2193">
        <v>-1</v>
      </c>
      <c r="AR2193">
        <v>-8768</v>
      </c>
      <c r="AZ2193">
        <v>4516</v>
      </c>
      <c r="BA2193">
        <v>1</v>
      </c>
      <c r="BB2193" t="str">
        <f t="shared" si="215"/>
        <v xml:space="preserve">N79NX   </v>
      </c>
      <c r="BC2193">
        <v>1</v>
      </c>
      <c r="BE2193">
        <v>0</v>
      </c>
      <c r="BF2193">
        <v>0</v>
      </c>
      <c r="BG2193">
        <v>0</v>
      </c>
      <c r="BH2193">
        <v>4150</v>
      </c>
      <c r="BI2193">
        <v>0</v>
      </c>
      <c r="BJ2193">
        <v>0</v>
      </c>
      <c r="BK2193">
        <v>0</v>
      </c>
      <c r="BL2193">
        <v>0</v>
      </c>
      <c r="BO2193">
        <v>0</v>
      </c>
      <c r="BP2193">
        <v>0</v>
      </c>
      <c r="BW2193" t="str">
        <f>"19:01:15.986"</f>
        <v>19:01:15.986</v>
      </c>
      <c r="BZ2193">
        <v>0</v>
      </c>
      <c r="CA2193">
        <v>1888</v>
      </c>
      <c r="CB2193">
        <v>214.4</v>
      </c>
      <c r="CC2193">
        <v>625.78129999999999</v>
      </c>
      <c r="CD2193">
        <v>1</v>
      </c>
      <c r="CE2193">
        <v>0</v>
      </c>
      <c r="CF2193">
        <v>0</v>
      </c>
      <c r="CG2193">
        <v>1</v>
      </c>
      <c r="CH2193">
        <v>0</v>
      </c>
      <c r="CI2193">
        <v>0</v>
      </c>
      <c r="CJ2193">
        <v>0</v>
      </c>
      <c r="CK2193">
        <v>2</v>
      </c>
      <c r="CL2193">
        <v>0</v>
      </c>
      <c r="CM2193">
        <v>2</v>
      </c>
      <c r="CN2193">
        <v>0</v>
      </c>
      <c r="CO2193">
        <v>6</v>
      </c>
      <c r="CP2193" t="s">
        <v>119</v>
      </c>
      <c r="CQ2193">
        <v>70</v>
      </c>
      <c r="CR2193">
        <v>1</v>
      </c>
      <c r="CW2193">
        <v>3938378</v>
      </c>
      <c r="CY2193">
        <v>0</v>
      </c>
      <c r="CZ2193">
        <v>0</v>
      </c>
      <c r="DA2193">
        <v>1</v>
      </c>
      <c r="DB2193">
        <v>0</v>
      </c>
      <c r="DC2193">
        <v>0</v>
      </c>
      <c r="DD2193">
        <v>0</v>
      </c>
      <c r="DE2193">
        <v>0</v>
      </c>
      <c r="DF2193">
        <v>0</v>
      </c>
      <c r="DG2193">
        <v>0</v>
      </c>
      <c r="DH2193">
        <v>0</v>
      </c>
      <c r="DI2193">
        <v>0</v>
      </c>
    </row>
    <row r="2194" spans="1:113" x14ac:dyDescent="0.3">
      <c r="A2194" t="str">
        <f>"02/13/2022 19:01:16.322"</f>
        <v>02/13/2022 19:01:16.322</v>
      </c>
      <c r="C2194" t="str">
        <f t="shared" si="214"/>
        <v>FFDFD7C0</v>
      </c>
      <c r="D2194" t="s">
        <v>113</v>
      </c>
      <c r="E2194">
        <v>4</v>
      </c>
      <c r="F2194">
        <v>1004</v>
      </c>
      <c r="G2194" t="s">
        <v>120</v>
      </c>
      <c r="J2194" t="s">
        <v>115</v>
      </c>
      <c r="K2194">
        <v>0</v>
      </c>
      <c r="L2194">
        <v>3</v>
      </c>
      <c r="M2194">
        <v>0</v>
      </c>
      <c r="N2194">
        <v>2</v>
      </c>
      <c r="O2194">
        <v>1</v>
      </c>
      <c r="P2194">
        <v>0</v>
      </c>
      <c r="Q2194">
        <v>0</v>
      </c>
      <c r="S2194" t="str">
        <f>"19:01:15.984"</f>
        <v>19:01:15.984</v>
      </c>
      <c r="T2194" t="str">
        <f>"19:01:15.584"</f>
        <v>19:01:15.584</v>
      </c>
      <c r="U2194" t="str">
        <f t="shared" si="216"/>
        <v>AAB6EE</v>
      </c>
      <c r="V2194">
        <v>0</v>
      </c>
      <c r="W2194">
        <v>0</v>
      </c>
      <c r="X2194">
        <v>4</v>
      </c>
      <c r="Z2194">
        <v>0</v>
      </c>
      <c r="AA2194">
        <v>8</v>
      </c>
      <c r="AB2194">
        <v>3</v>
      </c>
      <c r="AC2194">
        <v>0</v>
      </c>
      <c r="AD2194">
        <v>10</v>
      </c>
      <c r="AE2194">
        <v>0</v>
      </c>
      <c r="AF2194">
        <v>0</v>
      </c>
      <c r="AG2194">
        <v>2</v>
      </c>
      <c r="AH2194">
        <v>1</v>
      </c>
      <c r="AI2194" t="s">
        <v>1575</v>
      </c>
      <c r="AJ2194">
        <v>34.809494000000001</v>
      </c>
      <c r="AK2194" t="s">
        <v>1576</v>
      </c>
      <c r="AL2194">
        <v>-76.287711000000002</v>
      </c>
      <c r="AM2194">
        <v>25</v>
      </c>
      <c r="AN2194">
        <v>4175</v>
      </c>
      <c r="AO2194" t="s">
        <v>118</v>
      </c>
      <c r="AP2194">
        <v>-123</v>
      </c>
      <c r="AQ2194">
        <v>-1</v>
      </c>
      <c r="AR2194">
        <v>-8768</v>
      </c>
      <c r="AZ2194">
        <v>4516</v>
      </c>
      <c r="BA2194">
        <v>1</v>
      </c>
      <c r="BB2194" t="str">
        <f t="shared" si="215"/>
        <v xml:space="preserve">N79NX   </v>
      </c>
      <c r="BC2194">
        <v>1</v>
      </c>
      <c r="BE2194">
        <v>0</v>
      </c>
      <c r="BF2194">
        <v>0</v>
      </c>
      <c r="BG2194">
        <v>0</v>
      </c>
      <c r="BH2194">
        <v>4150</v>
      </c>
      <c r="BI2194">
        <v>0</v>
      </c>
      <c r="BJ2194">
        <v>0</v>
      </c>
      <c r="BK2194">
        <v>0</v>
      </c>
      <c r="BL2194">
        <v>0</v>
      </c>
      <c r="BO2194">
        <v>0</v>
      </c>
      <c r="BP2194">
        <v>0</v>
      </c>
      <c r="BW2194" t="str">
        <f>"19:01:15.986"</f>
        <v>19:01:15.986</v>
      </c>
      <c r="BZ2194">
        <v>0</v>
      </c>
      <c r="CA2194">
        <v>1888</v>
      </c>
      <c r="CB2194">
        <v>214.4</v>
      </c>
      <c r="CC2194">
        <v>625.78129999999999</v>
      </c>
      <c r="CD2194">
        <v>1</v>
      </c>
      <c r="CE2194">
        <v>0</v>
      </c>
      <c r="CF2194">
        <v>0</v>
      </c>
      <c r="CG2194">
        <v>1</v>
      </c>
      <c r="CH2194">
        <v>0</v>
      </c>
      <c r="CI2194">
        <v>0</v>
      </c>
      <c r="CJ2194">
        <v>0</v>
      </c>
      <c r="CK2194">
        <v>2</v>
      </c>
      <c r="CL2194">
        <v>0</v>
      </c>
      <c r="CM2194">
        <v>2</v>
      </c>
      <c r="CN2194">
        <v>0</v>
      </c>
      <c r="CO2194">
        <v>6</v>
      </c>
      <c r="CP2194" t="s">
        <v>119</v>
      </c>
      <c r="CQ2194">
        <v>70</v>
      </c>
      <c r="CR2194">
        <v>1</v>
      </c>
      <c r="CW2194">
        <v>3938378</v>
      </c>
      <c r="CY2194">
        <v>0</v>
      </c>
      <c r="CZ2194">
        <v>0</v>
      </c>
      <c r="DA2194">
        <v>1</v>
      </c>
      <c r="DB2194">
        <v>0</v>
      </c>
      <c r="DC2194">
        <v>0</v>
      </c>
      <c r="DD2194">
        <v>0</v>
      </c>
      <c r="DE2194">
        <v>0</v>
      </c>
      <c r="DF2194">
        <v>0</v>
      </c>
      <c r="DG2194">
        <v>0</v>
      </c>
      <c r="DH2194">
        <v>0</v>
      </c>
      <c r="DI2194">
        <v>0</v>
      </c>
    </row>
    <row r="2195" spans="1:113" x14ac:dyDescent="0.3">
      <c r="A2195" t="str">
        <f>"02/13/2022 19:01:17.155"</f>
        <v>02/13/2022 19:01:17.155</v>
      </c>
      <c r="C2195" t="str">
        <f t="shared" si="214"/>
        <v>FFDFD7C0</v>
      </c>
      <c r="D2195" t="s">
        <v>113</v>
      </c>
      <c r="E2195">
        <v>3</v>
      </c>
      <c r="F2195">
        <v>1003</v>
      </c>
      <c r="G2195" t="s">
        <v>114</v>
      </c>
      <c r="J2195" t="s">
        <v>115</v>
      </c>
      <c r="K2195">
        <v>0</v>
      </c>
      <c r="L2195">
        <v>3</v>
      </c>
      <c r="M2195">
        <v>0</v>
      </c>
      <c r="N2195">
        <v>2</v>
      </c>
      <c r="O2195">
        <v>1</v>
      </c>
      <c r="P2195">
        <v>0</v>
      </c>
      <c r="Q2195">
        <v>0</v>
      </c>
      <c r="S2195" t="str">
        <f>"19:01:16.891"</f>
        <v>19:01:16.891</v>
      </c>
      <c r="T2195" t="str">
        <f>"19:01:16.691"</f>
        <v>19:01:16.691</v>
      </c>
      <c r="U2195" t="str">
        <f t="shared" si="216"/>
        <v>AAB6EE</v>
      </c>
      <c r="V2195">
        <v>0</v>
      </c>
      <c r="W2195">
        <v>0</v>
      </c>
      <c r="X2195">
        <v>4</v>
      </c>
      <c r="Z2195">
        <v>0</v>
      </c>
      <c r="AA2195">
        <v>8</v>
      </c>
      <c r="AB2195">
        <v>3</v>
      </c>
      <c r="AC2195">
        <v>0</v>
      </c>
      <c r="AD2195">
        <v>10</v>
      </c>
      <c r="AE2195">
        <v>0</v>
      </c>
      <c r="AF2195">
        <v>0</v>
      </c>
      <c r="AG2195">
        <v>2</v>
      </c>
      <c r="AH2195">
        <v>1</v>
      </c>
      <c r="AI2195" t="s">
        <v>1577</v>
      </c>
      <c r="AJ2195">
        <v>34.809623000000002</v>
      </c>
      <c r="AK2195" t="s">
        <v>1578</v>
      </c>
      <c r="AL2195">
        <v>-76.288376</v>
      </c>
      <c r="AM2195">
        <v>25</v>
      </c>
      <c r="AN2195">
        <v>4050</v>
      </c>
      <c r="AO2195" t="s">
        <v>118</v>
      </c>
      <c r="AP2195">
        <v>-131</v>
      </c>
      <c r="AQ2195">
        <v>34</v>
      </c>
      <c r="AR2195">
        <v>-9408</v>
      </c>
      <c r="AZ2195">
        <v>4516</v>
      </c>
      <c r="BA2195">
        <v>1</v>
      </c>
      <c r="BB2195" t="str">
        <f t="shared" si="215"/>
        <v xml:space="preserve">N79NX   </v>
      </c>
      <c r="BC2195">
        <v>1</v>
      </c>
      <c r="BE2195">
        <v>0</v>
      </c>
      <c r="BF2195">
        <v>0</v>
      </c>
      <c r="BG2195">
        <v>0</v>
      </c>
      <c r="BH2195">
        <v>3900</v>
      </c>
      <c r="BI2195">
        <v>0</v>
      </c>
      <c r="BJ2195">
        <v>0</v>
      </c>
      <c r="BK2195">
        <v>0</v>
      </c>
      <c r="BL2195">
        <v>0</v>
      </c>
      <c r="BO2195">
        <v>0</v>
      </c>
      <c r="BP2195">
        <v>0</v>
      </c>
      <c r="BW2195" t="str">
        <f>"19:01:16.896"</f>
        <v>19:01:16.896</v>
      </c>
      <c r="BZ2195">
        <v>0</v>
      </c>
      <c r="CA2195">
        <v>1888</v>
      </c>
      <c r="CB2195">
        <v>214.4</v>
      </c>
      <c r="CC2195">
        <v>625.78129999999999</v>
      </c>
      <c r="CD2195">
        <v>1</v>
      </c>
      <c r="CE2195">
        <v>0</v>
      </c>
      <c r="CF2195">
        <v>0</v>
      </c>
      <c r="CG2195">
        <v>1</v>
      </c>
      <c r="CH2195">
        <v>0</v>
      </c>
      <c r="CI2195">
        <v>0</v>
      </c>
      <c r="CJ2195">
        <v>0</v>
      </c>
      <c r="CK2195">
        <v>2</v>
      </c>
      <c r="CL2195">
        <v>0</v>
      </c>
      <c r="CM2195">
        <v>2</v>
      </c>
      <c r="CN2195">
        <v>0</v>
      </c>
      <c r="CO2195">
        <v>5</v>
      </c>
      <c r="CP2195" t="s">
        <v>119</v>
      </c>
      <c r="CQ2195">
        <v>70</v>
      </c>
      <c r="CR2195">
        <v>1</v>
      </c>
      <c r="CW2195">
        <v>3939101</v>
      </c>
      <c r="CY2195">
        <v>0</v>
      </c>
      <c r="CZ2195">
        <v>0</v>
      </c>
      <c r="DA2195">
        <v>0</v>
      </c>
      <c r="DB2195">
        <v>0</v>
      </c>
      <c r="DC2195">
        <v>0</v>
      </c>
      <c r="DD2195">
        <v>0</v>
      </c>
      <c r="DE2195">
        <v>0</v>
      </c>
      <c r="DF2195">
        <v>0</v>
      </c>
      <c r="DG2195">
        <v>0</v>
      </c>
      <c r="DH2195">
        <v>0</v>
      </c>
      <c r="DI2195">
        <v>0</v>
      </c>
    </row>
    <row r="2196" spans="1:113" x14ac:dyDescent="0.3">
      <c r="A2196" t="str">
        <f>"02/13/2022 19:01:17.155"</f>
        <v>02/13/2022 19:01:17.155</v>
      </c>
      <c r="C2196" t="str">
        <f t="shared" si="214"/>
        <v>FFDFD7C0</v>
      </c>
      <c r="D2196" t="s">
        <v>121</v>
      </c>
      <c r="E2196">
        <v>2</v>
      </c>
      <c r="H2196">
        <v>158</v>
      </c>
      <c r="I2196" t="s">
        <v>120</v>
      </c>
      <c r="J2196" t="s">
        <v>122</v>
      </c>
      <c r="K2196">
        <v>0</v>
      </c>
      <c r="L2196">
        <v>3</v>
      </c>
      <c r="M2196">
        <v>0</v>
      </c>
      <c r="N2196">
        <v>2</v>
      </c>
      <c r="O2196">
        <v>1</v>
      </c>
      <c r="P2196">
        <v>0</v>
      </c>
      <c r="Q2196">
        <v>0</v>
      </c>
      <c r="S2196" t="str">
        <f>"19:01:16.891"</f>
        <v>19:01:16.891</v>
      </c>
      <c r="T2196" t="str">
        <f>"19:01:16.691"</f>
        <v>19:01:16.691</v>
      </c>
      <c r="U2196" t="str">
        <f t="shared" si="216"/>
        <v>AAB6EE</v>
      </c>
      <c r="V2196">
        <v>0</v>
      </c>
      <c r="W2196">
        <v>0</v>
      </c>
      <c r="X2196">
        <v>4</v>
      </c>
      <c r="Z2196">
        <v>0</v>
      </c>
      <c r="AA2196">
        <v>8</v>
      </c>
      <c r="AB2196">
        <v>3</v>
      </c>
      <c r="AC2196">
        <v>0</v>
      </c>
      <c r="AD2196">
        <v>10</v>
      </c>
      <c r="AE2196">
        <v>0</v>
      </c>
      <c r="AF2196">
        <v>0</v>
      </c>
      <c r="AG2196">
        <v>2</v>
      </c>
      <c r="AH2196">
        <v>1</v>
      </c>
      <c r="AI2196" t="s">
        <v>1577</v>
      </c>
      <c r="AJ2196">
        <v>34.809623000000002</v>
      </c>
      <c r="AK2196" t="s">
        <v>1578</v>
      </c>
      <c r="AL2196">
        <v>-76.288376</v>
      </c>
      <c r="AM2196">
        <v>25</v>
      </c>
      <c r="AN2196">
        <v>4050</v>
      </c>
      <c r="AO2196" t="s">
        <v>118</v>
      </c>
      <c r="AP2196">
        <v>-131</v>
      </c>
      <c r="AQ2196">
        <v>34</v>
      </c>
      <c r="AR2196">
        <v>-9408</v>
      </c>
      <c r="AZ2196">
        <v>4516</v>
      </c>
      <c r="BA2196">
        <v>1</v>
      </c>
      <c r="BB2196" t="str">
        <f t="shared" si="215"/>
        <v xml:space="preserve">N79NX   </v>
      </c>
      <c r="BC2196">
        <v>1</v>
      </c>
      <c r="BE2196">
        <v>0</v>
      </c>
      <c r="BF2196">
        <v>0</v>
      </c>
      <c r="BG2196">
        <v>0</v>
      </c>
      <c r="BH2196">
        <v>3900</v>
      </c>
      <c r="BI2196">
        <v>0</v>
      </c>
      <c r="BJ2196">
        <v>0</v>
      </c>
      <c r="BK2196">
        <v>0</v>
      </c>
      <c r="BL2196">
        <v>0</v>
      </c>
      <c r="BO2196">
        <v>0</v>
      </c>
      <c r="BP2196">
        <v>0</v>
      </c>
      <c r="BW2196" t="str">
        <f>"19:01:16.896"</f>
        <v>19:01:16.896</v>
      </c>
      <c r="BZ2196">
        <v>0</v>
      </c>
      <c r="CA2196">
        <v>1888</v>
      </c>
      <c r="CB2196">
        <v>214.4</v>
      </c>
      <c r="CC2196">
        <v>625.78129999999999</v>
      </c>
      <c r="CD2196">
        <v>1</v>
      </c>
      <c r="CE2196">
        <v>0</v>
      </c>
      <c r="CF2196">
        <v>0</v>
      </c>
      <c r="CG2196">
        <v>1</v>
      </c>
      <c r="CH2196">
        <v>0</v>
      </c>
      <c r="CI2196">
        <v>0</v>
      </c>
      <c r="CJ2196">
        <v>0</v>
      </c>
      <c r="CK2196">
        <v>2</v>
      </c>
      <c r="CL2196">
        <v>0</v>
      </c>
      <c r="CM2196">
        <v>2</v>
      </c>
      <c r="CN2196">
        <v>0</v>
      </c>
      <c r="CO2196">
        <v>5</v>
      </c>
      <c r="CP2196" t="s">
        <v>119</v>
      </c>
      <c r="CQ2196">
        <v>70</v>
      </c>
      <c r="CR2196">
        <v>1</v>
      </c>
      <c r="CW2196">
        <v>3939101</v>
      </c>
      <c r="CY2196">
        <v>0</v>
      </c>
      <c r="CZ2196">
        <v>0</v>
      </c>
      <c r="DA2196">
        <v>1</v>
      </c>
      <c r="DB2196">
        <v>0</v>
      </c>
      <c r="DC2196">
        <v>0</v>
      </c>
      <c r="DD2196">
        <v>0</v>
      </c>
      <c r="DE2196">
        <v>0</v>
      </c>
      <c r="DF2196">
        <v>0</v>
      </c>
      <c r="DG2196">
        <v>0</v>
      </c>
      <c r="DH2196">
        <v>0</v>
      </c>
      <c r="DI2196">
        <v>0</v>
      </c>
    </row>
    <row r="2197" spans="1:113" x14ac:dyDescent="0.3">
      <c r="A2197" t="str">
        <f>"02/13/2022 19:01:17.171"</f>
        <v>02/13/2022 19:01:17.171</v>
      </c>
      <c r="C2197" t="str">
        <f t="shared" si="214"/>
        <v>FFDFD7C0</v>
      </c>
      <c r="D2197" t="s">
        <v>113</v>
      </c>
      <c r="E2197">
        <v>4</v>
      </c>
      <c r="F2197">
        <v>1004</v>
      </c>
      <c r="G2197" t="s">
        <v>120</v>
      </c>
      <c r="J2197" t="s">
        <v>115</v>
      </c>
      <c r="K2197">
        <v>0</v>
      </c>
      <c r="L2197">
        <v>3</v>
      </c>
      <c r="M2197">
        <v>0</v>
      </c>
      <c r="N2197">
        <v>2</v>
      </c>
      <c r="O2197">
        <v>1</v>
      </c>
      <c r="P2197">
        <v>0</v>
      </c>
      <c r="Q2197">
        <v>0</v>
      </c>
      <c r="S2197" t="str">
        <f>"19:01:16.891"</f>
        <v>19:01:16.891</v>
      </c>
      <c r="T2197" t="str">
        <f>"19:01:16.691"</f>
        <v>19:01:16.691</v>
      </c>
      <c r="U2197" t="str">
        <f t="shared" si="216"/>
        <v>AAB6EE</v>
      </c>
      <c r="V2197">
        <v>0</v>
      </c>
      <c r="W2197">
        <v>0</v>
      </c>
      <c r="X2197">
        <v>4</v>
      </c>
      <c r="Z2197">
        <v>0</v>
      </c>
      <c r="AA2197">
        <v>8</v>
      </c>
      <c r="AB2197">
        <v>3</v>
      </c>
      <c r="AC2197">
        <v>0</v>
      </c>
      <c r="AD2197">
        <v>10</v>
      </c>
      <c r="AE2197">
        <v>0</v>
      </c>
      <c r="AF2197">
        <v>0</v>
      </c>
      <c r="AG2197">
        <v>2</v>
      </c>
      <c r="AH2197">
        <v>1</v>
      </c>
      <c r="AI2197" t="s">
        <v>1577</v>
      </c>
      <c r="AJ2197">
        <v>34.809623000000002</v>
      </c>
      <c r="AK2197" t="s">
        <v>1578</v>
      </c>
      <c r="AL2197">
        <v>-76.288376</v>
      </c>
      <c r="AM2197">
        <v>25</v>
      </c>
      <c r="AN2197">
        <v>4050</v>
      </c>
      <c r="AO2197" t="s">
        <v>118</v>
      </c>
      <c r="AP2197">
        <v>-131</v>
      </c>
      <c r="AQ2197">
        <v>34</v>
      </c>
      <c r="AR2197">
        <v>-9408</v>
      </c>
      <c r="AZ2197">
        <v>4516</v>
      </c>
      <c r="BA2197">
        <v>1</v>
      </c>
      <c r="BB2197" t="str">
        <f t="shared" si="215"/>
        <v xml:space="preserve">N79NX   </v>
      </c>
      <c r="BC2197">
        <v>1</v>
      </c>
      <c r="BE2197">
        <v>0</v>
      </c>
      <c r="BF2197">
        <v>0</v>
      </c>
      <c r="BG2197">
        <v>0</v>
      </c>
      <c r="BH2197">
        <v>3900</v>
      </c>
      <c r="BI2197">
        <v>0</v>
      </c>
      <c r="BJ2197">
        <v>0</v>
      </c>
      <c r="BK2197">
        <v>0</v>
      </c>
      <c r="BL2197">
        <v>0</v>
      </c>
      <c r="BO2197">
        <v>0</v>
      </c>
      <c r="BP2197">
        <v>0</v>
      </c>
      <c r="BW2197" t="str">
        <f>"19:01:16.896"</f>
        <v>19:01:16.896</v>
      </c>
      <c r="BZ2197">
        <v>0</v>
      </c>
      <c r="CA2197">
        <v>1888</v>
      </c>
      <c r="CB2197">
        <v>214.4</v>
      </c>
      <c r="CC2197">
        <v>625.78129999999999</v>
      </c>
      <c r="CD2197">
        <v>1</v>
      </c>
      <c r="CE2197">
        <v>0</v>
      </c>
      <c r="CF2197">
        <v>0</v>
      </c>
      <c r="CG2197">
        <v>1</v>
      </c>
      <c r="CH2197">
        <v>0</v>
      </c>
      <c r="CI2197">
        <v>0</v>
      </c>
      <c r="CJ2197">
        <v>0</v>
      </c>
      <c r="CK2197">
        <v>2</v>
      </c>
      <c r="CL2197">
        <v>0</v>
      </c>
      <c r="CM2197">
        <v>2</v>
      </c>
      <c r="CN2197">
        <v>0</v>
      </c>
      <c r="CO2197">
        <v>5</v>
      </c>
      <c r="CP2197" t="s">
        <v>119</v>
      </c>
      <c r="CQ2197">
        <v>70</v>
      </c>
      <c r="CR2197">
        <v>1</v>
      </c>
      <c r="CW2197">
        <v>3939101</v>
      </c>
      <c r="CY2197">
        <v>0</v>
      </c>
      <c r="CZ2197">
        <v>0</v>
      </c>
      <c r="DA2197">
        <v>1</v>
      </c>
      <c r="DB2197">
        <v>0</v>
      </c>
      <c r="DC2197">
        <v>0</v>
      </c>
      <c r="DD2197">
        <v>0</v>
      </c>
      <c r="DE2197">
        <v>0</v>
      </c>
      <c r="DF2197">
        <v>0</v>
      </c>
      <c r="DG2197">
        <v>0</v>
      </c>
      <c r="DH2197">
        <v>0</v>
      </c>
      <c r="DI2197">
        <v>0</v>
      </c>
    </row>
    <row r="2198" spans="1:113" x14ac:dyDescent="0.3">
      <c r="A2198" t="str">
        <f>"02/13/2022 19:01:18.202"</f>
        <v>02/13/2022 19:01:18.202</v>
      </c>
      <c r="C2198" t="str">
        <f t="shared" si="214"/>
        <v>FFDFD7C0</v>
      </c>
      <c r="D2198" t="s">
        <v>113</v>
      </c>
      <c r="E2198">
        <v>4</v>
      </c>
      <c r="F2198">
        <v>1004</v>
      </c>
      <c r="G2198" t="s">
        <v>120</v>
      </c>
      <c r="J2198" t="s">
        <v>115</v>
      </c>
      <c r="K2198">
        <v>0</v>
      </c>
      <c r="L2198">
        <v>3</v>
      </c>
      <c r="M2198">
        <v>0</v>
      </c>
      <c r="N2198">
        <v>2</v>
      </c>
      <c r="O2198">
        <v>1</v>
      </c>
      <c r="P2198">
        <v>0</v>
      </c>
      <c r="Q2198">
        <v>0</v>
      </c>
      <c r="S2198" t="str">
        <f>"19:01:17.953"</f>
        <v>19:01:17.953</v>
      </c>
      <c r="T2198" t="str">
        <f>"19:01:17.653"</f>
        <v>19:01:17.653</v>
      </c>
      <c r="U2198" t="str">
        <f t="shared" si="216"/>
        <v>AAB6EE</v>
      </c>
      <c r="V2198">
        <v>0</v>
      </c>
      <c r="W2198">
        <v>0</v>
      </c>
      <c r="X2198">
        <v>4</v>
      </c>
      <c r="Z2198">
        <v>0</v>
      </c>
      <c r="AA2198">
        <v>8</v>
      </c>
      <c r="AB2198">
        <v>3</v>
      </c>
      <c r="AC2198">
        <v>0</v>
      </c>
      <c r="AD2198">
        <v>10</v>
      </c>
      <c r="AE2198">
        <v>0</v>
      </c>
      <c r="AF2198">
        <v>0</v>
      </c>
      <c r="AG2198">
        <v>1</v>
      </c>
      <c r="AH2198">
        <v>1</v>
      </c>
      <c r="AI2198" t="s">
        <v>1579</v>
      </c>
      <c r="AJ2198">
        <v>34.809902000000001</v>
      </c>
      <c r="AK2198" t="s">
        <v>1580</v>
      </c>
      <c r="AL2198">
        <v>-76.289169999999999</v>
      </c>
      <c r="AM2198">
        <v>25</v>
      </c>
      <c r="AN2198">
        <v>3850</v>
      </c>
      <c r="AO2198" t="s">
        <v>118</v>
      </c>
      <c r="AP2198">
        <v>-131</v>
      </c>
      <c r="AQ2198">
        <v>56</v>
      </c>
      <c r="AR2198">
        <v>-10176</v>
      </c>
      <c r="AZ2198">
        <v>4516</v>
      </c>
      <c r="BA2198">
        <v>1</v>
      </c>
      <c r="BB2198" t="str">
        <f t="shared" si="215"/>
        <v xml:space="preserve">N79NX   </v>
      </c>
      <c r="BC2198">
        <v>1</v>
      </c>
      <c r="BE2198">
        <v>0</v>
      </c>
      <c r="BF2198">
        <v>0</v>
      </c>
      <c r="BG2198">
        <v>0</v>
      </c>
      <c r="BH2198">
        <v>3800</v>
      </c>
      <c r="BI2198">
        <v>0</v>
      </c>
      <c r="BJ2198">
        <v>0</v>
      </c>
      <c r="BK2198">
        <v>0</v>
      </c>
      <c r="BL2198">
        <v>0</v>
      </c>
      <c r="BO2198">
        <v>0</v>
      </c>
      <c r="BP2198">
        <v>0</v>
      </c>
      <c r="BW2198" t="str">
        <f>"19:01:17.956"</f>
        <v>19:01:17.956</v>
      </c>
      <c r="BZ2198">
        <v>0</v>
      </c>
      <c r="CA2198">
        <v>1888</v>
      </c>
      <c r="CB2198">
        <v>214.4</v>
      </c>
      <c r="CC2198">
        <v>625.78129999999999</v>
      </c>
      <c r="CD2198">
        <v>1</v>
      </c>
      <c r="CE2198">
        <v>0</v>
      </c>
      <c r="CF2198">
        <v>0</v>
      </c>
      <c r="CG2198">
        <v>1</v>
      </c>
      <c r="CH2198">
        <v>0</v>
      </c>
      <c r="CI2198">
        <v>0</v>
      </c>
      <c r="CJ2198">
        <v>0</v>
      </c>
      <c r="CK2198">
        <v>2</v>
      </c>
      <c r="CL2198">
        <v>0</v>
      </c>
      <c r="CM2198">
        <v>2</v>
      </c>
      <c r="CN2198">
        <v>0</v>
      </c>
      <c r="CO2198">
        <v>3</v>
      </c>
      <c r="CP2198" t="s">
        <v>119</v>
      </c>
      <c r="CQ2198">
        <v>70</v>
      </c>
      <c r="CR2198">
        <v>1</v>
      </c>
      <c r="CW2198">
        <v>3939974</v>
      </c>
      <c r="CY2198">
        <v>0</v>
      </c>
      <c r="CZ2198">
        <v>0</v>
      </c>
      <c r="DA2198">
        <v>0</v>
      </c>
      <c r="DB2198">
        <v>0</v>
      </c>
      <c r="DC2198">
        <v>0</v>
      </c>
      <c r="DD2198">
        <v>0</v>
      </c>
      <c r="DE2198">
        <v>0</v>
      </c>
      <c r="DF2198">
        <v>0</v>
      </c>
      <c r="DG2198">
        <v>0</v>
      </c>
      <c r="DH2198">
        <v>0</v>
      </c>
      <c r="DI2198">
        <v>0</v>
      </c>
    </row>
    <row r="2199" spans="1:113" x14ac:dyDescent="0.3">
      <c r="A2199" t="str">
        <f>"02/13/2022 19:01:18.218"</f>
        <v>02/13/2022 19:01:18.218</v>
      </c>
      <c r="C2199" t="str">
        <f t="shared" si="214"/>
        <v>FFDFD7C0</v>
      </c>
      <c r="D2199" t="s">
        <v>121</v>
      </c>
      <c r="E2199">
        <v>2</v>
      </c>
      <c r="H2199">
        <v>158</v>
      </c>
      <c r="I2199" t="s">
        <v>120</v>
      </c>
      <c r="J2199" t="s">
        <v>122</v>
      </c>
      <c r="K2199">
        <v>0</v>
      </c>
      <c r="L2199">
        <v>3</v>
      </c>
      <c r="M2199">
        <v>0</v>
      </c>
      <c r="N2199">
        <v>2</v>
      </c>
      <c r="O2199">
        <v>1</v>
      </c>
      <c r="P2199">
        <v>0</v>
      </c>
      <c r="Q2199">
        <v>0</v>
      </c>
      <c r="S2199" t="str">
        <f>"19:01:17.953"</f>
        <v>19:01:17.953</v>
      </c>
      <c r="T2199" t="str">
        <f>"19:01:17.653"</f>
        <v>19:01:17.653</v>
      </c>
      <c r="U2199" t="str">
        <f t="shared" si="216"/>
        <v>AAB6EE</v>
      </c>
      <c r="V2199">
        <v>0</v>
      </c>
      <c r="W2199">
        <v>0</v>
      </c>
      <c r="X2199">
        <v>4</v>
      </c>
      <c r="Z2199">
        <v>0</v>
      </c>
      <c r="AA2199">
        <v>8</v>
      </c>
      <c r="AB2199">
        <v>3</v>
      </c>
      <c r="AC2199">
        <v>0</v>
      </c>
      <c r="AD2199">
        <v>10</v>
      </c>
      <c r="AE2199">
        <v>0</v>
      </c>
      <c r="AF2199">
        <v>0</v>
      </c>
      <c r="AG2199">
        <v>1</v>
      </c>
      <c r="AH2199">
        <v>1</v>
      </c>
      <c r="AI2199" t="s">
        <v>1579</v>
      </c>
      <c r="AJ2199">
        <v>34.809902000000001</v>
      </c>
      <c r="AK2199" t="s">
        <v>1580</v>
      </c>
      <c r="AL2199">
        <v>-76.289169999999999</v>
      </c>
      <c r="AM2199">
        <v>25</v>
      </c>
      <c r="AN2199">
        <v>3850</v>
      </c>
      <c r="AO2199" t="s">
        <v>118</v>
      </c>
      <c r="AP2199">
        <v>-131</v>
      </c>
      <c r="AQ2199">
        <v>56</v>
      </c>
      <c r="AR2199">
        <v>-10176</v>
      </c>
      <c r="AZ2199">
        <v>4516</v>
      </c>
      <c r="BA2199">
        <v>1</v>
      </c>
      <c r="BB2199" t="str">
        <f t="shared" si="215"/>
        <v xml:space="preserve">N79NX   </v>
      </c>
      <c r="BC2199">
        <v>1</v>
      </c>
      <c r="BE2199">
        <v>0</v>
      </c>
      <c r="BF2199">
        <v>0</v>
      </c>
      <c r="BG2199">
        <v>0</v>
      </c>
      <c r="BH2199">
        <v>3800</v>
      </c>
      <c r="BI2199">
        <v>0</v>
      </c>
      <c r="BJ2199">
        <v>0</v>
      </c>
      <c r="BK2199">
        <v>0</v>
      </c>
      <c r="BL2199">
        <v>0</v>
      </c>
      <c r="BO2199">
        <v>0</v>
      </c>
      <c r="BP2199">
        <v>0</v>
      </c>
      <c r="BW2199" t="str">
        <f>"19:01:17.956"</f>
        <v>19:01:17.956</v>
      </c>
      <c r="BZ2199">
        <v>0</v>
      </c>
      <c r="CA2199">
        <v>1888</v>
      </c>
      <c r="CB2199">
        <v>214.4</v>
      </c>
      <c r="CC2199">
        <v>625.78129999999999</v>
      </c>
      <c r="CD2199">
        <v>1</v>
      </c>
      <c r="CE2199">
        <v>0</v>
      </c>
      <c r="CF2199">
        <v>0</v>
      </c>
      <c r="CG2199">
        <v>1</v>
      </c>
      <c r="CH2199">
        <v>0</v>
      </c>
      <c r="CI2199">
        <v>0</v>
      </c>
      <c r="CJ2199">
        <v>0</v>
      </c>
      <c r="CK2199">
        <v>2</v>
      </c>
      <c r="CL2199">
        <v>0</v>
      </c>
      <c r="CM2199">
        <v>2</v>
      </c>
      <c r="CN2199">
        <v>0</v>
      </c>
      <c r="CO2199">
        <v>3</v>
      </c>
      <c r="CP2199" t="s">
        <v>119</v>
      </c>
      <c r="CQ2199">
        <v>70</v>
      </c>
      <c r="CR2199">
        <v>1</v>
      </c>
      <c r="CW2199">
        <v>3939974</v>
      </c>
      <c r="CY2199">
        <v>0</v>
      </c>
      <c r="CZ2199">
        <v>0</v>
      </c>
      <c r="DA2199">
        <v>1</v>
      </c>
      <c r="DB2199">
        <v>0</v>
      </c>
      <c r="DC2199">
        <v>0</v>
      </c>
      <c r="DD2199">
        <v>0</v>
      </c>
      <c r="DE2199">
        <v>0</v>
      </c>
      <c r="DF2199">
        <v>0</v>
      </c>
      <c r="DG2199">
        <v>0</v>
      </c>
      <c r="DH2199">
        <v>0</v>
      </c>
      <c r="DI2199">
        <v>0</v>
      </c>
    </row>
    <row r="2200" spans="1:113" x14ac:dyDescent="0.3">
      <c r="A2200" t="str">
        <f>"02/13/2022 19:01:18.218"</f>
        <v>02/13/2022 19:01:18.218</v>
      </c>
      <c r="C2200" t="str">
        <f t="shared" si="214"/>
        <v>FFDFD7C0</v>
      </c>
      <c r="D2200" t="s">
        <v>113</v>
      </c>
      <c r="E2200">
        <v>3</v>
      </c>
      <c r="F2200">
        <v>1003</v>
      </c>
      <c r="G2200" t="s">
        <v>114</v>
      </c>
      <c r="J2200" t="s">
        <v>115</v>
      </c>
      <c r="K2200">
        <v>0</v>
      </c>
      <c r="L2200">
        <v>3</v>
      </c>
      <c r="M2200">
        <v>0</v>
      </c>
      <c r="N2200">
        <v>2</v>
      </c>
      <c r="O2200">
        <v>1</v>
      </c>
      <c r="P2200">
        <v>0</v>
      </c>
      <c r="Q2200">
        <v>0</v>
      </c>
      <c r="S2200" t="str">
        <f>"19:01:17.953"</f>
        <v>19:01:17.953</v>
      </c>
      <c r="T2200" t="str">
        <f>"19:01:17.653"</f>
        <v>19:01:17.653</v>
      </c>
      <c r="U2200" t="str">
        <f t="shared" si="216"/>
        <v>AAB6EE</v>
      </c>
      <c r="V2200">
        <v>0</v>
      </c>
      <c r="W2200">
        <v>0</v>
      </c>
      <c r="X2200">
        <v>4</v>
      </c>
      <c r="Z2200">
        <v>0</v>
      </c>
      <c r="AA2200">
        <v>8</v>
      </c>
      <c r="AB2200">
        <v>3</v>
      </c>
      <c r="AC2200">
        <v>0</v>
      </c>
      <c r="AD2200">
        <v>10</v>
      </c>
      <c r="AE2200">
        <v>0</v>
      </c>
      <c r="AF2200">
        <v>0</v>
      </c>
      <c r="AG2200">
        <v>1</v>
      </c>
      <c r="AH2200">
        <v>1</v>
      </c>
      <c r="AI2200" t="s">
        <v>1579</v>
      </c>
      <c r="AJ2200">
        <v>34.809902000000001</v>
      </c>
      <c r="AK2200" t="s">
        <v>1580</v>
      </c>
      <c r="AL2200">
        <v>-76.289169999999999</v>
      </c>
      <c r="AM2200">
        <v>25</v>
      </c>
      <c r="AN2200">
        <v>3850</v>
      </c>
      <c r="AO2200" t="s">
        <v>118</v>
      </c>
      <c r="AP2200">
        <v>-131</v>
      </c>
      <c r="AQ2200">
        <v>56</v>
      </c>
      <c r="AR2200">
        <v>-10176</v>
      </c>
      <c r="AZ2200">
        <v>4516</v>
      </c>
      <c r="BA2200">
        <v>1</v>
      </c>
      <c r="BB2200" t="str">
        <f t="shared" si="215"/>
        <v xml:space="preserve">N79NX   </v>
      </c>
      <c r="BC2200">
        <v>1</v>
      </c>
      <c r="BE2200">
        <v>0</v>
      </c>
      <c r="BF2200">
        <v>0</v>
      </c>
      <c r="BG2200">
        <v>0</v>
      </c>
      <c r="BH2200">
        <v>3800</v>
      </c>
      <c r="BI2200">
        <v>0</v>
      </c>
      <c r="BJ2200">
        <v>0</v>
      </c>
      <c r="BK2200">
        <v>0</v>
      </c>
      <c r="BL2200">
        <v>0</v>
      </c>
      <c r="BO2200">
        <v>0</v>
      </c>
      <c r="BP2200">
        <v>0</v>
      </c>
      <c r="BW2200" t="str">
        <f>"19:01:17.956"</f>
        <v>19:01:17.956</v>
      </c>
      <c r="BZ2200">
        <v>0</v>
      </c>
      <c r="CA2200">
        <v>1888</v>
      </c>
      <c r="CB2200">
        <v>214.4</v>
      </c>
      <c r="CC2200">
        <v>625.78129999999999</v>
      </c>
      <c r="CD2200">
        <v>1</v>
      </c>
      <c r="CE2200">
        <v>0</v>
      </c>
      <c r="CF2200">
        <v>0</v>
      </c>
      <c r="CG2200">
        <v>1</v>
      </c>
      <c r="CH2200">
        <v>0</v>
      </c>
      <c r="CI2200">
        <v>0</v>
      </c>
      <c r="CJ2200">
        <v>0</v>
      </c>
      <c r="CK2200">
        <v>2</v>
      </c>
      <c r="CL2200">
        <v>0</v>
      </c>
      <c r="CM2200">
        <v>2</v>
      </c>
      <c r="CN2200">
        <v>0</v>
      </c>
      <c r="CO2200">
        <v>3</v>
      </c>
      <c r="CP2200" t="s">
        <v>119</v>
      </c>
      <c r="CQ2200">
        <v>70</v>
      </c>
      <c r="CR2200">
        <v>1</v>
      </c>
      <c r="CW2200">
        <v>3939974</v>
      </c>
      <c r="CY2200">
        <v>0</v>
      </c>
      <c r="CZ2200">
        <v>0</v>
      </c>
      <c r="DA2200">
        <v>1</v>
      </c>
      <c r="DB2200">
        <v>0</v>
      </c>
      <c r="DC2200">
        <v>0</v>
      </c>
      <c r="DD2200">
        <v>0</v>
      </c>
      <c r="DE2200">
        <v>0</v>
      </c>
      <c r="DF2200">
        <v>0</v>
      </c>
      <c r="DG2200">
        <v>0</v>
      </c>
      <c r="DH2200">
        <v>0</v>
      </c>
      <c r="DI2200">
        <v>0</v>
      </c>
    </row>
    <row r="2201" spans="1:113" x14ac:dyDescent="0.3">
      <c r="A2201" t="str">
        <f>"02/13/2022 19:01:19.579"</f>
        <v>02/13/2022 19:01:19.579</v>
      </c>
      <c r="C2201" t="str">
        <f t="shared" si="214"/>
        <v>FFDFD7C0</v>
      </c>
      <c r="D2201" t="s">
        <v>113</v>
      </c>
      <c r="E2201">
        <v>3</v>
      </c>
      <c r="F2201">
        <v>1003</v>
      </c>
      <c r="G2201" t="s">
        <v>114</v>
      </c>
      <c r="J2201" t="s">
        <v>115</v>
      </c>
      <c r="K2201">
        <v>0</v>
      </c>
      <c r="L2201">
        <v>3</v>
      </c>
      <c r="M2201">
        <v>0</v>
      </c>
      <c r="N2201">
        <v>2</v>
      </c>
      <c r="O2201">
        <v>1</v>
      </c>
      <c r="P2201">
        <v>0</v>
      </c>
      <c r="Q2201">
        <v>0</v>
      </c>
      <c r="S2201" t="str">
        <f>"19:01:19.289"</f>
        <v>19:01:19.289</v>
      </c>
      <c r="T2201" t="str">
        <f>"19:01:18.489"</f>
        <v>19:01:18.489</v>
      </c>
      <c r="U2201" t="str">
        <f t="shared" si="216"/>
        <v>AAB6EE</v>
      </c>
      <c r="V2201">
        <v>0</v>
      </c>
      <c r="W2201">
        <v>0</v>
      </c>
      <c r="X2201">
        <v>4</v>
      </c>
      <c r="Z2201">
        <v>0</v>
      </c>
      <c r="AA2201">
        <v>8</v>
      </c>
      <c r="AB2201">
        <v>3</v>
      </c>
      <c r="AC2201">
        <v>0</v>
      </c>
      <c r="AD2201">
        <v>10</v>
      </c>
      <c r="AE2201">
        <v>0</v>
      </c>
      <c r="AF2201">
        <v>0</v>
      </c>
      <c r="AG2201">
        <v>1</v>
      </c>
      <c r="AH2201">
        <v>1</v>
      </c>
      <c r="AI2201" t="s">
        <v>1565</v>
      </c>
      <c r="AJ2201">
        <v>34.810459999999999</v>
      </c>
      <c r="AK2201" t="s">
        <v>1581</v>
      </c>
      <c r="AL2201">
        <v>-76.290028000000007</v>
      </c>
      <c r="AM2201">
        <v>25</v>
      </c>
      <c r="AN2201">
        <v>3600</v>
      </c>
      <c r="AO2201" t="s">
        <v>118</v>
      </c>
      <c r="AP2201">
        <v>-127</v>
      </c>
      <c r="AQ2201">
        <v>80</v>
      </c>
      <c r="AR2201">
        <v>-11264</v>
      </c>
      <c r="AZ2201">
        <v>4516</v>
      </c>
      <c r="BA2201">
        <v>1</v>
      </c>
      <c r="BB2201" t="str">
        <f t="shared" si="215"/>
        <v xml:space="preserve">N79NX   </v>
      </c>
      <c r="BC2201">
        <v>1</v>
      </c>
      <c r="BE2201">
        <v>0</v>
      </c>
      <c r="BF2201">
        <v>0</v>
      </c>
      <c r="BG2201">
        <v>0</v>
      </c>
      <c r="BH2201">
        <v>3575</v>
      </c>
      <c r="BI2201">
        <v>0</v>
      </c>
      <c r="BJ2201">
        <v>0</v>
      </c>
      <c r="BK2201">
        <v>0</v>
      </c>
      <c r="BL2201">
        <v>0</v>
      </c>
      <c r="BO2201">
        <v>0</v>
      </c>
      <c r="BP2201">
        <v>0</v>
      </c>
      <c r="BW2201" t="str">
        <f>"19:01:19.296"</f>
        <v>19:01:19.296</v>
      </c>
      <c r="BZ2201">
        <v>0</v>
      </c>
      <c r="CA2201">
        <v>1888</v>
      </c>
      <c r="CB2201">
        <v>214.4</v>
      </c>
      <c r="CC2201">
        <v>625.78129999999999</v>
      </c>
      <c r="CD2201">
        <v>1</v>
      </c>
      <c r="CE2201">
        <v>0</v>
      </c>
      <c r="CF2201">
        <v>0</v>
      </c>
      <c r="CG2201">
        <v>1</v>
      </c>
      <c r="CH2201">
        <v>0</v>
      </c>
      <c r="CI2201">
        <v>0</v>
      </c>
      <c r="CJ2201">
        <v>0</v>
      </c>
      <c r="CK2201">
        <v>2</v>
      </c>
      <c r="CL2201">
        <v>0</v>
      </c>
      <c r="CM2201">
        <v>2</v>
      </c>
      <c r="CN2201">
        <v>0</v>
      </c>
      <c r="CO2201">
        <v>5</v>
      </c>
      <c r="CP2201" t="s">
        <v>119</v>
      </c>
      <c r="CQ2201">
        <v>70</v>
      </c>
      <c r="CR2201">
        <v>1</v>
      </c>
      <c r="CW2201">
        <v>3941124</v>
      </c>
      <c r="CY2201">
        <v>0</v>
      </c>
      <c r="CZ2201">
        <v>0</v>
      </c>
      <c r="DA2201">
        <v>0</v>
      </c>
      <c r="DB2201">
        <v>0</v>
      </c>
      <c r="DC2201">
        <v>0</v>
      </c>
      <c r="DD2201">
        <v>0</v>
      </c>
      <c r="DE2201">
        <v>0</v>
      </c>
      <c r="DF2201">
        <v>0</v>
      </c>
      <c r="DG2201">
        <v>0</v>
      </c>
      <c r="DH2201">
        <v>0</v>
      </c>
      <c r="DI2201">
        <v>0</v>
      </c>
    </row>
    <row r="2202" spans="1:113" x14ac:dyDescent="0.3">
      <c r="A2202" t="str">
        <f>"02/13/2022 19:01:19.579"</f>
        <v>02/13/2022 19:01:19.579</v>
      </c>
      <c r="C2202" t="str">
        <f t="shared" si="214"/>
        <v>FFDFD7C0</v>
      </c>
      <c r="D2202" t="s">
        <v>121</v>
      </c>
      <c r="E2202">
        <v>2</v>
      </c>
      <c r="H2202">
        <v>158</v>
      </c>
      <c r="I2202" t="s">
        <v>120</v>
      </c>
      <c r="J2202" t="s">
        <v>122</v>
      </c>
      <c r="K2202">
        <v>0</v>
      </c>
      <c r="L2202">
        <v>3</v>
      </c>
      <c r="M2202">
        <v>0</v>
      </c>
      <c r="N2202">
        <v>2</v>
      </c>
      <c r="O2202">
        <v>1</v>
      </c>
      <c r="P2202">
        <v>0</v>
      </c>
      <c r="Q2202">
        <v>0</v>
      </c>
      <c r="S2202" t="str">
        <f>"19:01:19.289"</f>
        <v>19:01:19.289</v>
      </c>
      <c r="T2202" t="str">
        <f>"19:01:18.489"</f>
        <v>19:01:18.489</v>
      </c>
      <c r="U2202" t="str">
        <f t="shared" si="216"/>
        <v>AAB6EE</v>
      </c>
      <c r="V2202">
        <v>0</v>
      </c>
      <c r="W2202">
        <v>0</v>
      </c>
      <c r="X2202">
        <v>4</v>
      </c>
      <c r="Z2202">
        <v>0</v>
      </c>
      <c r="AA2202">
        <v>8</v>
      </c>
      <c r="AB2202">
        <v>3</v>
      </c>
      <c r="AC2202">
        <v>0</v>
      </c>
      <c r="AD2202">
        <v>10</v>
      </c>
      <c r="AE2202">
        <v>0</v>
      </c>
      <c r="AF2202">
        <v>0</v>
      </c>
      <c r="AG2202">
        <v>1</v>
      </c>
      <c r="AH2202">
        <v>1</v>
      </c>
      <c r="AI2202" t="s">
        <v>1565</v>
      </c>
      <c r="AJ2202">
        <v>34.810459999999999</v>
      </c>
      <c r="AK2202" t="s">
        <v>1581</v>
      </c>
      <c r="AL2202">
        <v>-76.290028000000007</v>
      </c>
      <c r="AM2202">
        <v>25</v>
      </c>
      <c r="AN2202">
        <v>3600</v>
      </c>
      <c r="AO2202" t="s">
        <v>118</v>
      </c>
      <c r="AP2202">
        <v>-127</v>
      </c>
      <c r="AQ2202">
        <v>80</v>
      </c>
      <c r="AR2202">
        <v>-11264</v>
      </c>
      <c r="AZ2202">
        <v>4516</v>
      </c>
      <c r="BA2202">
        <v>1</v>
      </c>
      <c r="BB2202" t="str">
        <f t="shared" si="215"/>
        <v xml:space="preserve">N79NX   </v>
      </c>
      <c r="BC2202">
        <v>1</v>
      </c>
      <c r="BE2202">
        <v>0</v>
      </c>
      <c r="BF2202">
        <v>0</v>
      </c>
      <c r="BG2202">
        <v>0</v>
      </c>
      <c r="BH2202">
        <v>3575</v>
      </c>
      <c r="BI2202">
        <v>0</v>
      </c>
      <c r="BJ2202">
        <v>0</v>
      </c>
      <c r="BK2202">
        <v>0</v>
      </c>
      <c r="BL2202">
        <v>0</v>
      </c>
      <c r="BO2202">
        <v>0</v>
      </c>
      <c r="BP2202">
        <v>0</v>
      </c>
      <c r="BW2202" t="str">
        <f>"19:01:19.296"</f>
        <v>19:01:19.296</v>
      </c>
      <c r="BZ2202">
        <v>0</v>
      </c>
      <c r="CA2202">
        <v>1888</v>
      </c>
      <c r="CB2202">
        <v>214.4</v>
      </c>
      <c r="CC2202">
        <v>625.78129999999999</v>
      </c>
      <c r="CD2202">
        <v>1</v>
      </c>
      <c r="CE2202">
        <v>0</v>
      </c>
      <c r="CF2202">
        <v>0</v>
      </c>
      <c r="CG2202">
        <v>1</v>
      </c>
      <c r="CH2202">
        <v>0</v>
      </c>
      <c r="CI2202">
        <v>0</v>
      </c>
      <c r="CJ2202">
        <v>0</v>
      </c>
      <c r="CK2202">
        <v>2</v>
      </c>
      <c r="CL2202">
        <v>0</v>
      </c>
      <c r="CM2202">
        <v>2</v>
      </c>
      <c r="CN2202">
        <v>0</v>
      </c>
      <c r="CO2202">
        <v>5</v>
      </c>
      <c r="CP2202" t="s">
        <v>119</v>
      </c>
      <c r="CQ2202">
        <v>70</v>
      </c>
      <c r="CR2202">
        <v>1</v>
      </c>
      <c r="CW2202">
        <v>3941124</v>
      </c>
      <c r="CY2202">
        <v>0</v>
      </c>
      <c r="CZ2202">
        <v>0</v>
      </c>
      <c r="DA2202">
        <v>1</v>
      </c>
      <c r="DB2202">
        <v>0</v>
      </c>
      <c r="DC2202">
        <v>0</v>
      </c>
      <c r="DD2202">
        <v>0</v>
      </c>
      <c r="DE2202">
        <v>0</v>
      </c>
      <c r="DF2202">
        <v>0</v>
      </c>
      <c r="DG2202">
        <v>0</v>
      </c>
      <c r="DH2202">
        <v>0</v>
      </c>
      <c r="DI2202">
        <v>0</v>
      </c>
    </row>
    <row r="2203" spans="1:113" x14ac:dyDescent="0.3">
      <c r="A2203" t="str">
        <f>"02/13/2022 19:01:19.579"</f>
        <v>02/13/2022 19:01:19.579</v>
      </c>
      <c r="C2203" t="str">
        <f t="shared" si="214"/>
        <v>FFDFD7C0</v>
      </c>
      <c r="D2203" t="s">
        <v>113</v>
      </c>
      <c r="E2203">
        <v>4</v>
      </c>
      <c r="F2203">
        <v>1004</v>
      </c>
      <c r="G2203" t="s">
        <v>120</v>
      </c>
      <c r="J2203" t="s">
        <v>115</v>
      </c>
      <c r="K2203">
        <v>0</v>
      </c>
      <c r="L2203">
        <v>3</v>
      </c>
      <c r="M2203">
        <v>0</v>
      </c>
      <c r="N2203">
        <v>2</v>
      </c>
      <c r="O2203">
        <v>1</v>
      </c>
      <c r="P2203">
        <v>0</v>
      </c>
      <c r="Q2203">
        <v>0</v>
      </c>
      <c r="S2203" t="str">
        <f>"19:01:19.289"</f>
        <v>19:01:19.289</v>
      </c>
      <c r="T2203" t="str">
        <f>"19:01:18.489"</f>
        <v>19:01:18.489</v>
      </c>
      <c r="U2203" t="str">
        <f t="shared" si="216"/>
        <v>AAB6EE</v>
      </c>
      <c r="V2203">
        <v>0</v>
      </c>
      <c r="W2203">
        <v>0</v>
      </c>
      <c r="X2203">
        <v>4</v>
      </c>
      <c r="Z2203">
        <v>0</v>
      </c>
      <c r="AA2203">
        <v>8</v>
      </c>
      <c r="AB2203">
        <v>3</v>
      </c>
      <c r="AC2203">
        <v>0</v>
      </c>
      <c r="AD2203">
        <v>10</v>
      </c>
      <c r="AE2203">
        <v>0</v>
      </c>
      <c r="AF2203">
        <v>0</v>
      </c>
      <c r="AG2203">
        <v>1</v>
      </c>
      <c r="AH2203">
        <v>1</v>
      </c>
      <c r="AI2203" t="s">
        <v>1565</v>
      </c>
      <c r="AJ2203">
        <v>34.810459999999999</v>
      </c>
      <c r="AK2203" t="s">
        <v>1581</v>
      </c>
      <c r="AL2203">
        <v>-76.290028000000007</v>
      </c>
      <c r="AM2203">
        <v>25</v>
      </c>
      <c r="AN2203">
        <v>3600</v>
      </c>
      <c r="AO2203" t="s">
        <v>118</v>
      </c>
      <c r="AP2203">
        <v>-127</v>
      </c>
      <c r="AQ2203">
        <v>80</v>
      </c>
      <c r="AR2203">
        <v>-11264</v>
      </c>
      <c r="AZ2203">
        <v>4516</v>
      </c>
      <c r="BA2203">
        <v>1</v>
      </c>
      <c r="BB2203" t="str">
        <f t="shared" si="215"/>
        <v xml:space="preserve">N79NX   </v>
      </c>
      <c r="BC2203">
        <v>1</v>
      </c>
      <c r="BE2203">
        <v>0</v>
      </c>
      <c r="BF2203">
        <v>0</v>
      </c>
      <c r="BG2203">
        <v>0</v>
      </c>
      <c r="BH2203">
        <v>3575</v>
      </c>
      <c r="BI2203">
        <v>0</v>
      </c>
      <c r="BJ2203">
        <v>0</v>
      </c>
      <c r="BK2203">
        <v>0</v>
      </c>
      <c r="BL2203">
        <v>0</v>
      </c>
      <c r="BO2203">
        <v>0</v>
      </c>
      <c r="BP2203">
        <v>0</v>
      </c>
      <c r="BW2203" t="str">
        <f>"19:01:19.296"</f>
        <v>19:01:19.296</v>
      </c>
      <c r="BZ2203">
        <v>0</v>
      </c>
      <c r="CA2203">
        <v>1888</v>
      </c>
      <c r="CB2203">
        <v>214.4</v>
      </c>
      <c r="CC2203">
        <v>625.78129999999999</v>
      </c>
      <c r="CD2203">
        <v>1</v>
      </c>
      <c r="CE2203">
        <v>0</v>
      </c>
      <c r="CF2203">
        <v>0</v>
      </c>
      <c r="CG2203">
        <v>1</v>
      </c>
      <c r="CH2203">
        <v>0</v>
      </c>
      <c r="CI2203">
        <v>0</v>
      </c>
      <c r="CJ2203">
        <v>0</v>
      </c>
      <c r="CK2203">
        <v>2</v>
      </c>
      <c r="CL2203">
        <v>0</v>
      </c>
      <c r="CM2203">
        <v>2</v>
      </c>
      <c r="CN2203">
        <v>0</v>
      </c>
      <c r="CO2203">
        <v>5</v>
      </c>
      <c r="CP2203" t="s">
        <v>119</v>
      </c>
      <c r="CQ2203">
        <v>70</v>
      </c>
      <c r="CR2203">
        <v>1</v>
      </c>
      <c r="CW2203">
        <v>3941124</v>
      </c>
      <c r="CY2203">
        <v>0</v>
      </c>
      <c r="CZ2203">
        <v>0</v>
      </c>
      <c r="DA2203">
        <v>1</v>
      </c>
      <c r="DB2203">
        <v>0</v>
      </c>
      <c r="DC2203">
        <v>0</v>
      </c>
      <c r="DD2203">
        <v>0</v>
      </c>
      <c r="DE2203">
        <v>0</v>
      </c>
      <c r="DF2203">
        <v>0</v>
      </c>
      <c r="DG2203">
        <v>0</v>
      </c>
      <c r="DH2203">
        <v>0</v>
      </c>
      <c r="DI2203">
        <v>0</v>
      </c>
    </row>
    <row r="2204" spans="1:113" x14ac:dyDescent="0.3">
      <c r="A2204" t="str">
        <f>"02/13/2022 19:01:20.626"</f>
        <v>02/13/2022 19:01:20.626</v>
      </c>
      <c r="C2204" t="str">
        <f t="shared" si="214"/>
        <v>FFDFD7C0</v>
      </c>
      <c r="D2204" t="s">
        <v>113</v>
      </c>
      <c r="E2204">
        <v>3</v>
      </c>
      <c r="F2204">
        <v>1003</v>
      </c>
      <c r="G2204" t="s">
        <v>114</v>
      </c>
      <c r="J2204" t="s">
        <v>115</v>
      </c>
      <c r="K2204">
        <v>0</v>
      </c>
      <c r="L2204">
        <v>3</v>
      </c>
      <c r="M2204">
        <v>0</v>
      </c>
      <c r="N2204">
        <v>2</v>
      </c>
      <c r="O2204">
        <v>1</v>
      </c>
      <c r="P2204">
        <v>0</v>
      </c>
      <c r="Q2204">
        <v>0</v>
      </c>
      <c r="S2204" t="str">
        <f>"19:01:20.344"</f>
        <v>19:01:20.344</v>
      </c>
      <c r="T2204" t="str">
        <f>"19:01:19.544"</f>
        <v>19:01:19.544</v>
      </c>
      <c r="U2204" t="str">
        <f t="shared" si="216"/>
        <v>AAB6EE</v>
      </c>
      <c r="V2204">
        <v>0</v>
      </c>
      <c r="W2204">
        <v>0</v>
      </c>
      <c r="X2204">
        <v>4</v>
      </c>
      <c r="Z2204">
        <v>0</v>
      </c>
      <c r="AA2204">
        <v>8</v>
      </c>
      <c r="AB2204">
        <v>3</v>
      </c>
      <c r="AC2204">
        <v>0</v>
      </c>
      <c r="AD2204">
        <v>10</v>
      </c>
      <c r="AE2204">
        <v>0</v>
      </c>
      <c r="AF2204">
        <v>0</v>
      </c>
      <c r="AG2204">
        <v>1</v>
      </c>
      <c r="AH2204">
        <v>1</v>
      </c>
      <c r="AI2204" t="s">
        <v>1582</v>
      </c>
      <c r="AJ2204">
        <v>34.811059999999998</v>
      </c>
      <c r="AK2204" t="s">
        <v>1583</v>
      </c>
      <c r="AL2204">
        <v>-76.290693000000005</v>
      </c>
      <c r="AM2204">
        <v>25</v>
      </c>
      <c r="AN2204">
        <v>3375</v>
      </c>
      <c r="AO2204" t="s">
        <v>118</v>
      </c>
      <c r="AP2204">
        <v>-114</v>
      </c>
      <c r="AQ2204">
        <v>110</v>
      </c>
      <c r="AR2204">
        <v>-12224</v>
      </c>
      <c r="AZ2204">
        <v>4516</v>
      </c>
      <c r="BA2204">
        <v>1</v>
      </c>
      <c r="BB2204" t="str">
        <f t="shared" si="215"/>
        <v xml:space="preserve">N79NX   </v>
      </c>
      <c r="BC2204">
        <v>1</v>
      </c>
      <c r="BE2204">
        <v>0</v>
      </c>
      <c r="BF2204">
        <v>0</v>
      </c>
      <c r="BG2204">
        <v>0</v>
      </c>
      <c r="BH2204">
        <v>3450</v>
      </c>
      <c r="BI2204">
        <v>0</v>
      </c>
      <c r="BJ2204">
        <v>0</v>
      </c>
      <c r="BK2204">
        <v>0</v>
      </c>
      <c r="BL2204">
        <v>0</v>
      </c>
      <c r="BO2204">
        <v>0</v>
      </c>
      <c r="BP2204">
        <v>0</v>
      </c>
      <c r="BW2204" t="str">
        <f>"19:01:20.346"</f>
        <v>19:01:20.346</v>
      </c>
      <c r="BZ2204">
        <v>0</v>
      </c>
      <c r="CA2204">
        <v>1888</v>
      </c>
      <c r="CB2204">
        <v>214.4</v>
      </c>
      <c r="CC2204">
        <v>625.78129999999999</v>
      </c>
      <c r="CD2204">
        <v>1</v>
      </c>
      <c r="CE2204">
        <v>0</v>
      </c>
      <c r="CF2204">
        <v>0</v>
      </c>
      <c r="CG2204">
        <v>1</v>
      </c>
      <c r="CH2204">
        <v>0</v>
      </c>
      <c r="CI2204">
        <v>0</v>
      </c>
      <c r="CJ2204">
        <v>0</v>
      </c>
      <c r="CK2204">
        <v>2</v>
      </c>
      <c r="CL2204">
        <v>0</v>
      </c>
      <c r="CM2204">
        <v>2</v>
      </c>
      <c r="CN2204">
        <v>0</v>
      </c>
      <c r="CO2204">
        <v>5</v>
      </c>
      <c r="CP2204" t="s">
        <v>119</v>
      </c>
      <c r="CQ2204">
        <v>70</v>
      </c>
      <c r="CR2204">
        <v>1</v>
      </c>
      <c r="CW2204">
        <v>3942109</v>
      </c>
      <c r="CY2204">
        <v>0</v>
      </c>
      <c r="CZ2204">
        <v>0</v>
      </c>
      <c r="DA2204">
        <v>0</v>
      </c>
      <c r="DB2204">
        <v>0</v>
      </c>
      <c r="DC2204">
        <v>0</v>
      </c>
      <c r="DD2204">
        <v>0</v>
      </c>
      <c r="DE2204">
        <v>0</v>
      </c>
      <c r="DF2204">
        <v>0</v>
      </c>
      <c r="DG2204">
        <v>0</v>
      </c>
      <c r="DH2204">
        <v>0</v>
      </c>
      <c r="DI2204">
        <v>0</v>
      </c>
    </row>
    <row r="2205" spans="1:113" x14ac:dyDescent="0.3">
      <c r="A2205" t="str">
        <f>"02/13/2022 19:01:20.642"</f>
        <v>02/13/2022 19:01:20.642</v>
      </c>
      <c r="C2205" t="str">
        <f t="shared" si="214"/>
        <v>FFDFD7C0</v>
      </c>
      <c r="D2205" t="s">
        <v>121</v>
      </c>
      <c r="E2205">
        <v>2</v>
      </c>
      <c r="H2205">
        <v>158</v>
      </c>
      <c r="I2205" t="s">
        <v>120</v>
      </c>
      <c r="J2205" t="s">
        <v>122</v>
      </c>
      <c r="K2205">
        <v>0</v>
      </c>
      <c r="L2205">
        <v>3</v>
      </c>
      <c r="M2205">
        <v>0</v>
      </c>
      <c r="N2205">
        <v>2</v>
      </c>
      <c r="O2205">
        <v>1</v>
      </c>
      <c r="P2205">
        <v>0</v>
      </c>
      <c r="Q2205">
        <v>0</v>
      </c>
      <c r="S2205" t="str">
        <f>"19:01:20.344"</f>
        <v>19:01:20.344</v>
      </c>
      <c r="T2205" t="str">
        <f>"19:01:19.544"</f>
        <v>19:01:19.544</v>
      </c>
      <c r="U2205" t="str">
        <f t="shared" si="216"/>
        <v>AAB6EE</v>
      </c>
      <c r="V2205">
        <v>0</v>
      </c>
      <c r="W2205">
        <v>0</v>
      </c>
      <c r="X2205">
        <v>4</v>
      </c>
      <c r="Z2205">
        <v>0</v>
      </c>
      <c r="AA2205">
        <v>8</v>
      </c>
      <c r="AB2205">
        <v>3</v>
      </c>
      <c r="AC2205">
        <v>0</v>
      </c>
      <c r="AD2205">
        <v>10</v>
      </c>
      <c r="AE2205">
        <v>0</v>
      </c>
      <c r="AF2205">
        <v>0</v>
      </c>
      <c r="AG2205">
        <v>1</v>
      </c>
      <c r="AH2205">
        <v>1</v>
      </c>
      <c r="AI2205" t="s">
        <v>1582</v>
      </c>
      <c r="AJ2205">
        <v>34.811059999999998</v>
      </c>
      <c r="AK2205" t="s">
        <v>1583</v>
      </c>
      <c r="AL2205">
        <v>-76.290693000000005</v>
      </c>
      <c r="AM2205">
        <v>25</v>
      </c>
      <c r="AN2205">
        <v>3375</v>
      </c>
      <c r="AO2205" t="s">
        <v>118</v>
      </c>
      <c r="AP2205">
        <v>-114</v>
      </c>
      <c r="AQ2205">
        <v>110</v>
      </c>
      <c r="AR2205">
        <v>-12224</v>
      </c>
      <c r="AZ2205">
        <v>4516</v>
      </c>
      <c r="BA2205">
        <v>1</v>
      </c>
      <c r="BB2205" t="str">
        <f t="shared" si="215"/>
        <v xml:space="preserve">N79NX   </v>
      </c>
      <c r="BC2205">
        <v>1</v>
      </c>
      <c r="BE2205">
        <v>0</v>
      </c>
      <c r="BF2205">
        <v>0</v>
      </c>
      <c r="BG2205">
        <v>0</v>
      </c>
      <c r="BH2205">
        <v>3450</v>
      </c>
      <c r="BI2205">
        <v>0</v>
      </c>
      <c r="BJ2205">
        <v>0</v>
      </c>
      <c r="BK2205">
        <v>0</v>
      </c>
      <c r="BL2205">
        <v>0</v>
      </c>
      <c r="BO2205">
        <v>0</v>
      </c>
      <c r="BP2205">
        <v>0</v>
      </c>
      <c r="BW2205" t="str">
        <f>"19:01:20.346"</f>
        <v>19:01:20.346</v>
      </c>
      <c r="BZ2205">
        <v>0</v>
      </c>
      <c r="CA2205">
        <v>1888</v>
      </c>
      <c r="CB2205">
        <v>214.4</v>
      </c>
      <c r="CC2205">
        <v>625.78129999999999</v>
      </c>
      <c r="CD2205">
        <v>1</v>
      </c>
      <c r="CE2205">
        <v>0</v>
      </c>
      <c r="CF2205">
        <v>0</v>
      </c>
      <c r="CG2205">
        <v>1</v>
      </c>
      <c r="CH2205">
        <v>0</v>
      </c>
      <c r="CI2205">
        <v>0</v>
      </c>
      <c r="CJ2205">
        <v>0</v>
      </c>
      <c r="CK2205">
        <v>2</v>
      </c>
      <c r="CL2205">
        <v>0</v>
      </c>
      <c r="CM2205">
        <v>2</v>
      </c>
      <c r="CN2205">
        <v>0</v>
      </c>
      <c r="CO2205">
        <v>5</v>
      </c>
      <c r="CP2205" t="s">
        <v>119</v>
      </c>
      <c r="CQ2205">
        <v>70</v>
      </c>
      <c r="CR2205">
        <v>1</v>
      </c>
      <c r="CW2205">
        <v>3942109</v>
      </c>
      <c r="CY2205">
        <v>0</v>
      </c>
      <c r="CZ2205">
        <v>0</v>
      </c>
      <c r="DA2205">
        <v>1</v>
      </c>
      <c r="DB2205">
        <v>0</v>
      </c>
      <c r="DC2205">
        <v>0</v>
      </c>
      <c r="DD2205">
        <v>0</v>
      </c>
      <c r="DE2205">
        <v>0</v>
      </c>
      <c r="DF2205">
        <v>0</v>
      </c>
      <c r="DG2205">
        <v>0</v>
      </c>
      <c r="DH2205">
        <v>0</v>
      </c>
      <c r="DI2205">
        <v>0</v>
      </c>
    </row>
    <row r="2206" spans="1:113" x14ac:dyDescent="0.3">
      <c r="A2206" t="str">
        <f>"02/13/2022 19:01:20.642"</f>
        <v>02/13/2022 19:01:20.642</v>
      </c>
      <c r="C2206" t="str">
        <f t="shared" si="214"/>
        <v>FFDFD7C0</v>
      </c>
      <c r="D2206" t="s">
        <v>113</v>
      </c>
      <c r="E2206">
        <v>4</v>
      </c>
      <c r="F2206">
        <v>1004</v>
      </c>
      <c r="G2206" t="s">
        <v>120</v>
      </c>
      <c r="J2206" t="s">
        <v>115</v>
      </c>
      <c r="K2206">
        <v>0</v>
      </c>
      <c r="L2206">
        <v>3</v>
      </c>
      <c r="M2206">
        <v>0</v>
      </c>
      <c r="N2206">
        <v>2</v>
      </c>
      <c r="O2206">
        <v>1</v>
      </c>
      <c r="P2206">
        <v>0</v>
      </c>
      <c r="Q2206">
        <v>0</v>
      </c>
      <c r="S2206" t="str">
        <f>"19:01:20.344"</f>
        <v>19:01:20.344</v>
      </c>
      <c r="T2206" t="str">
        <f>"19:01:19.544"</f>
        <v>19:01:19.544</v>
      </c>
      <c r="U2206" t="str">
        <f t="shared" si="216"/>
        <v>AAB6EE</v>
      </c>
      <c r="V2206">
        <v>0</v>
      </c>
      <c r="W2206">
        <v>0</v>
      </c>
      <c r="X2206">
        <v>4</v>
      </c>
      <c r="Z2206">
        <v>0</v>
      </c>
      <c r="AA2206">
        <v>8</v>
      </c>
      <c r="AB2206">
        <v>3</v>
      </c>
      <c r="AC2206">
        <v>0</v>
      </c>
      <c r="AD2206">
        <v>10</v>
      </c>
      <c r="AE2206">
        <v>0</v>
      </c>
      <c r="AF2206">
        <v>0</v>
      </c>
      <c r="AG2206">
        <v>1</v>
      </c>
      <c r="AH2206">
        <v>1</v>
      </c>
      <c r="AI2206" t="s">
        <v>1582</v>
      </c>
      <c r="AJ2206">
        <v>34.811059999999998</v>
      </c>
      <c r="AK2206" t="s">
        <v>1583</v>
      </c>
      <c r="AL2206">
        <v>-76.290693000000005</v>
      </c>
      <c r="AM2206">
        <v>25</v>
      </c>
      <c r="AN2206">
        <v>3375</v>
      </c>
      <c r="AO2206" t="s">
        <v>118</v>
      </c>
      <c r="AP2206">
        <v>-114</v>
      </c>
      <c r="AQ2206">
        <v>110</v>
      </c>
      <c r="AR2206">
        <v>-12224</v>
      </c>
      <c r="AZ2206">
        <v>4516</v>
      </c>
      <c r="BA2206">
        <v>1</v>
      </c>
      <c r="BB2206" t="str">
        <f t="shared" si="215"/>
        <v xml:space="preserve">N79NX   </v>
      </c>
      <c r="BC2206">
        <v>1</v>
      </c>
      <c r="BE2206">
        <v>0</v>
      </c>
      <c r="BF2206">
        <v>0</v>
      </c>
      <c r="BG2206">
        <v>0</v>
      </c>
      <c r="BH2206">
        <v>3450</v>
      </c>
      <c r="BI2206">
        <v>0</v>
      </c>
      <c r="BJ2206">
        <v>0</v>
      </c>
      <c r="BK2206">
        <v>0</v>
      </c>
      <c r="BL2206">
        <v>0</v>
      </c>
      <c r="BO2206">
        <v>0</v>
      </c>
      <c r="BP2206">
        <v>0</v>
      </c>
      <c r="BW2206" t="str">
        <f>"19:01:20.346"</f>
        <v>19:01:20.346</v>
      </c>
      <c r="BZ2206">
        <v>0</v>
      </c>
      <c r="CA2206">
        <v>1888</v>
      </c>
      <c r="CB2206">
        <v>214.4</v>
      </c>
      <c r="CC2206">
        <v>625.78129999999999</v>
      </c>
      <c r="CD2206">
        <v>1</v>
      </c>
      <c r="CE2206">
        <v>0</v>
      </c>
      <c r="CF2206">
        <v>0</v>
      </c>
      <c r="CG2206">
        <v>1</v>
      </c>
      <c r="CH2206">
        <v>0</v>
      </c>
      <c r="CI2206">
        <v>0</v>
      </c>
      <c r="CJ2206">
        <v>0</v>
      </c>
      <c r="CK2206">
        <v>2</v>
      </c>
      <c r="CL2206">
        <v>0</v>
      </c>
      <c r="CM2206">
        <v>2</v>
      </c>
      <c r="CN2206">
        <v>0</v>
      </c>
      <c r="CO2206">
        <v>5</v>
      </c>
      <c r="CP2206" t="s">
        <v>119</v>
      </c>
      <c r="CQ2206">
        <v>70</v>
      </c>
      <c r="CR2206">
        <v>1</v>
      </c>
      <c r="CW2206">
        <v>3942109</v>
      </c>
      <c r="CY2206">
        <v>0</v>
      </c>
      <c r="CZ2206">
        <v>0</v>
      </c>
      <c r="DA2206">
        <v>1</v>
      </c>
      <c r="DB2206">
        <v>0</v>
      </c>
      <c r="DC2206">
        <v>0</v>
      </c>
      <c r="DD2206">
        <v>0</v>
      </c>
      <c r="DE2206">
        <v>0</v>
      </c>
      <c r="DF2206">
        <v>0</v>
      </c>
      <c r="DG2206">
        <v>0</v>
      </c>
      <c r="DH2206">
        <v>0</v>
      </c>
      <c r="DI2206">
        <v>0</v>
      </c>
    </row>
    <row r="2207" spans="1:113" x14ac:dyDescent="0.3">
      <c r="A2207" t="str">
        <f>"02/13/2022 19:01:21.642"</f>
        <v>02/13/2022 19:01:21.642</v>
      </c>
      <c r="C2207" t="str">
        <f t="shared" si="214"/>
        <v>FFDFD7C0</v>
      </c>
      <c r="D2207" t="s">
        <v>113</v>
      </c>
      <c r="E2207">
        <v>3</v>
      </c>
      <c r="F2207">
        <v>1003</v>
      </c>
      <c r="G2207" t="s">
        <v>114</v>
      </c>
      <c r="J2207" t="s">
        <v>115</v>
      </c>
      <c r="K2207">
        <v>0</v>
      </c>
      <c r="L2207">
        <v>3</v>
      </c>
      <c r="M2207">
        <v>0</v>
      </c>
      <c r="N2207">
        <v>2</v>
      </c>
      <c r="O2207">
        <v>1</v>
      </c>
      <c r="P2207">
        <v>0</v>
      </c>
      <c r="Q2207">
        <v>0</v>
      </c>
      <c r="S2207" t="str">
        <f>"19:01:21.422"</f>
        <v>19:01:21.422</v>
      </c>
      <c r="T2207" t="str">
        <f>"19:01:20.522"</f>
        <v>19:01:20.522</v>
      </c>
      <c r="U2207" t="str">
        <f t="shared" si="216"/>
        <v>AAB6EE</v>
      </c>
      <c r="V2207">
        <v>0</v>
      </c>
      <c r="W2207">
        <v>0</v>
      </c>
      <c r="X2207">
        <v>4</v>
      </c>
      <c r="Z2207">
        <v>0</v>
      </c>
      <c r="AA2207">
        <v>8</v>
      </c>
      <c r="AB2207">
        <v>3</v>
      </c>
      <c r="AC2207">
        <v>0</v>
      </c>
      <c r="AD2207">
        <v>10</v>
      </c>
      <c r="AE2207">
        <v>0</v>
      </c>
      <c r="AF2207">
        <v>0</v>
      </c>
      <c r="AG2207">
        <v>1</v>
      </c>
      <c r="AH2207">
        <v>1</v>
      </c>
      <c r="AI2207" t="s">
        <v>1584</v>
      </c>
      <c r="AJ2207">
        <v>34.811853999999997</v>
      </c>
      <c r="AK2207" t="s">
        <v>1585</v>
      </c>
      <c r="AL2207">
        <v>-76.291186999999994</v>
      </c>
      <c r="AM2207">
        <v>25</v>
      </c>
      <c r="AN2207">
        <v>3150</v>
      </c>
      <c r="AO2207" t="s">
        <v>118</v>
      </c>
      <c r="AP2207">
        <v>-94</v>
      </c>
      <c r="AQ2207">
        <v>129</v>
      </c>
      <c r="AR2207">
        <v>-13440</v>
      </c>
      <c r="AZ2207">
        <v>4516</v>
      </c>
      <c r="BA2207">
        <v>1</v>
      </c>
      <c r="BB2207" t="str">
        <f t="shared" si="215"/>
        <v xml:space="preserve">N79NX   </v>
      </c>
      <c r="BC2207">
        <v>1</v>
      </c>
      <c r="BE2207">
        <v>0</v>
      </c>
      <c r="BF2207">
        <v>0</v>
      </c>
      <c r="BG2207">
        <v>0</v>
      </c>
      <c r="BH2207">
        <v>3600</v>
      </c>
      <c r="BI2207">
        <v>0</v>
      </c>
      <c r="BJ2207">
        <v>0</v>
      </c>
      <c r="BK2207">
        <v>0</v>
      </c>
      <c r="BL2207">
        <v>0</v>
      </c>
      <c r="BO2207">
        <v>0</v>
      </c>
      <c r="BP2207">
        <v>0</v>
      </c>
      <c r="BW2207" t="str">
        <f>"19:01:21.426"</f>
        <v>19:01:21.426</v>
      </c>
      <c r="BZ2207">
        <v>0</v>
      </c>
      <c r="CA2207">
        <v>1888</v>
      </c>
      <c r="CB2207">
        <v>214.4</v>
      </c>
      <c r="CC2207">
        <v>625.78129999999999</v>
      </c>
      <c r="CD2207">
        <v>1</v>
      </c>
      <c r="CE2207">
        <v>0</v>
      </c>
      <c r="CF2207">
        <v>0</v>
      </c>
      <c r="CG2207">
        <v>1</v>
      </c>
      <c r="CH2207">
        <v>0</v>
      </c>
      <c r="CI2207">
        <v>0</v>
      </c>
      <c r="CJ2207">
        <v>0</v>
      </c>
      <c r="CK2207">
        <v>2</v>
      </c>
      <c r="CL2207">
        <v>0</v>
      </c>
      <c r="CM2207">
        <v>2</v>
      </c>
      <c r="CN2207">
        <v>0</v>
      </c>
      <c r="CO2207">
        <v>3</v>
      </c>
      <c r="CP2207" t="s">
        <v>119</v>
      </c>
      <c r="CQ2207">
        <v>70</v>
      </c>
      <c r="CR2207">
        <v>0</v>
      </c>
      <c r="CW2207">
        <v>1740314</v>
      </c>
      <c r="CY2207">
        <v>0</v>
      </c>
      <c r="CZ2207">
        <v>0</v>
      </c>
      <c r="DA2207">
        <v>0</v>
      </c>
      <c r="DB2207">
        <v>0</v>
      </c>
      <c r="DC2207">
        <v>0</v>
      </c>
      <c r="DD2207">
        <v>0</v>
      </c>
      <c r="DE2207">
        <v>0</v>
      </c>
      <c r="DF2207">
        <v>0</v>
      </c>
      <c r="DG2207">
        <v>0</v>
      </c>
      <c r="DH2207">
        <v>0</v>
      </c>
      <c r="DI2207">
        <v>0</v>
      </c>
    </row>
    <row r="2208" spans="1:113" x14ac:dyDescent="0.3">
      <c r="A2208" t="str">
        <f>"02/13/2022 19:01:21.642"</f>
        <v>02/13/2022 19:01:21.642</v>
      </c>
      <c r="C2208" t="str">
        <f t="shared" si="214"/>
        <v>FFDFD7C0</v>
      </c>
      <c r="D2208" t="s">
        <v>121</v>
      </c>
      <c r="E2208">
        <v>2</v>
      </c>
      <c r="H2208">
        <v>158</v>
      </c>
      <c r="I2208" t="s">
        <v>120</v>
      </c>
      <c r="J2208" t="s">
        <v>122</v>
      </c>
      <c r="K2208">
        <v>0</v>
      </c>
      <c r="L2208">
        <v>3</v>
      </c>
      <c r="M2208">
        <v>0</v>
      </c>
      <c r="N2208">
        <v>2</v>
      </c>
      <c r="O2208">
        <v>1</v>
      </c>
      <c r="P2208">
        <v>0</v>
      </c>
      <c r="Q2208">
        <v>0</v>
      </c>
      <c r="S2208" t="str">
        <f>"19:01:21.422"</f>
        <v>19:01:21.422</v>
      </c>
      <c r="T2208" t="str">
        <f>"19:01:20.522"</f>
        <v>19:01:20.522</v>
      </c>
      <c r="U2208" t="str">
        <f t="shared" si="216"/>
        <v>AAB6EE</v>
      </c>
      <c r="V2208">
        <v>0</v>
      </c>
      <c r="W2208">
        <v>0</v>
      </c>
      <c r="X2208">
        <v>4</v>
      </c>
      <c r="Z2208">
        <v>0</v>
      </c>
      <c r="AA2208">
        <v>8</v>
      </c>
      <c r="AB2208">
        <v>3</v>
      </c>
      <c r="AC2208">
        <v>0</v>
      </c>
      <c r="AD2208">
        <v>10</v>
      </c>
      <c r="AE2208">
        <v>0</v>
      </c>
      <c r="AF2208">
        <v>0</v>
      </c>
      <c r="AG2208">
        <v>1</v>
      </c>
      <c r="AH2208">
        <v>1</v>
      </c>
      <c r="AI2208" t="s">
        <v>1584</v>
      </c>
      <c r="AJ2208">
        <v>34.811853999999997</v>
      </c>
      <c r="AK2208" t="s">
        <v>1585</v>
      </c>
      <c r="AL2208">
        <v>-76.291186999999994</v>
      </c>
      <c r="AM2208">
        <v>25</v>
      </c>
      <c r="AN2208">
        <v>3150</v>
      </c>
      <c r="AO2208" t="s">
        <v>118</v>
      </c>
      <c r="AP2208">
        <v>-94</v>
      </c>
      <c r="AQ2208">
        <v>129</v>
      </c>
      <c r="AR2208">
        <v>-13440</v>
      </c>
      <c r="AZ2208">
        <v>4516</v>
      </c>
      <c r="BA2208">
        <v>1</v>
      </c>
      <c r="BB2208" t="str">
        <f t="shared" si="215"/>
        <v xml:space="preserve">N79NX   </v>
      </c>
      <c r="BC2208">
        <v>1</v>
      </c>
      <c r="BE2208">
        <v>0</v>
      </c>
      <c r="BF2208">
        <v>0</v>
      </c>
      <c r="BG2208">
        <v>0</v>
      </c>
      <c r="BH2208">
        <v>3600</v>
      </c>
      <c r="BI2208">
        <v>0</v>
      </c>
      <c r="BJ2208">
        <v>0</v>
      </c>
      <c r="BK2208">
        <v>0</v>
      </c>
      <c r="BL2208">
        <v>0</v>
      </c>
      <c r="BO2208">
        <v>0</v>
      </c>
      <c r="BP2208">
        <v>0</v>
      </c>
      <c r="BW2208" t="str">
        <f>"19:01:21.426"</f>
        <v>19:01:21.426</v>
      </c>
      <c r="BZ2208">
        <v>0</v>
      </c>
      <c r="CA2208">
        <v>1888</v>
      </c>
      <c r="CB2208">
        <v>214.4</v>
      </c>
      <c r="CC2208">
        <v>625.78129999999999</v>
      </c>
      <c r="CD2208">
        <v>1</v>
      </c>
      <c r="CE2208">
        <v>0</v>
      </c>
      <c r="CF2208">
        <v>0</v>
      </c>
      <c r="CG2208">
        <v>1</v>
      </c>
      <c r="CH2208">
        <v>0</v>
      </c>
      <c r="CI2208">
        <v>0</v>
      </c>
      <c r="CJ2208">
        <v>0</v>
      </c>
      <c r="CK2208">
        <v>2</v>
      </c>
      <c r="CL2208">
        <v>0</v>
      </c>
      <c r="CM2208">
        <v>2</v>
      </c>
      <c r="CN2208">
        <v>0</v>
      </c>
      <c r="CO2208">
        <v>3</v>
      </c>
      <c r="CP2208" t="s">
        <v>119</v>
      </c>
      <c r="CQ2208">
        <v>70</v>
      </c>
      <c r="CR2208">
        <v>0</v>
      </c>
      <c r="CW2208">
        <v>1740314</v>
      </c>
      <c r="CY2208">
        <v>0</v>
      </c>
      <c r="CZ2208">
        <v>0</v>
      </c>
      <c r="DA2208">
        <v>1</v>
      </c>
      <c r="DB2208">
        <v>0</v>
      </c>
      <c r="DC2208">
        <v>0</v>
      </c>
      <c r="DD2208">
        <v>0</v>
      </c>
      <c r="DE2208">
        <v>0</v>
      </c>
      <c r="DF2208">
        <v>0</v>
      </c>
      <c r="DG2208">
        <v>0</v>
      </c>
      <c r="DH2208">
        <v>0</v>
      </c>
      <c r="DI2208">
        <v>0</v>
      </c>
    </row>
    <row r="2209" spans="1:113" x14ac:dyDescent="0.3">
      <c r="A2209" t="str">
        <f>"02/13/2022 19:01:21.642"</f>
        <v>02/13/2022 19:01:21.642</v>
      </c>
      <c r="C2209" t="str">
        <f t="shared" si="214"/>
        <v>FFDFD7C0</v>
      </c>
      <c r="D2209" t="s">
        <v>113</v>
      </c>
      <c r="E2209">
        <v>4</v>
      </c>
      <c r="F2209">
        <v>1004</v>
      </c>
      <c r="G2209" t="s">
        <v>120</v>
      </c>
      <c r="J2209" t="s">
        <v>115</v>
      </c>
      <c r="K2209">
        <v>0</v>
      </c>
      <c r="L2209">
        <v>3</v>
      </c>
      <c r="M2209">
        <v>0</v>
      </c>
      <c r="N2209">
        <v>2</v>
      </c>
      <c r="O2209">
        <v>1</v>
      </c>
      <c r="P2209">
        <v>0</v>
      </c>
      <c r="Q2209">
        <v>0</v>
      </c>
      <c r="S2209" t="str">
        <f>"19:01:21.422"</f>
        <v>19:01:21.422</v>
      </c>
      <c r="T2209" t="str">
        <f>"19:01:20.522"</f>
        <v>19:01:20.522</v>
      </c>
      <c r="U2209" t="str">
        <f t="shared" si="216"/>
        <v>AAB6EE</v>
      </c>
      <c r="V2209">
        <v>0</v>
      </c>
      <c r="W2209">
        <v>0</v>
      </c>
      <c r="X2209">
        <v>4</v>
      </c>
      <c r="Z2209">
        <v>0</v>
      </c>
      <c r="AA2209">
        <v>8</v>
      </c>
      <c r="AB2209">
        <v>3</v>
      </c>
      <c r="AC2209">
        <v>0</v>
      </c>
      <c r="AD2209">
        <v>10</v>
      </c>
      <c r="AE2209">
        <v>0</v>
      </c>
      <c r="AF2209">
        <v>0</v>
      </c>
      <c r="AG2209">
        <v>1</v>
      </c>
      <c r="AH2209">
        <v>1</v>
      </c>
      <c r="AI2209" t="s">
        <v>1584</v>
      </c>
      <c r="AJ2209">
        <v>34.811853999999997</v>
      </c>
      <c r="AK2209" t="s">
        <v>1585</v>
      </c>
      <c r="AL2209">
        <v>-76.291186999999994</v>
      </c>
      <c r="AM2209">
        <v>25</v>
      </c>
      <c r="AN2209">
        <v>3150</v>
      </c>
      <c r="AO2209" t="s">
        <v>118</v>
      </c>
      <c r="AP2209">
        <v>-94</v>
      </c>
      <c r="AQ2209">
        <v>129</v>
      </c>
      <c r="AR2209">
        <v>-13440</v>
      </c>
      <c r="AZ2209">
        <v>4516</v>
      </c>
      <c r="BA2209">
        <v>1</v>
      </c>
      <c r="BB2209" t="str">
        <f t="shared" si="215"/>
        <v xml:space="preserve">N79NX   </v>
      </c>
      <c r="BC2209">
        <v>1</v>
      </c>
      <c r="BE2209">
        <v>0</v>
      </c>
      <c r="BF2209">
        <v>0</v>
      </c>
      <c r="BG2209">
        <v>0</v>
      </c>
      <c r="BH2209">
        <v>3600</v>
      </c>
      <c r="BI2209">
        <v>0</v>
      </c>
      <c r="BJ2209">
        <v>0</v>
      </c>
      <c r="BK2209">
        <v>0</v>
      </c>
      <c r="BL2209">
        <v>0</v>
      </c>
      <c r="BO2209">
        <v>0</v>
      </c>
      <c r="BP2209">
        <v>0</v>
      </c>
      <c r="BW2209" t="str">
        <f>"19:01:21.426"</f>
        <v>19:01:21.426</v>
      </c>
      <c r="BZ2209">
        <v>0</v>
      </c>
      <c r="CA2209">
        <v>1888</v>
      </c>
      <c r="CB2209">
        <v>214.4</v>
      </c>
      <c r="CC2209">
        <v>625.78129999999999</v>
      </c>
      <c r="CD2209">
        <v>1</v>
      </c>
      <c r="CE2209">
        <v>0</v>
      </c>
      <c r="CF2209">
        <v>0</v>
      </c>
      <c r="CG2209">
        <v>1</v>
      </c>
      <c r="CH2209">
        <v>0</v>
      </c>
      <c r="CI2209">
        <v>0</v>
      </c>
      <c r="CJ2209">
        <v>0</v>
      </c>
      <c r="CK2209">
        <v>2</v>
      </c>
      <c r="CL2209">
        <v>0</v>
      </c>
      <c r="CM2209">
        <v>2</v>
      </c>
      <c r="CN2209">
        <v>0</v>
      </c>
      <c r="CO2209">
        <v>3</v>
      </c>
      <c r="CP2209" t="s">
        <v>119</v>
      </c>
      <c r="CQ2209">
        <v>70</v>
      </c>
      <c r="CR2209">
        <v>0</v>
      </c>
      <c r="CW2209">
        <v>1740314</v>
      </c>
      <c r="CY2209">
        <v>0</v>
      </c>
      <c r="CZ2209">
        <v>0</v>
      </c>
      <c r="DA2209">
        <v>1</v>
      </c>
      <c r="DB2209">
        <v>0</v>
      </c>
      <c r="DC2209">
        <v>0</v>
      </c>
      <c r="DD2209">
        <v>0</v>
      </c>
      <c r="DE2209">
        <v>0</v>
      </c>
      <c r="DF2209">
        <v>0</v>
      </c>
      <c r="DG2209">
        <v>0</v>
      </c>
      <c r="DH2209">
        <v>0</v>
      </c>
      <c r="DI2209">
        <v>0</v>
      </c>
    </row>
    <row r="2210" spans="1:113" x14ac:dyDescent="0.3">
      <c r="A2210" t="str">
        <f>"02/13/2022 19:01:22.721"</f>
        <v>02/13/2022 19:01:22.721</v>
      </c>
      <c r="C2210" t="str">
        <f t="shared" si="214"/>
        <v>FFDFD7C0</v>
      </c>
      <c r="D2210" t="s">
        <v>113</v>
      </c>
      <c r="E2210">
        <v>3</v>
      </c>
      <c r="F2210">
        <v>1003</v>
      </c>
      <c r="G2210" t="s">
        <v>114</v>
      </c>
      <c r="J2210" t="s">
        <v>115</v>
      </c>
      <c r="K2210">
        <v>0</v>
      </c>
      <c r="L2210">
        <v>3</v>
      </c>
      <c r="M2210">
        <v>0</v>
      </c>
      <c r="N2210">
        <v>2</v>
      </c>
      <c r="O2210">
        <v>1</v>
      </c>
      <c r="P2210">
        <v>0</v>
      </c>
      <c r="Q2210">
        <v>0</v>
      </c>
      <c r="S2210" t="str">
        <f>"19:01:22.539"</f>
        <v>19:01:22.539</v>
      </c>
      <c r="T2210" t="str">
        <f>"19:01:20.539"</f>
        <v>19:01:20.539</v>
      </c>
      <c r="U2210" t="str">
        <f t="shared" si="216"/>
        <v>AAB6EE</v>
      </c>
      <c r="V2210">
        <v>0</v>
      </c>
      <c r="W2210">
        <v>0</v>
      </c>
      <c r="X2210">
        <v>4</v>
      </c>
      <c r="Z2210">
        <v>0</v>
      </c>
      <c r="AA2210">
        <v>8</v>
      </c>
      <c r="AB2210">
        <v>3</v>
      </c>
      <c r="AC2210">
        <v>0</v>
      </c>
      <c r="AD2210">
        <v>10</v>
      </c>
      <c r="AE2210">
        <v>0</v>
      </c>
      <c r="AF2210">
        <v>0</v>
      </c>
      <c r="AG2210">
        <v>1</v>
      </c>
      <c r="AH2210">
        <v>1</v>
      </c>
      <c r="AI2210" t="s">
        <v>1586</v>
      </c>
      <c r="AJ2210">
        <v>34.812798999999998</v>
      </c>
      <c r="AK2210" t="s">
        <v>1587</v>
      </c>
      <c r="AL2210">
        <v>-76.291422999999995</v>
      </c>
      <c r="AM2210">
        <v>25</v>
      </c>
      <c r="AN2210">
        <v>2850</v>
      </c>
      <c r="AO2210" t="s">
        <v>118</v>
      </c>
      <c r="AP2210">
        <v>-94</v>
      </c>
      <c r="AQ2210">
        <v>129</v>
      </c>
      <c r="AR2210">
        <v>-13440</v>
      </c>
      <c r="AZ2210">
        <v>4516</v>
      </c>
      <c r="BA2210">
        <v>1</v>
      </c>
      <c r="BB2210" t="str">
        <f t="shared" si="215"/>
        <v xml:space="preserve">N79NX   </v>
      </c>
      <c r="BC2210">
        <v>1</v>
      </c>
      <c r="BE2210">
        <v>0</v>
      </c>
      <c r="BF2210">
        <v>0</v>
      </c>
      <c r="BG2210">
        <v>0</v>
      </c>
      <c r="BH2210">
        <v>3200</v>
      </c>
      <c r="BI2210">
        <v>0</v>
      </c>
      <c r="BJ2210">
        <v>0</v>
      </c>
      <c r="BK2210">
        <v>0</v>
      </c>
      <c r="BL2210">
        <v>0</v>
      </c>
      <c r="BO2210">
        <v>0</v>
      </c>
      <c r="BP2210">
        <v>0</v>
      </c>
      <c r="BW2210" t="str">
        <f>"19:01:22.546"</f>
        <v>19:01:22.546</v>
      </c>
      <c r="BZ2210">
        <v>0</v>
      </c>
      <c r="CA2210">
        <v>1888</v>
      </c>
      <c r="CB2210">
        <v>214.4</v>
      </c>
      <c r="CC2210">
        <v>625.78129999999999</v>
      </c>
      <c r="CD2210">
        <v>1</v>
      </c>
      <c r="CE2210">
        <v>0</v>
      </c>
      <c r="CF2210">
        <v>0</v>
      </c>
      <c r="CG2210">
        <v>1</v>
      </c>
      <c r="CH2210">
        <v>0</v>
      </c>
      <c r="CI2210">
        <v>0</v>
      </c>
      <c r="CJ2210">
        <v>0</v>
      </c>
      <c r="CK2210">
        <v>2</v>
      </c>
      <c r="CL2210">
        <v>0</v>
      </c>
      <c r="CM2210">
        <v>2</v>
      </c>
      <c r="CN2210">
        <v>0</v>
      </c>
      <c r="CO2210">
        <v>3</v>
      </c>
      <c r="CP2210" t="s">
        <v>119</v>
      </c>
      <c r="CQ2210">
        <v>70</v>
      </c>
      <c r="CR2210">
        <v>1</v>
      </c>
      <c r="CW2210">
        <v>3943946</v>
      </c>
      <c r="CY2210">
        <v>0</v>
      </c>
      <c r="CZ2210">
        <v>0</v>
      </c>
      <c r="DA2210">
        <v>0</v>
      </c>
      <c r="DB2210">
        <v>0</v>
      </c>
      <c r="DC2210">
        <v>0</v>
      </c>
      <c r="DD2210">
        <v>0</v>
      </c>
      <c r="DE2210">
        <v>0</v>
      </c>
      <c r="DF2210">
        <v>0</v>
      </c>
      <c r="DG2210">
        <v>0</v>
      </c>
      <c r="DH2210">
        <v>0</v>
      </c>
      <c r="DI2210">
        <v>0</v>
      </c>
    </row>
    <row r="2211" spans="1:113" x14ac:dyDescent="0.3">
      <c r="A2211" t="str">
        <f>"02/13/2022 19:01:22.737"</f>
        <v>02/13/2022 19:01:22.737</v>
      </c>
      <c r="C2211" t="str">
        <f t="shared" si="214"/>
        <v>FFDFD7C0</v>
      </c>
      <c r="D2211" t="s">
        <v>121</v>
      </c>
      <c r="E2211">
        <v>2</v>
      </c>
      <c r="H2211">
        <v>158</v>
      </c>
      <c r="I2211" t="s">
        <v>120</v>
      </c>
      <c r="J2211" t="s">
        <v>122</v>
      </c>
      <c r="K2211">
        <v>0</v>
      </c>
      <c r="L2211">
        <v>3</v>
      </c>
      <c r="M2211">
        <v>0</v>
      </c>
      <c r="N2211">
        <v>2</v>
      </c>
      <c r="O2211">
        <v>1</v>
      </c>
      <c r="P2211">
        <v>0</v>
      </c>
      <c r="Q2211">
        <v>0</v>
      </c>
      <c r="S2211" t="str">
        <f>"19:01:22.539"</f>
        <v>19:01:22.539</v>
      </c>
      <c r="T2211" t="str">
        <f>"19:01:20.539"</f>
        <v>19:01:20.539</v>
      </c>
      <c r="U2211" t="str">
        <f t="shared" si="216"/>
        <v>AAB6EE</v>
      </c>
      <c r="V2211">
        <v>0</v>
      </c>
      <c r="W2211">
        <v>0</v>
      </c>
      <c r="X2211">
        <v>4</v>
      </c>
      <c r="Z2211">
        <v>0</v>
      </c>
      <c r="AA2211">
        <v>8</v>
      </c>
      <c r="AB2211">
        <v>3</v>
      </c>
      <c r="AC2211">
        <v>0</v>
      </c>
      <c r="AD2211">
        <v>10</v>
      </c>
      <c r="AE2211">
        <v>0</v>
      </c>
      <c r="AF2211">
        <v>0</v>
      </c>
      <c r="AG2211">
        <v>1</v>
      </c>
      <c r="AH2211">
        <v>1</v>
      </c>
      <c r="AI2211" t="s">
        <v>1586</v>
      </c>
      <c r="AJ2211">
        <v>34.812798999999998</v>
      </c>
      <c r="AK2211" t="s">
        <v>1587</v>
      </c>
      <c r="AL2211">
        <v>-76.291422999999995</v>
      </c>
      <c r="AM2211">
        <v>25</v>
      </c>
      <c r="AN2211">
        <v>2850</v>
      </c>
      <c r="AO2211" t="s">
        <v>118</v>
      </c>
      <c r="AP2211">
        <v>-94</v>
      </c>
      <c r="AQ2211">
        <v>129</v>
      </c>
      <c r="AR2211">
        <v>-13440</v>
      </c>
      <c r="AZ2211">
        <v>4516</v>
      </c>
      <c r="BA2211">
        <v>1</v>
      </c>
      <c r="BB2211" t="str">
        <f t="shared" si="215"/>
        <v xml:space="preserve">N79NX   </v>
      </c>
      <c r="BC2211">
        <v>1</v>
      </c>
      <c r="BE2211">
        <v>0</v>
      </c>
      <c r="BF2211">
        <v>0</v>
      </c>
      <c r="BG2211">
        <v>0</v>
      </c>
      <c r="BH2211">
        <v>3200</v>
      </c>
      <c r="BI2211">
        <v>0</v>
      </c>
      <c r="BJ2211">
        <v>0</v>
      </c>
      <c r="BK2211">
        <v>0</v>
      </c>
      <c r="BL2211">
        <v>0</v>
      </c>
      <c r="BO2211">
        <v>0</v>
      </c>
      <c r="BP2211">
        <v>0</v>
      </c>
      <c r="BW2211" t="str">
        <f>"19:01:22.546"</f>
        <v>19:01:22.546</v>
      </c>
      <c r="BZ2211">
        <v>0</v>
      </c>
      <c r="CA2211">
        <v>1888</v>
      </c>
      <c r="CB2211">
        <v>214.4</v>
      </c>
      <c r="CC2211">
        <v>625.78129999999999</v>
      </c>
      <c r="CD2211">
        <v>1</v>
      </c>
      <c r="CE2211">
        <v>0</v>
      </c>
      <c r="CF2211">
        <v>0</v>
      </c>
      <c r="CG2211">
        <v>1</v>
      </c>
      <c r="CH2211">
        <v>0</v>
      </c>
      <c r="CI2211">
        <v>0</v>
      </c>
      <c r="CJ2211">
        <v>0</v>
      </c>
      <c r="CK2211">
        <v>2</v>
      </c>
      <c r="CL2211">
        <v>0</v>
      </c>
      <c r="CM2211">
        <v>2</v>
      </c>
      <c r="CN2211">
        <v>0</v>
      </c>
      <c r="CO2211">
        <v>3</v>
      </c>
      <c r="CP2211" t="s">
        <v>119</v>
      </c>
      <c r="CQ2211">
        <v>70</v>
      </c>
      <c r="CR2211">
        <v>1</v>
      </c>
      <c r="CW2211">
        <v>3943946</v>
      </c>
      <c r="CY2211">
        <v>0</v>
      </c>
      <c r="CZ2211">
        <v>0</v>
      </c>
      <c r="DA2211">
        <v>1</v>
      </c>
      <c r="DB2211">
        <v>0</v>
      </c>
      <c r="DC2211">
        <v>0</v>
      </c>
      <c r="DD2211">
        <v>0</v>
      </c>
      <c r="DE2211">
        <v>0</v>
      </c>
      <c r="DF2211">
        <v>0</v>
      </c>
      <c r="DG2211">
        <v>0</v>
      </c>
      <c r="DH2211">
        <v>0</v>
      </c>
      <c r="DI2211">
        <v>0</v>
      </c>
    </row>
    <row r="2212" spans="1:113" x14ac:dyDescent="0.3">
      <c r="A2212" t="str">
        <f>"02/13/2022 19:01:22.737"</f>
        <v>02/13/2022 19:01:22.737</v>
      </c>
      <c r="C2212" t="str">
        <f t="shared" si="214"/>
        <v>FFDFD7C0</v>
      </c>
      <c r="D2212" t="s">
        <v>113</v>
      </c>
      <c r="E2212">
        <v>4</v>
      </c>
      <c r="F2212">
        <v>1004</v>
      </c>
      <c r="G2212" t="s">
        <v>120</v>
      </c>
      <c r="J2212" t="s">
        <v>115</v>
      </c>
      <c r="K2212">
        <v>0</v>
      </c>
      <c r="L2212">
        <v>3</v>
      </c>
      <c r="M2212">
        <v>0</v>
      </c>
      <c r="N2212">
        <v>2</v>
      </c>
      <c r="O2212">
        <v>1</v>
      </c>
      <c r="P2212">
        <v>0</v>
      </c>
      <c r="Q2212">
        <v>0</v>
      </c>
      <c r="S2212" t="str">
        <f>"19:01:22.539"</f>
        <v>19:01:22.539</v>
      </c>
      <c r="T2212" t="str">
        <f>"19:01:20.539"</f>
        <v>19:01:20.539</v>
      </c>
      <c r="U2212" t="str">
        <f t="shared" si="216"/>
        <v>AAB6EE</v>
      </c>
      <c r="V2212">
        <v>0</v>
      </c>
      <c r="W2212">
        <v>0</v>
      </c>
      <c r="X2212">
        <v>4</v>
      </c>
      <c r="Z2212">
        <v>0</v>
      </c>
      <c r="AA2212">
        <v>8</v>
      </c>
      <c r="AB2212">
        <v>3</v>
      </c>
      <c r="AC2212">
        <v>0</v>
      </c>
      <c r="AD2212">
        <v>10</v>
      </c>
      <c r="AE2212">
        <v>0</v>
      </c>
      <c r="AF2212">
        <v>0</v>
      </c>
      <c r="AG2212">
        <v>1</v>
      </c>
      <c r="AH2212">
        <v>1</v>
      </c>
      <c r="AI2212" t="s">
        <v>1586</v>
      </c>
      <c r="AJ2212">
        <v>34.812798999999998</v>
      </c>
      <c r="AK2212" t="s">
        <v>1587</v>
      </c>
      <c r="AL2212">
        <v>-76.291422999999995</v>
      </c>
      <c r="AM2212">
        <v>25</v>
      </c>
      <c r="AN2212">
        <v>2850</v>
      </c>
      <c r="AO2212" t="s">
        <v>118</v>
      </c>
      <c r="AP2212">
        <v>-94</v>
      </c>
      <c r="AQ2212">
        <v>129</v>
      </c>
      <c r="AR2212">
        <v>-13440</v>
      </c>
      <c r="AZ2212">
        <v>4516</v>
      </c>
      <c r="BA2212">
        <v>1</v>
      </c>
      <c r="BB2212" t="str">
        <f t="shared" si="215"/>
        <v xml:space="preserve">N79NX   </v>
      </c>
      <c r="BC2212">
        <v>1</v>
      </c>
      <c r="BE2212">
        <v>0</v>
      </c>
      <c r="BF2212">
        <v>0</v>
      </c>
      <c r="BG2212">
        <v>0</v>
      </c>
      <c r="BH2212">
        <v>3200</v>
      </c>
      <c r="BI2212">
        <v>0</v>
      </c>
      <c r="BJ2212">
        <v>0</v>
      </c>
      <c r="BK2212">
        <v>0</v>
      </c>
      <c r="BL2212">
        <v>0</v>
      </c>
      <c r="BO2212">
        <v>0</v>
      </c>
      <c r="BP2212">
        <v>0</v>
      </c>
      <c r="BW2212" t="str">
        <f>"19:01:22.546"</f>
        <v>19:01:22.546</v>
      </c>
      <c r="BZ2212">
        <v>0</v>
      </c>
      <c r="CA2212">
        <v>1888</v>
      </c>
      <c r="CB2212">
        <v>214.4</v>
      </c>
      <c r="CC2212">
        <v>625.78129999999999</v>
      </c>
      <c r="CD2212">
        <v>1</v>
      </c>
      <c r="CE2212">
        <v>0</v>
      </c>
      <c r="CF2212">
        <v>0</v>
      </c>
      <c r="CG2212">
        <v>1</v>
      </c>
      <c r="CH2212">
        <v>0</v>
      </c>
      <c r="CI2212">
        <v>0</v>
      </c>
      <c r="CJ2212">
        <v>0</v>
      </c>
      <c r="CK2212">
        <v>2</v>
      </c>
      <c r="CL2212">
        <v>0</v>
      </c>
      <c r="CM2212">
        <v>2</v>
      </c>
      <c r="CN2212">
        <v>0</v>
      </c>
      <c r="CO2212">
        <v>3</v>
      </c>
      <c r="CP2212" t="s">
        <v>119</v>
      </c>
      <c r="CQ2212">
        <v>70</v>
      </c>
      <c r="CR2212">
        <v>1</v>
      </c>
      <c r="CW2212">
        <v>3943946</v>
      </c>
      <c r="CY2212">
        <v>0</v>
      </c>
      <c r="CZ2212">
        <v>0</v>
      </c>
      <c r="DA2212">
        <v>1</v>
      </c>
      <c r="DB2212">
        <v>0</v>
      </c>
      <c r="DC2212">
        <v>0</v>
      </c>
      <c r="DD2212">
        <v>0</v>
      </c>
      <c r="DE2212">
        <v>0</v>
      </c>
      <c r="DF2212">
        <v>0</v>
      </c>
      <c r="DG2212">
        <v>0</v>
      </c>
      <c r="DH2212">
        <v>0</v>
      </c>
      <c r="DI2212">
        <v>0</v>
      </c>
    </row>
    <row r="2213" spans="1:113" x14ac:dyDescent="0.3">
      <c r="A2213" t="str">
        <f>"02/13/2022 19:01:23.878"</f>
        <v>02/13/2022 19:01:23.878</v>
      </c>
      <c r="C2213" t="str">
        <f t="shared" si="214"/>
        <v>FFDFD7C0</v>
      </c>
      <c r="D2213" t="s">
        <v>113</v>
      </c>
      <c r="E2213">
        <v>3</v>
      </c>
      <c r="F2213">
        <v>1003</v>
      </c>
      <c r="G2213" t="s">
        <v>114</v>
      </c>
      <c r="J2213" t="s">
        <v>115</v>
      </c>
      <c r="K2213">
        <v>0</v>
      </c>
      <c r="L2213">
        <v>3</v>
      </c>
      <c r="M2213">
        <v>0</v>
      </c>
      <c r="N2213">
        <v>2</v>
      </c>
      <c r="O2213">
        <v>1</v>
      </c>
      <c r="P2213">
        <v>0</v>
      </c>
      <c r="Q2213">
        <v>0</v>
      </c>
      <c r="S2213" t="str">
        <f>"19:01:23.672"</f>
        <v>19:01:23.672</v>
      </c>
      <c r="T2213" t="str">
        <f>"19:01:22.772"</f>
        <v>19:01:22.772</v>
      </c>
      <c r="U2213" t="str">
        <f t="shared" si="216"/>
        <v>AAB6EE</v>
      </c>
      <c r="V2213">
        <v>0</v>
      </c>
      <c r="W2213">
        <v>0</v>
      </c>
      <c r="X2213">
        <v>4</v>
      </c>
      <c r="Z2213">
        <v>0</v>
      </c>
      <c r="AA2213">
        <v>5</v>
      </c>
      <c r="AB2213">
        <v>3</v>
      </c>
      <c r="AC2213">
        <v>0</v>
      </c>
      <c r="AD2213">
        <v>10</v>
      </c>
      <c r="AE2213">
        <v>0</v>
      </c>
      <c r="AF2213">
        <v>0</v>
      </c>
      <c r="AG2213">
        <v>1</v>
      </c>
      <c r="AH2213">
        <v>1</v>
      </c>
      <c r="AI2213" t="s">
        <v>1588</v>
      </c>
      <c r="AJ2213">
        <v>34.813763999999999</v>
      </c>
      <c r="AK2213" t="s">
        <v>1589</v>
      </c>
      <c r="AL2213">
        <v>-76.291358000000002</v>
      </c>
      <c r="AM2213">
        <v>25</v>
      </c>
      <c r="AN2213">
        <v>2550</v>
      </c>
      <c r="AO2213" t="s">
        <v>118</v>
      </c>
      <c r="AP2213">
        <v>-21</v>
      </c>
      <c r="AQ2213">
        <v>177</v>
      </c>
      <c r="AR2213">
        <v>-16448</v>
      </c>
      <c r="AZ2213">
        <v>4516</v>
      </c>
      <c r="BA2213">
        <v>1</v>
      </c>
      <c r="BB2213" t="str">
        <f t="shared" si="215"/>
        <v xml:space="preserve">N79NX   </v>
      </c>
      <c r="BC2213">
        <v>1</v>
      </c>
      <c r="BE2213">
        <v>0</v>
      </c>
      <c r="BF2213">
        <v>0</v>
      </c>
      <c r="BG2213">
        <v>0</v>
      </c>
      <c r="BH2213">
        <v>2675</v>
      </c>
      <c r="BI2213">
        <v>0</v>
      </c>
      <c r="BJ2213">
        <v>0</v>
      </c>
      <c r="BK2213">
        <v>0</v>
      </c>
      <c r="BL2213">
        <v>0</v>
      </c>
      <c r="BO2213">
        <v>0</v>
      </c>
      <c r="BP2213">
        <v>0</v>
      </c>
      <c r="BW2213" t="str">
        <f>"19:01:23.676"</f>
        <v>19:01:23.676</v>
      </c>
      <c r="BZ2213">
        <v>0</v>
      </c>
      <c r="CA2213">
        <v>1888</v>
      </c>
      <c r="CB2213">
        <v>214.4</v>
      </c>
      <c r="CC2213">
        <v>625.78129999999999</v>
      </c>
      <c r="CD2213">
        <v>1</v>
      </c>
      <c r="CE2213">
        <v>0</v>
      </c>
      <c r="CF2213">
        <v>0</v>
      </c>
      <c r="CG2213">
        <v>1</v>
      </c>
      <c r="CH2213">
        <v>0</v>
      </c>
      <c r="CI2213">
        <v>0</v>
      </c>
      <c r="CJ2213">
        <v>0</v>
      </c>
      <c r="CK2213">
        <v>2</v>
      </c>
      <c r="CL2213">
        <v>0</v>
      </c>
      <c r="CM2213">
        <v>2</v>
      </c>
      <c r="CN2213">
        <v>0</v>
      </c>
      <c r="CO2213">
        <v>2</v>
      </c>
      <c r="CP2213" t="s">
        <v>119</v>
      </c>
      <c r="CQ2213">
        <v>70</v>
      </c>
      <c r="CR2213">
        <v>1</v>
      </c>
      <c r="CW2213">
        <v>3944925</v>
      </c>
      <c r="CY2213">
        <v>0</v>
      </c>
      <c r="CZ2213">
        <v>0</v>
      </c>
      <c r="DA2213">
        <v>0</v>
      </c>
      <c r="DB2213">
        <v>0</v>
      </c>
      <c r="DC2213">
        <v>0</v>
      </c>
      <c r="DD2213">
        <v>0</v>
      </c>
      <c r="DE2213">
        <v>0</v>
      </c>
      <c r="DF2213">
        <v>0</v>
      </c>
      <c r="DG2213">
        <v>1</v>
      </c>
      <c r="DH2213">
        <v>0</v>
      </c>
      <c r="DI2213">
        <v>0</v>
      </c>
    </row>
    <row r="2214" spans="1:113" x14ac:dyDescent="0.3">
      <c r="A2214" t="str">
        <f>"02/13/2022 19:01:23.909"</f>
        <v>02/13/2022 19:01:23.909</v>
      </c>
      <c r="C2214" t="str">
        <f t="shared" si="214"/>
        <v>FFDFD7C0</v>
      </c>
      <c r="D2214" t="s">
        <v>121</v>
      </c>
      <c r="E2214">
        <v>2</v>
      </c>
      <c r="H2214">
        <v>158</v>
      </c>
      <c r="I2214" t="s">
        <v>120</v>
      </c>
      <c r="J2214" t="s">
        <v>122</v>
      </c>
      <c r="K2214">
        <v>0</v>
      </c>
      <c r="L2214">
        <v>3</v>
      </c>
      <c r="M2214">
        <v>0</v>
      </c>
      <c r="N2214">
        <v>2</v>
      </c>
      <c r="O2214">
        <v>1</v>
      </c>
      <c r="P2214">
        <v>0</v>
      </c>
      <c r="Q2214">
        <v>0</v>
      </c>
      <c r="S2214" t="str">
        <f>"19:01:23.672"</f>
        <v>19:01:23.672</v>
      </c>
      <c r="T2214" t="str">
        <f>"19:01:22.772"</f>
        <v>19:01:22.772</v>
      </c>
      <c r="U2214" t="str">
        <f t="shared" si="216"/>
        <v>AAB6EE</v>
      </c>
      <c r="V2214">
        <v>0</v>
      </c>
      <c r="W2214">
        <v>0</v>
      </c>
      <c r="X2214">
        <v>4</v>
      </c>
      <c r="Z2214">
        <v>0</v>
      </c>
      <c r="AA2214">
        <v>5</v>
      </c>
      <c r="AB2214">
        <v>3</v>
      </c>
      <c r="AC2214">
        <v>0</v>
      </c>
      <c r="AD2214">
        <v>10</v>
      </c>
      <c r="AE2214">
        <v>0</v>
      </c>
      <c r="AF2214">
        <v>0</v>
      </c>
      <c r="AG2214">
        <v>1</v>
      </c>
      <c r="AH2214">
        <v>1</v>
      </c>
      <c r="AI2214" t="s">
        <v>1588</v>
      </c>
      <c r="AJ2214">
        <v>34.813763999999999</v>
      </c>
      <c r="AK2214" t="s">
        <v>1589</v>
      </c>
      <c r="AL2214">
        <v>-76.291358000000002</v>
      </c>
      <c r="AM2214">
        <v>25</v>
      </c>
      <c r="AN2214">
        <v>2550</v>
      </c>
      <c r="AO2214" t="s">
        <v>118</v>
      </c>
      <c r="AP2214">
        <v>-21</v>
      </c>
      <c r="AQ2214">
        <v>177</v>
      </c>
      <c r="AR2214">
        <v>-16448</v>
      </c>
      <c r="AZ2214">
        <v>4516</v>
      </c>
      <c r="BA2214">
        <v>1</v>
      </c>
      <c r="BB2214" t="str">
        <f t="shared" si="215"/>
        <v xml:space="preserve">N79NX   </v>
      </c>
      <c r="BC2214">
        <v>1</v>
      </c>
      <c r="BE2214">
        <v>0</v>
      </c>
      <c r="BF2214">
        <v>0</v>
      </c>
      <c r="BG2214">
        <v>0</v>
      </c>
      <c r="BH2214">
        <v>2675</v>
      </c>
      <c r="BI2214">
        <v>0</v>
      </c>
      <c r="BJ2214">
        <v>0</v>
      </c>
      <c r="BK2214">
        <v>0</v>
      </c>
      <c r="BL2214">
        <v>0</v>
      </c>
      <c r="BO2214">
        <v>0</v>
      </c>
      <c r="BP2214">
        <v>0</v>
      </c>
      <c r="BW2214" t="str">
        <f>"19:01:23.676"</f>
        <v>19:01:23.676</v>
      </c>
      <c r="BZ2214">
        <v>0</v>
      </c>
      <c r="CA2214">
        <v>1888</v>
      </c>
      <c r="CB2214">
        <v>214.4</v>
      </c>
      <c r="CC2214">
        <v>625.78129999999999</v>
      </c>
      <c r="CD2214">
        <v>1</v>
      </c>
      <c r="CE2214">
        <v>0</v>
      </c>
      <c r="CF2214">
        <v>0</v>
      </c>
      <c r="CG2214">
        <v>1</v>
      </c>
      <c r="CH2214">
        <v>0</v>
      </c>
      <c r="CI2214">
        <v>0</v>
      </c>
      <c r="CJ2214">
        <v>0</v>
      </c>
      <c r="CK2214">
        <v>2</v>
      </c>
      <c r="CL2214">
        <v>0</v>
      </c>
      <c r="CM2214">
        <v>2</v>
      </c>
      <c r="CN2214">
        <v>0</v>
      </c>
      <c r="CO2214">
        <v>2</v>
      </c>
      <c r="CP2214" t="s">
        <v>119</v>
      </c>
      <c r="CQ2214">
        <v>70</v>
      </c>
      <c r="CR2214">
        <v>1</v>
      </c>
      <c r="CW2214">
        <v>3944925</v>
      </c>
      <c r="CY2214">
        <v>0</v>
      </c>
      <c r="CZ2214">
        <v>0</v>
      </c>
      <c r="DA2214">
        <v>1</v>
      </c>
      <c r="DB2214">
        <v>0</v>
      </c>
      <c r="DC2214">
        <v>0</v>
      </c>
      <c r="DD2214">
        <v>0</v>
      </c>
      <c r="DE2214">
        <v>0</v>
      </c>
      <c r="DF2214">
        <v>0</v>
      </c>
      <c r="DG2214">
        <v>1</v>
      </c>
      <c r="DH2214">
        <v>0</v>
      </c>
      <c r="DI2214">
        <v>0</v>
      </c>
    </row>
    <row r="2215" spans="1:113" x14ac:dyDescent="0.3">
      <c r="A2215" t="str">
        <f>"02/13/2022 19:01:23.893"</f>
        <v>02/13/2022 19:01:23.893</v>
      </c>
      <c r="C2215" t="str">
        <f t="shared" si="214"/>
        <v>FFDFD7C0</v>
      </c>
      <c r="D2215" t="s">
        <v>113</v>
      </c>
      <c r="E2215">
        <v>4</v>
      </c>
      <c r="F2215">
        <v>1004</v>
      </c>
      <c r="G2215" t="s">
        <v>120</v>
      </c>
      <c r="J2215" t="s">
        <v>115</v>
      </c>
      <c r="K2215">
        <v>0</v>
      </c>
      <c r="L2215">
        <v>3</v>
      </c>
      <c r="M2215">
        <v>0</v>
      </c>
      <c r="N2215">
        <v>2</v>
      </c>
      <c r="O2215">
        <v>1</v>
      </c>
      <c r="P2215">
        <v>0</v>
      </c>
      <c r="Q2215">
        <v>0</v>
      </c>
      <c r="S2215" t="str">
        <f>"19:01:23.672"</f>
        <v>19:01:23.672</v>
      </c>
      <c r="T2215" t="str">
        <f>"19:01:22.772"</f>
        <v>19:01:22.772</v>
      </c>
      <c r="U2215" t="str">
        <f t="shared" si="216"/>
        <v>AAB6EE</v>
      </c>
      <c r="V2215">
        <v>0</v>
      </c>
      <c r="W2215">
        <v>0</v>
      </c>
      <c r="X2215">
        <v>4</v>
      </c>
      <c r="Z2215">
        <v>0</v>
      </c>
      <c r="AA2215">
        <v>5</v>
      </c>
      <c r="AB2215">
        <v>3</v>
      </c>
      <c r="AC2215">
        <v>0</v>
      </c>
      <c r="AD2215">
        <v>10</v>
      </c>
      <c r="AE2215">
        <v>0</v>
      </c>
      <c r="AF2215">
        <v>0</v>
      </c>
      <c r="AG2215">
        <v>1</v>
      </c>
      <c r="AH2215">
        <v>1</v>
      </c>
      <c r="AI2215" t="s">
        <v>1588</v>
      </c>
      <c r="AJ2215">
        <v>34.813763999999999</v>
      </c>
      <c r="AK2215" t="s">
        <v>1589</v>
      </c>
      <c r="AL2215">
        <v>-76.291358000000002</v>
      </c>
      <c r="AM2215">
        <v>25</v>
      </c>
      <c r="AN2215">
        <v>2550</v>
      </c>
      <c r="AO2215" t="s">
        <v>118</v>
      </c>
      <c r="AP2215">
        <v>-21</v>
      </c>
      <c r="AQ2215">
        <v>177</v>
      </c>
      <c r="AR2215">
        <v>-16448</v>
      </c>
      <c r="AZ2215">
        <v>4516</v>
      </c>
      <c r="BA2215">
        <v>1</v>
      </c>
      <c r="BB2215" t="str">
        <f t="shared" si="215"/>
        <v xml:space="preserve">N79NX   </v>
      </c>
      <c r="BC2215">
        <v>1</v>
      </c>
      <c r="BE2215">
        <v>0</v>
      </c>
      <c r="BF2215">
        <v>0</v>
      </c>
      <c r="BG2215">
        <v>0</v>
      </c>
      <c r="BH2215">
        <v>2675</v>
      </c>
      <c r="BI2215">
        <v>0</v>
      </c>
      <c r="BJ2215">
        <v>0</v>
      </c>
      <c r="BK2215">
        <v>0</v>
      </c>
      <c r="BL2215">
        <v>0</v>
      </c>
      <c r="BO2215">
        <v>0</v>
      </c>
      <c r="BP2215">
        <v>0</v>
      </c>
      <c r="BW2215" t="str">
        <f>"19:01:23.676"</f>
        <v>19:01:23.676</v>
      </c>
      <c r="BZ2215">
        <v>0</v>
      </c>
      <c r="CA2215">
        <v>1888</v>
      </c>
      <c r="CB2215">
        <v>214.4</v>
      </c>
      <c r="CC2215">
        <v>625.78129999999999</v>
      </c>
      <c r="CD2215">
        <v>1</v>
      </c>
      <c r="CE2215">
        <v>0</v>
      </c>
      <c r="CF2215">
        <v>0</v>
      </c>
      <c r="CG2215">
        <v>1</v>
      </c>
      <c r="CH2215">
        <v>0</v>
      </c>
      <c r="CI2215">
        <v>0</v>
      </c>
      <c r="CJ2215">
        <v>0</v>
      </c>
      <c r="CK2215">
        <v>2</v>
      </c>
      <c r="CL2215">
        <v>0</v>
      </c>
      <c r="CM2215">
        <v>2</v>
      </c>
      <c r="CN2215">
        <v>0</v>
      </c>
      <c r="CO2215">
        <v>2</v>
      </c>
      <c r="CP2215" t="s">
        <v>119</v>
      </c>
      <c r="CQ2215">
        <v>70</v>
      </c>
      <c r="CR2215">
        <v>1</v>
      </c>
      <c r="CW2215">
        <v>3944925</v>
      </c>
      <c r="CY2215">
        <v>0</v>
      </c>
      <c r="CZ2215">
        <v>0</v>
      </c>
      <c r="DA2215">
        <v>1</v>
      </c>
      <c r="DB2215">
        <v>0</v>
      </c>
      <c r="DC2215">
        <v>0</v>
      </c>
      <c r="DD2215">
        <v>0</v>
      </c>
      <c r="DE2215">
        <v>0</v>
      </c>
      <c r="DF2215">
        <v>0</v>
      </c>
      <c r="DG2215">
        <v>1</v>
      </c>
      <c r="DH2215">
        <v>0</v>
      </c>
      <c r="DI22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20220213_AAB6EE_476361675_ADSB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Torgerson, Anne (FAA)</dc:creator>
  <cp:lastModifiedBy>Torgerson, Anne (FAA)</cp:lastModifiedBy>
  <dcterms:created xsi:type="dcterms:W3CDTF">2022-02-14T12:03:56Z</dcterms:created>
  <dcterms:modified xsi:type="dcterms:W3CDTF">2022-02-14T12:03:57Z</dcterms:modified>
</cp:coreProperties>
</file>